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kizit\OneDrive\Desktop\"/>
    </mc:Choice>
  </mc:AlternateContent>
  <xr:revisionPtr revIDLastSave="0" documentId="13_ncr:1_{CE0D0476-4BE1-4844-85C4-06E7A006ECA9}" xr6:coauthVersionLast="47" xr6:coauthVersionMax="47" xr10:uidLastSave="{00000000-0000-0000-0000-000000000000}"/>
  <bookViews>
    <workbookView xWindow="-108" yWindow="-108" windowWidth="23256" windowHeight="12456" xr2:uid="{29E9E60E-A85E-4DEA-83EA-95A167729B44}"/>
  </bookViews>
  <sheets>
    <sheet name="Dashboard" sheetId="3" r:id="rId1"/>
    <sheet name="DATA" sheetId="1" r:id="rId2"/>
    <sheet name="PIVOTS" sheetId="2" state="hidden" r:id="rId3"/>
  </sheets>
  <definedNames>
    <definedName name="_xlnm._FilterDatabase" localSheetId="1" hidden="1">DATA!$A$1:$BG$1</definedName>
    <definedName name="NativeTimeline_Invoice_Date">#N/A</definedName>
    <definedName name="Slicer_Auction_Length">#N/A</definedName>
    <definedName name="Slicer_Variety2">#N/A</definedName>
  </definedNames>
  <calcPr calcId="191029"/>
  <pivotCaches>
    <pivotCache cacheId="5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05" i="1" l="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AP13" i="1" l="1"/>
  <c r="Q2" i="1" l="1"/>
  <c r="S2321" i="1"/>
  <c r="S2118" i="1"/>
  <c r="S2117" i="1"/>
  <c r="S2116" i="1"/>
  <c r="S2115" i="1"/>
  <c r="S2017" i="1"/>
  <c r="S2016" i="1"/>
  <c r="S2015" i="1"/>
  <c r="AK1043" i="1" l="1"/>
  <c r="AF1043" i="1"/>
  <c r="AD1043" i="1"/>
  <c r="AA1043" i="1"/>
  <c r="X1043" i="1"/>
  <c r="V1043" i="1"/>
  <c r="W1043" i="1" s="1"/>
  <c r="T1043" i="1"/>
  <c r="S1043" i="1"/>
  <c r="R1043" i="1"/>
  <c r="AK1042" i="1"/>
  <c r="AF1042" i="1"/>
  <c r="AA1042" i="1"/>
  <c r="X1042" i="1"/>
  <c r="V1042" i="1"/>
  <c r="W1042" i="1" s="1"/>
  <c r="T1042" i="1"/>
  <c r="S1042" i="1"/>
  <c r="R1042" i="1"/>
  <c r="J1042" i="1"/>
  <c r="AD1042" i="1" s="1"/>
  <c r="AK1041" i="1"/>
  <c r="AF1041" i="1"/>
  <c r="AA1041" i="1"/>
  <c r="X1041" i="1"/>
  <c r="V1041" i="1"/>
  <c r="W1041" i="1" s="1"/>
  <c r="T1041" i="1"/>
  <c r="S1041" i="1"/>
  <c r="R1041" i="1"/>
  <c r="J1041" i="1"/>
  <c r="AD1041" i="1" s="1"/>
  <c r="AK1040" i="1"/>
  <c r="AF1040" i="1"/>
  <c r="AA1040" i="1"/>
  <c r="X1040" i="1"/>
  <c r="V1040" i="1"/>
  <c r="W1040" i="1" s="1"/>
  <c r="T1040" i="1"/>
  <c r="S1040" i="1"/>
  <c r="R1040" i="1"/>
  <c r="J1040" i="1"/>
  <c r="AD1040" i="1" s="1"/>
  <c r="AK1039" i="1"/>
  <c r="AF1039" i="1"/>
  <c r="AA1039" i="1"/>
  <c r="X1039" i="1"/>
  <c r="V1039" i="1"/>
  <c r="W1039" i="1" s="1"/>
  <c r="T1039" i="1"/>
  <c r="S1039" i="1"/>
  <c r="R1039" i="1"/>
  <c r="J1039" i="1"/>
  <c r="AD1039" i="1" s="1"/>
  <c r="AK1038" i="1"/>
  <c r="AF1038" i="1"/>
  <c r="AA1038" i="1"/>
  <c r="X1038" i="1"/>
  <c r="V1038" i="1"/>
  <c r="W1038" i="1" s="1"/>
  <c r="T1038" i="1"/>
  <c r="S1038" i="1"/>
  <c r="R1038" i="1"/>
  <c r="J1038" i="1"/>
  <c r="AD1038" i="1" s="1"/>
  <c r="AK1037" i="1"/>
  <c r="AF1037" i="1"/>
  <c r="AA1037" i="1"/>
  <c r="X1037" i="1"/>
  <c r="V1037" i="1"/>
  <c r="W1037" i="1" s="1"/>
  <c r="T1037" i="1"/>
  <c r="S1037" i="1"/>
  <c r="R1037" i="1"/>
  <c r="J1037" i="1"/>
  <c r="AD1037" i="1" s="1"/>
  <c r="AK1036" i="1"/>
  <c r="AF1036" i="1"/>
  <c r="AA1036" i="1"/>
  <c r="X1036" i="1"/>
  <c r="W1036" i="1"/>
  <c r="T1036" i="1"/>
  <c r="S1036" i="1"/>
  <c r="R1036" i="1"/>
  <c r="J1036" i="1"/>
  <c r="AD1036" i="1" s="1"/>
  <c r="AK1035" i="1"/>
  <c r="AF1035" i="1"/>
  <c r="AA1035" i="1"/>
  <c r="X1035" i="1"/>
  <c r="W1035" i="1"/>
  <c r="T1035" i="1"/>
  <c r="S1035" i="1"/>
  <c r="R1035" i="1"/>
  <c r="J1035" i="1"/>
  <c r="AD1035" i="1" s="1"/>
  <c r="AK1034" i="1"/>
  <c r="AF1034" i="1"/>
  <c r="AA1034" i="1"/>
  <c r="X1034" i="1"/>
  <c r="V1034" i="1"/>
  <c r="W1034" i="1" s="1"/>
  <c r="T1034" i="1"/>
  <c r="S1034" i="1"/>
  <c r="R1034" i="1"/>
  <c r="J1034" i="1"/>
  <c r="AD1034" i="1" s="1"/>
  <c r="AK1033" i="1"/>
  <c r="AF1033" i="1"/>
  <c r="AA1033" i="1"/>
  <c r="X1033" i="1"/>
  <c r="W1033" i="1"/>
  <c r="T1033" i="1"/>
  <c r="S1033" i="1"/>
  <c r="R1033" i="1"/>
  <c r="J1033" i="1"/>
  <c r="AD1033" i="1" s="1"/>
  <c r="AK1032" i="1"/>
  <c r="AF1032" i="1"/>
  <c r="AA1032" i="1"/>
  <c r="X1032" i="1"/>
  <c r="V1032" i="1"/>
  <c r="W1032" i="1" s="1"/>
  <c r="T1032" i="1"/>
  <c r="S1032" i="1"/>
  <c r="R1032" i="1"/>
  <c r="J1032" i="1"/>
  <c r="AD1032" i="1" s="1"/>
  <c r="AK1031" i="1"/>
  <c r="AF1031" i="1"/>
  <c r="AA1031" i="1"/>
  <c r="X1031" i="1"/>
  <c r="V1031" i="1"/>
  <c r="W1031" i="1" s="1"/>
  <c r="T1031" i="1"/>
  <c r="S1031" i="1"/>
  <c r="R1031" i="1"/>
  <c r="J1031" i="1"/>
  <c r="AD1031" i="1" s="1"/>
  <c r="AK1030" i="1"/>
  <c r="AF1030" i="1"/>
  <c r="AA1030" i="1"/>
  <c r="X1030" i="1"/>
  <c r="V1030" i="1"/>
  <c r="W1030" i="1" s="1"/>
  <c r="T1030" i="1"/>
  <c r="S1030" i="1"/>
  <c r="R1030" i="1"/>
  <c r="J1030" i="1"/>
  <c r="AD1030" i="1" s="1"/>
  <c r="AK1029" i="1"/>
  <c r="AF1029" i="1"/>
  <c r="AA1029" i="1"/>
  <c r="X1029" i="1"/>
  <c r="V1029" i="1"/>
  <c r="W1029" i="1" s="1"/>
  <c r="T1029" i="1"/>
  <c r="R1029" i="1"/>
  <c r="J1029" i="1"/>
  <c r="AD1029" i="1" s="1"/>
  <c r="AK1028" i="1"/>
  <c r="AF1028" i="1"/>
  <c r="AA1028" i="1"/>
  <c r="X1028" i="1"/>
  <c r="V1028" i="1"/>
  <c r="W1028" i="1" s="1"/>
  <c r="T1028" i="1"/>
  <c r="R1028" i="1"/>
  <c r="J1028" i="1"/>
  <c r="AD1028" i="1" s="1"/>
  <c r="AK1027" i="1"/>
  <c r="AF1027" i="1"/>
  <c r="AA1027" i="1"/>
  <c r="X1027" i="1"/>
  <c r="V1027" i="1"/>
  <c r="W1027" i="1" s="1"/>
  <c r="T1027" i="1"/>
  <c r="S1027" i="1"/>
  <c r="R1027" i="1"/>
  <c r="J1027" i="1"/>
  <c r="AD1027" i="1" s="1"/>
  <c r="AK1026" i="1"/>
  <c r="AF1026" i="1"/>
  <c r="AA1026" i="1"/>
  <c r="X1026" i="1"/>
  <c r="W1026" i="1"/>
  <c r="T1026" i="1"/>
  <c r="S1026" i="1"/>
  <c r="R1026" i="1"/>
  <c r="J1026" i="1"/>
  <c r="AD1026" i="1" s="1"/>
  <c r="AK1025" i="1"/>
  <c r="AF1025" i="1"/>
  <c r="AA1025" i="1"/>
  <c r="X1025" i="1"/>
  <c r="W1025" i="1"/>
  <c r="T1025" i="1"/>
  <c r="S1025" i="1"/>
  <c r="R1025" i="1"/>
  <c r="J1025" i="1"/>
  <c r="AD1025" i="1" s="1"/>
  <c r="AK1024" i="1"/>
  <c r="AF1024" i="1"/>
  <c r="AA1024" i="1"/>
  <c r="X1024" i="1"/>
  <c r="V1024" i="1"/>
  <c r="W1024" i="1" s="1"/>
  <c r="T1024" i="1"/>
  <c r="S1024" i="1"/>
  <c r="R1024" i="1"/>
  <c r="J1024" i="1"/>
  <c r="AD1024" i="1" s="1"/>
  <c r="AK1023" i="1"/>
  <c r="AF1023" i="1"/>
  <c r="AA1023" i="1"/>
  <c r="X1023" i="1"/>
  <c r="V1023" i="1"/>
  <c r="W1023" i="1" s="1"/>
  <c r="T1023" i="1"/>
  <c r="S1023" i="1"/>
  <c r="R1023" i="1"/>
  <c r="J1023" i="1"/>
  <c r="AD1023" i="1" s="1"/>
  <c r="AK1022" i="1"/>
  <c r="AF1022" i="1"/>
  <c r="AA1022" i="1"/>
  <c r="X1022" i="1"/>
  <c r="W1022" i="1"/>
  <c r="T1022" i="1"/>
  <c r="S1022" i="1"/>
  <c r="R1022" i="1"/>
  <c r="J1022" i="1"/>
  <c r="AD1022" i="1" s="1"/>
  <c r="AK1021" i="1"/>
  <c r="AF1021" i="1"/>
  <c r="AA1021" i="1"/>
  <c r="X1021" i="1"/>
  <c r="W1021" i="1"/>
  <c r="T1021" i="1"/>
  <c r="S1021" i="1"/>
  <c r="R1021" i="1"/>
  <c r="J1021" i="1"/>
  <c r="AD1021" i="1" s="1"/>
  <c r="AK1020" i="1"/>
  <c r="AF1020" i="1"/>
  <c r="AA1020" i="1"/>
  <c r="X1020" i="1"/>
  <c r="W1020" i="1"/>
  <c r="T1020" i="1"/>
  <c r="S1020" i="1"/>
  <c r="R1020" i="1"/>
  <c r="J1020" i="1"/>
  <c r="AD1020" i="1" s="1"/>
  <c r="AK1019" i="1"/>
  <c r="AF1019" i="1"/>
  <c r="AA1019" i="1"/>
  <c r="X1019" i="1"/>
  <c r="V1019" i="1"/>
  <c r="W1019" i="1" s="1"/>
  <c r="T1019" i="1"/>
  <c r="S1019" i="1"/>
  <c r="R1019" i="1"/>
  <c r="J1019" i="1"/>
  <c r="AD1019" i="1" s="1"/>
  <c r="AK1018" i="1"/>
  <c r="AF1018" i="1"/>
  <c r="AA1018" i="1"/>
  <c r="X1018" i="1"/>
  <c r="V1018" i="1"/>
  <c r="W1018" i="1" s="1"/>
  <c r="T1018" i="1"/>
  <c r="S1018" i="1"/>
  <c r="R1018" i="1"/>
  <c r="J1018" i="1"/>
  <c r="AD1018" i="1" s="1"/>
  <c r="AK1017" i="1"/>
  <c r="AF1017" i="1"/>
  <c r="AA1017" i="1"/>
  <c r="X1017" i="1"/>
  <c r="V1017" i="1"/>
  <c r="W1017" i="1" s="1"/>
  <c r="T1017" i="1"/>
  <c r="S1017" i="1"/>
  <c r="R1017" i="1"/>
  <c r="J1017" i="1"/>
  <c r="AD1017" i="1" s="1"/>
  <c r="AK1016" i="1"/>
  <c r="AF1016" i="1"/>
  <c r="AA1016" i="1"/>
  <c r="X1016" i="1"/>
  <c r="W1016" i="1"/>
  <c r="T1016" i="1"/>
  <c r="S1016" i="1"/>
  <c r="R1016" i="1"/>
  <c r="J1016" i="1"/>
  <c r="AD1016" i="1" s="1"/>
  <c r="AK1015" i="1"/>
  <c r="AF1015" i="1"/>
  <c r="AA1015" i="1"/>
  <c r="X1015" i="1"/>
  <c r="W1015" i="1"/>
  <c r="T1015" i="1"/>
  <c r="S1015" i="1"/>
  <c r="R1015" i="1"/>
  <c r="J1015" i="1"/>
  <c r="AD1015" i="1" s="1"/>
  <c r="AK1014" i="1"/>
  <c r="AF1014" i="1"/>
  <c r="AA1014" i="1"/>
  <c r="X1014" i="1"/>
  <c r="V1014" i="1"/>
  <c r="W1014" i="1" s="1"/>
  <c r="T1014" i="1"/>
  <c r="S1014" i="1"/>
  <c r="R1014" i="1"/>
  <c r="J1014" i="1"/>
  <c r="AD1014" i="1" s="1"/>
  <c r="AK1013" i="1"/>
  <c r="AF1013" i="1"/>
  <c r="AA1013" i="1"/>
  <c r="X1013" i="1"/>
  <c r="V1013" i="1"/>
  <c r="W1013" i="1" s="1"/>
  <c r="T1013" i="1"/>
  <c r="S1013" i="1"/>
  <c r="R1013" i="1"/>
  <c r="J1013" i="1"/>
  <c r="AD1013" i="1" s="1"/>
  <c r="V1012" i="1"/>
  <c r="U1012" i="1"/>
  <c r="AF1012" i="1" s="1"/>
  <c r="T1012" i="1"/>
  <c r="S1012" i="1"/>
  <c r="J1012" i="1"/>
  <c r="AD1012" i="1" s="1"/>
  <c r="AK1011" i="1"/>
  <c r="AF1011" i="1"/>
  <c r="AA1011" i="1"/>
  <c r="X1011" i="1"/>
  <c r="V1011" i="1"/>
  <c r="W1011" i="1" s="1"/>
  <c r="T1011" i="1"/>
  <c r="S1011" i="1"/>
  <c r="R1011" i="1"/>
  <c r="J1011" i="1"/>
  <c r="AD1011" i="1" s="1"/>
  <c r="V1010" i="1"/>
  <c r="U1010" i="1"/>
  <c r="AF1010" i="1" s="1"/>
  <c r="T1010" i="1"/>
  <c r="S1010" i="1"/>
  <c r="J1010" i="1"/>
  <c r="AD1010" i="1" s="1"/>
  <c r="AK1009" i="1"/>
  <c r="AF1009" i="1"/>
  <c r="AA1009" i="1"/>
  <c r="X1009" i="1"/>
  <c r="V1009" i="1"/>
  <c r="W1009" i="1" s="1"/>
  <c r="T1009" i="1"/>
  <c r="S1009" i="1"/>
  <c r="R1009" i="1"/>
  <c r="J1009" i="1"/>
  <c r="AD1009" i="1" s="1"/>
  <c r="AK1008" i="1"/>
  <c r="AF1008" i="1"/>
  <c r="AA1008" i="1"/>
  <c r="X1008" i="1"/>
  <c r="V1008" i="1"/>
  <c r="W1008" i="1" s="1"/>
  <c r="T1008" i="1"/>
  <c r="S1008" i="1"/>
  <c r="R1008" i="1"/>
  <c r="J1008" i="1"/>
  <c r="AD1008" i="1" s="1"/>
  <c r="AK1007" i="1"/>
  <c r="AF1007" i="1"/>
  <c r="AA1007" i="1"/>
  <c r="X1007" i="1"/>
  <c r="V1007" i="1"/>
  <c r="W1007" i="1" s="1"/>
  <c r="T1007" i="1"/>
  <c r="S1007" i="1"/>
  <c r="R1007" i="1"/>
  <c r="J1007" i="1"/>
  <c r="AD1007" i="1" s="1"/>
  <c r="V1006" i="1"/>
  <c r="U1006" i="1"/>
  <c r="AA1006" i="1" s="1"/>
  <c r="T1006" i="1"/>
  <c r="S1006" i="1"/>
  <c r="J1006" i="1"/>
  <c r="AD1006" i="1" s="1"/>
  <c r="V1005" i="1"/>
  <c r="U1005" i="1"/>
  <c r="AA1005" i="1" s="1"/>
  <c r="T1005" i="1"/>
  <c r="S1005" i="1"/>
  <c r="J1005" i="1"/>
  <c r="AD1005" i="1" s="1"/>
  <c r="AK1004" i="1"/>
  <c r="AF1004" i="1"/>
  <c r="AA1004" i="1"/>
  <c r="X1004" i="1"/>
  <c r="V1004" i="1"/>
  <c r="W1004" i="1" s="1"/>
  <c r="T1004" i="1"/>
  <c r="S1004" i="1"/>
  <c r="R1004" i="1"/>
  <c r="J1004" i="1"/>
  <c r="AD1004" i="1" s="1"/>
  <c r="AK1003" i="1"/>
  <c r="AF1003" i="1"/>
  <c r="AA1003" i="1"/>
  <c r="X1003" i="1"/>
  <c r="V1003" i="1"/>
  <c r="W1003" i="1" s="1"/>
  <c r="T1003" i="1"/>
  <c r="S1003" i="1"/>
  <c r="R1003" i="1"/>
  <c r="J1003" i="1"/>
  <c r="AD1003" i="1" s="1"/>
  <c r="AK1002" i="1"/>
  <c r="AF1002" i="1"/>
  <c r="AA1002" i="1"/>
  <c r="X1002" i="1"/>
  <c r="V1002" i="1"/>
  <c r="W1002" i="1" s="1"/>
  <c r="T1002" i="1"/>
  <c r="S1002" i="1"/>
  <c r="R1002" i="1"/>
  <c r="J1002" i="1"/>
  <c r="AD1002" i="1" s="1"/>
  <c r="AK1001" i="1"/>
  <c r="AF1001" i="1"/>
  <c r="AA1001" i="1"/>
  <c r="X1001" i="1"/>
  <c r="V1001" i="1"/>
  <c r="W1001" i="1" s="1"/>
  <c r="T1001" i="1"/>
  <c r="S1001" i="1"/>
  <c r="R1001" i="1"/>
  <c r="J1001" i="1"/>
  <c r="AD1001" i="1" s="1"/>
  <c r="AK1000" i="1"/>
  <c r="AF1000" i="1"/>
  <c r="AA1000" i="1"/>
  <c r="X1000" i="1"/>
  <c r="W1000" i="1"/>
  <c r="T1000" i="1"/>
  <c r="S1000" i="1"/>
  <c r="R1000" i="1"/>
  <c r="J1000" i="1"/>
  <c r="AD1000" i="1" s="1"/>
  <c r="AK999" i="1"/>
  <c r="AF999" i="1"/>
  <c r="AA999" i="1"/>
  <c r="X999" i="1"/>
  <c r="V999" i="1"/>
  <c r="W999" i="1" s="1"/>
  <c r="T999" i="1"/>
  <c r="S999" i="1"/>
  <c r="R999" i="1"/>
  <c r="J999" i="1"/>
  <c r="AD999" i="1" s="1"/>
  <c r="AK998" i="1"/>
  <c r="AF998" i="1"/>
  <c r="AA998" i="1"/>
  <c r="X998" i="1"/>
  <c r="W998" i="1"/>
  <c r="T998" i="1"/>
  <c r="S998" i="1"/>
  <c r="R998" i="1"/>
  <c r="J998" i="1"/>
  <c r="AD998" i="1" s="1"/>
  <c r="AK997" i="1"/>
  <c r="AF997" i="1"/>
  <c r="AA997" i="1"/>
  <c r="X997" i="1"/>
  <c r="V997" i="1"/>
  <c r="W997" i="1" s="1"/>
  <c r="T997" i="1"/>
  <c r="R997" i="1"/>
  <c r="J997" i="1"/>
  <c r="AD997" i="1" s="1"/>
  <c r="AK996" i="1"/>
  <c r="AF996" i="1"/>
  <c r="AA996" i="1"/>
  <c r="X996" i="1"/>
  <c r="V996" i="1"/>
  <c r="W996" i="1" s="1"/>
  <c r="T996" i="1"/>
  <c r="R996" i="1"/>
  <c r="J996" i="1"/>
  <c r="AD996" i="1" s="1"/>
  <c r="AK995" i="1"/>
  <c r="AF995" i="1"/>
  <c r="AA995" i="1"/>
  <c r="X995" i="1"/>
  <c r="V995" i="1"/>
  <c r="W995" i="1" s="1"/>
  <c r="T995" i="1"/>
  <c r="R995" i="1"/>
  <c r="J995" i="1"/>
  <c r="AD995" i="1" s="1"/>
  <c r="AK994" i="1"/>
  <c r="AF994" i="1"/>
  <c r="AA994" i="1"/>
  <c r="X994" i="1"/>
  <c r="W994" i="1"/>
  <c r="T994" i="1"/>
  <c r="S994" i="1"/>
  <c r="R994" i="1"/>
  <c r="J994" i="1"/>
  <c r="AD994" i="1" s="1"/>
  <c r="AK993" i="1"/>
  <c r="AF993" i="1"/>
  <c r="AA993" i="1"/>
  <c r="X993" i="1"/>
  <c r="V993" i="1"/>
  <c r="W993" i="1" s="1"/>
  <c r="T993" i="1"/>
  <c r="S993" i="1"/>
  <c r="R993" i="1"/>
  <c r="J993" i="1"/>
  <c r="AD993" i="1" s="1"/>
  <c r="AK992" i="1"/>
  <c r="AF992" i="1"/>
  <c r="AA992" i="1"/>
  <c r="X992" i="1"/>
  <c r="W992" i="1"/>
  <c r="T992" i="1"/>
  <c r="S992" i="1"/>
  <c r="R992" i="1"/>
  <c r="J992" i="1"/>
  <c r="AD992" i="1" s="1"/>
  <c r="AK991" i="1"/>
  <c r="AF991" i="1"/>
  <c r="AA991" i="1"/>
  <c r="X991" i="1"/>
  <c r="W991" i="1"/>
  <c r="T991" i="1"/>
  <c r="S991" i="1"/>
  <c r="R991" i="1"/>
  <c r="J991" i="1"/>
  <c r="AD991" i="1" s="1"/>
  <c r="AK990" i="1"/>
  <c r="AF990" i="1"/>
  <c r="AA990" i="1"/>
  <c r="X990" i="1"/>
  <c r="V990" i="1"/>
  <c r="W990" i="1" s="1"/>
  <c r="T990" i="1"/>
  <c r="S990" i="1"/>
  <c r="R990" i="1"/>
  <c r="J990" i="1"/>
  <c r="AD990" i="1" s="1"/>
  <c r="AK989" i="1"/>
  <c r="AF989" i="1"/>
  <c r="AA989" i="1"/>
  <c r="X989" i="1"/>
  <c r="W989" i="1"/>
  <c r="T989" i="1"/>
  <c r="S989" i="1"/>
  <c r="R989" i="1"/>
  <c r="J989" i="1"/>
  <c r="AD989" i="1" s="1"/>
  <c r="AK988" i="1"/>
  <c r="AF988" i="1"/>
  <c r="AA988" i="1"/>
  <c r="X988" i="1"/>
  <c r="W988" i="1"/>
  <c r="T988" i="1"/>
  <c r="S988" i="1"/>
  <c r="R988" i="1"/>
  <c r="J988" i="1"/>
  <c r="AD988" i="1" s="1"/>
  <c r="AK987" i="1"/>
  <c r="AF987" i="1"/>
  <c r="AA987" i="1"/>
  <c r="X987" i="1"/>
  <c r="V987" i="1"/>
  <c r="W987" i="1" s="1"/>
  <c r="T987" i="1"/>
  <c r="S987" i="1"/>
  <c r="R987" i="1"/>
  <c r="J987" i="1"/>
  <c r="AD987" i="1" s="1"/>
  <c r="AK986" i="1"/>
  <c r="AF986" i="1"/>
  <c r="AA986" i="1"/>
  <c r="X986" i="1"/>
  <c r="V986" i="1"/>
  <c r="W986" i="1" s="1"/>
  <c r="T986" i="1"/>
  <c r="S986" i="1"/>
  <c r="R986" i="1"/>
  <c r="J986" i="1"/>
  <c r="AD986" i="1" s="1"/>
  <c r="AK985" i="1"/>
  <c r="AF985" i="1"/>
  <c r="AA985" i="1"/>
  <c r="X985" i="1"/>
  <c r="W985" i="1"/>
  <c r="T985" i="1"/>
  <c r="S985" i="1"/>
  <c r="R985" i="1"/>
  <c r="J985" i="1"/>
  <c r="AD985" i="1" s="1"/>
  <c r="AK984" i="1"/>
  <c r="AF984" i="1"/>
  <c r="AA984" i="1"/>
  <c r="X984" i="1"/>
  <c r="V984" i="1"/>
  <c r="W984" i="1" s="1"/>
  <c r="T984" i="1"/>
  <c r="S984" i="1"/>
  <c r="R984" i="1"/>
  <c r="J984" i="1"/>
  <c r="AD984" i="1" s="1"/>
  <c r="AK983" i="1"/>
  <c r="AF983" i="1"/>
  <c r="AA983" i="1"/>
  <c r="X983" i="1"/>
  <c r="V983" i="1"/>
  <c r="W983" i="1" s="1"/>
  <c r="T983" i="1"/>
  <c r="S983" i="1"/>
  <c r="R983" i="1"/>
  <c r="J983" i="1"/>
  <c r="AD983" i="1" s="1"/>
  <c r="AK982" i="1"/>
  <c r="AF982" i="1"/>
  <c r="AA982" i="1"/>
  <c r="X982" i="1"/>
  <c r="V982" i="1"/>
  <c r="W982" i="1" s="1"/>
  <c r="T982" i="1"/>
  <c r="S982" i="1"/>
  <c r="R982" i="1"/>
  <c r="J982" i="1"/>
  <c r="AD982" i="1" s="1"/>
  <c r="AK981" i="1"/>
  <c r="AF981" i="1"/>
  <c r="AA981" i="1"/>
  <c r="X981" i="1"/>
  <c r="V981" i="1"/>
  <c r="W981" i="1" s="1"/>
  <c r="T981" i="1"/>
  <c r="S981" i="1"/>
  <c r="R981" i="1"/>
  <c r="J981" i="1"/>
  <c r="AD981" i="1" s="1"/>
  <c r="AK980" i="1"/>
  <c r="AF980" i="1"/>
  <c r="AA980" i="1"/>
  <c r="X980" i="1"/>
  <c r="V980" i="1"/>
  <c r="W980" i="1" s="1"/>
  <c r="T980" i="1"/>
  <c r="S980" i="1"/>
  <c r="R980" i="1"/>
  <c r="J980" i="1"/>
  <c r="AD980" i="1" s="1"/>
  <c r="AK979" i="1"/>
  <c r="AF979" i="1"/>
  <c r="AA979" i="1"/>
  <c r="X979" i="1"/>
  <c r="V979" i="1"/>
  <c r="W979" i="1" s="1"/>
  <c r="T979" i="1"/>
  <c r="S979" i="1"/>
  <c r="R979" i="1"/>
  <c r="J979" i="1"/>
  <c r="AD979" i="1" s="1"/>
  <c r="AK978" i="1"/>
  <c r="AF978" i="1"/>
  <c r="AA978" i="1"/>
  <c r="X978" i="1"/>
  <c r="V978" i="1"/>
  <c r="W978" i="1" s="1"/>
  <c r="T978" i="1"/>
  <c r="S978" i="1"/>
  <c r="R978" i="1"/>
  <c r="J978" i="1"/>
  <c r="AD978" i="1" s="1"/>
  <c r="AK977" i="1"/>
  <c r="AF977" i="1"/>
  <c r="AA977" i="1"/>
  <c r="X977" i="1"/>
  <c r="V977" i="1"/>
  <c r="W977" i="1" s="1"/>
  <c r="T977" i="1"/>
  <c r="S977" i="1"/>
  <c r="R977" i="1"/>
  <c r="J977" i="1"/>
  <c r="AD977" i="1" s="1"/>
  <c r="AK976" i="1"/>
  <c r="AF976" i="1"/>
  <c r="AA976" i="1"/>
  <c r="X976" i="1"/>
  <c r="V976" i="1"/>
  <c r="W976" i="1" s="1"/>
  <c r="T976" i="1"/>
  <c r="S976" i="1"/>
  <c r="R976" i="1"/>
  <c r="J976" i="1"/>
  <c r="AD976" i="1" s="1"/>
  <c r="AK975" i="1"/>
  <c r="AF975" i="1"/>
  <c r="AA975" i="1"/>
  <c r="X975" i="1"/>
  <c r="W975" i="1"/>
  <c r="T975" i="1"/>
  <c r="S975" i="1"/>
  <c r="R975" i="1"/>
  <c r="J975" i="1"/>
  <c r="AD975" i="1" s="1"/>
  <c r="AK974" i="1"/>
  <c r="AF974" i="1"/>
  <c r="AA974" i="1"/>
  <c r="X974" i="1"/>
  <c r="V974" i="1"/>
  <c r="W974" i="1" s="1"/>
  <c r="T974" i="1"/>
  <c r="S974" i="1"/>
  <c r="R974" i="1"/>
  <c r="J974" i="1"/>
  <c r="AD974" i="1" s="1"/>
  <c r="AK973" i="1"/>
  <c r="AF973" i="1"/>
  <c r="AA973" i="1"/>
  <c r="X973" i="1"/>
  <c r="V973" i="1"/>
  <c r="W973" i="1" s="1"/>
  <c r="T973" i="1"/>
  <c r="S973" i="1"/>
  <c r="R973" i="1"/>
  <c r="J973" i="1"/>
  <c r="AD973" i="1" s="1"/>
  <c r="AK972" i="1"/>
  <c r="AF972" i="1"/>
  <c r="AA972" i="1"/>
  <c r="X972" i="1"/>
  <c r="W972" i="1"/>
  <c r="T972" i="1"/>
  <c r="S972" i="1"/>
  <c r="R972" i="1"/>
  <c r="J972" i="1"/>
  <c r="AD972" i="1" s="1"/>
  <c r="AK971" i="1"/>
  <c r="AF971" i="1"/>
  <c r="AA971" i="1"/>
  <c r="X971" i="1"/>
  <c r="V971" i="1"/>
  <c r="W971" i="1" s="1"/>
  <c r="T971" i="1"/>
  <c r="S971" i="1"/>
  <c r="R971" i="1"/>
  <c r="J971" i="1"/>
  <c r="AD971" i="1" s="1"/>
  <c r="AK970" i="1"/>
  <c r="AF970" i="1"/>
  <c r="AA970" i="1"/>
  <c r="X970" i="1"/>
  <c r="V970" i="1"/>
  <c r="W970" i="1" s="1"/>
  <c r="T970" i="1"/>
  <c r="S970" i="1"/>
  <c r="R970" i="1"/>
  <c r="J970" i="1"/>
  <c r="AD970" i="1" s="1"/>
  <c r="AK969" i="1"/>
  <c r="AF969" i="1"/>
  <c r="AA969" i="1"/>
  <c r="X969" i="1"/>
  <c r="V969" i="1"/>
  <c r="W969" i="1" s="1"/>
  <c r="T969" i="1"/>
  <c r="S969" i="1"/>
  <c r="R969" i="1"/>
  <c r="J969" i="1"/>
  <c r="AD969" i="1" s="1"/>
  <c r="AK968" i="1"/>
  <c r="AF968" i="1"/>
  <c r="AA968" i="1"/>
  <c r="X968" i="1"/>
  <c r="V968" i="1"/>
  <c r="W968" i="1" s="1"/>
  <c r="T968" i="1"/>
  <c r="S968" i="1"/>
  <c r="R968" i="1"/>
  <c r="J968" i="1"/>
  <c r="AD968" i="1" s="1"/>
  <c r="AK967" i="1"/>
  <c r="AF967" i="1"/>
  <c r="AA967" i="1"/>
  <c r="X967" i="1"/>
  <c r="V967" i="1"/>
  <c r="W967" i="1" s="1"/>
  <c r="T967" i="1"/>
  <c r="S967" i="1"/>
  <c r="R967" i="1"/>
  <c r="J967" i="1"/>
  <c r="AD967" i="1" s="1"/>
  <c r="V966" i="1"/>
  <c r="U966" i="1"/>
  <c r="AA966" i="1" s="1"/>
  <c r="T966" i="1"/>
  <c r="S966" i="1"/>
  <c r="J966" i="1"/>
  <c r="AD966" i="1" s="1"/>
  <c r="AK965" i="1"/>
  <c r="AF965" i="1"/>
  <c r="AD965" i="1"/>
  <c r="AA965" i="1"/>
  <c r="X965" i="1"/>
  <c r="V965" i="1"/>
  <c r="W965" i="1" s="1"/>
  <c r="T965" i="1"/>
  <c r="S965" i="1"/>
  <c r="R965" i="1"/>
  <c r="AK964" i="1"/>
  <c r="AF964" i="1"/>
  <c r="AA964" i="1"/>
  <c r="X964" i="1"/>
  <c r="W964" i="1"/>
  <c r="T964" i="1"/>
  <c r="S964" i="1"/>
  <c r="R964" i="1"/>
  <c r="J964" i="1"/>
  <c r="AD964" i="1" s="1"/>
  <c r="AK963" i="1"/>
  <c r="AF963" i="1"/>
  <c r="AA963" i="1"/>
  <c r="X963" i="1"/>
  <c r="W963" i="1"/>
  <c r="T963" i="1"/>
  <c r="S963" i="1"/>
  <c r="R963" i="1"/>
  <c r="J963" i="1"/>
  <c r="AD963" i="1" s="1"/>
  <c r="AK962" i="1"/>
  <c r="AF962" i="1"/>
  <c r="AA962" i="1"/>
  <c r="X962" i="1"/>
  <c r="V962" i="1"/>
  <c r="W962" i="1" s="1"/>
  <c r="T962" i="1"/>
  <c r="S962" i="1"/>
  <c r="R962" i="1"/>
  <c r="J962" i="1"/>
  <c r="AD962" i="1" s="1"/>
  <c r="AK961" i="1"/>
  <c r="AF961" i="1"/>
  <c r="AA961" i="1"/>
  <c r="X961" i="1"/>
  <c r="W961" i="1"/>
  <c r="T961" i="1"/>
  <c r="S961" i="1"/>
  <c r="R961" i="1"/>
  <c r="J961" i="1"/>
  <c r="AD961" i="1" s="1"/>
  <c r="AK960" i="1"/>
  <c r="AF960" i="1"/>
  <c r="AA960" i="1"/>
  <c r="X960" i="1"/>
  <c r="V960" i="1"/>
  <c r="W960" i="1" s="1"/>
  <c r="T960" i="1"/>
  <c r="S960" i="1"/>
  <c r="R960" i="1"/>
  <c r="J960" i="1"/>
  <c r="AD960" i="1" s="1"/>
  <c r="AK959" i="1"/>
  <c r="AF959" i="1"/>
  <c r="AA959" i="1"/>
  <c r="X959" i="1"/>
  <c r="W959" i="1"/>
  <c r="T959" i="1"/>
  <c r="S959" i="1"/>
  <c r="R959" i="1"/>
  <c r="J959" i="1"/>
  <c r="AD959" i="1" s="1"/>
  <c r="AK958" i="1"/>
  <c r="AF958" i="1"/>
  <c r="AA958" i="1"/>
  <c r="X958" i="1"/>
  <c r="W958" i="1"/>
  <c r="T958" i="1"/>
  <c r="S958" i="1"/>
  <c r="R958" i="1"/>
  <c r="J958" i="1"/>
  <c r="AD958" i="1" s="1"/>
  <c r="AK957" i="1"/>
  <c r="AF957" i="1"/>
  <c r="AA957" i="1"/>
  <c r="X957" i="1"/>
  <c r="V957" i="1"/>
  <c r="W957" i="1" s="1"/>
  <c r="T957" i="1"/>
  <c r="S957" i="1"/>
  <c r="R957" i="1"/>
  <c r="J957" i="1"/>
  <c r="AD957" i="1" s="1"/>
  <c r="AK956" i="1"/>
  <c r="AF956" i="1"/>
  <c r="AA956" i="1"/>
  <c r="X956" i="1"/>
  <c r="V956" i="1"/>
  <c r="W956" i="1" s="1"/>
  <c r="T956" i="1"/>
  <c r="S956" i="1"/>
  <c r="R956" i="1"/>
  <c r="J956" i="1"/>
  <c r="AD956" i="1" s="1"/>
  <c r="AK955" i="1"/>
  <c r="AF955" i="1"/>
  <c r="AD955" i="1"/>
  <c r="AA955" i="1"/>
  <c r="X955" i="1"/>
  <c r="V955" i="1"/>
  <c r="W955" i="1" s="1"/>
  <c r="T955" i="1"/>
  <c r="R955" i="1"/>
  <c r="AK954" i="1"/>
  <c r="AF954" i="1"/>
  <c r="AD954" i="1"/>
  <c r="AA954" i="1"/>
  <c r="X954" i="1"/>
  <c r="W954" i="1"/>
  <c r="T954" i="1"/>
  <c r="S954" i="1"/>
  <c r="R954" i="1"/>
  <c r="AK953" i="1"/>
  <c r="AF953" i="1"/>
  <c r="AA953" i="1"/>
  <c r="X953" i="1"/>
  <c r="V953" i="1"/>
  <c r="W953" i="1" s="1"/>
  <c r="T953" i="1"/>
  <c r="S953" i="1"/>
  <c r="R953" i="1"/>
  <c r="J953" i="1"/>
  <c r="AD953" i="1" s="1"/>
  <c r="AK952" i="1"/>
  <c r="AF952" i="1"/>
  <c r="AA952" i="1"/>
  <c r="X952" i="1"/>
  <c r="V952" i="1"/>
  <c r="W952" i="1" s="1"/>
  <c r="T952" i="1"/>
  <c r="S952" i="1"/>
  <c r="R952" i="1"/>
  <c r="J952" i="1"/>
  <c r="AD952" i="1" s="1"/>
  <c r="AK951" i="1"/>
  <c r="AF951" i="1"/>
  <c r="AA951" i="1"/>
  <c r="X951" i="1"/>
  <c r="V951" i="1"/>
  <c r="W951" i="1" s="1"/>
  <c r="T951" i="1"/>
  <c r="S951" i="1"/>
  <c r="R951" i="1"/>
  <c r="J951" i="1"/>
  <c r="AD951" i="1" s="1"/>
  <c r="AK950" i="1"/>
  <c r="AF950" i="1"/>
  <c r="AA950" i="1"/>
  <c r="X950" i="1"/>
  <c r="W950" i="1"/>
  <c r="T950" i="1"/>
  <c r="S950" i="1"/>
  <c r="R950" i="1"/>
  <c r="J950" i="1"/>
  <c r="AD950" i="1" s="1"/>
  <c r="AK949" i="1"/>
  <c r="AF949" i="1"/>
  <c r="AA949" i="1"/>
  <c r="X949" i="1"/>
  <c r="V949" i="1"/>
  <c r="W949" i="1" s="1"/>
  <c r="T949" i="1"/>
  <c r="S949" i="1"/>
  <c r="R949" i="1"/>
  <c r="J949" i="1"/>
  <c r="AD949" i="1" s="1"/>
  <c r="AK948" i="1"/>
  <c r="AF948" i="1"/>
  <c r="AA948" i="1"/>
  <c r="X948" i="1"/>
  <c r="V948" i="1"/>
  <c r="W948" i="1" s="1"/>
  <c r="T948" i="1"/>
  <c r="S948" i="1"/>
  <c r="R948" i="1"/>
  <c r="J948" i="1"/>
  <c r="AD948" i="1" s="1"/>
  <c r="V947" i="1"/>
  <c r="U947" i="1"/>
  <c r="AF947" i="1" s="1"/>
  <c r="T947" i="1"/>
  <c r="S947" i="1"/>
  <c r="J947" i="1"/>
  <c r="AD947" i="1" s="1"/>
  <c r="AK946" i="1"/>
  <c r="AF946" i="1"/>
  <c r="AA946" i="1"/>
  <c r="X946" i="1"/>
  <c r="V946" i="1"/>
  <c r="W946" i="1" s="1"/>
  <c r="T946" i="1"/>
  <c r="S946" i="1"/>
  <c r="R946" i="1"/>
  <c r="J946" i="1"/>
  <c r="AD946" i="1" s="1"/>
  <c r="AK945" i="1"/>
  <c r="AF945" i="1"/>
  <c r="AA945" i="1"/>
  <c r="X945" i="1"/>
  <c r="V945" i="1"/>
  <c r="W945" i="1" s="1"/>
  <c r="T945" i="1"/>
  <c r="S945" i="1"/>
  <c r="R945" i="1"/>
  <c r="J945" i="1"/>
  <c r="AD945" i="1" s="1"/>
  <c r="AK944" i="1"/>
  <c r="AF944" i="1"/>
  <c r="AA944" i="1"/>
  <c r="X944" i="1"/>
  <c r="V944" i="1"/>
  <c r="W944" i="1" s="1"/>
  <c r="T944" i="1"/>
  <c r="S944" i="1"/>
  <c r="R944" i="1"/>
  <c r="J944" i="1"/>
  <c r="AD944" i="1" s="1"/>
  <c r="AK943" i="1"/>
  <c r="AF943" i="1"/>
  <c r="AA943" i="1"/>
  <c r="X943" i="1"/>
  <c r="V943" i="1"/>
  <c r="W943" i="1" s="1"/>
  <c r="T943" i="1"/>
  <c r="S943" i="1"/>
  <c r="R943" i="1"/>
  <c r="J943" i="1"/>
  <c r="AD943" i="1" s="1"/>
  <c r="AH1001" i="1" l="1"/>
  <c r="Y1041" i="1"/>
  <c r="Y951" i="1"/>
  <c r="Y959" i="1"/>
  <c r="AH965" i="1"/>
  <c r="Y1018" i="1"/>
  <c r="AH1040" i="1"/>
  <c r="Y1026" i="1"/>
  <c r="AH1043" i="1"/>
  <c r="AH1013" i="1"/>
  <c r="AH1029" i="1"/>
  <c r="Y952" i="1"/>
  <c r="Y998" i="1"/>
  <c r="AH1026" i="1"/>
  <c r="Y948" i="1"/>
  <c r="Y984" i="1"/>
  <c r="AH948" i="1"/>
  <c r="AH1025" i="1"/>
  <c r="AH1018" i="1"/>
  <c r="AH944" i="1"/>
  <c r="AH983" i="1"/>
  <c r="AH1022" i="1"/>
  <c r="AH1038" i="1"/>
  <c r="AH991" i="1"/>
  <c r="AH952" i="1"/>
  <c r="Y1000" i="1"/>
  <c r="AH956" i="1"/>
  <c r="Y954" i="1"/>
  <c r="AH970" i="1"/>
  <c r="Y982" i="1"/>
  <c r="Y990" i="1"/>
  <c r="AH996" i="1"/>
  <c r="Y987" i="1"/>
  <c r="Y995" i="1"/>
  <c r="Y1001" i="1"/>
  <c r="AH946" i="1"/>
  <c r="AH957" i="1"/>
  <c r="AH977" i="1"/>
  <c r="Y981" i="1"/>
  <c r="AH993" i="1"/>
  <c r="AH1000" i="1"/>
  <c r="Y1003" i="1"/>
  <c r="Y1027" i="1"/>
  <c r="Y955" i="1"/>
  <c r="Y946" i="1"/>
  <c r="AH973" i="1"/>
  <c r="AH1019" i="1"/>
  <c r="Y1039" i="1"/>
  <c r="Y970" i="1"/>
  <c r="Y944" i="1"/>
  <c r="AH959" i="1"/>
  <c r="Y973" i="1"/>
  <c r="AH976" i="1"/>
  <c r="Y1009" i="1"/>
  <c r="Y1025" i="1"/>
  <c r="AH953" i="1"/>
  <c r="AH1007" i="1"/>
  <c r="AH1011" i="1"/>
  <c r="AH1031" i="1"/>
  <c r="AH972" i="1"/>
  <c r="Y975" i="1"/>
  <c r="AH979" i="1"/>
  <c r="W1005" i="1"/>
  <c r="AH1016" i="1"/>
  <c r="Y1020" i="1"/>
  <c r="AH1024" i="1"/>
  <c r="Y999" i="1"/>
  <c r="AK1005" i="1"/>
  <c r="Y1013" i="1"/>
  <c r="Y1037" i="1"/>
  <c r="Y977" i="1"/>
  <c r="AH981" i="1"/>
  <c r="Y993" i="1"/>
  <c r="Y961" i="1"/>
  <c r="Y1023" i="1"/>
  <c r="AH1042" i="1"/>
  <c r="Y1008" i="1"/>
  <c r="Y1032" i="1"/>
  <c r="AH1036" i="1"/>
  <c r="AH955" i="1"/>
  <c r="AH961" i="1"/>
  <c r="AH989" i="1"/>
  <c r="AH1003" i="1"/>
  <c r="X1005" i="1"/>
  <c r="W1006" i="1"/>
  <c r="Y1015" i="1"/>
  <c r="AH1020" i="1"/>
  <c r="AH1032" i="1"/>
  <c r="Y1035" i="1"/>
  <c r="AH949" i="1"/>
  <c r="Y958" i="1"/>
  <c r="AH962" i="1"/>
  <c r="W966" i="1"/>
  <c r="Y968" i="1"/>
  <c r="Y980" i="1"/>
  <c r="Y985" i="1"/>
  <c r="Y986" i="1"/>
  <c r="AH997" i="1"/>
  <c r="AF1005" i="1"/>
  <c r="AH1005" i="1" s="1"/>
  <c r="Y1017" i="1"/>
  <c r="AH1021" i="1"/>
  <c r="AH1027" i="1"/>
  <c r="Y1030" i="1"/>
  <c r="AH1033" i="1"/>
  <c r="Y1043" i="1"/>
  <c r="AI1043" i="1" s="1"/>
  <c r="AH951" i="1"/>
  <c r="AK966" i="1"/>
  <c r="Y976" i="1"/>
  <c r="AH984" i="1"/>
  <c r="AH999" i="1"/>
  <c r="R1005" i="1"/>
  <c r="AH1008" i="1"/>
  <c r="AH1012" i="1"/>
  <c r="AH1023" i="1"/>
  <c r="AH1035" i="1"/>
  <c r="Y949" i="1"/>
  <c r="AH968" i="1"/>
  <c r="AH974" i="1"/>
  <c r="AH980" i="1"/>
  <c r="AH986" i="1"/>
  <c r="AH994" i="1"/>
  <c r="Y997" i="1"/>
  <c r="AI997" i="1" s="1"/>
  <c r="Y1033" i="1"/>
  <c r="AH954" i="1"/>
  <c r="AI954" i="1" s="1"/>
  <c r="Y956" i="1"/>
  <c r="Y972" i="1"/>
  <c r="Y978" i="1"/>
  <c r="Y991" i="1"/>
  <c r="AI991" i="1" s="1"/>
  <c r="Y1014" i="1"/>
  <c r="Y1022" i="1"/>
  <c r="AH1010" i="1"/>
  <c r="Y953" i="1"/>
  <c r="Y957" i="1"/>
  <c r="Y974" i="1"/>
  <c r="Y979" i="1"/>
  <c r="Y983" i="1"/>
  <c r="Y989" i="1"/>
  <c r="Y996" i="1"/>
  <c r="AK1006" i="1"/>
  <c r="AK1010" i="1"/>
  <c r="Y1016" i="1"/>
  <c r="Y1021" i="1"/>
  <c r="Y1038" i="1"/>
  <c r="Y1042" i="1"/>
  <c r="AH963" i="1"/>
  <c r="AH978" i="1"/>
  <c r="AH982" i="1"/>
  <c r="AH987" i="1"/>
  <c r="AH995" i="1"/>
  <c r="AH1014" i="1"/>
  <c r="AH1030" i="1"/>
  <c r="AH1037" i="1"/>
  <c r="AH1041" i="1"/>
  <c r="Y943" i="1"/>
  <c r="AH945" i="1"/>
  <c r="Y950" i="1"/>
  <c r="Y960" i="1"/>
  <c r="AH964" i="1"/>
  <c r="X966" i="1"/>
  <c r="Y967" i="1"/>
  <c r="AH969" i="1"/>
  <c r="Y971" i="1"/>
  <c r="AH988" i="1"/>
  <c r="Y992" i="1"/>
  <c r="Y1002" i="1"/>
  <c r="AH1004" i="1"/>
  <c r="W1010" i="1"/>
  <c r="AH1015" i="1"/>
  <c r="Y1024" i="1"/>
  <c r="Y1028" i="1"/>
  <c r="Y1034" i="1"/>
  <c r="X1010" i="1"/>
  <c r="Y1040" i="1"/>
  <c r="AH958" i="1"/>
  <c r="Y962" i="1"/>
  <c r="AF966" i="1"/>
  <c r="AH966" i="1" s="1"/>
  <c r="AH975" i="1"/>
  <c r="AH990" i="1"/>
  <c r="Y994" i="1"/>
  <c r="X1006" i="1"/>
  <c r="Y1007" i="1"/>
  <c r="AH1009" i="1"/>
  <c r="AA1010" i="1"/>
  <c r="Y1011" i="1"/>
  <c r="AH1017" i="1"/>
  <c r="Y1019" i="1"/>
  <c r="Y1029" i="1"/>
  <c r="AI1029" i="1" s="1"/>
  <c r="Y1036" i="1"/>
  <c r="AH1039" i="1"/>
  <c r="AH943" i="1"/>
  <c r="Y945" i="1"/>
  <c r="AH947" i="1"/>
  <c r="AH950" i="1"/>
  <c r="AH960" i="1"/>
  <c r="Y963" i="1"/>
  <c r="Y964" i="1"/>
  <c r="Y965" i="1"/>
  <c r="AI965" i="1" s="1"/>
  <c r="AH967" i="1"/>
  <c r="Y969" i="1"/>
  <c r="AH971" i="1"/>
  <c r="AH985" i="1"/>
  <c r="Y988" i="1"/>
  <c r="AH992" i="1"/>
  <c r="AH998" i="1"/>
  <c r="AH1002" i="1"/>
  <c r="Y1004" i="1"/>
  <c r="AF1006" i="1"/>
  <c r="AH1006" i="1" s="1"/>
  <c r="R1010" i="1"/>
  <c r="AH1028" i="1"/>
  <c r="Y1031" i="1"/>
  <c r="AH1034" i="1"/>
  <c r="W1012" i="1"/>
  <c r="AK1012" i="1"/>
  <c r="W947" i="1"/>
  <c r="AK947" i="1"/>
  <c r="X1012" i="1"/>
  <c r="R1012" i="1"/>
  <c r="AA1012" i="1"/>
  <c r="R947" i="1"/>
  <c r="AA947" i="1"/>
  <c r="X947" i="1"/>
  <c r="R966" i="1"/>
  <c r="R1006" i="1"/>
  <c r="AI1001" i="1" l="1"/>
  <c r="AI946" i="1"/>
  <c r="AI1041" i="1"/>
  <c r="AI959" i="1"/>
  <c r="AI1018" i="1"/>
  <c r="AI1040" i="1"/>
  <c r="AI951" i="1"/>
  <c r="AI1003" i="1"/>
  <c r="AI1024" i="1"/>
  <c r="AI998" i="1"/>
  <c r="Y1006" i="1"/>
  <c r="AI1006" i="1" s="1"/>
  <c r="AI989" i="1"/>
  <c r="AI1011" i="1"/>
  <c r="AI984" i="1"/>
  <c r="AI1013" i="1"/>
  <c r="AI976" i="1"/>
  <c r="AI1017" i="1"/>
  <c r="AI1042" i="1"/>
  <c r="AI1025" i="1"/>
  <c r="AI962" i="1"/>
  <c r="AI972" i="1"/>
  <c r="AI973" i="1"/>
  <c r="AI1026" i="1"/>
  <c r="AI1022" i="1"/>
  <c r="AI961" i="1"/>
  <c r="Y966" i="1"/>
  <c r="AI966" i="1" s="1"/>
  <c r="AI979" i="1"/>
  <c r="AI1008" i="1"/>
  <c r="AI955" i="1"/>
  <c r="AI943" i="1"/>
  <c r="AI1019" i="1"/>
  <c r="AI948" i="1"/>
  <c r="AI1038" i="1"/>
  <c r="AI981" i="1"/>
  <c r="AI990" i="1"/>
  <c r="AI971" i="1"/>
  <c r="AI952" i="1"/>
  <c r="AI1021" i="1"/>
  <c r="AI1039" i="1"/>
  <c r="AI957" i="1"/>
  <c r="AI968" i="1"/>
  <c r="AI977" i="1"/>
  <c r="AI1023" i="1"/>
  <c r="AI956" i="1"/>
  <c r="AI975" i="1"/>
  <c r="AI949" i="1"/>
  <c r="AI944" i="1"/>
  <c r="AI1037" i="1"/>
  <c r="AI983" i="1"/>
  <c r="AI994" i="1"/>
  <c r="AI970" i="1"/>
  <c r="AI1035" i="1"/>
  <c r="AI1000" i="1"/>
  <c r="AI1009" i="1"/>
  <c r="AI958" i="1"/>
  <c r="AI1033" i="1"/>
  <c r="AI1007" i="1"/>
  <c r="AI995" i="1"/>
  <c r="AI1016" i="1"/>
  <c r="AI978" i="1"/>
  <c r="AI1027" i="1"/>
  <c r="AI1031" i="1"/>
  <c r="AI999" i="1"/>
  <c r="AI982" i="1"/>
  <c r="AI985" i="1"/>
  <c r="AI987" i="1"/>
  <c r="AI980" i="1"/>
  <c r="AI1020" i="1"/>
  <c r="AI996" i="1"/>
  <c r="AI963" i="1"/>
  <c r="AI1030" i="1"/>
  <c r="AI1015" i="1"/>
  <c r="AI1032" i="1"/>
  <c r="AI1036" i="1"/>
  <c r="AI992" i="1"/>
  <c r="AI953" i="1"/>
  <c r="AI969" i="1"/>
  <c r="AI967" i="1"/>
  <c r="AI993" i="1"/>
  <c r="AI1014" i="1"/>
  <c r="AI964" i="1"/>
  <c r="AI1002" i="1"/>
  <c r="Y1005" i="1"/>
  <c r="AI1005" i="1" s="1"/>
  <c r="AI960" i="1"/>
  <c r="AI950" i="1"/>
  <c r="Y1010" i="1"/>
  <c r="AI1010" i="1" s="1"/>
  <c r="AI986" i="1"/>
  <c r="AI974" i="1"/>
  <c r="AI1034" i="1"/>
  <c r="Y1012" i="1"/>
  <c r="AI1012" i="1" s="1"/>
  <c r="AI1028" i="1"/>
  <c r="AI1004" i="1"/>
  <c r="AI988" i="1"/>
  <c r="AI945" i="1"/>
  <c r="Y947" i="1"/>
  <c r="AI947" i="1" s="1"/>
  <c r="AK824" i="1"/>
  <c r="AF824" i="1"/>
  <c r="AA824" i="1"/>
  <c r="X824" i="1"/>
  <c r="V824" i="1"/>
  <c r="W824" i="1" s="1"/>
  <c r="T824" i="1"/>
  <c r="R824" i="1"/>
  <c r="J824" i="1"/>
  <c r="AD824" i="1" s="1"/>
  <c r="AK823" i="1"/>
  <c r="AF823" i="1"/>
  <c r="AA823" i="1"/>
  <c r="X823" i="1"/>
  <c r="V823" i="1"/>
  <c r="W823" i="1" s="1"/>
  <c r="T823" i="1"/>
  <c r="R823" i="1"/>
  <c r="J823" i="1"/>
  <c r="AD823" i="1" s="1"/>
  <c r="AK822" i="1"/>
  <c r="AF822" i="1"/>
  <c r="AA822" i="1"/>
  <c r="X822" i="1"/>
  <c r="V822" i="1"/>
  <c r="W822" i="1" s="1"/>
  <c r="T822" i="1"/>
  <c r="R822" i="1"/>
  <c r="J822" i="1"/>
  <c r="AD822" i="1" s="1"/>
  <c r="AK821" i="1"/>
  <c r="AF821" i="1"/>
  <c r="AA821" i="1"/>
  <c r="X821" i="1"/>
  <c r="W821" i="1"/>
  <c r="T821" i="1"/>
  <c r="S821" i="1"/>
  <c r="R821" i="1"/>
  <c r="J821" i="1"/>
  <c r="AD821" i="1" s="1"/>
  <c r="AK820" i="1"/>
  <c r="AF820" i="1"/>
  <c r="AA820" i="1"/>
  <c r="X820" i="1"/>
  <c r="V820" i="1"/>
  <c r="W820" i="1" s="1"/>
  <c r="T820" i="1"/>
  <c r="S820" i="1"/>
  <c r="R820" i="1"/>
  <c r="J820" i="1"/>
  <c r="AD820" i="1" s="1"/>
  <c r="AK819" i="1"/>
  <c r="AF819" i="1"/>
  <c r="AA819" i="1"/>
  <c r="X819" i="1"/>
  <c r="V819" i="1"/>
  <c r="W819" i="1" s="1"/>
  <c r="T819" i="1"/>
  <c r="S819" i="1"/>
  <c r="R819" i="1"/>
  <c r="J819" i="1"/>
  <c r="AD819" i="1" s="1"/>
  <c r="AK818" i="1"/>
  <c r="AF818" i="1"/>
  <c r="AA818" i="1"/>
  <c r="X818" i="1"/>
  <c r="W818" i="1"/>
  <c r="T818" i="1"/>
  <c r="S818" i="1"/>
  <c r="R818" i="1"/>
  <c r="J818" i="1"/>
  <c r="AD818" i="1" s="1"/>
  <c r="AK817" i="1"/>
  <c r="AF817" i="1"/>
  <c r="AA817" i="1"/>
  <c r="X817" i="1"/>
  <c r="V817" i="1"/>
  <c r="W817" i="1" s="1"/>
  <c r="T817" i="1"/>
  <c r="S817" i="1"/>
  <c r="R817" i="1"/>
  <c r="J817" i="1"/>
  <c r="AD817" i="1" s="1"/>
  <c r="AK816" i="1"/>
  <c r="AF816" i="1"/>
  <c r="AA816" i="1"/>
  <c r="X816" i="1"/>
  <c r="V816" i="1"/>
  <c r="W816" i="1" s="1"/>
  <c r="T816" i="1"/>
  <c r="S816" i="1"/>
  <c r="R816" i="1"/>
  <c r="J816" i="1"/>
  <c r="AD816" i="1" s="1"/>
  <c r="AK815" i="1"/>
  <c r="AF815" i="1"/>
  <c r="AA815" i="1"/>
  <c r="X815" i="1"/>
  <c r="W815" i="1"/>
  <c r="T815" i="1"/>
  <c r="S815" i="1"/>
  <c r="R815" i="1"/>
  <c r="J815" i="1"/>
  <c r="AD815" i="1" s="1"/>
  <c r="AK814" i="1"/>
  <c r="AF814" i="1"/>
  <c r="AA814" i="1"/>
  <c r="X814" i="1"/>
  <c r="W814" i="1"/>
  <c r="T814" i="1"/>
  <c r="S814" i="1"/>
  <c r="R814" i="1"/>
  <c r="J814" i="1"/>
  <c r="AD814" i="1" s="1"/>
  <c r="AK813" i="1"/>
  <c r="AF813" i="1"/>
  <c r="AA813" i="1"/>
  <c r="X813" i="1"/>
  <c r="V813" i="1"/>
  <c r="W813" i="1" s="1"/>
  <c r="T813" i="1"/>
  <c r="S813" i="1"/>
  <c r="R813" i="1"/>
  <c r="J813" i="1"/>
  <c r="AD813" i="1" s="1"/>
  <c r="AK812" i="1"/>
  <c r="AF812" i="1"/>
  <c r="AA812" i="1"/>
  <c r="X812" i="1"/>
  <c r="V812" i="1"/>
  <c r="W812" i="1" s="1"/>
  <c r="T812" i="1"/>
  <c r="S812" i="1"/>
  <c r="R812" i="1"/>
  <c r="J812" i="1"/>
  <c r="AD812" i="1" s="1"/>
  <c r="AK811" i="1"/>
  <c r="AF811" i="1"/>
  <c r="AA811" i="1"/>
  <c r="X811" i="1"/>
  <c r="V811" i="1"/>
  <c r="W811" i="1" s="1"/>
  <c r="T811" i="1"/>
  <c r="S811" i="1"/>
  <c r="R811" i="1"/>
  <c r="J811" i="1"/>
  <c r="AD811" i="1" s="1"/>
  <c r="AK810" i="1"/>
  <c r="AF810" i="1"/>
  <c r="AA810" i="1"/>
  <c r="X810" i="1"/>
  <c r="V810" i="1"/>
  <c r="W810" i="1" s="1"/>
  <c r="T810" i="1"/>
  <c r="S810" i="1"/>
  <c r="R810" i="1"/>
  <c r="J810" i="1"/>
  <c r="AD810" i="1" s="1"/>
  <c r="AK809" i="1"/>
  <c r="AF809" i="1"/>
  <c r="AA809" i="1"/>
  <c r="X809" i="1"/>
  <c r="V809" i="1"/>
  <c r="W809" i="1" s="1"/>
  <c r="T809" i="1"/>
  <c r="S809" i="1"/>
  <c r="R809" i="1"/>
  <c r="J809" i="1"/>
  <c r="AD809" i="1" s="1"/>
  <c r="AK808" i="1"/>
  <c r="AF808" i="1"/>
  <c r="AA808" i="1"/>
  <c r="X808" i="1"/>
  <c r="V808" i="1"/>
  <c r="W808" i="1" s="1"/>
  <c r="T808" i="1"/>
  <c r="S808" i="1"/>
  <c r="R808" i="1"/>
  <c r="J808" i="1"/>
  <c r="AD808" i="1" s="1"/>
  <c r="AK807" i="1"/>
  <c r="AF807" i="1"/>
  <c r="AA807" i="1"/>
  <c r="X807" i="1"/>
  <c r="V807" i="1"/>
  <c r="W807" i="1" s="1"/>
  <c r="T807" i="1"/>
  <c r="S807" i="1"/>
  <c r="R807" i="1"/>
  <c r="J807" i="1"/>
  <c r="AD807" i="1" s="1"/>
  <c r="AK806" i="1"/>
  <c r="AF806" i="1"/>
  <c r="AA806" i="1"/>
  <c r="X806" i="1"/>
  <c r="V806" i="1"/>
  <c r="W806" i="1" s="1"/>
  <c r="T806" i="1"/>
  <c r="S806" i="1"/>
  <c r="R806" i="1"/>
  <c r="J806" i="1"/>
  <c r="AD806" i="1" s="1"/>
  <c r="AK805" i="1"/>
  <c r="AF805" i="1"/>
  <c r="AA805" i="1"/>
  <c r="X805" i="1"/>
  <c r="V805" i="1"/>
  <c r="W805" i="1" s="1"/>
  <c r="T805" i="1"/>
  <c r="S805" i="1"/>
  <c r="R805" i="1"/>
  <c r="J805" i="1"/>
  <c r="AD805" i="1" s="1"/>
  <c r="AK804" i="1"/>
  <c r="AF804" i="1"/>
  <c r="AA804" i="1"/>
  <c r="X804" i="1"/>
  <c r="V804" i="1"/>
  <c r="W804" i="1" s="1"/>
  <c r="T804" i="1"/>
  <c r="S804" i="1"/>
  <c r="R804" i="1"/>
  <c r="J804" i="1"/>
  <c r="AD804" i="1" s="1"/>
  <c r="AK803" i="1"/>
  <c r="AF803" i="1"/>
  <c r="AA803" i="1"/>
  <c r="X803" i="1"/>
  <c r="W803" i="1"/>
  <c r="T803" i="1"/>
  <c r="S803" i="1"/>
  <c r="R803" i="1"/>
  <c r="J803" i="1"/>
  <c r="AD803" i="1" s="1"/>
  <c r="AK802" i="1"/>
  <c r="AF802" i="1"/>
  <c r="AA802" i="1"/>
  <c r="X802" i="1"/>
  <c r="V802" i="1"/>
  <c r="W802" i="1" s="1"/>
  <c r="T802" i="1"/>
  <c r="S802" i="1"/>
  <c r="R802" i="1"/>
  <c r="J802" i="1"/>
  <c r="AD802" i="1" s="1"/>
  <c r="AK801" i="1"/>
  <c r="AF801" i="1"/>
  <c r="AA801" i="1"/>
  <c r="X801" i="1"/>
  <c r="W801" i="1"/>
  <c r="T801" i="1"/>
  <c r="S801" i="1"/>
  <c r="R801" i="1"/>
  <c r="J801" i="1"/>
  <c r="AD801" i="1" s="1"/>
  <c r="AK800" i="1"/>
  <c r="AF800" i="1"/>
  <c r="AA800" i="1"/>
  <c r="X800" i="1"/>
  <c r="V800" i="1"/>
  <c r="W800" i="1" s="1"/>
  <c r="T800" i="1"/>
  <c r="S800" i="1"/>
  <c r="R800" i="1"/>
  <c r="J800" i="1"/>
  <c r="AD800" i="1" s="1"/>
  <c r="AK799" i="1"/>
  <c r="AF799" i="1"/>
  <c r="AA799" i="1"/>
  <c r="X799" i="1"/>
  <c r="W799" i="1"/>
  <c r="T799" i="1"/>
  <c r="S799" i="1"/>
  <c r="R799" i="1"/>
  <c r="J799" i="1"/>
  <c r="AD799" i="1" s="1"/>
  <c r="AK798" i="1"/>
  <c r="AF798" i="1"/>
  <c r="AA798" i="1"/>
  <c r="X798" i="1"/>
  <c r="V798" i="1"/>
  <c r="W798" i="1" s="1"/>
  <c r="T798" i="1"/>
  <c r="S798" i="1"/>
  <c r="R798" i="1"/>
  <c r="J798" i="1"/>
  <c r="AD798" i="1" s="1"/>
  <c r="AK797" i="1"/>
  <c r="AF797" i="1"/>
  <c r="AA797" i="1"/>
  <c r="X797" i="1"/>
  <c r="W797" i="1"/>
  <c r="T797" i="1"/>
  <c r="S797" i="1"/>
  <c r="R797" i="1"/>
  <c r="J797" i="1"/>
  <c r="AD797" i="1" s="1"/>
  <c r="AK796" i="1"/>
  <c r="AF796" i="1"/>
  <c r="AA796" i="1"/>
  <c r="X796" i="1"/>
  <c r="V796" i="1"/>
  <c r="W796" i="1" s="1"/>
  <c r="T796" i="1"/>
  <c r="S796" i="1"/>
  <c r="R796" i="1"/>
  <c r="J796" i="1"/>
  <c r="AD796" i="1" s="1"/>
  <c r="AK795" i="1"/>
  <c r="AF795" i="1"/>
  <c r="AA795" i="1"/>
  <c r="X795" i="1"/>
  <c r="W795" i="1"/>
  <c r="T795" i="1"/>
  <c r="S795" i="1"/>
  <c r="R795" i="1"/>
  <c r="J795" i="1"/>
  <c r="AD795" i="1" s="1"/>
  <c r="AK794" i="1"/>
  <c r="AF794" i="1"/>
  <c r="AA794" i="1"/>
  <c r="X794" i="1"/>
  <c r="V794" i="1"/>
  <c r="W794" i="1" s="1"/>
  <c r="T794" i="1"/>
  <c r="S794" i="1"/>
  <c r="R794" i="1"/>
  <c r="J794" i="1"/>
  <c r="AD794" i="1" s="1"/>
  <c r="AK793" i="1"/>
  <c r="AF793" i="1"/>
  <c r="AA793" i="1"/>
  <c r="X793" i="1"/>
  <c r="V793" i="1"/>
  <c r="W793" i="1" s="1"/>
  <c r="T793" i="1"/>
  <c r="S793" i="1"/>
  <c r="R793" i="1"/>
  <c r="J793" i="1"/>
  <c r="AD793" i="1" s="1"/>
  <c r="AK792" i="1"/>
  <c r="AF792" i="1"/>
  <c r="AA792" i="1"/>
  <c r="X792" i="1"/>
  <c r="V792" i="1"/>
  <c r="W792" i="1" s="1"/>
  <c r="T792" i="1"/>
  <c r="S792" i="1"/>
  <c r="R792" i="1"/>
  <c r="J792" i="1"/>
  <c r="AD792" i="1" s="1"/>
  <c r="AK791" i="1"/>
  <c r="AF791" i="1"/>
  <c r="AA791" i="1"/>
  <c r="X791" i="1"/>
  <c r="V791" i="1"/>
  <c r="W791" i="1" s="1"/>
  <c r="T791" i="1"/>
  <c r="S791" i="1"/>
  <c r="R791" i="1"/>
  <c r="J791" i="1"/>
  <c r="AD791" i="1" s="1"/>
  <c r="AK790" i="1"/>
  <c r="AF790" i="1"/>
  <c r="AA790" i="1"/>
  <c r="X790" i="1"/>
  <c r="V790" i="1"/>
  <c r="W790" i="1" s="1"/>
  <c r="T790" i="1"/>
  <c r="S790" i="1"/>
  <c r="R790" i="1"/>
  <c r="J790" i="1"/>
  <c r="AD790" i="1" s="1"/>
  <c r="AK789" i="1"/>
  <c r="AF789" i="1"/>
  <c r="AA789" i="1"/>
  <c r="X789" i="1"/>
  <c r="V789" i="1"/>
  <c r="W789" i="1" s="1"/>
  <c r="T789" i="1"/>
  <c r="S789" i="1"/>
  <c r="R789" i="1"/>
  <c r="J789" i="1"/>
  <c r="AD789" i="1" s="1"/>
  <c r="AK788" i="1"/>
  <c r="AF788" i="1"/>
  <c r="AA788" i="1"/>
  <c r="X788" i="1"/>
  <c r="V788" i="1"/>
  <c r="W788" i="1" s="1"/>
  <c r="T788" i="1"/>
  <c r="S788" i="1"/>
  <c r="R788" i="1"/>
  <c r="J788" i="1"/>
  <c r="AD788" i="1" s="1"/>
  <c r="AK787" i="1"/>
  <c r="AF787" i="1"/>
  <c r="AA787" i="1"/>
  <c r="X787" i="1"/>
  <c r="V787" i="1"/>
  <c r="W787" i="1" s="1"/>
  <c r="T787" i="1"/>
  <c r="S787" i="1"/>
  <c r="R787" i="1"/>
  <c r="J787" i="1"/>
  <c r="AD787" i="1" s="1"/>
  <c r="AK786" i="1"/>
  <c r="AF786" i="1"/>
  <c r="AA786" i="1"/>
  <c r="X786" i="1"/>
  <c r="W786" i="1"/>
  <c r="T786" i="1"/>
  <c r="S786" i="1"/>
  <c r="R786" i="1"/>
  <c r="J786" i="1"/>
  <c r="AD786" i="1" s="1"/>
  <c r="AK785" i="1"/>
  <c r="AF785" i="1"/>
  <c r="AA785" i="1"/>
  <c r="X785" i="1"/>
  <c r="V785" i="1"/>
  <c r="W785" i="1" s="1"/>
  <c r="T785" i="1"/>
  <c r="S785" i="1"/>
  <c r="R785" i="1"/>
  <c r="J785" i="1"/>
  <c r="AD785" i="1" s="1"/>
  <c r="AK784" i="1"/>
  <c r="AF784" i="1"/>
  <c r="AA784" i="1"/>
  <c r="X784" i="1"/>
  <c r="W784" i="1"/>
  <c r="T784" i="1"/>
  <c r="S784" i="1"/>
  <c r="R784" i="1"/>
  <c r="J784" i="1"/>
  <c r="AD784" i="1" s="1"/>
  <c r="AK783" i="1"/>
  <c r="AF783" i="1"/>
  <c r="AA783" i="1"/>
  <c r="X783" i="1"/>
  <c r="W783" i="1"/>
  <c r="T783" i="1"/>
  <c r="S783" i="1"/>
  <c r="R783" i="1"/>
  <c r="J783" i="1"/>
  <c r="AD783" i="1" s="1"/>
  <c r="AK782" i="1"/>
  <c r="AF782" i="1"/>
  <c r="AA782" i="1"/>
  <c r="X782" i="1"/>
  <c r="W782" i="1"/>
  <c r="T782" i="1"/>
  <c r="S782" i="1"/>
  <c r="R782" i="1"/>
  <c r="J782" i="1"/>
  <c r="AD782" i="1" s="1"/>
  <c r="AK781" i="1"/>
  <c r="AF781" i="1"/>
  <c r="AA781" i="1"/>
  <c r="X781" i="1"/>
  <c r="W781" i="1"/>
  <c r="T781" i="1"/>
  <c r="S781" i="1"/>
  <c r="R781" i="1"/>
  <c r="J781" i="1"/>
  <c r="AD781" i="1" s="1"/>
  <c r="AK780" i="1"/>
  <c r="AF780" i="1"/>
  <c r="AA780" i="1"/>
  <c r="X780" i="1"/>
  <c r="W780" i="1"/>
  <c r="T780" i="1"/>
  <c r="S780" i="1"/>
  <c r="R780" i="1"/>
  <c r="J780" i="1"/>
  <c r="AD780" i="1" s="1"/>
  <c r="AK779" i="1"/>
  <c r="AF779" i="1"/>
  <c r="AA779" i="1"/>
  <c r="X779" i="1"/>
  <c r="W779" i="1"/>
  <c r="T779" i="1"/>
  <c r="S779" i="1"/>
  <c r="R779" i="1"/>
  <c r="J779" i="1"/>
  <c r="AD779" i="1" s="1"/>
  <c r="AK778" i="1"/>
  <c r="AF778" i="1"/>
  <c r="AA778" i="1"/>
  <c r="X778" i="1"/>
  <c r="W778" i="1"/>
  <c r="T778" i="1"/>
  <c r="S778" i="1"/>
  <c r="R778" i="1"/>
  <c r="J778" i="1"/>
  <c r="AD778" i="1" s="1"/>
  <c r="AK777" i="1"/>
  <c r="AF777" i="1"/>
  <c r="AA777" i="1"/>
  <c r="X777" i="1"/>
  <c r="W777" i="1"/>
  <c r="T777" i="1"/>
  <c r="S777" i="1"/>
  <c r="R777" i="1"/>
  <c r="J777" i="1"/>
  <c r="AD777" i="1" s="1"/>
  <c r="AK776" i="1"/>
  <c r="AF776" i="1"/>
  <c r="AA776" i="1"/>
  <c r="X776" i="1"/>
  <c r="V776" i="1"/>
  <c r="W776" i="1" s="1"/>
  <c r="T776" i="1"/>
  <c r="S776" i="1"/>
  <c r="R776" i="1"/>
  <c r="J776" i="1"/>
  <c r="AD776" i="1" s="1"/>
  <c r="AK775" i="1"/>
  <c r="AF775" i="1"/>
  <c r="AA775" i="1"/>
  <c r="X775" i="1"/>
  <c r="V775" i="1"/>
  <c r="W775" i="1" s="1"/>
  <c r="T775" i="1"/>
  <c r="S775" i="1"/>
  <c r="R775" i="1"/>
  <c r="J775" i="1"/>
  <c r="AD775" i="1" s="1"/>
  <c r="AK774" i="1"/>
  <c r="AF774" i="1"/>
  <c r="AA774" i="1"/>
  <c r="X774" i="1"/>
  <c r="V774" i="1"/>
  <c r="W774" i="1" s="1"/>
  <c r="T774" i="1"/>
  <c r="S774" i="1"/>
  <c r="R774" i="1"/>
  <c r="J774" i="1"/>
  <c r="AD774" i="1" s="1"/>
  <c r="AK773" i="1"/>
  <c r="AF773" i="1"/>
  <c r="AA773" i="1"/>
  <c r="X773" i="1"/>
  <c r="V773" i="1"/>
  <c r="W773" i="1" s="1"/>
  <c r="T773" i="1"/>
  <c r="S773" i="1"/>
  <c r="R773" i="1"/>
  <c r="J773" i="1"/>
  <c r="AD773" i="1" s="1"/>
  <c r="AK772" i="1"/>
  <c r="AF772" i="1"/>
  <c r="AA772" i="1"/>
  <c r="X772" i="1"/>
  <c r="V772" i="1"/>
  <c r="W772" i="1" s="1"/>
  <c r="T772" i="1"/>
  <c r="S772" i="1"/>
  <c r="R772" i="1"/>
  <c r="J772" i="1"/>
  <c r="AD772" i="1" s="1"/>
  <c r="AK771" i="1"/>
  <c r="AF771" i="1"/>
  <c r="AA771" i="1"/>
  <c r="X771" i="1"/>
  <c r="V771" i="1"/>
  <c r="W771" i="1" s="1"/>
  <c r="T771" i="1"/>
  <c r="S771" i="1"/>
  <c r="R771" i="1"/>
  <c r="J771" i="1"/>
  <c r="AD771" i="1" s="1"/>
  <c r="AK770" i="1"/>
  <c r="AF770" i="1"/>
  <c r="AA770" i="1"/>
  <c r="X770" i="1"/>
  <c r="V770" i="1"/>
  <c r="W770" i="1" s="1"/>
  <c r="T770" i="1"/>
  <c r="S770" i="1"/>
  <c r="R770" i="1"/>
  <c r="J770" i="1"/>
  <c r="AD770" i="1" s="1"/>
  <c r="AK769" i="1"/>
  <c r="AF769" i="1"/>
  <c r="AA769" i="1"/>
  <c r="X769" i="1"/>
  <c r="V769" i="1"/>
  <c r="W769" i="1" s="1"/>
  <c r="T769" i="1"/>
  <c r="S769" i="1"/>
  <c r="R769" i="1"/>
  <c r="J769" i="1"/>
  <c r="AD769" i="1" s="1"/>
  <c r="AK768" i="1"/>
  <c r="AF768" i="1"/>
  <c r="AA768" i="1"/>
  <c r="X768" i="1"/>
  <c r="V768" i="1"/>
  <c r="W768" i="1" s="1"/>
  <c r="T768" i="1"/>
  <c r="S768" i="1"/>
  <c r="R768" i="1"/>
  <c r="J768" i="1"/>
  <c r="AD768" i="1" s="1"/>
  <c r="U767" i="1"/>
  <c r="AF767" i="1" s="1"/>
  <c r="T767" i="1"/>
  <c r="S767" i="1"/>
  <c r="J767" i="1"/>
  <c r="AD767" i="1" s="1"/>
  <c r="AK766" i="1"/>
  <c r="AF766" i="1"/>
  <c r="AA766" i="1"/>
  <c r="X766" i="1"/>
  <c r="V766" i="1"/>
  <c r="W766" i="1" s="1"/>
  <c r="T766" i="1"/>
  <c r="S766" i="1"/>
  <c r="R766" i="1"/>
  <c r="J766" i="1"/>
  <c r="AD766" i="1" s="1"/>
  <c r="AK765" i="1"/>
  <c r="AF765" i="1"/>
  <c r="AA765" i="1"/>
  <c r="X765" i="1"/>
  <c r="V765" i="1"/>
  <c r="W765" i="1" s="1"/>
  <c r="T765" i="1"/>
  <c r="S765" i="1"/>
  <c r="R765" i="1"/>
  <c r="J765" i="1"/>
  <c r="AD765" i="1" s="1"/>
  <c r="AK764" i="1"/>
  <c r="AF764" i="1"/>
  <c r="AA764" i="1"/>
  <c r="X764" i="1"/>
  <c r="V764" i="1"/>
  <c r="W764" i="1" s="1"/>
  <c r="T764" i="1"/>
  <c r="S764" i="1"/>
  <c r="R764" i="1"/>
  <c r="J764" i="1"/>
  <c r="AD764" i="1" s="1"/>
  <c r="AK763" i="1"/>
  <c r="AF763" i="1"/>
  <c r="AA763" i="1"/>
  <c r="X763" i="1"/>
  <c r="V763" i="1"/>
  <c r="W763" i="1" s="1"/>
  <c r="T763" i="1"/>
  <c r="S763" i="1"/>
  <c r="R763" i="1"/>
  <c r="J763" i="1"/>
  <c r="AD763" i="1" s="1"/>
  <c r="AK762" i="1"/>
  <c r="AF762" i="1"/>
  <c r="AA762" i="1"/>
  <c r="X762" i="1"/>
  <c r="V762" i="1"/>
  <c r="W762" i="1" s="1"/>
  <c r="T762" i="1"/>
  <c r="S762" i="1"/>
  <c r="R762" i="1"/>
  <c r="J762" i="1"/>
  <c r="AD762" i="1" s="1"/>
  <c r="U761" i="1"/>
  <c r="V761" i="1" s="1"/>
  <c r="W761" i="1" s="1"/>
  <c r="T761" i="1"/>
  <c r="S761" i="1"/>
  <c r="J761" i="1"/>
  <c r="AD761" i="1" s="1"/>
  <c r="AK760" i="1"/>
  <c r="AF760" i="1"/>
  <c r="AA760" i="1"/>
  <c r="X760" i="1"/>
  <c r="V760" i="1"/>
  <c r="W760" i="1" s="1"/>
  <c r="T760" i="1"/>
  <c r="S760" i="1"/>
  <c r="R760" i="1"/>
  <c r="J760" i="1"/>
  <c r="AD760" i="1" s="1"/>
  <c r="AK759" i="1"/>
  <c r="AF759" i="1"/>
  <c r="AA759" i="1"/>
  <c r="X759" i="1"/>
  <c r="V759" i="1"/>
  <c r="W759" i="1" s="1"/>
  <c r="T759" i="1"/>
  <c r="R759" i="1"/>
  <c r="J759" i="1"/>
  <c r="AD759" i="1" s="1"/>
  <c r="AK758" i="1"/>
  <c r="AF758" i="1"/>
  <c r="AA758" i="1"/>
  <c r="X758" i="1"/>
  <c r="V758" i="1"/>
  <c r="W758" i="1" s="1"/>
  <c r="T758" i="1"/>
  <c r="R758" i="1"/>
  <c r="J758" i="1"/>
  <c r="AD758" i="1" s="1"/>
  <c r="AK757" i="1"/>
  <c r="AF757" i="1"/>
  <c r="AA757" i="1"/>
  <c r="X757" i="1"/>
  <c r="V757" i="1"/>
  <c r="W757" i="1" s="1"/>
  <c r="T757" i="1"/>
  <c r="R757" i="1"/>
  <c r="J757" i="1"/>
  <c r="AD757" i="1" s="1"/>
  <c r="AK756" i="1"/>
  <c r="AF756" i="1"/>
  <c r="AA756" i="1"/>
  <c r="X756" i="1"/>
  <c r="W756" i="1"/>
  <c r="T756" i="1"/>
  <c r="S756" i="1"/>
  <c r="R756" i="1"/>
  <c r="J756" i="1"/>
  <c r="AD756" i="1" s="1"/>
  <c r="AK755" i="1"/>
  <c r="AF755" i="1"/>
  <c r="AA755" i="1"/>
  <c r="X755" i="1"/>
  <c r="W755" i="1"/>
  <c r="T755" i="1"/>
  <c r="S755" i="1"/>
  <c r="R755" i="1"/>
  <c r="J755" i="1"/>
  <c r="AD755" i="1" s="1"/>
  <c r="AK754" i="1"/>
  <c r="AF754" i="1"/>
  <c r="AA754" i="1"/>
  <c r="X754" i="1"/>
  <c r="V754" i="1"/>
  <c r="W754" i="1" s="1"/>
  <c r="T754" i="1"/>
  <c r="S754" i="1"/>
  <c r="R754" i="1"/>
  <c r="J754" i="1"/>
  <c r="AD754" i="1" s="1"/>
  <c r="AK753" i="1"/>
  <c r="AF753" i="1"/>
  <c r="AA753" i="1"/>
  <c r="X753" i="1"/>
  <c r="W753" i="1"/>
  <c r="T753" i="1"/>
  <c r="S753" i="1"/>
  <c r="R753" i="1"/>
  <c r="J753" i="1"/>
  <c r="AD753" i="1" s="1"/>
  <c r="AK752" i="1"/>
  <c r="AF752" i="1"/>
  <c r="AA752" i="1"/>
  <c r="X752" i="1"/>
  <c r="W752" i="1"/>
  <c r="T752" i="1"/>
  <c r="S752" i="1"/>
  <c r="R752" i="1"/>
  <c r="J752" i="1"/>
  <c r="AD752" i="1" s="1"/>
  <c r="AK751" i="1"/>
  <c r="AF751" i="1"/>
  <c r="AA751" i="1"/>
  <c r="X751" i="1"/>
  <c r="W751" i="1"/>
  <c r="T751" i="1"/>
  <c r="S751" i="1"/>
  <c r="R751" i="1"/>
  <c r="J751" i="1"/>
  <c r="AD751" i="1" s="1"/>
  <c r="AK750" i="1"/>
  <c r="AF750" i="1"/>
  <c r="AA750" i="1"/>
  <c r="X750" i="1"/>
  <c r="W750" i="1"/>
  <c r="T750" i="1"/>
  <c r="S750" i="1"/>
  <c r="R750" i="1"/>
  <c r="J750" i="1"/>
  <c r="AD750" i="1" s="1"/>
  <c r="AK749" i="1"/>
  <c r="AF749" i="1"/>
  <c r="AA749" i="1"/>
  <c r="X749" i="1"/>
  <c r="V749" i="1"/>
  <c r="W749" i="1" s="1"/>
  <c r="T749" i="1"/>
  <c r="S749" i="1"/>
  <c r="R749" i="1"/>
  <c r="J749" i="1"/>
  <c r="AD749" i="1" s="1"/>
  <c r="AK748" i="1"/>
  <c r="AF748" i="1"/>
  <c r="AA748" i="1"/>
  <c r="X748" i="1"/>
  <c r="V748" i="1"/>
  <c r="W748" i="1" s="1"/>
  <c r="T748" i="1"/>
  <c r="S748" i="1"/>
  <c r="R748" i="1"/>
  <c r="J748" i="1"/>
  <c r="AD748" i="1" s="1"/>
  <c r="AK747" i="1"/>
  <c r="AF747" i="1"/>
  <c r="AA747" i="1"/>
  <c r="X747" i="1"/>
  <c r="V747" i="1"/>
  <c r="W747" i="1" s="1"/>
  <c r="T747" i="1"/>
  <c r="S747" i="1"/>
  <c r="R747" i="1"/>
  <c r="J747" i="1"/>
  <c r="AD747" i="1" s="1"/>
  <c r="AK746" i="1"/>
  <c r="AF746" i="1"/>
  <c r="AA746" i="1"/>
  <c r="X746" i="1"/>
  <c r="V746" i="1"/>
  <c r="W746" i="1" s="1"/>
  <c r="T746" i="1"/>
  <c r="S746" i="1"/>
  <c r="R746" i="1"/>
  <c r="J746" i="1"/>
  <c r="AD746" i="1" s="1"/>
  <c r="AK745" i="1"/>
  <c r="AF745" i="1"/>
  <c r="AA745" i="1"/>
  <c r="X745" i="1"/>
  <c r="V745" i="1"/>
  <c r="W745" i="1" s="1"/>
  <c r="T745" i="1"/>
  <c r="S745" i="1"/>
  <c r="R745" i="1"/>
  <c r="J745" i="1"/>
  <c r="AD745" i="1" s="1"/>
  <c r="U744" i="1"/>
  <c r="AK744" i="1" s="1"/>
  <c r="T744" i="1"/>
  <c r="S744" i="1"/>
  <c r="J744" i="1"/>
  <c r="AD744" i="1" s="1"/>
  <c r="AK743" i="1"/>
  <c r="AF743" i="1"/>
  <c r="AA743" i="1"/>
  <c r="X743" i="1"/>
  <c r="V743" i="1"/>
  <c r="W743" i="1" s="1"/>
  <c r="T743" i="1"/>
  <c r="S743" i="1"/>
  <c r="R743" i="1"/>
  <c r="J743" i="1"/>
  <c r="AD743" i="1" s="1"/>
  <c r="AK742" i="1"/>
  <c r="AF742" i="1"/>
  <c r="AA742" i="1"/>
  <c r="X742" i="1"/>
  <c r="V742" i="1"/>
  <c r="W742" i="1" s="1"/>
  <c r="T742" i="1"/>
  <c r="S742" i="1"/>
  <c r="R742" i="1"/>
  <c r="J742" i="1"/>
  <c r="AD742" i="1" s="1"/>
  <c r="AK741" i="1"/>
  <c r="AF741" i="1"/>
  <c r="AA741" i="1"/>
  <c r="X741" i="1"/>
  <c r="V741" i="1"/>
  <c r="W741" i="1" s="1"/>
  <c r="T741" i="1"/>
  <c r="S741" i="1"/>
  <c r="R741" i="1"/>
  <c r="J741" i="1"/>
  <c r="AD741" i="1" s="1"/>
  <c r="AK740" i="1"/>
  <c r="AF740" i="1"/>
  <c r="AA740" i="1"/>
  <c r="X740" i="1"/>
  <c r="V740" i="1"/>
  <c r="W740" i="1" s="1"/>
  <c r="T740" i="1"/>
  <c r="S740" i="1"/>
  <c r="R740" i="1"/>
  <c r="J740" i="1"/>
  <c r="AD740" i="1" s="1"/>
  <c r="AK739" i="1"/>
  <c r="AF739" i="1"/>
  <c r="AA739" i="1"/>
  <c r="X739" i="1"/>
  <c r="V739" i="1"/>
  <c r="W739" i="1" s="1"/>
  <c r="T739" i="1"/>
  <c r="S739" i="1"/>
  <c r="R739" i="1"/>
  <c r="J739" i="1"/>
  <c r="AD739" i="1" s="1"/>
  <c r="V738" i="1"/>
  <c r="U738" i="1"/>
  <c r="AF738" i="1" s="1"/>
  <c r="T738" i="1"/>
  <c r="S738" i="1"/>
  <c r="J738" i="1"/>
  <c r="AD738" i="1" s="1"/>
  <c r="AK737" i="1"/>
  <c r="AF737" i="1"/>
  <c r="AA737" i="1"/>
  <c r="X737" i="1"/>
  <c r="W737" i="1"/>
  <c r="T737" i="1"/>
  <c r="S737" i="1"/>
  <c r="R737" i="1"/>
  <c r="J737" i="1"/>
  <c r="AD737" i="1" s="1"/>
  <c r="AK736" i="1"/>
  <c r="AF736" i="1"/>
  <c r="AA736" i="1"/>
  <c r="X736" i="1"/>
  <c r="V736" i="1"/>
  <c r="W736" i="1" s="1"/>
  <c r="T736" i="1"/>
  <c r="S736" i="1"/>
  <c r="R736" i="1"/>
  <c r="J736" i="1"/>
  <c r="AD736" i="1" s="1"/>
  <c r="AH786" i="1" l="1"/>
  <c r="AH794" i="1"/>
  <c r="Y788" i="1"/>
  <c r="AH739" i="1"/>
  <c r="Y785" i="1"/>
  <c r="Y793" i="1"/>
  <c r="AH784" i="1"/>
  <c r="AH792" i="1"/>
  <c r="AH808" i="1"/>
  <c r="Y737" i="1"/>
  <c r="AH745" i="1"/>
  <c r="AH771" i="1"/>
  <c r="Y794" i="1"/>
  <c r="Y790" i="1"/>
  <c r="Y798" i="1"/>
  <c r="AH780" i="1"/>
  <c r="AH788" i="1"/>
  <c r="AH796" i="1"/>
  <c r="AH804" i="1"/>
  <c r="AH773" i="1"/>
  <c r="AH781" i="1"/>
  <c r="AH789" i="1"/>
  <c r="AH797" i="1"/>
  <c r="AH749" i="1"/>
  <c r="Y802" i="1"/>
  <c r="AH742" i="1"/>
  <c r="Y773" i="1"/>
  <c r="Y805" i="1"/>
  <c r="Y816" i="1"/>
  <c r="Y824" i="1"/>
  <c r="Y741" i="1"/>
  <c r="Y746" i="1"/>
  <c r="AH750" i="1"/>
  <c r="AH763" i="1"/>
  <c r="AK767" i="1"/>
  <c r="Y742" i="1"/>
  <c r="Y779" i="1"/>
  <c r="Y811" i="1"/>
  <c r="Y819" i="1"/>
  <c r="Y780" i="1"/>
  <c r="AH778" i="1"/>
  <c r="AH802" i="1"/>
  <c r="Y764" i="1"/>
  <c r="AH819" i="1"/>
  <c r="Y745" i="1"/>
  <c r="Y770" i="1"/>
  <c r="Y808" i="1"/>
  <c r="Y823" i="1"/>
  <c r="AH751" i="1"/>
  <c r="AH775" i="1"/>
  <c r="AH736" i="1"/>
  <c r="Y743" i="1"/>
  <c r="AH752" i="1"/>
  <c r="AH760" i="1"/>
  <c r="AH765" i="1"/>
  <c r="AH769" i="1"/>
  <c r="AH783" i="1"/>
  <c r="AH807" i="1"/>
  <c r="Y810" i="1"/>
  <c r="AH822" i="1"/>
  <c r="Y796" i="1"/>
  <c r="AH741" i="1"/>
  <c r="AH746" i="1"/>
  <c r="Y750" i="1"/>
  <c r="Y781" i="1"/>
  <c r="AH817" i="1"/>
  <c r="Y736" i="1"/>
  <c r="AH743" i="1"/>
  <c r="Y760" i="1"/>
  <c r="Y783" i="1"/>
  <c r="AH803" i="1"/>
  <c r="AH810" i="1"/>
  <c r="AH818" i="1"/>
  <c r="Y751" i="1"/>
  <c r="Y763" i="1"/>
  <c r="Y792" i="1"/>
  <c r="Y800" i="1"/>
  <c r="Y807" i="1"/>
  <c r="AH740" i="1"/>
  <c r="AH757" i="1"/>
  <c r="AH770" i="1"/>
  <c r="AH790" i="1"/>
  <c r="AH798" i="1"/>
  <c r="AH812" i="1"/>
  <c r="AH820" i="1"/>
  <c r="X744" i="1"/>
  <c r="Y747" i="1"/>
  <c r="Y754" i="1"/>
  <c r="AH758" i="1"/>
  <c r="Y768" i="1"/>
  <c r="Y774" i="1"/>
  <c r="Y786" i="1"/>
  <c r="Y787" i="1"/>
  <c r="AH791" i="1"/>
  <c r="Y803" i="1"/>
  <c r="AH806" i="1"/>
  <c r="Y817" i="1"/>
  <c r="AH821" i="1"/>
  <c r="Y739" i="1"/>
  <c r="AF744" i="1"/>
  <c r="AH744" i="1" s="1"/>
  <c r="Y740" i="1"/>
  <c r="Y749" i="1"/>
  <c r="Y756" i="1"/>
  <c r="X767" i="1"/>
  <c r="AH772" i="1"/>
  <c r="AH779" i="1"/>
  <c r="Y782" i="1"/>
  <c r="AH785" i="1"/>
  <c r="Y789" i="1"/>
  <c r="AH793" i="1"/>
  <c r="AI793" i="1" s="1"/>
  <c r="Y797" i="1"/>
  <c r="AH801" i="1"/>
  <c r="Y818" i="1"/>
  <c r="AI818" i="1" s="1"/>
  <c r="AH816" i="1"/>
  <c r="Y820" i="1"/>
  <c r="AH824" i="1"/>
  <c r="AH747" i="1"/>
  <c r="AH754" i="1"/>
  <c r="Y758" i="1"/>
  <c r="Y762" i="1"/>
  <c r="AH774" i="1"/>
  <c r="Y777" i="1"/>
  <c r="AH787" i="1"/>
  <c r="Y791" i="1"/>
  <c r="Y799" i="1"/>
  <c r="Y806" i="1"/>
  <c r="Y813" i="1"/>
  <c r="Y821" i="1"/>
  <c r="AH767" i="1"/>
  <c r="Y755" i="1"/>
  <c r="X761" i="1"/>
  <c r="Y761" i="1" s="1"/>
  <c r="AH764" i="1"/>
  <c r="Y766" i="1"/>
  <c r="AH768" i="1"/>
  <c r="Y771" i="1"/>
  <c r="Y776" i="1"/>
  <c r="AH813" i="1"/>
  <c r="AH823" i="1"/>
  <c r="AH759" i="1"/>
  <c r="Y795" i="1"/>
  <c r="AH814" i="1"/>
  <c r="AH748" i="1"/>
  <c r="AH753" i="1"/>
  <c r="Y757" i="1"/>
  <c r="AF761" i="1"/>
  <c r="AH761" i="1" s="1"/>
  <c r="V767" i="1"/>
  <c r="W767" i="1" s="1"/>
  <c r="Y772" i="1"/>
  <c r="Y778" i="1"/>
  <c r="Y801" i="1"/>
  <c r="AH809" i="1"/>
  <c r="Y812" i="1"/>
  <c r="AH815" i="1"/>
  <c r="Y822" i="1"/>
  <c r="AK761" i="1"/>
  <c r="AH755" i="1"/>
  <c r="AH762" i="1"/>
  <c r="AH766" i="1"/>
  <c r="AI766" i="1" s="1"/>
  <c r="AA767" i="1"/>
  <c r="AH776" i="1"/>
  <c r="AH782" i="1"/>
  <c r="Y784" i="1"/>
  <c r="AH795" i="1"/>
  <c r="AH799" i="1"/>
  <c r="AH805" i="1"/>
  <c r="Y752" i="1"/>
  <c r="AH756" i="1"/>
  <c r="Y759" i="1"/>
  <c r="AH777" i="1"/>
  <c r="AH800" i="1"/>
  <c r="AH811" i="1"/>
  <c r="Y814" i="1"/>
  <c r="AH737" i="1"/>
  <c r="Y748" i="1"/>
  <c r="Y753" i="1"/>
  <c r="Y765" i="1"/>
  <c r="AI765" i="1" s="1"/>
  <c r="R767" i="1"/>
  <c r="Y769" i="1"/>
  <c r="Y775" i="1"/>
  <c r="Y804" i="1"/>
  <c r="Y809" i="1"/>
  <c r="Y815" i="1"/>
  <c r="AH738" i="1"/>
  <c r="W738" i="1"/>
  <c r="AA744" i="1"/>
  <c r="AK738" i="1"/>
  <c r="R744" i="1"/>
  <c r="X738" i="1"/>
  <c r="R761" i="1"/>
  <c r="AA761" i="1"/>
  <c r="R738" i="1"/>
  <c r="V744" i="1"/>
  <c r="W744" i="1" s="1"/>
  <c r="AA738" i="1"/>
  <c r="AI803" i="1" l="1"/>
  <c r="AI794" i="1"/>
  <c r="AI786" i="1"/>
  <c r="AI789" i="1"/>
  <c r="AI780" i="1"/>
  <c r="AI739" i="1"/>
  <c r="AI746" i="1"/>
  <c r="AI749" i="1"/>
  <c r="AI784" i="1"/>
  <c r="AI788" i="1"/>
  <c r="AI808" i="1"/>
  <c r="AI824" i="1"/>
  <c r="AI769" i="1"/>
  <c r="AI823" i="1"/>
  <c r="AI798" i="1"/>
  <c r="AI810" i="1"/>
  <c r="AI791" i="1"/>
  <c r="AI792" i="1"/>
  <c r="AI775" i="1"/>
  <c r="AI799" i="1"/>
  <c r="AI763" i="1"/>
  <c r="AI770" i="1"/>
  <c r="AI783" i="1"/>
  <c r="AI785" i="1"/>
  <c r="AI800" i="1"/>
  <c r="AI737" i="1"/>
  <c r="AI741" i="1"/>
  <c r="AI777" i="1"/>
  <c r="AI815" i="1"/>
  <c r="AI736" i="1"/>
  <c r="AI819" i="1"/>
  <c r="AI750" i="1"/>
  <c r="AI756" i="1"/>
  <c r="AI817" i="1"/>
  <c r="AI802" i="1"/>
  <c r="AI771" i="1"/>
  <c r="AI773" i="1"/>
  <c r="AI804" i="1"/>
  <c r="AI740" i="1"/>
  <c r="AI760" i="1"/>
  <c r="AI745" i="1"/>
  <c r="AI816" i="1"/>
  <c r="AI779" i="1"/>
  <c r="AI790" i="1"/>
  <c r="AI751" i="1"/>
  <c r="AI781" i="1"/>
  <c r="AI796" i="1"/>
  <c r="AI809" i="1"/>
  <c r="AI820" i="1"/>
  <c r="AI801" i="1"/>
  <c r="AI752" i="1"/>
  <c r="AI805" i="1"/>
  <c r="AI807" i="1"/>
  <c r="AI811" i="1"/>
  <c r="AI742" i="1"/>
  <c r="AI748" i="1"/>
  <c r="Y744" i="1"/>
  <c r="AI744" i="1" s="1"/>
  <c r="AI759" i="1"/>
  <c r="AI778" i="1"/>
  <c r="AI797" i="1"/>
  <c r="AI753" i="1"/>
  <c r="AI761" i="1"/>
  <c r="AI743" i="1"/>
  <c r="AI774" i="1"/>
  <c r="AI768" i="1"/>
  <c r="AI758" i="1"/>
  <c r="AI782" i="1"/>
  <c r="AI754" i="1"/>
  <c r="AI822" i="1"/>
  <c r="AI764" i="1"/>
  <c r="AI812" i="1"/>
  <c r="AI772" i="1"/>
  <c r="Y767" i="1"/>
  <c r="AI767" i="1" s="1"/>
  <c r="AI747" i="1"/>
  <c r="AI821" i="1"/>
  <c r="AI762" i="1"/>
  <c r="AI814" i="1"/>
  <c r="AI813" i="1"/>
  <c r="AI787" i="1"/>
  <c r="AI806" i="1"/>
  <c r="AI755" i="1"/>
  <c r="AI795" i="1"/>
  <c r="AI757" i="1"/>
  <c r="AI776" i="1"/>
  <c r="Y738" i="1"/>
  <c r="AI738" i="1" s="1"/>
  <c r="AK735" i="1" l="1"/>
  <c r="AF735" i="1"/>
  <c r="AA735" i="1"/>
  <c r="X735" i="1"/>
  <c r="V735" i="1"/>
  <c r="W735" i="1" s="1"/>
  <c r="T735" i="1"/>
  <c r="S735" i="1"/>
  <c r="R735" i="1"/>
  <c r="J735" i="1"/>
  <c r="AD735" i="1" s="1"/>
  <c r="AK734" i="1"/>
  <c r="AF734" i="1"/>
  <c r="AA734" i="1"/>
  <c r="X734" i="1"/>
  <c r="V734" i="1"/>
  <c r="W734" i="1" s="1"/>
  <c r="T734" i="1"/>
  <c r="S734" i="1"/>
  <c r="R734" i="1"/>
  <c r="J734" i="1"/>
  <c r="AD734" i="1" s="1"/>
  <c r="AK733" i="1"/>
  <c r="AF733" i="1"/>
  <c r="AA733" i="1"/>
  <c r="X733" i="1"/>
  <c r="V733" i="1"/>
  <c r="W733" i="1" s="1"/>
  <c r="T733" i="1"/>
  <c r="S733" i="1"/>
  <c r="R733" i="1"/>
  <c r="J733" i="1"/>
  <c r="AD733" i="1" s="1"/>
  <c r="AK732" i="1"/>
  <c r="AF732" i="1"/>
  <c r="AA732" i="1"/>
  <c r="X732" i="1"/>
  <c r="V732" i="1"/>
  <c r="W732" i="1" s="1"/>
  <c r="T732" i="1"/>
  <c r="S732" i="1"/>
  <c r="R732" i="1"/>
  <c r="J732" i="1"/>
  <c r="AD732" i="1" s="1"/>
  <c r="AK731" i="1"/>
  <c r="AF731" i="1"/>
  <c r="AA731" i="1"/>
  <c r="X731" i="1"/>
  <c r="V731" i="1"/>
  <c r="W731" i="1" s="1"/>
  <c r="T731" i="1"/>
  <c r="S731" i="1"/>
  <c r="R731" i="1"/>
  <c r="J731" i="1"/>
  <c r="AD731" i="1" s="1"/>
  <c r="AK730" i="1"/>
  <c r="AF730" i="1"/>
  <c r="AA730" i="1"/>
  <c r="X730" i="1"/>
  <c r="V730" i="1"/>
  <c r="W730" i="1" s="1"/>
  <c r="T730" i="1"/>
  <c r="S730" i="1"/>
  <c r="R730" i="1"/>
  <c r="J730" i="1"/>
  <c r="AD730" i="1" s="1"/>
  <c r="AK729" i="1"/>
  <c r="AF729" i="1"/>
  <c r="AA729" i="1"/>
  <c r="X729" i="1"/>
  <c r="V729" i="1"/>
  <c r="W729" i="1" s="1"/>
  <c r="T729" i="1"/>
  <c r="S729" i="1"/>
  <c r="R729" i="1"/>
  <c r="J729" i="1"/>
  <c r="AD729" i="1" s="1"/>
  <c r="AK728" i="1"/>
  <c r="AF728" i="1"/>
  <c r="AA728" i="1"/>
  <c r="X728" i="1"/>
  <c r="V728" i="1"/>
  <c r="W728" i="1" s="1"/>
  <c r="T728" i="1"/>
  <c r="S728" i="1"/>
  <c r="R728" i="1"/>
  <c r="J728" i="1"/>
  <c r="AD728" i="1" s="1"/>
  <c r="U727" i="1"/>
  <c r="AK727" i="1" s="1"/>
  <c r="T727" i="1"/>
  <c r="S727" i="1"/>
  <c r="J727" i="1"/>
  <c r="AD727" i="1" s="1"/>
  <c r="AK726" i="1"/>
  <c r="AF726" i="1"/>
  <c r="AA726" i="1"/>
  <c r="X726" i="1"/>
  <c r="V726" i="1"/>
  <c r="W726" i="1" s="1"/>
  <c r="T726" i="1"/>
  <c r="S726" i="1"/>
  <c r="R726" i="1"/>
  <c r="J726" i="1"/>
  <c r="AD726" i="1" s="1"/>
  <c r="AK725" i="1"/>
  <c r="AF725" i="1"/>
  <c r="AA725" i="1"/>
  <c r="X725" i="1"/>
  <c r="W725" i="1"/>
  <c r="T725" i="1"/>
  <c r="S725" i="1"/>
  <c r="R725" i="1"/>
  <c r="J725" i="1"/>
  <c r="AD725" i="1" s="1"/>
  <c r="AK724" i="1"/>
  <c r="AF724" i="1"/>
  <c r="AA724" i="1"/>
  <c r="X724" i="1"/>
  <c r="V724" i="1"/>
  <c r="W724" i="1" s="1"/>
  <c r="T724" i="1"/>
  <c r="S724" i="1"/>
  <c r="R724" i="1"/>
  <c r="J724" i="1"/>
  <c r="AD724" i="1" s="1"/>
  <c r="AK723" i="1"/>
  <c r="AF723" i="1"/>
  <c r="AA723" i="1"/>
  <c r="X723" i="1"/>
  <c r="V723" i="1"/>
  <c r="W723" i="1" s="1"/>
  <c r="T723" i="1"/>
  <c r="S723" i="1"/>
  <c r="R723" i="1"/>
  <c r="J723" i="1"/>
  <c r="AD723" i="1" s="1"/>
  <c r="AK722" i="1"/>
  <c r="AF722" i="1"/>
  <c r="AA722" i="1"/>
  <c r="X722" i="1"/>
  <c r="V722" i="1"/>
  <c r="W722" i="1" s="1"/>
  <c r="T722" i="1"/>
  <c r="S722" i="1"/>
  <c r="R722" i="1"/>
  <c r="J722" i="1"/>
  <c r="AD722" i="1" s="1"/>
  <c r="AK721" i="1"/>
  <c r="AF721" i="1"/>
  <c r="AA721" i="1"/>
  <c r="X721" i="1"/>
  <c r="V721" i="1"/>
  <c r="W721" i="1" s="1"/>
  <c r="T721" i="1"/>
  <c r="S721" i="1"/>
  <c r="R721" i="1"/>
  <c r="J721" i="1"/>
  <c r="AD721" i="1" s="1"/>
  <c r="U720" i="1"/>
  <c r="X720" i="1" s="1"/>
  <c r="T720" i="1"/>
  <c r="S720" i="1"/>
  <c r="J720" i="1"/>
  <c r="AD720" i="1" s="1"/>
  <c r="AK719" i="1"/>
  <c r="AF719" i="1"/>
  <c r="AA719" i="1"/>
  <c r="X719" i="1"/>
  <c r="V719" i="1"/>
  <c r="W719" i="1" s="1"/>
  <c r="T719" i="1"/>
  <c r="S719" i="1"/>
  <c r="R719" i="1"/>
  <c r="J719" i="1"/>
  <c r="AD719" i="1" s="1"/>
  <c r="U718" i="1"/>
  <c r="AF718" i="1" s="1"/>
  <c r="T718" i="1"/>
  <c r="S718" i="1"/>
  <c r="J718" i="1"/>
  <c r="AD718" i="1" s="1"/>
  <c r="AK717" i="1"/>
  <c r="AF717" i="1"/>
  <c r="AA717" i="1"/>
  <c r="X717" i="1"/>
  <c r="V717" i="1"/>
  <c r="W717" i="1" s="1"/>
  <c r="T717" i="1"/>
  <c r="S717" i="1"/>
  <c r="R717" i="1"/>
  <c r="J717" i="1"/>
  <c r="AD717" i="1" s="1"/>
  <c r="AK716" i="1"/>
  <c r="AF716" i="1"/>
  <c r="AA716" i="1"/>
  <c r="X716" i="1"/>
  <c r="W716" i="1"/>
  <c r="T716" i="1"/>
  <c r="S716" i="1"/>
  <c r="R716" i="1"/>
  <c r="J716" i="1"/>
  <c r="AD716" i="1" s="1"/>
  <c r="U715" i="1"/>
  <c r="AK715" i="1" s="1"/>
  <c r="T715" i="1"/>
  <c r="S715" i="1"/>
  <c r="J715" i="1"/>
  <c r="AD715" i="1" s="1"/>
  <c r="AK714" i="1"/>
  <c r="AF714" i="1"/>
  <c r="AA714" i="1"/>
  <c r="X714" i="1"/>
  <c r="W714" i="1"/>
  <c r="T714" i="1"/>
  <c r="S714" i="1"/>
  <c r="R714" i="1"/>
  <c r="J714" i="1"/>
  <c r="AD714" i="1" s="1"/>
  <c r="AK713" i="1"/>
  <c r="AF713" i="1"/>
  <c r="AA713" i="1"/>
  <c r="X713" i="1"/>
  <c r="W713" i="1"/>
  <c r="T713" i="1"/>
  <c r="S713" i="1"/>
  <c r="R713" i="1"/>
  <c r="J713" i="1"/>
  <c r="AD713" i="1" s="1"/>
  <c r="AK712" i="1"/>
  <c r="AF712" i="1"/>
  <c r="AA712" i="1"/>
  <c r="X712" i="1"/>
  <c r="V712" i="1"/>
  <c r="W712" i="1" s="1"/>
  <c r="T712" i="1"/>
  <c r="S712" i="1"/>
  <c r="R712" i="1"/>
  <c r="J712" i="1"/>
  <c r="AD712" i="1" s="1"/>
  <c r="AK711" i="1"/>
  <c r="AF711" i="1"/>
  <c r="AA711" i="1"/>
  <c r="X711" i="1"/>
  <c r="V711" i="1"/>
  <c r="W711" i="1" s="1"/>
  <c r="T711" i="1"/>
  <c r="R711" i="1"/>
  <c r="J711" i="1"/>
  <c r="AD711" i="1" s="1"/>
  <c r="AK710" i="1"/>
  <c r="AF710" i="1"/>
  <c r="AA710" i="1"/>
  <c r="X710" i="1"/>
  <c r="V710" i="1"/>
  <c r="W710" i="1" s="1"/>
  <c r="T710" i="1"/>
  <c r="R710" i="1"/>
  <c r="J710" i="1"/>
  <c r="AD710" i="1" s="1"/>
  <c r="AK709" i="1"/>
  <c r="AF709" i="1"/>
  <c r="AA709" i="1"/>
  <c r="X709" i="1"/>
  <c r="V709" i="1"/>
  <c r="W709" i="1" s="1"/>
  <c r="T709" i="1"/>
  <c r="R709" i="1"/>
  <c r="J709" i="1"/>
  <c r="AD709" i="1" s="1"/>
  <c r="AK708" i="1"/>
  <c r="AF708" i="1"/>
  <c r="AA708" i="1"/>
  <c r="X708" i="1"/>
  <c r="V708" i="1"/>
  <c r="W708" i="1" s="1"/>
  <c r="T708" i="1"/>
  <c r="S708" i="1"/>
  <c r="R708" i="1"/>
  <c r="J708" i="1"/>
  <c r="AD708" i="1" s="1"/>
  <c r="U707" i="1"/>
  <c r="V707" i="1" s="1"/>
  <c r="W707" i="1" s="1"/>
  <c r="T707" i="1"/>
  <c r="S707" i="1"/>
  <c r="J707" i="1"/>
  <c r="AD707" i="1" s="1"/>
  <c r="AK706" i="1"/>
  <c r="AF706" i="1"/>
  <c r="AA706" i="1"/>
  <c r="X706" i="1"/>
  <c r="V706" i="1"/>
  <c r="W706" i="1" s="1"/>
  <c r="T706" i="1"/>
  <c r="S706" i="1"/>
  <c r="R706" i="1"/>
  <c r="J706" i="1"/>
  <c r="AD706" i="1" s="1"/>
  <c r="AK705" i="1"/>
  <c r="AF705" i="1"/>
  <c r="AA705" i="1"/>
  <c r="X705" i="1"/>
  <c r="V705" i="1"/>
  <c r="W705" i="1" s="1"/>
  <c r="T705" i="1"/>
  <c r="S705" i="1"/>
  <c r="R705" i="1"/>
  <c r="J705" i="1"/>
  <c r="AD705" i="1" s="1"/>
  <c r="U704" i="1"/>
  <c r="AK704" i="1" s="1"/>
  <c r="T704" i="1"/>
  <c r="S704" i="1"/>
  <c r="J704" i="1"/>
  <c r="AD704" i="1" s="1"/>
  <c r="AK703" i="1"/>
  <c r="AF703" i="1"/>
  <c r="AA703" i="1"/>
  <c r="X703" i="1"/>
  <c r="V703" i="1"/>
  <c r="W703" i="1" s="1"/>
  <c r="T703" i="1"/>
  <c r="S703" i="1"/>
  <c r="R703" i="1"/>
  <c r="J703" i="1"/>
  <c r="AD703" i="1" s="1"/>
  <c r="AK702" i="1"/>
  <c r="AF702" i="1"/>
  <c r="AA702" i="1"/>
  <c r="X702" i="1"/>
  <c r="V702" i="1"/>
  <c r="W702" i="1" s="1"/>
  <c r="T702" i="1"/>
  <c r="S702" i="1"/>
  <c r="R702" i="1"/>
  <c r="J702" i="1"/>
  <c r="AD702" i="1" s="1"/>
  <c r="AK701" i="1"/>
  <c r="AF701" i="1"/>
  <c r="AA701" i="1"/>
  <c r="X701" i="1"/>
  <c r="W701" i="1"/>
  <c r="T701" i="1"/>
  <c r="S701" i="1"/>
  <c r="R701" i="1"/>
  <c r="J701" i="1"/>
  <c r="AD701" i="1" s="1"/>
  <c r="U700" i="1"/>
  <c r="AK700" i="1" s="1"/>
  <c r="T700" i="1"/>
  <c r="S700" i="1"/>
  <c r="J700" i="1"/>
  <c r="AD700" i="1" s="1"/>
  <c r="U699" i="1"/>
  <c r="X699" i="1" s="1"/>
  <c r="T699" i="1"/>
  <c r="S699" i="1"/>
  <c r="J699" i="1"/>
  <c r="AD699" i="1" s="1"/>
  <c r="AK698" i="1"/>
  <c r="AF698" i="1"/>
  <c r="AA698" i="1"/>
  <c r="X698" i="1"/>
  <c r="W698" i="1"/>
  <c r="T698" i="1"/>
  <c r="S698" i="1"/>
  <c r="R698" i="1"/>
  <c r="J698" i="1"/>
  <c r="AD698" i="1" s="1"/>
  <c r="U697" i="1"/>
  <c r="AF697" i="1" s="1"/>
  <c r="T697" i="1"/>
  <c r="S697" i="1"/>
  <c r="J697" i="1"/>
  <c r="AD697" i="1" s="1"/>
  <c r="U696" i="1"/>
  <c r="AF696" i="1" s="1"/>
  <c r="T696" i="1"/>
  <c r="S696" i="1"/>
  <c r="J696" i="1"/>
  <c r="AD696" i="1" s="1"/>
  <c r="U695" i="1"/>
  <c r="AA695" i="1" s="1"/>
  <c r="T695" i="1"/>
  <c r="S695" i="1"/>
  <c r="J695" i="1"/>
  <c r="AD695" i="1" s="1"/>
  <c r="AK694" i="1"/>
  <c r="AF694" i="1"/>
  <c r="AA694" i="1"/>
  <c r="X694" i="1"/>
  <c r="W694" i="1"/>
  <c r="T694" i="1"/>
  <c r="S694" i="1"/>
  <c r="R694" i="1"/>
  <c r="J694" i="1"/>
  <c r="AD694" i="1" s="1"/>
  <c r="AK693" i="1"/>
  <c r="AF693" i="1"/>
  <c r="AA693" i="1"/>
  <c r="X693" i="1"/>
  <c r="W693" i="1"/>
  <c r="T693" i="1"/>
  <c r="S693" i="1"/>
  <c r="R693" i="1"/>
  <c r="J693" i="1"/>
  <c r="AD693" i="1" s="1"/>
  <c r="AK692" i="1"/>
  <c r="AF692" i="1"/>
  <c r="AA692" i="1"/>
  <c r="X692" i="1"/>
  <c r="W692" i="1"/>
  <c r="T692" i="1"/>
  <c r="S692" i="1"/>
  <c r="R692" i="1"/>
  <c r="J692" i="1"/>
  <c r="AD692" i="1" s="1"/>
  <c r="AK691" i="1"/>
  <c r="AF691" i="1"/>
  <c r="AA691" i="1"/>
  <c r="X691" i="1"/>
  <c r="V691" i="1"/>
  <c r="W691" i="1" s="1"/>
  <c r="T691" i="1"/>
  <c r="S691" i="1"/>
  <c r="R691" i="1"/>
  <c r="J691" i="1"/>
  <c r="AD691" i="1" s="1"/>
  <c r="AK690" i="1"/>
  <c r="AF690" i="1"/>
  <c r="AA690" i="1"/>
  <c r="X690" i="1"/>
  <c r="V690" i="1"/>
  <c r="W690" i="1" s="1"/>
  <c r="T690" i="1"/>
  <c r="S690" i="1"/>
  <c r="R690" i="1"/>
  <c r="J690" i="1"/>
  <c r="AD690" i="1" s="1"/>
  <c r="AK689" i="1"/>
  <c r="AF689" i="1"/>
  <c r="AA689" i="1"/>
  <c r="X689" i="1"/>
  <c r="V689" i="1"/>
  <c r="W689" i="1" s="1"/>
  <c r="T689" i="1"/>
  <c r="S689" i="1"/>
  <c r="R689" i="1"/>
  <c r="J689" i="1"/>
  <c r="AD689" i="1" s="1"/>
  <c r="AK688" i="1"/>
  <c r="AF688" i="1"/>
  <c r="AA688" i="1"/>
  <c r="X688" i="1"/>
  <c r="V688" i="1"/>
  <c r="W688" i="1" s="1"/>
  <c r="T688" i="1"/>
  <c r="S688" i="1"/>
  <c r="R688" i="1"/>
  <c r="J688" i="1"/>
  <c r="AD688" i="1" s="1"/>
  <c r="AK687" i="1"/>
  <c r="AF687" i="1"/>
  <c r="AA687" i="1"/>
  <c r="X687" i="1"/>
  <c r="V687" i="1"/>
  <c r="W687" i="1" s="1"/>
  <c r="T687" i="1"/>
  <c r="S687" i="1"/>
  <c r="R687" i="1"/>
  <c r="J687" i="1"/>
  <c r="AD687" i="1" s="1"/>
  <c r="U686" i="1"/>
  <c r="V686" i="1" s="1"/>
  <c r="W686" i="1" s="1"/>
  <c r="T686" i="1"/>
  <c r="S686" i="1"/>
  <c r="J686" i="1"/>
  <c r="AD686" i="1" s="1"/>
  <c r="AK685" i="1"/>
  <c r="AF685" i="1"/>
  <c r="AA685" i="1"/>
  <c r="X685" i="1"/>
  <c r="V685" i="1"/>
  <c r="W685" i="1" s="1"/>
  <c r="T685" i="1"/>
  <c r="S685" i="1"/>
  <c r="R685" i="1"/>
  <c r="J685" i="1"/>
  <c r="AD685" i="1" s="1"/>
  <c r="AK684" i="1"/>
  <c r="AF684" i="1"/>
  <c r="AA684" i="1"/>
  <c r="X684" i="1"/>
  <c r="W684" i="1"/>
  <c r="T684" i="1"/>
  <c r="S684" i="1"/>
  <c r="R684" i="1"/>
  <c r="J684" i="1"/>
  <c r="AD684" i="1" s="1"/>
  <c r="AK683" i="1"/>
  <c r="AF683" i="1"/>
  <c r="AA683" i="1"/>
  <c r="X683" i="1"/>
  <c r="V683" i="1"/>
  <c r="W683" i="1" s="1"/>
  <c r="T683" i="1"/>
  <c r="S683" i="1"/>
  <c r="R683" i="1"/>
  <c r="J683" i="1"/>
  <c r="AD683" i="1" s="1"/>
  <c r="AK682" i="1"/>
  <c r="AF682" i="1"/>
  <c r="AA682" i="1"/>
  <c r="X682" i="1"/>
  <c r="V682" i="1"/>
  <c r="W682" i="1" s="1"/>
  <c r="T682" i="1"/>
  <c r="S682" i="1"/>
  <c r="R682" i="1"/>
  <c r="J682" i="1"/>
  <c r="AD682" i="1" s="1"/>
  <c r="AK681" i="1"/>
  <c r="AF681" i="1"/>
  <c r="AA681" i="1"/>
  <c r="X681" i="1"/>
  <c r="V681" i="1"/>
  <c r="W681" i="1" s="1"/>
  <c r="T681" i="1"/>
  <c r="S681" i="1"/>
  <c r="R681" i="1"/>
  <c r="J681" i="1"/>
  <c r="AD681" i="1" s="1"/>
  <c r="AK680" i="1"/>
  <c r="AF680" i="1"/>
  <c r="AA680" i="1"/>
  <c r="X680" i="1"/>
  <c r="V680" i="1"/>
  <c r="W680" i="1" s="1"/>
  <c r="T680" i="1"/>
  <c r="S680" i="1"/>
  <c r="R680" i="1"/>
  <c r="J680" i="1"/>
  <c r="AD680" i="1" s="1"/>
  <c r="AK679" i="1"/>
  <c r="AF679" i="1"/>
  <c r="AA679" i="1"/>
  <c r="X679" i="1"/>
  <c r="V679" i="1"/>
  <c r="W679" i="1" s="1"/>
  <c r="T679" i="1"/>
  <c r="S679" i="1"/>
  <c r="R679" i="1"/>
  <c r="J679" i="1"/>
  <c r="AD679" i="1" s="1"/>
  <c r="AK678" i="1"/>
  <c r="AF678" i="1"/>
  <c r="AA678" i="1"/>
  <c r="X678" i="1"/>
  <c r="V678" i="1"/>
  <c r="W678" i="1" s="1"/>
  <c r="T678" i="1"/>
  <c r="S678" i="1"/>
  <c r="R678" i="1"/>
  <c r="J678" i="1"/>
  <c r="AD678" i="1" s="1"/>
  <c r="AK677" i="1"/>
  <c r="AF677" i="1"/>
  <c r="AA677" i="1"/>
  <c r="X677" i="1"/>
  <c r="V677" i="1"/>
  <c r="W677" i="1" s="1"/>
  <c r="T677" i="1"/>
  <c r="S677" i="1"/>
  <c r="R677" i="1"/>
  <c r="J677" i="1"/>
  <c r="AD677" i="1" s="1"/>
  <c r="U676" i="1"/>
  <c r="AA676" i="1" s="1"/>
  <c r="T676" i="1"/>
  <c r="S676" i="1"/>
  <c r="J676" i="1"/>
  <c r="AD676" i="1" s="1"/>
  <c r="AK675" i="1"/>
  <c r="AF675" i="1"/>
  <c r="AA675" i="1"/>
  <c r="X675" i="1"/>
  <c r="V675" i="1"/>
  <c r="W675" i="1" s="1"/>
  <c r="T675" i="1"/>
  <c r="S675" i="1"/>
  <c r="R675" i="1"/>
  <c r="J675" i="1"/>
  <c r="AD675" i="1" s="1"/>
  <c r="AK674" i="1"/>
  <c r="AF674" i="1"/>
  <c r="AA674" i="1"/>
  <c r="X674" i="1"/>
  <c r="V674" i="1"/>
  <c r="W674" i="1" s="1"/>
  <c r="T674" i="1"/>
  <c r="S674" i="1"/>
  <c r="R674" i="1"/>
  <c r="J674" i="1"/>
  <c r="AD674" i="1" s="1"/>
  <c r="AK673" i="1"/>
  <c r="AF673" i="1"/>
  <c r="AA673" i="1"/>
  <c r="X673" i="1"/>
  <c r="V673" i="1"/>
  <c r="W673" i="1" s="1"/>
  <c r="T673" i="1"/>
  <c r="S673" i="1"/>
  <c r="R673" i="1"/>
  <c r="J673" i="1"/>
  <c r="AD673" i="1" s="1"/>
  <c r="AK672" i="1"/>
  <c r="AF672" i="1"/>
  <c r="AA672" i="1"/>
  <c r="X672" i="1"/>
  <c r="W672" i="1"/>
  <c r="T672" i="1"/>
  <c r="S672" i="1"/>
  <c r="R672" i="1"/>
  <c r="J672" i="1"/>
  <c r="AD672" i="1" s="1"/>
  <c r="AK671" i="1"/>
  <c r="AF671" i="1"/>
  <c r="AA671" i="1"/>
  <c r="X671" i="1"/>
  <c r="W671" i="1"/>
  <c r="T671" i="1"/>
  <c r="S671" i="1"/>
  <c r="R671" i="1"/>
  <c r="J671" i="1"/>
  <c r="AD671" i="1" s="1"/>
  <c r="AK670" i="1"/>
  <c r="AF670" i="1"/>
  <c r="AA670" i="1"/>
  <c r="X670" i="1"/>
  <c r="V670" i="1"/>
  <c r="W670" i="1" s="1"/>
  <c r="T670" i="1"/>
  <c r="S670" i="1"/>
  <c r="R670" i="1"/>
  <c r="J670" i="1"/>
  <c r="AD670" i="1" s="1"/>
  <c r="AK669" i="1"/>
  <c r="AF669" i="1"/>
  <c r="AA669" i="1"/>
  <c r="X669" i="1"/>
  <c r="V669" i="1"/>
  <c r="W669" i="1" s="1"/>
  <c r="T669" i="1"/>
  <c r="S669" i="1"/>
  <c r="R669" i="1"/>
  <c r="J669" i="1"/>
  <c r="AD669" i="1" s="1"/>
  <c r="AK668" i="1"/>
  <c r="AF668" i="1"/>
  <c r="AA668" i="1"/>
  <c r="X668" i="1"/>
  <c r="V668" i="1"/>
  <c r="W668" i="1" s="1"/>
  <c r="T668" i="1"/>
  <c r="S668" i="1"/>
  <c r="R668" i="1"/>
  <c r="J668" i="1"/>
  <c r="AD668" i="1" s="1"/>
  <c r="AK667" i="1"/>
  <c r="AF667" i="1"/>
  <c r="AA667" i="1"/>
  <c r="X667" i="1"/>
  <c r="V667" i="1"/>
  <c r="W667" i="1" s="1"/>
  <c r="T667" i="1"/>
  <c r="S667" i="1"/>
  <c r="R667" i="1"/>
  <c r="J667" i="1"/>
  <c r="AD667" i="1" s="1"/>
  <c r="AK666" i="1"/>
  <c r="AF666" i="1"/>
  <c r="AA666" i="1"/>
  <c r="X666" i="1"/>
  <c r="V666" i="1"/>
  <c r="W666" i="1" s="1"/>
  <c r="T666" i="1"/>
  <c r="S666" i="1"/>
  <c r="R666" i="1"/>
  <c r="J666" i="1"/>
  <c r="AD666" i="1" s="1"/>
  <c r="AK665" i="1"/>
  <c r="AF665" i="1"/>
  <c r="AA665" i="1"/>
  <c r="X665" i="1"/>
  <c r="V665" i="1"/>
  <c r="W665" i="1" s="1"/>
  <c r="T665" i="1"/>
  <c r="S665" i="1"/>
  <c r="R665" i="1"/>
  <c r="J665" i="1"/>
  <c r="AD665" i="1" s="1"/>
  <c r="AK664" i="1"/>
  <c r="AF664" i="1"/>
  <c r="AA664" i="1"/>
  <c r="X664" i="1"/>
  <c r="V664" i="1"/>
  <c r="W664" i="1" s="1"/>
  <c r="T664" i="1"/>
  <c r="S664" i="1"/>
  <c r="R664" i="1"/>
  <c r="J664" i="1"/>
  <c r="AD664" i="1" s="1"/>
  <c r="AK663" i="1"/>
  <c r="AF663" i="1"/>
  <c r="AA663" i="1"/>
  <c r="X663" i="1"/>
  <c r="V663" i="1"/>
  <c r="W663" i="1" s="1"/>
  <c r="T663" i="1"/>
  <c r="S663" i="1"/>
  <c r="R663" i="1"/>
  <c r="J663" i="1"/>
  <c r="AD663" i="1" s="1"/>
  <c r="AK662" i="1"/>
  <c r="AF662" i="1"/>
  <c r="AA662" i="1"/>
  <c r="X662" i="1"/>
  <c r="V662" i="1"/>
  <c r="W662" i="1" s="1"/>
  <c r="T662" i="1"/>
  <c r="S662" i="1"/>
  <c r="R662" i="1"/>
  <c r="J662" i="1"/>
  <c r="AD662" i="1" s="1"/>
  <c r="AK661" i="1"/>
  <c r="AF661" i="1"/>
  <c r="AA661" i="1"/>
  <c r="X661" i="1"/>
  <c r="V661" i="1"/>
  <c r="W661" i="1" s="1"/>
  <c r="T661" i="1"/>
  <c r="S661" i="1"/>
  <c r="R661" i="1"/>
  <c r="J661" i="1"/>
  <c r="AD661" i="1" s="1"/>
  <c r="U660" i="1"/>
  <c r="AK660" i="1" s="1"/>
  <c r="T660" i="1"/>
  <c r="S660" i="1"/>
  <c r="J660" i="1"/>
  <c r="AD660" i="1" s="1"/>
  <c r="AK659" i="1"/>
  <c r="AF659" i="1"/>
  <c r="AA659" i="1"/>
  <c r="X659" i="1"/>
  <c r="V659" i="1"/>
  <c r="W659" i="1" s="1"/>
  <c r="T659" i="1"/>
  <c r="S659" i="1"/>
  <c r="R659" i="1"/>
  <c r="J659" i="1"/>
  <c r="AD659" i="1" s="1"/>
  <c r="U658" i="1"/>
  <c r="V658" i="1" s="1"/>
  <c r="W658" i="1" s="1"/>
  <c r="T658" i="1"/>
  <c r="S658" i="1"/>
  <c r="J658" i="1"/>
  <c r="AD658" i="1" s="1"/>
  <c r="Y728" i="1" l="1"/>
  <c r="Y709" i="1"/>
  <c r="AH706" i="1"/>
  <c r="AH711" i="1"/>
  <c r="Y714" i="1"/>
  <c r="Y659" i="1"/>
  <c r="AH710" i="1"/>
  <c r="AH730" i="1"/>
  <c r="R704" i="1"/>
  <c r="Y706" i="1"/>
  <c r="Y726" i="1"/>
  <c r="Y703" i="1"/>
  <c r="Y712" i="1"/>
  <c r="Y683" i="1"/>
  <c r="AH681" i="1"/>
  <c r="AH717" i="1"/>
  <c r="Y724" i="1"/>
  <c r="AH677" i="1"/>
  <c r="AH734" i="1"/>
  <c r="AH689" i="1"/>
  <c r="AH675" i="1"/>
  <c r="AH666" i="1"/>
  <c r="AH668" i="1"/>
  <c r="Y672" i="1"/>
  <c r="AH701" i="1"/>
  <c r="V704" i="1"/>
  <c r="W704" i="1" s="1"/>
  <c r="AH726" i="1"/>
  <c r="Y673" i="1"/>
  <c r="Y689" i="1"/>
  <c r="Y666" i="1"/>
  <c r="Y685" i="1"/>
  <c r="AH673" i="1"/>
  <c r="AH731" i="1"/>
  <c r="Y667" i="1"/>
  <c r="Y675" i="1"/>
  <c r="Y679" i="1"/>
  <c r="Y708" i="1"/>
  <c r="Y663" i="1"/>
  <c r="Y670" i="1"/>
  <c r="Y680" i="1"/>
  <c r="Y691" i="1"/>
  <c r="Y698" i="1"/>
  <c r="Y719" i="1"/>
  <c r="Y722" i="1"/>
  <c r="Y733" i="1"/>
  <c r="AH679" i="1"/>
  <c r="AH685" i="1"/>
  <c r="AH690" i="1"/>
  <c r="AH718" i="1"/>
  <c r="Y729" i="1"/>
  <c r="Y688" i="1"/>
  <c r="AH698" i="1"/>
  <c r="Y705" i="1"/>
  <c r="Y730" i="1"/>
  <c r="Y671" i="1"/>
  <c r="AK658" i="1"/>
  <c r="AH662" i="1"/>
  <c r="AH672" i="1"/>
  <c r="X704" i="1"/>
  <c r="R720" i="1"/>
  <c r="AH724" i="1"/>
  <c r="AH728" i="1"/>
  <c r="Y662" i="1"/>
  <c r="AA704" i="1"/>
  <c r="Y721" i="1"/>
  <c r="AH669" i="1"/>
  <c r="AH682" i="1"/>
  <c r="AH691" i="1"/>
  <c r="AF695" i="1"/>
  <c r="V700" i="1"/>
  <c r="W700" i="1" s="1"/>
  <c r="Y701" i="1"/>
  <c r="AF715" i="1"/>
  <c r="AH715" i="1" s="1"/>
  <c r="AK718" i="1"/>
  <c r="AH664" i="1"/>
  <c r="AH670" i="1"/>
  <c r="AH678" i="1"/>
  <c r="AH692" i="1"/>
  <c r="AA700" i="1"/>
  <c r="AH713" i="1"/>
  <c r="AH722" i="1"/>
  <c r="Y725" i="1"/>
  <c r="AH732" i="1"/>
  <c r="Y661" i="1"/>
  <c r="AH671" i="1"/>
  <c r="Y677" i="1"/>
  <c r="AH687" i="1"/>
  <c r="V697" i="1"/>
  <c r="W697" i="1" s="1"/>
  <c r="AF700" i="1"/>
  <c r="AH700" i="1" s="1"/>
  <c r="AH723" i="1"/>
  <c r="AH696" i="1"/>
  <c r="R700" i="1"/>
  <c r="AH702" i="1"/>
  <c r="R715" i="1"/>
  <c r="X660" i="1"/>
  <c r="AH667" i="1"/>
  <c r="AF676" i="1"/>
  <c r="AH676" i="1" s="1"/>
  <c r="AH703" i="1"/>
  <c r="Y732" i="1"/>
  <c r="Y665" i="1"/>
  <c r="AH674" i="1"/>
  <c r="Y684" i="1"/>
  <c r="Y687" i="1"/>
  <c r="R699" i="1"/>
  <c r="AF704" i="1"/>
  <c r="AH704" i="1" s="1"/>
  <c r="Y710" i="1"/>
  <c r="Y717" i="1"/>
  <c r="AH735" i="1"/>
  <c r="X686" i="1"/>
  <c r="Y686" i="1" s="1"/>
  <c r="Y693" i="1"/>
  <c r="AH716" i="1"/>
  <c r="AH719" i="1"/>
  <c r="Y731" i="1"/>
  <c r="AH733" i="1"/>
  <c r="AH659" i="1"/>
  <c r="V660" i="1"/>
  <c r="W660" i="1" s="1"/>
  <c r="AH663" i="1"/>
  <c r="Y682" i="1"/>
  <c r="AH684" i="1"/>
  <c r="Y694" i="1"/>
  <c r="V718" i="1"/>
  <c r="W718" i="1" s="1"/>
  <c r="AH721" i="1"/>
  <c r="X727" i="1"/>
  <c r="AK686" i="1"/>
  <c r="Y690" i="1"/>
  <c r="AH695" i="1"/>
  <c r="Y702" i="1"/>
  <c r="AH709" i="1"/>
  <c r="AH712" i="1"/>
  <c r="Y713" i="1"/>
  <c r="AH725" i="1"/>
  <c r="Y735" i="1"/>
  <c r="AK676" i="1"/>
  <c r="AH693" i="1"/>
  <c r="AK695" i="1"/>
  <c r="X707" i="1"/>
  <c r="Y707" i="1" s="1"/>
  <c r="X718" i="1"/>
  <c r="Y723" i="1"/>
  <c r="AA660" i="1"/>
  <c r="AH665" i="1"/>
  <c r="Y668" i="1"/>
  <c r="Y681" i="1"/>
  <c r="AH694" i="1"/>
  <c r="AH705" i="1"/>
  <c r="V715" i="1"/>
  <c r="W715" i="1" s="1"/>
  <c r="Y716" i="1"/>
  <c r="AA718" i="1"/>
  <c r="AH688" i="1"/>
  <c r="AF660" i="1"/>
  <c r="AH660" i="1" s="1"/>
  <c r="Y678" i="1"/>
  <c r="AK707" i="1"/>
  <c r="Y711" i="1"/>
  <c r="X715" i="1"/>
  <c r="R718" i="1"/>
  <c r="R660" i="1"/>
  <c r="X658" i="1"/>
  <c r="Y658" i="1" s="1"/>
  <c r="AH661" i="1"/>
  <c r="Y664" i="1"/>
  <c r="Y669" i="1"/>
  <c r="Y674" i="1"/>
  <c r="AH680" i="1"/>
  <c r="AI680" i="1" s="1"/>
  <c r="AH683" i="1"/>
  <c r="Y692" i="1"/>
  <c r="AK697" i="1"/>
  <c r="AA699" i="1"/>
  <c r="X700" i="1"/>
  <c r="AH708" i="1"/>
  <c r="AH714" i="1"/>
  <c r="AA715" i="1"/>
  <c r="AA720" i="1"/>
  <c r="AH729" i="1"/>
  <c r="Y734" i="1"/>
  <c r="AH697" i="1"/>
  <c r="V696" i="1"/>
  <c r="W696" i="1" s="1"/>
  <c r="R658" i="1"/>
  <c r="AA658" i="1"/>
  <c r="V676" i="1"/>
  <c r="W676" i="1" s="1"/>
  <c r="R686" i="1"/>
  <c r="AA686" i="1"/>
  <c r="V695" i="1"/>
  <c r="W695" i="1" s="1"/>
  <c r="AK696" i="1"/>
  <c r="X697" i="1"/>
  <c r="AF699" i="1"/>
  <c r="AH699" i="1" s="1"/>
  <c r="R707" i="1"/>
  <c r="AA707" i="1"/>
  <c r="AF720" i="1"/>
  <c r="AH720" i="1" s="1"/>
  <c r="R727" i="1"/>
  <c r="AA727" i="1"/>
  <c r="AF658" i="1"/>
  <c r="AH658" i="1" s="1"/>
  <c r="X676" i="1"/>
  <c r="AF686" i="1"/>
  <c r="AH686" i="1" s="1"/>
  <c r="X695" i="1"/>
  <c r="R697" i="1"/>
  <c r="AA697" i="1"/>
  <c r="V699" i="1"/>
  <c r="W699" i="1" s="1"/>
  <c r="Y699" i="1" s="1"/>
  <c r="AF707" i="1"/>
  <c r="AH707" i="1" s="1"/>
  <c r="V720" i="1"/>
  <c r="W720" i="1" s="1"/>
  <c r="Y720" i="1" s="1"/>
  <c r="AF727" i="1"/>
  <c r="AH727" i="1" s="1"/>
  <c r="X696" i="1"/>
  <c r="R696" i="1"/>
  <c r="AA696" i="1"/>
  <c r="AK699" i="1"/>
  <c r="AK720" i="1"/>
  <c r="R676" i="1"/>
  <c r="R695" i="1"/>
  <c r="V727" i="1"/>
  <c r="W727" i="1" s="1"/>
  <c r="AI693" i="1" l="1"/>
  <c r="AI714" i="1"/>
  <c r="AI711" i="1"/>
  <c r="AI686" i="1"/>
  <c r="AI726" i="1"/>
  <c r="AI712" i="1"/>
  <c r="AI666" i="1"/>
  <c r="AI731" i="1"/>
  <c r="AI708" i="1"/>
  <c r="AI728" i="1"/>
  <c r="AI687" i="1"/>
  <c r="Y697" i="1"/>
  <c r="AI697" i="1" s="1"/>
  <c r="AI703" i="1"/>
  <c r="AI659" i="1"/>
  <c r="AI667" i="1"/>
  <c r="AI706" i="1"/>
  <c r="AI683" i="1"/>
  <c r="AI733" i="1"/>
  <c r="AI662" i="1"/>
  <c r="AI725" i="1"/>
  <c r="AI691" i="1"/>
  <c r="AI709" i="1"/>
  <c r="AI724" i="1"/>
  <c r="AI730" i="1"/>
  <c r="AI673" i="1"/>
  <c r="AI717" i="1"/>
  <c r="AI672" i="1"/>
  <c r="AI675" i="1"/>
  <c r="AI734" i="1"/>
  <c r="AI668" i="1"/>
  <c r="AI663" i="1"/>
  <c r="AI671" i="1"/>
  <c r="AI692" i="1"/>
  <c r="AI688" i="1"/>
  <c r="AI670" i="1"/>
  <c r="AI679" i="1"/>
  <c r="AI689" i="1"/>
  <c r="AI710" i="1"/>
  <c r="AI681" i="1"/>
  <c r="AI674" i="1"/>
  <c r="AI705" i="1"/>
  <c r="AI701" i="1"/>
  <c r="Y704" i="1"/>
  <c r="AI704" i="1" s="1"/>
  <c r="Y715" i="1"/>
  <c r="AI715" i="1" s="1"/>
  <c r="AI661" i="1"/>
  <c r="AI719" i="1"/>
  <c r="AI716" i="1"/>
  <c r="AI685" i="1"/>
  <c r="Y727" i="1"/>
  <c r="AI727" i="1" s="1"/>
  <c r="AI678" i="1"/>
  <c r="AI677" i="1"/>
  <c r="AI694" i="1"/>
  <c r="AI729" i="1"/>
  <c r="AI690" i="1"/>
  <c r="Y660" i="1"/>
  <c r="AI660" i="1" s="1"/>
  <c r="AI682" i="1"/>
  <c r="Y696" i="1"/>
  <c r="AI696" i="1" s="1"/>
  <c r="AI721" i="1"/>
  <c r="AI698" i="1"/>
  <c r="AI722" i="1"/>
  <c r="AI664" i="1"/>
  <c r="AI732" i="1"/>
  <c r="Y700" i="1"/>
  <c r="AI700" i="1" s="1"/>
  <c r="AI669" i="1"/>
  <c r="AI723" i="1"/>
  <c r="AI702" i="1"/>
  <c r="Y718" i="1"/>
  <c r="AI718" i="1" s="1"/>
  <c r="AI658" i="1"/>
  <c r="AI684" i="1"/>
  <c r="Y695" i="1"/>
  <c r="AI695" i="1" s="1"/>
  <c r="AI665" i="1"/>
  <c r="AI735" i="1"/>
  <c r="AI713" i="1"/>
  <c r="AI707" i="1"/>
  <c r="AI720" i="1"/>
  <c r="Y676" i="1"/>
  <c r="AI676" i="1" s="1"/>
  <c r="AI699" i="1"/>
  <c r="BC45" i="1"/>
  <c r="BD45" i="1"/>
  <c r="BC51" i="1"/>
  <c r="BD51" i="1"/>
  <c r="AR13" i="1"/>
  <c r="AQ13" i="1"/>
  <c r="AP11" i="1"/>
  <c r="AP10" i="1"/>
  <c r="AR9" i="1"/>
  <c r="AQ9" i="1"/>
  <c r="AP9" i="1"/>
  <c r="AR8" i="1"/>
  <c r="AQ8" i="1"/>
  <c r="AP8" i="1"/>
  <c r="AR7" i="1"/>
  <c r="AQ7" i="1"/>
  <c r="AP7" i="1"/>
  <c r="AR6" i="1"/>
  <c r="AQ6" i="1"/>
  <c r="AP6" i="1"/>
  <c r="AR3" i="1"/>
  <c r="AQ3" i="1"/>
  <c r="AP3" i="1"/>
  <c r="AK657" i="1"/>
  <c r="AF657" i="1"/>
  <c r="AA657" i="1"/>
  <c r="X657" i="1"/>
  <c r="W657" i="1"/>
  <c r="T657" i="1"/>
  <c r="S657" i="1"/>
  <c r="R657" i="1"/>
  <c r="J657" i="1"/>
  <c r="AD657" i="1" s="1"/>
  <c r="U656" i="1"/>
  <c r="AF656" i="1" s="1"/>
  <c r="T656" i="1"/>
  <c r="S656" i="1"/>
  <c r="J656" i="1"/>
  <c r="AD656" i="1" s="1"/>
  <c r="AK655" i="1"/>
  <c r="AF655" i="1"/>
  <c r="AA655" i="1"/>
  <c r="X655" i="1"/>
  <c r="W655" i="1"/>
  <c r="T655" i="1"/>
  <c r="S655" i="1"/>
  <c r="R655" i="1"/>
  <c r="J655" i="1"/>
  <c r="AD655" i="1" s="1"/>
  <c r="U654" i="1"/>
  <c r="AA654" i="1" s="1"/>
  <c r="T654" i="1"/>
  <c r="S654" i="1"/>
  <c r="J654" i="1"/>
  <c r="AD654" i="1" s="1"/>
  <c r="AD653" i="1"/>
  <c r="U653" i="1"/>
  <c r="AF653" i="1" s="1"/>
  <c r="T653" i="1"/>
  <c r="S653" i="1"/>
  <c r="AK652" i="1"/>
  <c r="AF652" i="1"/>
  <c r="AD652" i="1"/>
  <c r="AA652" i="1"/>
  <c r="X652" i="1"/>
  <c r="W652" i="1"/>
  <c r="T652" i="1"/>
  <c r="S652" i="1"/>
  <c r="R652" i="1"/>
  <c r="U651" i="1"/>
  <c r="AK651" i="1" s="1"/>
  <c r="T651" i="1"/>
  <c r="S651" i="1"/>
  <c r="J651" i="1"/>
  <c r="AD651" i="1" s="1"/>
  <c r="U650" i="1"/>
  <c r="V650" i="1" s="1"/>
  <c r="W650" i="1" s="1"/>
  <c r="T650" i="1"/>
  <c r="S650" i="1"/>
  <c r="J650" i="1"/>
  <c r="AD650" i="1" s="1"/>
  <c r="U649" i="1"/>
  <c r="V649" i="1" s="1"/>
  <c r="W649" i="1" s="1"/>
  <c r="T649" i="1"/>
  <c r="S649" i="1"/>
  <c r="J649" i="1"/>
  <c r="AD649" i="1" s="1"/>
  <c r="U648" i="1"/>
  <c r="V648" i="1" s="1"/>
  <c r="W648" i="1" s="1"/>
  <c r="T648" i="1"/>
  <c r="S648" i="1"/>
  <c r="J648" i="1"/>
  <c r="AD648" i="1" s="1"/>
  <c r="U647" i="1"/>
  <c r="AA647" i="1" s="1"/>
  <c r="T647" i="1"/>
  <c r="S647" i="1"/>
  <c r="J647" i="1"/>
  <c r="AD647" i="1" s="1"/>
  <c r="U646" i="1"/>
  <c r="AF646" i="1" s="1"/>
  <c r="T646" i="1"/>
  <c r="S646" i="1"/>
  <c r="J646" i="1"/>
  <c r="AD646" i="1" s="1"/>
  <c r="U645" i="1"/>
  <c r="T645" i="1"/>
  <c r="S645" i="1"/>
  <c r="J645" i="1"/>
  <c r="AD645" i="1" s="1"/>
  <c r="AK644" i="1"/>
  <c r="AF644" i="1"/>
  <c r="AA644" i="1"/>
  <c r="X644" i="1"/>
  <c r="W644" i="1"/>
  <c r="T644" i="1"/>
  <c r="S644" i="1"/>
  <c r="R644" i="1"/>
  <c r="J644" i="1"/>
  <c r="AD644" i="1" s="1"/>
  <c r="AK643" i="1"/>
  <c r="AF643" i="1"/>
  <c r="AA643" i="1"/>
  <c r="X643" i="1"/>
  <c r="V643" i="1"/>
  <c r="W643" i="1" s="1"/>
  <c r="T643" i="1"/>
  <c r="S643" i="1"/>
  <c r="R643" i="1"/>
  <c r="J643" i="1"/>
  <c r="AD643" i="1" s="1"/>
  <c r="AK642" i="1"/>
  <c r="AF642" i="1"/>
  <c r="AA642" i="1"/>
  <c r="X642" i="1"/>
  <c r="V642" i="1"/>
  <c r="W642" i="1" s="1"/>
  <c r="T642" i="1"/>
  <c r="S642" i="1"/>
  <c r="R642" i="1"/>
  <c r="J642" i="1"/>
  <c r="AD642" i="1" s="1"/>
  <c r="U641" i="1"/>
  <c r="AF641" i="1" s="1"/>
  <c r="T641" i="1"/>
  <c r="S641" i="1"/>
  <c r="J641" i="1"/>
  <c r="AD641" i="1" s="1"/>
  <c r="U640" i="1"/>
  <c r="AA640" i="1" s="1"/>
  <c r="T640" i="1"/>
  <c r="S640" i="1"/>
  <c r="J640" i="1"/>
  <c r="AD640" i="1" s="1"/>
  <c r="AK639" i="1"/>
  <c r="AF639" i="1"/>
  <c r="AA639" i="1"/>
  <c r="X639" i="1"/>
  <c r="W639" i="1"/>
  <c r="T639" i="1"/>
  <c r="S639" i="1"/>
  <c r="R639" i="1"/>
  <c r="J639" i="1"/>
  <c r="AD639" i="1" s="1"/>
  <c r="U638" i="1"/>
  <c r="V638" i="1" s="1"/>
  <c r="W638" i="1" s="1"/>
  <c r="T638" i="1"/>
  <c r="S638" i="1"/>
  <c r="J638" i="1"/>
  <c r="AD638" i="1" s="1"/>
  <c r="U637" i="1"/>
  <c r="AA637" i="1" s="1"/>
  <c r="T637" i="1"/>
  <c r="S637" i="1"/>
  <c r="J637" i="1"/>
  <c r="AD637" i="1" s="1"/>
  <c r="U636" i="1"/>
  <c r="AF636" i="1" s="1"/>
  <c r="T636" i="1"/>
  <c r="S636" i="1"/>
  <c r="J636" i="1"/>
  <c r="AD636" i="1" s="1"/>
  <c r="U635" i="1"/>
  <c r="AA635" i="1" s="1"/>
  <c r="T635" i="1"/>
  <c r="S635" i="1"/>
  <c r="J635" i="1"/>
  <c r="AD635" i="1" s="1"/>
  <c r="AK634" i="1"/>
  <c r="AF634" i="1"/>
  <c r="AA634" i="1"/>
  <c r="X634" i="1"/>
  <c r="V634" i="1"/>
  <c r="W634" i="1" s="1"/>
  <c r="T634" i="1"/>
  <c r="S634" i="1"/>
  <c r="R634" i="1"/>
  <c r="J634" i="1"/>
  <c r="AD634" i="1" s="1"/>
  <c r="U633" i="1"/>
  <c r="X633" i="1" s="1"/>
  <c r="T633" i="1"/>
  <c r="S633" i="1"/>
  <c r="J633" i="1"/>
  <c r="AD633" i="1" s="1"/>
  <c r="AK632" i="1"/>
  <c r="AF632" i="1"/>
  <c r="AA632" i="1"/>
  <c r="X632" i="1"/>
  <c r="V632" i="1"/>
  <c r="W632" i="1" s="1"/>
  <c r="T632" i="1"/>
  <c r="R632" i="1"/>
  <c r="J632" i="1"/>
  <c r="AD632" i="1" s="1"/>
  <c r="AK631" i="1"/>
  <c r="AF631" i="1"/>
  <c r="AA631" i="1"/>
  <c r="X631" i="1"/>
  <c r="V631" i="1"/>
  <c r="W631" i="1" s="1"/>
  <c r="T631" i="1"/>
  <c r="R631" i="1"/>
  <c r="J631" i="1"/>
  <c r="AD631" i="1" s="1"/>
  <c r="AK630" i="1"/>
  <c r="AF630" i="1"/>
  <c r="AA630" i="1"/>
  <c r="X630" i="1"/>
  <c r="V630" i="1"/>
  <c r="W630" i="1" s="1"/>
  <c r="T630" i="1"/>
  <c r="R630" i="1"/>
  <c r="J630" i="1"/>
  <c r="AD630" i="1" s="1"/>
  <c r="AK629" i="1"/>
  <c r="AF629" i="1"/>
  <c r="AA629" i="1"/>
  <c r="X629" i="1"/>
  <c r="V629" i="1"/>
  <c r="W629" i="1" s="1"/>
  <c r="T629" i="1"/>
  <c r="R629" i="1"/>
  <c r="J629" i="1"/>
  <c r="AD629" i="1" s="1"/>
  <c r="U628" i="1"/>
  <c r="AF628" i="1" s="1"/>
  <c r="T628" i="1"/>
  <c r="S628" i="1"/>
  <c r="J628" i="1"/>
  <c r="AD628" i="1" s="1"/>
  <c r="U627" i="1"/>
  <c r="V627" i="1" s="1"/>
  <c r="W627" i="1" s="1"/>
  <c r="T627" i="1"/>
  <c r="S627" i="1"/>
  <c r="J627" i="1"/>
  <c r="AD627" i="1" s="1"/>
  <c r="U626" i="1"/>
  <c r="AK626" i="1" s="1"/>
  <c r="T626" i="1"/>
  <c r="S626" i="1"/>
  <c r="J626" i="1"/>
  <c r="AD626" i="1" s="1"/>
  <c r="AK625" i="1"/>
  <c r="AF625" i="1"/>
  <c r="AA625" i="1"/>
  <c r="X625" i="1"/>
  <c r="W625" i="1"/>
  <c r="T625" i="1"/>
  <c r="S625" i="1"/>
  <c r="R625" i="1"/>
  <c r="J625" i="1"/>
  <c r="AD625" i="1" s="1"/>
  <c r="AK624" i="1"/>
  <c r="AF624" i="1"/>
  <c r="AA624" i="1"/>
  <c r="X624" i="1"/>
  <c r="W624" i="1"/>
  <c r="T624" i="1"/>
  <c r="S624" i="1"/>
  <c r="R624" i="1"/>
  <c r="J624" i="1"/>
  <c r="AD624" i="1" s="1"/>
  <c r="AK623" i="1"/>
  <c r="AF623" i="1"/>
  <c r="AA623" i="1"/>
  <c r="X623" i="1"/>
  <c r="W623" i="1"/>
  <c r="T623" i="1"/>
  <c r="S623" i="1"/>
  <c r="R623" i="1"/>
  <c r="J623" i="1"/>
  <c r="AD623" i="1" s="1"/>
  <c r="U622" i="1"/>
  <c r="X622" i="1" s="1"/>
  <c r="T622" i="1"/>
  <c r="S622" i="1"/>
  <c r="J622" i="1"/>
  <c r="AD622" i="1" s="1"/>
  <c r="U621" i="1"/>
  <c r="AA621" i="1" s="1"/>
  <c r="T621" i="1"/>
  <c r="S621" i="1"/>
  <c r="J621" i="1"/>
  <c r="AD621" i="1" s="1"/>
  <c r="AK620" i="1"/>
  <c r="AF620" i="1"/>
  <c r="AA620" i="1"/>
  <c r="X620" i="1"/>
  <c r="V620" i="1"/>
  <c r="W620" i="1" s="1"/>
  <c r="T620" i="1"/>
  <c r="S620" i="1"/>
  <c r="R620" i="1"/>
  <c r="J620" i="1"/>
  <c r="AD620" i="1" s="1"/>
  <c r="AK619" i="1"/>
  <c r="AF619" i="1"/>
  <c r="AA619" i="1"/>
  <c r="X619" i="1"/>
  <c r="V619" i="1"/>
  <c r="W619" i="1" s="1"/>
  <c r="T619" i="1"/>
  <c r="S619" i="1"/>
  <c r="R619" i="1"/>
  <c r="J619" i="1"/>
  <c r="AD619" i="1" s="1"/>
  <c r="AK618" i="1"/>
  <c r="AF618" i="1"/>
  <c r="AA618" i="1"/>
  <c r="X618" i="1"/>
  <c r="V618" i="1"/>
  <c r="W618" i="1" s="1"/>
  <c r="T618" i="1"/>
  <c r="S618" i="1"/>
  <c r="R618" i="1"/>
  <c r="J618" i="1"/>
  <c r="AD618" i="1" s="1"/>
  <c r="AK617" i="1"/>
  <c r="AF617" i="1"/>
  <c r="AA617" i="1"/>
  <c r="X617" i="1"/>
  <c r="V617" i="1"/>
  <c r="W617" i="1" s="1"/>
  <c r="T617" i="1"/>
  <c r="S617" i="1"/>
  <c r="R617" i="1"/>
  <c r="J617" i="1"/>
  <c r="AD617" i="1" s="1"/>
  <c r="AK616" i="1"/>
  <c r="AF616" i="1"/>
  <c r="AD616" i="1"/>
  <c r="AA616" i="1"/>
  <c r="X616" i="1"/>
  <c r="V616" i="1"/>
  <c r="W616" i="1" s="1"/>
  <c r="T616" i="1"/>
  <c r="S616" i="1"/>
  <c r="R616" i="1"/>
  <c r="AK615" i="1"/>
  <c r="AF615" i="1"/>
  <c r="AD615" i="1"/>
  <c r="AA615" i="1"/>
  <c r="X615" i="1"/>
  <c r="V615" i="1"/>
  <c r="W615" i="1" s="1"/>
  <c r="T615" i="1"/>
  <c r="S615" i="1"/>
  <c r="R615" i="1"/>
  <c r="U614" i="1"/>
  <c r="X614" i="1" s="1"/>
  <c r="T614" i="1"/>
  <c r="S614" i="1"/>
  <c r="J614" i="1"/>
  <c r="AD614" i="1" s="1"/>
  <c r="U613" i="1"/>
  <c r="AA613" i="1" s="1"/>
  <c r="T613" i="1"/>
  <c r="S613" i="1"/>
  <c r="J613" i="1"/>
  <c r="AD613" i="1" s="1"/>
  <c r="U612" i="1"/>
  <c r="AK612" i="1" s="1"/>
  <c r="T612" i="1"/>
  <c r="S612" i="1"/>
  <c r="J612" i="1"/>
  <c r="AD612" i="1" s="1"/>
  <c r="U611" i="1"/>
  <c r="X611" i="1" s="1"/>
  <c r="T611" i="1"/>
  <c r="S611" i="1"/>
  <c r="J611" i="1"/>
  <c r="AD611" i="1" s="1"/>
  <c r="U610" i="1"/>
  <c r="AK610" i="1" s="1"/>
  <c r="T610" i="1"/>
  <c r="S610" i="1"/>
  <c r="J610" i="1"/>
  <c r="AD610" i="1" s="1"/>
  <c r="AK609" i="1"/>
  <c r="AF609" i="1"/>
  <c r="AA609" i="1"/>
  <c r="X609" i="1"/>
  <c r="V609" i="1"/>
  <c r="W609" i="1" s="1"/>
  <c r="T609" i="1"/>
  <c r="S609" i="1"/>
  <c r="R609" i="1"/>
  <c r="J609" i="1"/>
  <c r="AD609" i="1" s="1"/>
  <c r="AK608" i="1"/>
  <c r="AF608" i="1"/>
  <c r="AA608" i="1"/>
  <c r="X608" i="1"/>
  <c r="V608" i="1"/>
  <c r="W608" i="1" s="1"/>
  <c r="T608" i="1"/>
  <c r="S608" i="1"/>
  <c r="R608" i="1"/>
  <c r="J608" i="1"/>
  <c r="AD608" i="1" s="1"/>
  <c r="AK607" i="1"/>
  <c r="AF607" i="1"/>
  <c r="AA607" i="1"/>
  <c r="X607" i="1"/>
  <c r="V607" i="1"/>
  <c r="W607" i="1" s="1"/>
  <c r="T607" i="1"/>
  <c r="S607" i="1"/>
  <c r="R607" i="1"/>
  <c r="J607" i="1"/>
  <c r="AD607" i="1" s="1"/>
  <c r="U606" i="1"/>
  <c r="X606" i="1" s="1"/>
  <c r="T606" i="1"/>
  <c r="S606" i="1"/>
  <c r="J606" i="1"/>
  <c r="AD606" i="1" s="1"/>
  <c r="U605" i="1"/>
  <c r="X605" i="1" s="1"/>
  <c r="T605" i="1"/>
  <c r="S605" i="1"/>
  <c r="J605" i="1"/>
  <c r="AD605" i="1" s="1"/>
  <c r="U604" i="1"/>
  <c r="V604" i="1" s="1"/>
  <c r="W604" i="1" s="1"/>
  <c r="T604" i="1"/>
  <c r="S604" i="1"/>
  <c r="J604" i="1"/>
  <c r="AD604" i="1" s="1"/>
  <c r="U603" i="1"/>
  <c r="AK603" i="1" s="1"/>
  <c r="T603" i="1"/>
  <c r="S603" i="1"/>
  <c r="J603" i="1"/>
  <c r="AD603" i="1" s="1"/>
  <c r="AK602" i="1"/>
  <c r="AF602" i="1"/>
  <c r="AD602" i="1"/>
  <c r="AA602" i="1"/>
  <c r="X602" i="1"/>
  <c r="V602" i="1"/>
  <c r="W602" i="1" s="1"/>
  <c r="T602" i="1"/>
  <c r="S602" i="1"/>
  <c r="R602" i="1"/>
  <c r="AK601" i="1"/>
  <c r="AF601" i="1"/>
  <c r="AD601" i="1"/>
  <c r="AA601" i="1"/>
  <c r="X601" i="1"/>
  <c r="V601" i="1"/>
  <c r="W601" i="1" s="1"/>
  <c r="T601" i="1"/>
  <c r="S601" i="1"/>
  <c r="R601" i="1"/>
  <c r="AK600" i="1"/>
  <c r="AF600" i="1"/>
  <c r="AD600" i="1"/>
  <c r="AA600" i="1"/>
  <c r="X600" i="1"/>
  <c r="V600" i="1"/>
  <c r="W600" i="1" s="1"/>
  <c r="T600" i="1"/>
  <c r="S600" i="1"/>
  <c r="R600" i="1"/>
  <c r="AK599" i="1"/>
  <c r="AF599" i="1"/>
  <c r="AA599" i="1"/>
  <c r="X599" i="1"/>
  <c r="V599" i="1"/>
  <c r="W599" i="1" s="1"/>
  <c r="T599" i="1"/>
  <c r="S599" i="1"/>
  <c r="R599" i="1"/>
  <c r="J599" i="1"/>
  <c r="AD599" i="1" s="1"/>
  <c r="AK598" i="1"/>
  <c r="AF598" i="1"/>
  <c r="AA598" i="1"/>
  <c r="X598" i="1"/>
  <c r="W598" i="1"/>
  <c r="T598" i="1"/>
  <c r="S598" i="1"/>
  <c r="R598" i="1"/>
  <c r="J598" i="1"/>
  <c r="AD598" i="1" s="1"/>
  <c r="AK597" i="1"/>
  <c r="AF597" i="1"/>
  <c r="AA597" i="1"/>
  <c r="X597" i="1"/>
  <c r="V597" i="1"/>
  <c r="W597" i="1" s="1"/>
  <c r="T597" i="1"/>
  <c r="S597" i="1"/>
  <c r="R597" i="1"/>
  <c r="J597" i="1"/>
  <c r="AD597" i="1" s="1"/>
  <c r="AK596" i="1"/>
  <c r="AF596" i="1"/>
  <c r="AA596" i="1"/>
  <c r="X596" i="1"/>
  <c r="V596" i="1"/>
  <c r="W596" i="1" s="1"/>
  <c r="T596" i="1"/>
  <c r="S596" i="1"/>
  <c r="R596" i="1"/>
  <c r="J596" i="1"/>
  <c r="AD596" i="1" s="1"/>
  <c r="AK595" i="1"/>
  <c r="AF595" i="1"/>
  <c r="AA595" i="1"/>
  <c r="X595" i="1"/>
  <c r="V595" i="1"/>
  <c r="W595" i="1" s="1"/>
  <c r="T595" i="1"/>
  <c r="S595" i="1"/>
  <c r="R595" i="1"/>
  <c r="J595" i="1"/>
  <c r="AD595" i="1" s="1"/>
  <c r="AK594" i="1"/>
  <c r="AF594" i="1"/>
  <c r="AA594" i="1"/>
  <c r="X594" i="1"/>
  <c r="V594" i="1"/>
  <c r="W594" i="1" s="1"/>
  <c r="T594" i="1"/>
  <c r="S594" i="1"/>
  <c r="R594" i="1"/>
  <c r="J594" i="1"/>
  <c r="AD594" i="1" s="1"/>
  <c r="AK593" i="1"/>
  <c r="AF593" i="1"/>
  <c r="AA593" i="1"/>
  <c r="X593" i="1"/>
  <c r="V593" i="1"/>
  <c r="W593" i="1" s="1"/>
  <c r="T593" i="1"/>
  <c r="S593" i="1"/>
  <c r="R593" i="1"/>
  <c r="J593" i="1"/>
  <c r="AD593" i="1" s="1"/>
  <c r="AK592" i="1"/>
  <c r="AF592" i="1"/>
  <c r="AA592" i="1"/>
  <c r="X592" i="1"/>
  <c r="V592" i="1"/>
  <c r="W592" i="1" s="1"/>
  <c r="T592" i="1"/>
  <c r="S592" i="1"/>
  <c r="R592" i="1"/>
  <c r="J592" i="1"/>
  <c r="AD592" i="1" s="1"/>
  <c r="AK591" i="1"/>
  <c r="AF591" i="1"/>
  <c r="AA591" i="1"/>
  <c r="X591" i="1"/>
  <c r="V591" i="1"/>
  <c r="W591" i="1" s="1"/>
  <c r="T591" i="1"/>
  <c r="S591" i="1"/>
  <c r="R591" i="1"/>
  <c r="J591" i="1"/>
  <c r="AD591" i="1" s="1"/>
  <c r="AK590" i="1"/>
  <c r="AF590" i="1"/>
  <c r="AA590" i="1"/>
  <c r="X590" i="1"/>
  <c r="W590" i="1"/>
  <c r="T590" i="1"/>
  <c r="S590" i="1"/>
  <c r="R590" i="1"/>
  <c r="J590" i="1"/>
  <c r="AD590" i="1" s="1"/>
  <c r="AK589" i="1"/>
  <c r="AF589" i="1"/>
  <c r="AA589" i="1"/>
  <c r="X589" i="1"/>
  <c r="W589" i="1"/>
  <c r="T589" i="1"/>
  <c r="S589" i="1"/>
  <c r="R589" i="1"/>
  <c r="J589" i="1"/>
  <c r="AD589" i="1" s="1"/>
  <c r="U588" i="1"/>
  <c r="AA588" i="1" s="1"/>
  <c r="T588" i="1"/>
  <c r="S588" i="1"/>
  <c r="J588" i="1"/>
  <c r="AD588" i="1" s="1"/>
  <c r="U587" i="1"/>
  <c r="AK587" i="1" s="1"/>
  <c r="T587" i="1"/>
  <c r="S587" i="1"/>
  <c r="J587" i="1"/>
  <c r="AD587" i="1" s="1"/>
  <c r="AK586" i="1"/>
  <c r="AF586" i="1"/>
  <c r="AA586" i="1"/>
  <c r="X586" i="1"/>
  <c r="V586" i="1"/>
  <c r="W586" i="1" s="1"/>
  <c r="T586" i="1"/>
  <c r="S586" i="1"/>
  <c r="R586" i="1"/>
  <c r="J586" i="1"/>
  <c r="AD586" i="1" s="1"/>
  <c r="AK585" i="1"/>
  <c r="AF585" i="1"/>
  <c r="AA585" i="1"/>
  <c r="X585" i="1"/>
  <c r="W585" i="1"/>
  <c r="T585" i="1"/>
  <c r="S585" i="1"/>
  <c r="R585" i="1"/>
  <c r="J585" i="1"/>
  <c r="AD585" i="1" s="1"/>
  <c r="U584" i="1"/>
  <c r="X584" i="1" s="1"/>
  <c r="T584" i="1"/>
  <c r="S584" i="1"/>
  <c r="J584" i="1"/>
  <c r="AD584" i="1" s="1"/>
  <c r="AK583" i="1"/>
  <c r="AF583" i="1"/>
  <c r="AA583" i="1"/>
  <c r="X583" i="1"/>
  <c r="V583" i="1"/>
  <c r="W583" i="1" s="1"/>
  <c r="T583" i="1"/>
  <c r="S583" i="1"/>
  <c r="R583" i="1"/>
  <c r="J583" i="1"/>
  <c r="AD583" i="1" s="1"/>
  <c r="AK582" i="1"/>
  <c r="AF582" i="1"/>
  <c r="AA582" i="1"/>
  <c r="X582" i="1"/>
  <c r="V582" i="1"/>
  <c r="W582" i="1" s="1"/>
  <c r="T582" i="1"/>
  <c r="S582" i="1"/>
  <c r="R582" i="1"/>
  <c r="J582" i="1"/>
  <c r="AD582" i="1" s="1"/>
  <c r="AK581" i="1"/>
  <c r="AF581" i="1"/>
  <c r="AA581" i="1"/>
  <c r="X581" i="1"/>
  <c r="V581" i="1"/>
  <c r="W581" i="1" s="1"/>
  <c r="T581" i="1"/>
  <c r="S581" i="1"/>
  <c r="R581" i="1"/>
  <c r="J581" i="1"/>
  <c r="AD581" i="1" s="1"/>
  <c r="U580" i="1"/>
  <c r="AF580" i="1" s="1"/>
  <c r="T580" i="1"/>
  <c r="S580" i="1"/>
  <c r="J580" i="1"/>
  <c r="AD580" i="1" s="1"/>
  <c r="U579" i="1"/>
  <c r="X579" i="1" s="1"/>
  <c r="T579" i="1"/>
  <c r="S579" i="1"/>
  <c r="J579" i="1"/>
  <c r="AD579" i="1" s="1"/>
  <c r="Y657" i="1" l="1"/>
  <c r="AH586" i="1"/>
  <c r="Y590" i="1"/>
  <c r="Y618" i="1"/>
  <c r="Y591" i="1"/>
  <c r="Y599" i="1"/>
  <c r="Y629" i="1"/>
  <c r="AH594" i="1"/>
  <c r="Y596" i="1"/>
  <c r="AH602" i="1"/>
  <c r="Y608" i="1"/>
  <c r="Y634" i="1"/>
  <c r="AH600" i="1"/>
  <c r="R579" i="1"/>
  <c r="Y593" i="1"/>
  <c r="R622" i="1"/>
  <c r="R626" i="1"/>
  <c r="Y582" i="1"/>
  <c r="Y625" i="1"/>
  <c r="Y642" i="1"/>
  <c r="BE45" i="1"/>
  <c r="AA584" i="1"/>
  <c r="AK584" i="1"/>
  <c r="X637" i="1"/>
  <c r="AF610" i="1"/>
  <c r="AH610" i="1" s="1"/>
  <c r="BE51" i="1"/>
  <c r="AH644" i="1"/>
  <c r="AK628" i="1"/>
  <c r="AF579" i="1"/>
  <c r="AH579" i="1" s="1"/>
  <c r="R584" i="1"/>
  <c r="R605" i="1"/>
  <c r="AH641" i="1"/>
  <c r="R649" i="1"/>
  <c r="Y583" i="1"/>
  <c r="Y620" i="1"/>
  <c r="AK579" i="1"/>
  <c r="AF584" i="1"/>
  <c r="AH584" i="1" s="1"/>
  <c r="AH592" i="1"/>
  <c r="Y595" i="1"/>
  <c r="Y609" i="1"/>
  <c r="R614" i="1"/>
  <c r="Y619" i="1"/>
  <c r="AH629" i="1"/>
  <c r="AH634" i="1"/>
  <c r="AF637" i="1"/>
  <c r="AH637" i="1" s="1"/>
  <c r="X603" i="1"/>
  <c r="AA603" i="1"/>
  <c r="AH608" i="1"/>
  <c r="AH618" i="1"/>
  <c r="Y652" i="1"/>
  <c r="V653" i="1"/>
  <c r="W653" i="1" s="1"/>
  <c r="AH655" i="1"/>
  <c r="AH595" i="1"/>
  <c r="AF603" i="1"/>
  <c r="AH603" i="1" s="1"/>
  <c r="AH609" i="1"/>
  <c r="AA614" i="1"/>
  <c r="AH619" i="1"/>
  <c r="X653" i="1"/>
  <c r="V584" i="1"/>
  <c r="W584" i="1" s="1"/>
  <c r="Y584" i="1" s="1"/>
  <c r="AH596" i="1"/>
  <c r="AF614" i="1"/>
  <c r="AH614" i="1" s="1"/>
  <c r="AH639" i="1"/>
  <c r="AA653" i="1"/>
  <c r="Y585" i="1"/>
  <c r="AH590" i="1"/>
  <c r="AH597" i="1"/>
  <c r="Y602" i="1"/>
  <c r="R603" i="1"/>
  <c r="AK613" i="1"/>
  <c r="AK614" i="1"/>
  <c r="AH615" i="1"/>
  <c r="Y617" i="1"/>
  <c r="V637" i="1"/>
  <c r="W637" i="1" s="1"/>
  <c r="AK641" i="1"/>
  <c r="Y644" i="1"/>
  <c r="V587" i="1"/>
  <c r="W587" i="1" s="1"/>
  <c r="AA605" i="1"/>
  <c r="AA612" i="1"/>
  <c r="X649" i="1"/>
  <c r="Y649" i="1" s="1"/>
  <c r="AH581" i="1"/>
  <c r="X587" i="1"/>
  <c r="AK588" i="1"/>
  <c r="AF605" i="1"/>
  <c r="AH605" i="1" s="1"/>
  <c r="V610" i="1"/>
  <c r="W610" i="1" s="1"/>
  <c r="AF612" i="1"/>
  <c r="AH612" i="1" s="1"/>
  <c r="AF622" i="1"/>
  <c r="AH622" i="1" s="1"/>
  <c r="Y624" i="1"/>
  <c r="V635" i="1"/>
  <c r="W635" i="1" s="1"/>
  <c r="AA649" i="1"/>
  <c r="AF650" i="1"/>
  <c r="AH650" i="1" s="1"/>
  <c r="AF651" i="1"/>
  <c r="AH651" i="1" s="1"/>
  <c r="Y589" i="1"/>
  <c r="AH598" i="1"/>
  <c r="X612" i="1"/>
  <c r="X651" i="1"/>
  <c r="AH599" i="1"/>
  <c r="X650" i="1"/>
  <c r="Y650" i="1" s="1"/>
  <c r="AA579" i="1"/>
  <c r="AH582" i="1"/>
  <c r="AA587" i="1"/>
  <c r="Y592" i="1"/>
  <c r="Y597" i="1"/>
  <c r="AK604" i="1"/>
  <c r="AK605" i="1"/>
  <c r="X610" i="1"/>
  <c r="AK621" i="1"/>
  <c r="AK622" i="1"/>
  <c r="AK638" i="1"/>
  <c r="AK648" i="1"/>
  <c r="AF649" i="1"/>
  <c r="AH649" i="1" s="1"/>
  <c r="AK650" i="1"/>
  <c r="Y655" i="1"/>
  <c r="AH607" i="1"/>
  <c r="AH593" i="1"/>
  <c r="AA622" i="1"/>
  <c r="AA651" i="1"/>
  <c r="AF587" i="1"/>
  <c r="AH587" i="1" s="1"/>
  <c r="Y607" i="1"/>
  <c r="AA610" i="1"/>
  <c r="R612" i="1"/>
  <c r="AK649" i="1"/>
  <c r="Y581" i="1"/>
  <c r="AH583" i="1"/>
  <c r="Y586" i="1"/>
  <c r="AH591" i="1"/>
  <c r="AI591" i="1" s="1"/>
  <c r="Y594" i="1"/>
  <c r="R610" i="1"/>
  <c r="AH620" i="1"/>
  <c r="AH625" i="1"/>
  <c r="AH636" i="1"/>
  <c r="AH642" i="1"/>
  <c r="V647" i="1"/>
  <c r="W647" i="1" s="1"/>
  <c r="Y600" i="1"/>
  <c r="AQ11" i="1"/>
  <c r="AH628" i="1"/>
  <c r="AH623" i="1"/>
  <c r="AH631" i="1"/>
  <c r="AH630" i="1"/>
  <c r="V579" i="1"/>
  <c r="W579" i="1" s="1"/>
  <c r="AH585" i="1"/>
  <c r="Y598" i="1"/>
  <c r="V605" i="1"/>
  <c r="W605" i="1" s="1"/>
  <c r="Y605" i="1" s="1"/>
  <c r="V614" i="1"/>
  <c r="W614" i="1" s="1"/>
  <c r="Y614" i="1" s="1"/>
  <c r="V622" i="1"/>
  <c r="W622" i="1" s="1"/>
  <c r="Y622" i="1" s="1"/>
  <c r="X626" i="1"/>
  <c r="AK627" i="1"/>
  <c r="AA628" i="1"/>
  <c r="R635" i="1"/>
  <c r="AF635" i="1"/>
  <c r="AH635" i="1" s="1"/>
  <c r="Y639" i="1"/>
  <c r="AI639" i="1" s="1"/>
  <c r="AA641" i="1"/>
  <c r="AH589" i="1"/>
  <c r="X635" i="1"/>
  <c r="R587" i="1"/>
  <c r="AH616" i="1"/>
  <c r="AH624" i="1"/>
  <c r="V626" i="1"/>
  <c r="W626" i="1" s="1"/>
  <c r="X628" i="1"/>
  <c r="AH632" i="1"/>
  <c r="X641" i="1"/>
  <c r="AA645" i="1"/>
  <c r="R651" i="1"/>
  <c r="R653" i="1"/>
  <c r="AK653" i="1"/>
  <c r="X654" i="1"/>
  <c r="AH656" i="1"/>
  <c r="V603" i="1"/>
  <c r="W603" i="1" s="1"/>
  <c r="V612" i="1"/>
  <c r="W612" i="1" s="1"/>
  <c r="AH617" i="1"/>
  <c r="AA626" i="1"/>
  <c r="Y630" i="1"/>
  <c r="AK635" i="1"/>
  <c r="Y643" i="1"/>
  <c r="R645" i="1"/>
  <c r="AF645" i="1"/>
  <c r="AH645" i="1" s="1"/>
  <c r="R654" i="1"/>
  <c r="AF654" i="1"/>
  <c r="AH654" i="1" s="1"/>
  <c r="AH657" i="1"/>
  <c r="AH643" i="1"/>
  <c r="V645" i="1"/>
  <c r="W645" i="1" s="1"/>
  <c r="X647" i="1"/>
  <c r="AH652" i="1"/>
  <c r="V654" i="1"/>
  <c r="W654" i="1" s="1"/>
  <c r="AH601" i="1"/>
  <c r="V628" i="1"/>
  <c r="W628" i="1" s="1"/>
  <c r="V641" i="1"/>
  <c r="W641" i="1" s="1"/>
  <c r="X645" i="1"/>
  <c r="AH646" i="1"/>
  <c r="AF647" i="1"/>
  <c r="AH647" i="1" s="1"/>
  <c r="Y601" i="1"/>
  <c r="Y615" i="1"/>
  <c r="Y623" i="1"/>
  <c r="AF626" i="1"/>
  <c r="AH626" i="1" s="1"/>
  <c r="R628" i="1"/>
  <c r="Y631" i="1"/>
  <c r="R641" i="1"/>
  <c r="AK645" i="1"/>
  <c r="AK654" i="1"/>
  <c r="Y616" i="1"/>
  <c r="Y632" i="1"/>
  <c r="AH580" i="1"/>
  <c r="AH653" i="1"/>
  <c r="V580" i="1"/>
  <c r="W580" i="1" s="1"/>
  <c r="AF588" i="1"/>
  <c r="AH588" i="1" s="1"/>
  <c r="X604" i="1"/>
  <c r="Y604" i="1" s="1"/>
  <c r="R606" i="1"/>
  <c r="AA606" i="1"/>
  <c r="R611" i="1"/>
  <c r="AA611" i="1"/>
  <c r="AF613" i="1"/>
  <c r="AH613" i="1" s="1"/>
  <c r="AF621" i="1"/>
  <c r="AH621" i="1" s="1"/>
  <c r="X627" i="1"/>
  <c r="Y627" i="1" s="1"/>
  <c r="R633" i="1"/>
  <c r="AA633" i="1"/>
  <c r="V636" i="1"/>
  <c r="W636" i="1" s="1"/>
  <c r="AK637" i="1"/>
  <c r="X638" i="1"/>
  <c r="Y638" i="1" s="1"/>
  <c r="AF640" i="1"/>
  <c r="AH640" i="1" s="1"/>
  <c r="V646" i="1"/>
  <c r="W646" i="1" s="1"/>
  <c r="AK647" i="1"/>
  <c r="X648" i="1"/>
  <c r="Y648" i="1" s="1"/>
  <c r="R650" i="1"/>
  <c r="AA650" i="1"/>
  <c r="V656" i="1"/>
  <c r="W656" i="1" s="1"/>
  <c r="AK580" i="1"/>
  <c r="AK636" i="1"/>
  <c r="AK646" i="1"/>
  <c r="AK656" i="1"/>
  <c r="X580" i="1"/>
  <c r="V588" i="1"/>
  <c r="W588" i="1" s="1"/>
  <c r="R604" i="1"/>
  <c r="AA604" i="1"/>
  <c r="AF606" i="1"/>
  <c r="AH606" i="1" s="1"/>
  <c r="AF611" i="1"/>
  <c r="AH611" i="1" s="1"/>
  <c r="V613" i="1"/>
  <c r="W613" i="1" s="1"/>
  <c r="V621" i="1"/>
  <c r="W621" i="1" s="1"/>
  <c r="R627" i="1"/>
  <c r="AA627" i="1"/>
  <c r="AF633" i="1"/>
  <c r="AH633" i="1" s="1"/>
  <c r="X636" i="1"/>
  <c r="R638" i="1"/>
  <c r="AA638" i="1"/>
  <c r="V640" i="1"/>
  <c r="W640" i="1" s="1"/>
  <c r="X646" i="1"/>
  <c r="R648" i="1"/>
  <c r="AA648" i="1"/>
  <c r="X656" i="1"/>
  <c r="R637" i="1"/>
  <c r="AK640" i="1"/>
  <c r="R647" i="1"/>
  <c r="V651" i="1"/>
  <c r="W651" i="1" s="1"/>
  <c r="R580" i="1"/>
  <c r="AA580" i="1"/>
  <c r="X588" i="1"/>
  <c r="AF604" i="1"/>
  <c r="AH604" i="1" s="1"/>
  <c r="V606" i="1"/>
  <c r="W606" i="1" s="1"/>
  <c r="Y606" i="1" s="1"/>
  <c r="V611" i="1"/>
  <c r="W611" i="1" s="1"/>
  <c r="Y611" i="1" s="1"/>
  <c r="X613" i="1"/>
  <c r="X621" i="1"/>
  <c r="AF627" i="1"/>
  <c r="AH627" i="1" s="1"/>
  <c r="V633" i="1"/>
  <c r="W633" i="1" s="1"/>
  <c r="Y633" i="1" s="1"/>
  <c r="R636" i="1"/>
  <c r="AA636" i="1"/>
  <c r="AF638" i="1"/>
  <c r="AH638" i="1" s="1"/>
  <c r="X640" i="1"/>
  <c r="R646" i="1"/>
  <c r="AA646" i="1"/>
  <c r="AF648" i="1"/>
  <c r="AH648" i="1" s="1"/>
  <c r="R656" i="1"/>
  <c r="AA656" i="1"/>
  <c r="AK606" i="1"/>
  <c r="AK611" i="1"/>
  <c r="AK633" i="1"/>
  <c r="R588" i="1"/>
  <c r="R613" i="1"/>
  <c r="R621" i="1"/>
  <c r="R640" i="1"/>
  <c r="AI618" i="1" l="1"/>
  <c r="AI657" i="1"/>
  <c r="AI590" i="1"/>
  <c r="AI586" i="1"/>
  <c r="AI634" i="1"/>
  <c r="AI629" i="1"/>
  <c r="AI596" i="1"/>
  <c r="AI599" i="1"/>
  <c r="AI594" i="1"/>
  <c r="AI602" i="1"/>
  <c r="AI608" i="1"/>
  <c r="AI609" i="1"/>
  <c r="AI593" i="1"/>
  <c r="AI617" i="1"/>
  <c r="Y635" i="1"/>
  <c r="AI635" i="1" s="1"/>
  <c r="AI585" i="1"/>
  <c r="Y637" i="1"/>
  <c r="AI637" i="1" s="1"/>
  <c r="Y653" i="1"/>
  <c r="AI653" i="1" s="1"/>
  <c r="Y651" i="1"/>
  <c r="AI651" i="1" s="1"/>
  <c r="AI581" i="1"/>
  <c r="AI652" i="1"/>
  <c r="AI600" i="1"/>
  <c r="AI582" i="1"/>
  <c r="Y645" i="1"/>
  <c r="AI645" i="1" s="1"/>
  <c r="AI589" i="1"/>
  <c r="Y612" i="1"/>
  <c r="AI612" i="1" s="1"/>
  <c r="Y603" i="1"/>
  <c r="AI603" i="1" s="1"/>
  <c r="AI625" i="1"/>
  <c r="AI598" i="1"/>
  <c r="AI595" i="1"/>
  <c r="AI597" i="1"/>
  <c r="AI642" i="1"/>
  <c r="AI605" i="1"/>
  <c r="AI644" i="1"/>
  <c r="AI643" i="1"/>
  <c r="Y610" i="1"/>
  <c r="AI610" i="1" s="1"/>
  <c r="AI619" i="1"/>
  <c r="AI620" i="1"/>
  <c r="Y636" i="1"/>
  <c r="AI636" i="1" s="1"/>
  <c r="AI623" i="1"/>
  <c r="AI655" i="1"/>
  <c r="AI584" i="1"/>
  <c r="AI583" i="1"/>
  <c r="AI592" i="1"/>
  <c r="AI614" i="1"/>
  <c r="AI631" i="1"/>
  <c r="Y587" i="1"/>
  <c r="AI587" i="1" s="1"/>
  <c r="AI622" i="1"/>
  <c r="AI633" i="1"/>
  <c r="AI607" i="1"/>
  <c r="AI615" i="1"/>
  <c r="AI624" i="1"/>
  <c r="AI650" i="1"/>
  <c r="AI649" i="1"/>
  <c r="Y626" i="1"/>
  <c r="AI626" i="1" s="1"/>
  <c r="AR11" i="1"/>
  <c r="Y641" i="1"/>
  <c r="AI641" i="1" s="1"/>
  <c r="AI601" i="1"/>
  <c r="Y628" i="1"/>
  <c r="AI628" i="1" s="1"/>
  <c r="Y647" i="1"/>
  <c r="AI647" i="1" s="1"/>
  <c r="Y646" i="1"/>
  <c r="AI646" i="1" s="1"/>
  <c r="AI627" i="1"/>
  <c r="AI604" i="1"/>
  <c r="AI630" i="1"/>
  <c r="Y579" i="1"/>
  <c r="AI579" i="1" s="1"/>
  <c r="Y656" i="1"/>
  <c r="AI656" i="1" s="1"/>
  <c r="Y588" i="1"/>
  <c r="AI588" i="1" s="1"/>
  <c r="AI632" i="1"/>
  <c r="AI638" i="1"/>
  <c r="AI616" i="1"/>
  <c r="Y654" i="1"/>
  <c r="AI654" i="1" s="1"/>
  <c r="AI606" i="1"/>
  <c r="AI611" i="1"/>
  <c r="AI648" i="1"/>
  <c r="Y621" i="1"/>
  <c r="AI621" i="1" s="1"/>
  <c r="Y613" i="1"/>
  <c r="AI613" i="1" s="1"/>
  <c r="Y580" i="1"/>
  <c r="AI580" i="1" s="1"/>
  <c r="Y640" i="1"/>
  <c r="AI640" i="1" s="1"/>
  <c r="AK578" i="1" l="1"/>
  <c r="AF578" i="1"/>
  <c r="AD578" i="1"/>
  <c r="AA578" i="1"/>
  <c r="X578" i="1"/>
  <c r="V578" i="1"/>
  <c r="W578" i="1" s="1"/>
  <c r="T578" i="1"/>
  <c r="S578" i="1"/>
  <c r="R578" i="1"/>
  <c r="AK577" i="1"/>
  <c r="AF577" i="1"/>
  <c r="AA577" i="1"/>
  <c r="X577" i="1"/>
  <c r="W577" i="1"/>
  <c r="T577" i="1"/>
  <c r="S577" i="1"/>
  <c r="R577" i="1"/>
  <c r="J577" i="1"/>
  <c r="AD577" i="1" s="1"/>
  <c r="AK576" i="1"/>
  <c r="AF576" i="1"/>
  <c r="AA576" i="1"/>
  <c r="X576" i="1"/>
  <c r="V576" i="1"/>
  <c r="W576" i="1" s="1"/>
  <c r="T576" i="1"/>
  <c r="S576" i="1"/>
  <c r="R576" i="1"/>
  <c r="J576" i="1"/>
  <c r="AD576" i="1" s="1"/>
  <c r="AK575" i="1"/>
  <c r="AF575" i="1"/>
  <c r="AA575" i="1"/>
  <c r="X575" i="1"/>
  <c r="V575" i="1"/>
  <c r="W575" i="1" s="1"/>
  <c r="T575" i="1"/>
  <c r="S575" i="1"/>
  <c r="R575" i="1"/>
  <c r="J575" i="1"/>
  <c r="AD575" i="1" s="1"/>
  <c r="AK574" i="1"/>
  <c r="AF574" i="1"/>
  <c r="AA574" i="1"/>
  <c r="X574" i="1"/>
  <c r="V574" i="1"/>
  <c r="W574" i="1" s="1"/>
  <c r="T574" i="1"/>
  <c r="S574" i="1"/>
  <c r="R574" i="1"/>
  <c r="J574" i="1"/>
  <c r="AD574" i="1" s="1"/>
  <c r="AK573" i="1"/>
  <c r="AF573" i="1"/>
  <c r="AA573" i="1"/>
  <c r="X573" i="1"/>
  <c r="W573" i="1"/>
  <c r="T573" i="1"/>
  <c r="S573" i="1"/>
  <c r="R573" i="1"/>
  <c r="J573" i="1"/>
  <c r="AD573" i="1" s="1"/>
  <c r="AK572" i="1"/>
  <c r="AF572" i="1"/>
  <c r="AA572" i="1"/>
  <c r="X572" i="1"/>
  <c r="W572" i="1"/>
  <c r="T572" i="1"/>
  <c r="S572" i="1"/>
  <c r="R572" i="1"/>
  <c r="J572" i="1"/>
  <c r="AD572" i="1" s="1"/>
  <c r="AK571" i="1"/>
  <c r="AF571" i="1"/>
  <c r="AA571" i="1"/>
  <c r="X571" i="1"/>
  <c r="V571" i="1"/>
  <c r="W571" i="1" s="1"/>
  <c r="T571" i="1"/>
  <c r="S571" i="1"/>
  <c r="R571" i="1"/>
  <c r="J571" i="1"/>
  <c r="AD571" i="1" s="1"/>
  <c r="AK570" i="1"/>
  <c r="AF570" i="1"/>
  <c r="AA570" i="1"/>
  <c r="X570" i="1"/>
  <c r="V570" i="1"/>
  <c r="W570" i="1" s="1"/>
  <c r="T570" i="1"/>
  <c r="S570" i="1"/>
  <c r="R570" i="1"/>
  <c r="J570" i="1"/>
  <c r="AD570" i="1" s="1"/>
  <c r="AK569" i="1"/>
  <c r="AF569" i="1"/>
  <c r="AD569" i="1"/>
  <c r="AA569" i="1"/>
  <c r="X569" i="1"/>
  <c r="W569" i="1"/>
  <c r="T569" i="1"/>
  <c r="S569" i="1"/>
  <c r="R569" i="1"/>
  <c r="AK568" i="1"/>
  <c r="AF568" i="1"/>
  <c r="AD568" i="1"/>
  <c r="AA568" i="1"/>
  <c r="X568" i="1"/>
  <c r="W568" i="1"/>
  <c r="T568" i="1"/>
  <c r="S568" i="1"/>
  <c r="R568" i="1"/>
  <c r="AK567" i="1"/>
  <c r="AF567" i="1"/>
  <c r="AA567" i="1"/>
  <c r="X567" i="1"/>
  <c r="V567" i="1"/>
  <c r="W567" i="1" s="1"/>
  <c r="T567" i="1"/>
  <c r="S567" i="1"/>
  <c r="R567" i="1"/>
  <c r="J567" i="1"/>
  <c r="AD567" i="1" s="1"/>
  <c r="AK566" i="1"/>
  <c r="AF566" i="1"/>
  <c r="AA566" i="1"/>
  <c r="X566" i="1"/>
  <c r="V566" i="1"/>
  <c r="W566" i="1" s="1"/>
  <c r="T566" i="1"/>
  <c r="S566" i="1"/>
  <c r="R566" i="1"/>
  <c r="J566" i="1"/>
  <c r="AD566" i="1" s="1"/>
  <c r="AK565" i="1"/>
  <c r="AF565" i="1"/>
  <c r="AA565" i="1"/>
  <c r="X565" i="1"/>
  <c r="V565" i="1"/>
  <c r="W565" i="1" s="1"/>
  <c r="T565" i="1"/>
  <c r="S565" i="1"/>
  <c r="R565" i="1"/>
  <c r="J565" i="1"/>
  <c r="AD565" i="1" s="1"/>
  <c r="U564" i="1"/>
  <c r="AA564" i="1" s="1"/>
  <c r="T564" i="1"/>
  <c r="S564" i="1"/>
  <c r="J564" i="1"/>
  <c r="AD564" i="1" s="1"/>
  <c r="U563" i="1"/>
  <c r="X563" i="1" s="1"/>
  <c r="T563" i="1"/>
  <c r="S563" i="1"/>
  <c r="J563" i="1"/>
  <c r="AD563" i="1" s="1"/>
  <c r="AK562" i="1"/>
  <c r="AF562" i="1"/>
  <c r="AA562" i="1"/>
  <c r="X562" i="1"/>
  <c r="W562" i="1"/>
  <c r="T562" i="1"/>
  <c r="S562" i="1"/>
  <c r="R562" i="1"/>
  <c r="J562" i="1"/>
  <c r="AD562" i="1" s="1"/>
  <c r="U561" i="1"/>
  <c r="V561" i="1" s="1"/>
  <c r="T561" i="1"/>
  <c r="S561" i="1"/>
  <c r="J561" i="1"/>
  <c r="AD561" i="1" s="1"/>
  <c r="U560" i="1"/>
  <c r="X560" i="1" s="1"/>
  <c r="T560" i="1"/>
  <c r="S560" i="1"/>
  <c r="J560" i="1"/>
  <c r="AD560" i="1" s="1"/>
  <c r="AK559" i="1"/>
  <c r="AF559" i="1"/>
  <c r="AA559" i="1"/>
  <c r="X559" i="1"/>
  <c r="V559" i="1"/>
  <c r="W559" i="1" s="1"/>
  <c r="T559" i="1"/>
  <c r="S559" i="1"/>
  <c r="R559" i="1"/>
  <c r="J559" i="1"/>
  <c r="AD559" i="1" s="1"/>
  <c r="AK558" i="1"/>
  <c r="AF558" i="1"/>
  <c r="AA558" i="1"/>
  <c r="X558" i="1"/>
  <c r="V558" i="1"/>
  <c r="W558" i="1" s="1"/>
  <c r="T558" i="1"/>
  <c r="S558" i="1"/>
  <c r="R558" i="1"/>
  <c r="J558" i="1"/>
  <c r="AD558" i="1" s="1"/>
  <c r="AK557" i="1"/>
  <c r="AF557" i="1"/>
  <c r="AA557" i="1"/>
  <c r="X557" i="1"/>
  <c r="V557" i="1"/>
  <c r="W557" i="1" s="1"/>
  <c r="T557" i="1"/>
  <c r="S557" i="1"/>
  <c r="R557" i="1"/>
  <c r="J557" i="1"/>
  <c r="AD557" i="1" s="1"/>
  <c r="U556" i="1"/>
  <c r="V556" i="1" s="1"/>
  <c r="T556" i="1"/>
  <c r="S556" i="1"/>
  <c r="J556" i="1"/>
  <c r="AD556" i="1" s="1"/>
  <c r="U555" i="1"/>
  <c r="X555" i="1" s="1"/>
  <c r="T555" i="1"/>
  <c r="S555" i="1"/>
  <c r="J555" i="1"/>
  <c r="AD555" i="1" s="1"/>
  <c r="U554" i="1"/>
  <c r="AK554" i="1" s="1"/>
  <c r="T554" i="1"/>
  <c r="S554" i="1"/>
  <c r="J554" i="1"/>
  <c r="AD554" i="1" s="1"/>
  <c r="AK553" i="1"/>
  <c r="AF553" i="1"/>
  <c r="AA553" i="1"/>
  <c r="X553" i="1"/>
  <c r="V553" i="1"/>
  <c r="W553" i="1" s="1"/>
  <c r="T553" i="1"/>
  <c r="S553" i="1"/>
  <c r="R553" i="1"/>
  <c r="J553" i="1"/>
  <c r="AD553" i="1" s="1"/>
  <c r="AK552" i="1"/>
  <c r="AF552" i="1"/>
  <c r="AA552" i="1"/>
  <c r="X552" i="1"/>
  <c r="W552" i="1"/>
  <c r="T552" i="1"/>
  <c r="S552" i="1"/>
  <c r="R552" i="1"/>
  <c r="J552" i="1"/>
  <c r="AD552" i="1" s="1"/>
  <c r="AK551" i="1"/>
  <c r="AF551" i="1"/>
  <c r="AA551" i="1"/>
  <c r="X551" i="1"/>
  <c r="W551" i="1"/>
  <c r="T551" i="1"/>
  <c r="S551" i="1"/>
  <c r="R551" i="1"/>
  <c r="J551" i="1"/>
  <c r="AD551" i="1" s="1"/>
  <c r="AK550" i="1"/>
  <c r="AF550" i="1"/>
  <c r="AA550" i="1"/>
  <c r="X550" i="1"/>
  <c r="V550" i="1"/>
  <c r="W550" i="1" s="1"/>
  <c r="T550" i="1"/>
  <c r="S550" i="1"/>
  <c r="R550" i="1"/>
  <c r="J550" i="1"/>
  <c r="AD550" i="1" s="1"/>
  <c r="AK549" i="1"/>
  <c r="AF549" i="1"/>
  <c r="AA549" i="1"/>
  <c r="X549" i="1"/>
  <c r="V549" i="1"/>
  <c r="W549" i="1" s="1"/>
  <c r="T549" i="1"/>
  <c r="S549" i="1"/>
  <c r="R549" i="1"/>
  <c r="J549" i="1"/>
  <c r="AD549" i="1" s="1"/>
  <c r="AK548" i="1"/>
  <c r="AF548" i="1"/>
  <c r="AA548" i="1"/>
  <c r="X548" i="1"/>
  <c r="V548" i="1"/>
  <c r="W548" i="1" s="1"/>
  <c r="T548" i="1"/>
  <c r="S548" i="1"/>
  <c r="R548" i="1"/>
  <c r="J548" i="1"/>
  <c r="AD548" i="1" s="1"/>
  <c r="AK547" i="1"/>
  <c r="AF547" i="1"/>
  <c r="AA547" i="1"/>
  <c r="X547" i="1"/>
  <c r="W547" i="1"/>
  <c r="T547" i="1"/>
  <c r="S547" i="1"/>
  <c r="R547" i="1"/>
  <c r="J547" i="1"/>
  <c r="AD547" i="1" s="1"/>
  <c r="AK546" i="1"/>
  <c r="AF546" i="1"/>
  <c r="AA546" i="1"/>
  <c r="X546" i="1"/>
  <c r="V546" i="1"/>
  <c r="W546" i="1" s="1"/>
  <c r="T546" i="1"/>
  <c r="S546" i="1"/>
  <c r="R546" i="1"/>
  <c r="J546" i="1"/>
  <c r="AD546" i="1" s="1"/>
  <c r="AK545" i="1"/>
  <c r="AF545" i="1"/>
  <c r="AA545" i="1"/>
  <c r="X545" i="1"/>
  <c r="V545" i="1"/>
  <c r="W545" i="1" s="1"/>
  <c r="T545" i="1"/>
  <c r="S545" i="1"/>
  <c r="R545" i="1"/>
  <c r="J545" i="1"/>
  <c r="AD545" i="1" s="1"/>
  <c r="AK544" i="1"/>
  <c r="AF544" i="1"/>
  <c r="AA544" i="1"/>
  <c r="X544" i="1"/>
  <c r="W544" i="1"/>
  <c r="T544" i="1"/>
  <c r="S544" i="1"/>
  <c r="R544" i="1"/>
  <c r="J544" i="1"/>
  <c r="AD544" i="1" s="1"/>
  <c r="AK543" i="1"/>
  <c r="AF543" i="1"/>
  <c r="AA543" i="1"/>
  <c r="X543" i="1"/>
  <c r="V543" i="1"/>
  <c r="W543" i="1" s="1"/>
  <c r="T543" i="1"/>
  <c r="S543" i="1"/>
  <c r="R543" i="1"/>
  <c r="J543" i="1"/>
  <c r="AD543" i="1" s="1"/>
  <c r="AK542" i="1"/>
  <c r="AF542" i="1"/>
  <c r="AA542" i="1"/>
  <c r="X542" i="1"/>
  <c r="V542" i="1"/>
  <c r="W542" i="1" s="1"/>
  <c r="T542" i="1"/>
  <c r="S542" i="1"/>
  <c r="R542" i="1"/>
  <c r="J542" i="1"/>
  <c r="AD542" i="1" s="1"/>
  <c r="U541" i="1"/>
  <c r="AF541" i="1" s="1"/>
  <c r="T541" i="1"/>
  <c r="S541" i="1"/>
  <c r="J541" i="1"/>
  <c r="AD541" i="1" s="1"/>
  <c r="AK540" i="1"/>
  <c r="AF540" i="1"/>
  <c r="AA540" i="1"/>
  <c r="X540" i="1"/>
  <c r="V540" i="1"/>
  <c r="W540" i="1" s="1"/>
  <c r="T540" i="1"/>
  <c r="S540" i="1"/>
  <c r="R540" i="1"/>
  <c r="J540" i="1"/>
  <c r="AD540" i="1" s="1"/>
  <c r="AK539" i="1"/>
  <c r="AF539" i="1"/>
  <c r="AA539" i="1"/>
  <c r="X539" i="1"/>
  <c r="V539" i="1"/>
  <c r="W539" i="1" s="1"/>
  <c r="T539" i="1"/>
  <c r="S539" i="1"/>
  <c r="R539" i="1"/>
  <c r="J539" i="1"/>
  <c r="AD539" i="1" s="1"/>
  <c r="AK538" i="1"/>
  <c r="AF538" i="1"/>
  <c r="AA538" i="1"/>
  <c r="X538" i="1"/>
  <c r="V538" i="1"/>
  <c r="W538" i="1" s="1"/>
  <c r="T538" i="1"/>
  <c r="S538" i="1"/>
  <c r="R538" i="1"/>
  <c r="J538" i="1"/>
  <c r="AD538" i="1" s="1"/>
  <c r="AK537" i="1"/>
  <c r="AF537" i="1"/>
  <c r="AA537" i="1"/>
  <c r="X537" i="1"/>
  <c r="V537" i="1"/>
  <c r="W537" i="1" s="1"/>
  <c r="T537" i="1"/>
  <c r="S537" i="1"/>
  <c r="R537" i="1"/>
  <c r="J537" i="1"/>
  <c r="AD537" i="1" s="1"/>
  <c r="AK536" i="1"/>
  <c r="AF536" i="1"/>
  <c r="AA536" i="1"/>
  <c r="X536" i="1"/>
  <c r="V536" i="1"/>
  <c r="W536" i="1" s="1"/>
  <c r="T536" i="1"/>
  <c r="S536" i="1"/>
  <c r="R536" i="1"/>
  <c r="J536" i="1"/>
  <c r="AD536" i="1" s="1"/>
  <c r="AK535" i="1"/>
  <c r="AF535" i="1"/>
  <c r="AA535" i="1"/>
  <c r="X535" i="1"/>
  <c r="V535" i="1"/>
  <c r="W535" i="1" s="1"/>
  <c r="T535" i="1"/>
  <c r="S535" i="1"/>
  <c r="R535" i="1"/>
  <c r="J535" i="1"/>
  <c r="AD535" i="1" s="1"/>
  <c r="U534" i="1"/>
  <c r="X534" i="1" s="1"/>
  <c r="T534" i="1"/>
  <c r="S534" i="1"/>
  <c r="J534" i="1"/>
  <c r="AD534" i="1" s="1"/>
  <c r="U533" i="1"/>
  <c r="AK533" i="1" s="1"/>
  <c r="T533" i="1"/>
  <c r="S533" i="1"/>
  <c r="J533" i="1"/>
  <c r="AD533" i="1" s="1"/>
  <c r="U532" i="1"/>
  <c r="V532" i="1" s="1"/>
  <c r="W532" i="1" s="1"/>
  <c r="T532" i="1"/>
  <c r="S532" i="1"/>
  <c r="J532" i="1"/>
  <c r="AD532" i="1" s="1"/>
  <c r="AK531" i="1"/>
  <c r="AF531" i="1"/>
  <c r="AA531" i="1"/>
  <c r="X531" i="1"/>
  <c r="V531" i="1"/>
  <c r="W531" i="1" s="1"/>
  <c r="T531" i="1"/>
  <c r="S531" i="1"/>
  <c r="R531" i="1"/>
  <c r="J531" i="1"/>
  <c r="AD531" i="1" s="1"/>
  <c r="AK530" i="1"/>
  <c r="AF530" i="1"/>
  <c r="AA530" i="1"/>
  <c r="X530" i="1"/>
  <c r="V530" i="1"/>
  <c r="W530" i="1" s="1"/>
  <c r="T530" i="1"/>
  <c r="S530" i="1"/>
  <c r="R530" i="1"/>
  <c r="J530" i="1"/>
  <c r="AD530" i="1" s="1"/>
  <c r="AK529" i="1"/>
  <c r="AF529" i="1"/>
  <c r="AA529" i="1"/>
  <c r="X529" i="1"/>
  <c r="V529" i="1"/>
  <c r="W529" i="1" s="1"/>
  <c r="T529" i="1"/>
  <c r="S529" i="1"/>
  <c r="R529" i="1"/>
  <c r="J529" i="1"/>
  <c r="AD529" i="1" s="1"/>
  <c r="AK528" i="1"/>
  <c r="AF528" i="1"/>
  <c r="AA528" i="1"/>
  <c r="X528" i="1"/>
  <c r="W528" i="1"/>
  <c r="T528" i="1"/>
  <c r="S528" i="1"/>
  <c r="R528" i="1"/>
  <c r="J528" i="1"/>
  <c r="AD528" i="1" s="1"/>
  <c r="AK527" i="1"/>
  <c r="AF527" i="1"/>
  <c r="AA527" i="1"/>
  <c r="X527" i="1"/>
  <c r="V527" i="1"/>
  <c r="W527" i="1" s="1"/>
  <c r="T527" i="1"/>
  <c r="S527" i="1"/>
  <c r="R527" i="1"/>
  <c r="J527" i="1"/>
  <c r="AD527" i="1" s="1"/>
  <c r="AK526" i="1"/>
  <c r="AF526" i="1"/>
  <c r="AA526" i="1"/>
  <c r="X526" i="1"/>
  <c r="V526" i="1"/>
  <c r="W526" i="1" s="1"/>
  <c r="T526" i="1"/>
  <c r="S526" i="1"/>
  <c r="R526" i="1"/>
  <c r="J526" i="1"/>
  <c r="AD526" i="1" s="1"/>
  <c r="AK525" i="1"/>
  <c r="AF525" i="1"/>
  <c r="AA525" i="1"/>
  <c r="X525" i="1"/>
  <c r="W525" i="1"/>
  <c r="T525" i="1"/>
  <c r="S525" i="1"/>
  <c r="R525" i="1"/>
  <c r="J525" i="1"/>
  <c r="AD525" i="1" s="1"/>
  <c r="AK524" i="1"/>
  <c r="AF524" i="1"/>
  <c r="AA524" i="1"/>
  <c r="X524" i="1"/>
  <c r="W524" i="1"/>
  <c r="T524" i="1"/>
  <c r="S524" i="1"/>
  <c r="R524" i="1"/>
  <c r="J524" i="1"/>
  <c r="AD524" i="1" s="1"/>
  <c r="AK523" i="1"/>
  <c r="AF523" i="1"/>
  <c r="AA523" i="1"/>
  <c r="X523" i="1"/>
  <c r="V523" i="1"/>
  <c r="W523" i="1" s="1"/>
  <c r="T523" i="1"/>
  <c r="S523" i="1"/>
  <c r="R523" i="1"/>
  <c r="J523" i="1"/>
  <c r="AD523" i="1" s="1"/>
  <c r="AK522" i="1"/>
  <c r="AF522" i="1"/>
  <c r="AA522" i="1"/>
  <c r="X522" i="1"/>
  <c r="V522" i="1"/>
  <c r="W522" i="1" s="1"/>
  <c r="T522" i="1"/>
  <c r="S522" i="1"/>
  <c r="R522" i="1"/>
  <c r="J522" i="1"/>
  <c r="AD522" i="1" s="1"/>
  <c r="AK521" i="1"/>
  <c r="AF521" i="1"/>
  <c r="AA521" i="1"/>
  <c r="X521" i="1"/>
  <c r="V521" i="1"/>
  <c r="W521" i="1" s="1"/>
  <c r="T521" i="1"/>
  <c r="S521" i="1"/>
  <c r="R521" i="1"/>
  <c r="J521" i="1"/>
  <c r="AD521" i="1" s="1"/>
  <c r="AK520" i="1"/>
  <c r="AF520" i="1"/>
  <c r="AA520" i="1"/>
  <c r="X520" i="1"/>
  <c r="V520" i="1"/>
  <c r="W520" i="1" s="1"/>
  <c r="T520" i="1"/>
  <c r="S520" i="1"/>
  <c r="R520" i="1"/>
  <c r="J520" i="1"/>
  <c r="AD520" i="1" s="1"/>
  <c r="U519" i="1"/>
  <c r="AA519" i="1" s="1"/>
  <c r="T519" i="1"/>
  <c r="S519" i="1"/>
  <c r="J519" i="1"/>
  <c r="AD519" i="1" s="1"/>
  <c r="AK518" i="1"/>
  <c r="AF518" i="1"/>
  <c r="AA518" i="1"/>
  <c r="X518" i="1"/>
  <c r="V518" i="1"/>
  <c r="W518" i="1" s="1"/>
  <c r="T518" i="1"/>
  <c r="S518" i="1"/>
  <c r="R518" i="1"/>
  <c r="J518" i="1"/>
  <c r="AD518" i="1" s="1"/>
  <c r="AK517" i="1"/>
  <c r="AF517" i="1"/>
  <c r="AA517" i="1"/>
  <c r="X517" i="1"/>
  <c r="V517" i="1"/>
  <c r="W517" i="1" s="1"/>
  <c r="T517" i="1"/>
  <c r="S517" i="1"/>
  <c r="R517" i="1"/>
  <c r="J517" i="1"/>
  <c r="AD517" i="1" s="1"/>
  <c r="U516" i="1"/>
  <c r="X516" i="1" s="1"/>
  <c r="T516" i="1"/>
  <c r="S516" i="1"/>
  <c r="J516" i="1"/>
  <c r="AD516" i="1" s="1"/>
  <c r="AK515" i="1"/>
  <c r="AF515" i="1"/>
  <c r="AA515" i="1"/>
  <c r="X515" i="1"/>
  <c r="V515" i="1"/>
  <c r="W515" i="1" s="1"/>
  <c r="T515" i="1"/>
  <c r="S515" i="1"/>
  <c r="R515" i="1"/>
  <c r="J515" i="1"/>
  <c r="AD515" i="1" s="1"/>
  <c r="AK514" i="1"/>
  <c r="AF514" i="1"/>
  <c r="AA514" i="1"/>
  <c r="X514" i="1"/>
  <c r="W514" i="1"/>
  <c r="T514" i="1"/>
  <c r="S514" i="1"/>
  <c r="R514" i="1"/>
  <c r="J514" i="1"/>
  <c r="AD514" i="1" s="1"/>
  <c r="AK513" i="1"/>
  <c r="AF513" i="1"/>
  <c r="AA513" i="1"/>
  <c r="X513" i="1"/>
  <c r="V513" i="1"/>
  <c r="W513" i="1" s="1"/>
  <c r="T513" i="1"/>
  <c r="S513" i="1"/>
  <c r="R513" i="1"/>
  <c r="J513" i="1"/>
  <c r="AD513" i="1" s="1"/>
  <c r="AK512" i="1"/>
  <c r="AF512" i="1"/>
  <c r="AA512" i="1"/>
  <c r="X512" i="1"/>
  <c r="V512" i="1"/>
  <c r="W512" i="1" s="1"/>
  <c r="T512" i="1"/>
  <c r="S512" i="1"/>
  <c r="R512" i="1"/>
  <c r="J512" i="1"/>
  <c r="AD512" i="1" s="1"/>
  <c r="AK511" i="1"/>
  <c r="AF511" i="1"/>
  <c r="AA511" i="1"/>
  <c r="X511" i="1"/>
  <c r="W511" i="1"/>
  <c r="T511" i="1"/>
  <c r="S511" i="1"/>
  <c r="R511" i="1"/>
  <c r="J511" i="1"/>
  <c r="AD511" i="1" s="1"/>
  <c r="AK510" i="1"/>
  <c r="AF510" i="1"/>
  <c r="AA510" i="1"/>
  <c r="X510" i="1"/>
  <c r="V510" i="1"/>
  <c r="W510" i="1" s="1"/>
  <c r="T510" i="1"/>
  <c r="S510" i="1"/>
  <c r="R510" i="1"/>
  <c r="J510" i="1"/>
  <c r="AD510" i="1" s="1"/>
  <c r="U509" i="1"/>
  <c r="V509" i="1" s="1"/>
  <c r="W509" i="1" s="1"/>
  <c r="T509" i="1"/>
  <c r="S509" i="1"/>
  <c r="J509" i="1"/>
  <c r="AD509" i="1" s="1"/>
  <c r="AK508" i="1"/>
  <c r="AF508" i="1"/>
  <c r="AA508" i="1"/>
  <c r="X508" i="1"/>
  <c r="V508" i="1"/>
  <c r="W508" i="1" s="1"/>
  <c r="T508" i="1"/>
  <c r="S508" i="1"/>
  <c r="R508" i="1"/>
  <c r="J508" i="1"/>
  <c r="AD508" i="1" s="1"/>
  <c r="AK507" i="1"/>
  <c r="AF507" i="1"/>
  <c r="AA507" i="1"/>
  <c r="X507" i="1"/>
  <c r="W507" i="1"/>
  <c r="T507" i="1"/>
  <c r="S507" i="1"/>
  <c r="R507" i="1"/>
  <c r="J507" i="1"/>
  <c r="AD507" i="1" s="1"/>
  <c r="AA506" i="1"/>
  <c r="X506" i="1"/>
  <c r="Y506" i="1" s="1"/>
  <c r="T506" i="1"/>
  <c r="S506" i="1"/>
  <c r="R506" i="1"/>
  <c r="AK505" i="1"/>
  <c r="AF505" i="1"/>
  <c r="AA505" i="1"/>
  <c r="X505" i="1"/>
  <c r="V505" i="1"/>
  <c r="W505" i="1" s="1"/>
  <c r="T505" i="1"/>
  <c r="S505" i="1"/>
  <c r="R505" i="1"/>
  <c r="J505" i="1"/>
  <c r="AD505" i="1" s="1"/>
  <c r="AK504" i="1"/>
  <c r="AF504" i="1"/>
  <c r="AA504" i="1"/>
  <c r="X504" i="1"/>
  <c r="V504" i="1"/>
  <c r="W504" i="1" s="1"/>
  <c r="T504" i="1"/>
  <c r="S504" i="1"/>
  <c r="R504" i="1"/>
  <c r="J504" i="1"/>
  <c r="AD504" i="1" s="1"/>
  <c r="AK503" i="1"/>
  <c r="AF503" i="1"/>
  <c r="AA503" i="1"/>
  <c r="X503" i="1"/>
  <c r="V503" i="1"/>
  <c r="W503" i="1" s="1"/>
  <c r="T503" i="1"/>
  <c r="S503" i="1"/>
  <c r="R503" i="1"/>
  <c r="J503" i="1"/>
  <c r="AD503" i="1" s="1"/>
  <c r="AK502" i="1"/>
  <c r="AF502" i="1"/>
  <c r="AA502" i="1"/>
  <c r="X502" i="1"/>
  <c r="V502" i="1"/>
  <c r="W502" i="1" s="1"/>
  <c r="T502" i="1"/>
  <c r="S502" i="1"/>
  <c r="R502" i="1"/>
  <c r="J502" i="1"/>
  <c r="AD502" i="1" s="1"/>
  <c r="AK501" i="1"/>
  <c r="AF501" i="1"/>
  <c r="AA501" i="1"/>
  <c r="X501" i="1"/>
  <c r="V501" i="1"/>
  <c r="W501" i="1" s="1"/>
  <c r="T501" i="1"/>
  <c r="S501" i="1"/>
  <c r="R501" i="1"/>
  <c r="J501" i="1"/>
  <c r="AD501" i="1" s="1"/>
  <c r="AK500" i="1"/>
  <c r="AF500" i="1"/>
  <c r="AA500" i="1"/>
  <c r="X500" i="1"/>
  <c r="W500" i="1"/>
  <c r="T500" i="1"/>
  <c r="S500" i="1"/>
  <c r="R500" i="1"/>
  <c r="J500" i="1"/>
  <c r="AD500" i="1" s="1"/>
  <c r="AK499" i="1"/>
  <c r="AF499" i="1"/>
  <c r="AA499" i="1"/>
  <c r="X499" i="1"/>
  <c r="V499" i="1"/>
  <c r="W499" i="1" s="1"/>
  <c r="T499" i="1"/>
  <c r="S499" i="1"/>
  <c r="R499" i="1"/>
  <c r="J499" i="1"/>
  <c r="AD499" i="1" s="1"/>
  <c r="AK498" i="1"/>
  <c r="AF498" i="1"/>
  <c r="AA498" i="1"/>
  <c r="X498" i="1"/>
  <c r="W498" i="1"/>
  <c r="T498" i="1"/>
  <c r="S498" i="1"/>
  <c r="R498" i="1"/>
  <c r="J498" i="1"/>
  <c r="AD498" i="1" s="1"/>
  <c r="AK497" i="1"/>
  <c r="AF497" i="1"/>
  <c r="AA497" i="1"/>
  <c r="X497" i="1"/>
  <c r="W497" i="1"/>
  <c r="T497" i="1"/>
  <c r="S497" i="1"/>
  <c r="R497" i="1"/>
  <c r="J497" i="1"/>
  <c r="AD497" i="1" s="1"/>
  <c r="AK496" i="1"/>
  <c r="AF496" i="1"/>
  <c r="AA496" i="1"/>
  <c r="X496" i="1"/>
  <c r="W496" i="1"/>
  <c r="T496" i="1"/>
  <c r="S496" i="1"/>
  <c r="R496" i="1"/>
  <c r="J496" i="1"/>
  <c r="AD496" i="1" s="1"/>
  <c r="U495" i="1"/>
  <c r="V495" i="1" s="1"/>
  <c r="W495" i="1" s="1"/>
  <c r="T495" i="1"/>
  <c r="S495" i="1"/>
  <c r="J495" i="1"/>
  <c r="AD495" i="1" s="1"/>
  <c r="AK494" i="1"/>
  <c r="AF494" i="1"/>
  <c r="AA494" i="1"/>
  <c r="X494" i="1"/>
  <c r="V494" i="1"/>
  <c r="W494" i="1" s="1"/>
  <c r="T494" i="1"/>
  <c r="S494" i="1"/>
  <c r="R494" i="1"/>
  <c r="J494" i="1"/>
  <c r="AD494" i="1" s="1"/>
  <c r="AK493" i="1"/>
  <c r="AF493" i="1"/>
  <c r="AA493" i="1"/>
  <c r="X493" i="1"/>
  <c r="W493" i="1"/>
  <c r="T493" i="1"/>
  <c r="S493" i="1"/>
  <c r="R493" i="1"/>
  <c r="J493" i="1"/>
  <c r="AD493" i="1" s="1"/>
  <c r="AK492" i="1"/>
  <c r="AF492" i="1"/>
  <c r="AA492" i="1"/>
  <c r="X492" i="1"/>
  <c r="W492" i="1"/>
  <c r="T492" i="1"/>
  <c r="S492" i="1"/>
  <c r="R492" i="1"/>
  <c r="J492" i="1"/>
  <c r="AD492" i="1" s="1"/>
  <c r="AK491" i="1"/>
  <c r="AF491" i="1"/>
  <c r="AA491" i="1"/>
  <c r="X491" i="1"/>
  <c r="V491" i="1"/>
  <c r="W491" i="1" s="1"/>
  <c r="T491" i="1"/>
  <c r="S491" i="1"/>
  <c r="R491" i="1"/>
  <c r="J491" i="1"/>
  <c r="AD491" i="1" s="1"/>
  <c r="AK490" i="1"/>
  <c r="AF490" i="1"/>
  <c r="AA490" i="1"/>
  <c r="X490" i="1"/>
  <c r="V490" i="1"/>
  <c r="W490" i="1" s="1"/>
  <c r="T490" i="1"/>
  <c r="S490" i="1"/>
  <c r="R490" i="1"/>
  <c r="J490" i="1"/>
  <c r="AD490" i="1" s="1"/>
  <c r="U489" i="1"/>
  <c r="T489" i="1"/>
  <c r="S489" i="1"/>
  <c r="J489" i="1"/>
  <c r="AD489" i="1" s="1"/>
  <c r="AK488" i="1"/>
  <c r="AF488" i="1"/>
  <c r="AA488" i="1"/>
  <c r="X488" i="1"/>
  <c r="V488" i="1"/>
  <c r="W488" i="1" s="1"/>
  <c r="T488" i="1"/>
  <c r="S488" i="1"/>
  <c r="R488" i="1"/>
  <c r="J488" i="1"/>
  <c r="AD488" i="1" s="1"/>
  <c r="U487" i="1"/>
  <c r="V487" i="1" s="1"/>
  <c r="W487" i="1" s="1"/>
  <c r="T487" i="1"/>
  <c r="S487" i="1"/>
  <c r="J487" i="1"/>
  <c r="AD487" i="1" s="1"/>
  <c r="AK486" i="1"/>
  <c r="AF486" i="1"/>
  <c r="AA486" i="1"/>
  <c r="X486" i="1"/>
  <c r="V486" i="1"/>
  <c r="W486" i="1" s="1"/>
  <c r="T486" i="1"/>
  <c r="S486" i="1"/>
  <c r="R486" i="1"/>
  <c r="J486" i="1"/>
  <c r="AD486" i="1" s="1"/>
  <c r="AK485" i="1"/>
  <c r="AF485" i="1"/>
  <c r="AA485" i="1"/>
  <c r="X485" i="1"/>
  <c r="V485" i="1"/>
  <c r="W485" i="1" s="1"/>
  <c r="T485" i="1"/>
  <c r="S485" i="1"/>
  <c r="R485" i="1"/>
  <c r="J485" i="1"/>
  <c r="AD485" i="1" s="1"/>
  <c r="U484" i="1"/>
  <c r="AA484" i="1" s="1"/>
  <c r="T484" i="1"/>
  <c r="S484" i="1"/>
  <c r="J484" i="1"/>
  <c r="AD484" i="1" s="1"/>
  <c r="U483" i="1"/>
  <c r="X483" i="1" s="1"/>
  <c r="T483" i="1"/>
  <c r="S483" i="1"/>
  <c r="J483" i="1"/>
  <c r="AD483" i="1" s="1"/>
  <c r="AK482" i="1"/>
  <c r="AF482" i="1"/>
  <c r="AA482" i="1"/>
  <c r="X482" i="1"/>
  <c r="V482" i="1"/>
  <c r="W482" i="1" s="1"/>
  <c r="T482" i="1"/>
  <c r="S482" i="1"/>
  <c r="R482" i="1"/>
  <c r="J482" i="1"/>
  <c r="AD482" i="1" s="1"/>
  <c r="AH512" i="1" l="1"/>
  <c r="AH521" i="1"/>
  <c r="AH559" i="1"/>
  <c r="AH571" i="1"/>
  <c r="Y525" i="1"/>
  <c r="AH531" i="1"/>
  <c r="AH525" i="1"/>
  <c r="AH570" i="1"/>
  <c r="Y505" i="1"/>
  <c r="Y518" i="1"/>
  <c r="Y537" i="1"/>
  <c r="Y550" i="1"/>
  <c r="AH548" i="1"/>
  <c r="Y486" i="1"/>
  <c r="AH553" i="1"/>
  <c r="Y499" i="1"/>
  <c r="AH540" i="1"/>
  <c r="AH505" i="1"/>
  <c r="AH513" i="1"/>
  <c r="AH576" i="1"/>
  <c r="AH492" i="1"/>
  <c r="Y492" i="1"/>
  <c r="V516" i="1"/>
  <c r="W516" i="1" s="1"/>
  <c r="Y516" i="1" s="1"/>
  <c r="Y524" i="1"/>
  <c r="Y575" i="1"/>
  <c r="AH536" i="1"/>
  <c r="AH530" i="1"/>
  <c r="AH537" i="1"/>
  <c r="AH550" i="1"/>
  <c r="AA560" i="1"/>
  <c r="AH518" i="1"/>
  <c r="AH482" i="1"/>
  <c r="AH523" i="1"/>
  <c r="AH542" i="1"/>
  <c r="AH485" i="1"/>
  <c r="AH543" i="1"/>
  <c r="AH575" i="1"/>
  <c r="Y565" i="1"/>
  <c r="AH486" i="1"/>
  <c r="Y496" i="1"/>
  <c r="Y504" i="1"/>
  <c r="Y512" i="1"/>
  <c r="AF516" i="1"/>
  <c r="AH516" i="1" s="1"/>
  <c r="AH520" i="1"/>
  <c r="AH526" i="1"/>
  <c r="Y530" i="1"/>
  <c r="Y536" i="1"/>
  <c r="AH539" i="1"/>
  <c r="Y548" i="1"/>
  <c r="AH552" i="1"/>
  <c r="V554" i="1"/>
  <c r="W554" i="1" s="1"/>
  <c r="AH565" i="1"/>
  <c r="AK516" i="1"/>
  <c r="X554" i="1"/>
  <c r="AH490" i="1"/>
  <c r="Y493" i="1"/>
  <c r="AH510" i="1"/>
  <c r="AH517" i="1"/>
  <c r="AH528" i="1"/>
  <c r="AH546" i="1"/>
  <c r="AH557" i="1"/>
  <c r="AK560" i="1"/>
  <c r="AH567" i="1"/>
  <c r="AH574" i="1"/>
  <c r="Y577" i="1"/>
  <c r="R516" i="1"/>
  <c r="R554" i="1"/>
  <c r="AH578" i="1"/>
  <c r="AH488" i="1"/>
  <c r="AH497" i="1"/>
  <c r="AH508" i="1"/>
  <c r="Y514" i="1"/>
  <c r="Y515" i="1"/>
  <c r="AH524" i="1"/>
  <c r="Y540" i="1"/>
  <c r="AH549" i="1"/>
  <c r="Y490" i="1"/>
  <c r="Y502" i="1"/>
  <c r="Y521" i="1"/>
  <c r="Y546" i="1"/>
  <c r="Y553" i="1"/>
  <c r="Y557" i="1"/>
  <c r="Y567" i="1"/>
  <c r="AH491" i="1"/>
  <c r="Y498" i="1"/>
  <c r="AH503" i="1"/>
  <c r="X509" i="1"/>
  <c r="Y509" i="1" s="1"/>
  <c r="AH514" i="1"/>
  <c r="AA516" i="1"/>
  <c r="R519" i="1"/>
  <c r="AH527" i="1"/>
  <c r="AH558" i="1"/>
  <c r="R563" i="1"/>
  <c r="AH507" i="1"/>
  <c r="AF509" i="1"/>
  <c r="AH509" i="1" s="1"/>
  <c r="Y501" i="1"/>
  <c r="Y513" i="1"/>
  <c r="Y526" i="1"/>
  <c r="AH529" i="1"/>
  <c r="AH535" i="1"/>
  <c r="Y542" i="1"/>
  <c r="AH545" i="1"/>
  <c r="Y574" i="1"/>
  <c r="AA483" i="1"/>
  <c r="AH494" i="1"/>
  <c r="AH499" i="1"/>
  <c r="AF519" i="1"/>
  <c r="AH519" i="1" s="1"/>
  <c r="Y527" i="1"/>
  <c r="AH547" i="1"/>
  <c r="V563" i="1"/>
  <c r="W563" i="1" s="1"/>
  <c r="Y563" i="1" s="1"/>
  <c r="AH566" i="1"/>
  <c r="Y523" i="1"/>
  <c r="AA554" i="1"/>
  <c r="X561" i="1"/>
  <c r="AA563" i="1"/>
  <c r="Y570" i="1"/>
  <c r="AH501" i="1"/>
  <c r="Y508" i="1"/>
  <c r="Y529" i="1"/>
  <c r="Y535" i="1"/>
  <c r="Y545" i="1"/>
  <c r="AF554" i="1"/>
  <c r="AH554" i="1" s="1"/>
  <c r="AK563" i="1"/>
  <c r="AH569" i="1"/>
  <c r="V483" i="1"/>
  <c r="W483" i="1" s="1"/>
  <c r="Y483" i="1" s="1"/>
  <c r="Y494" i="1"/>
  <c r="AH496" i="1"/>
  <c r="AH502" i="1"/>
  <c r="Y507" i="1"/>
  <c r="R509" i="1"/>
  <c r="AK509" i="1"/>
  <c r="AH515" i="1"/>
  <c r="AK519" i="1"/>
  <c r="Y522" i="1"/>
  <c r="Y539" i="1"/>
  <c r="R541" i="1"/>
  <c r="AK541" i="1"/>
  <c r="Y543" i="1"/>
  <c r="Y549" i="1"/>
  <c r="AH551" i="1"/>
  <c r="R555" i="1"/>
  <c r="AF560" i="1"/>
  <c r="AH560" i="1" s="1"/>
  <c r="AH562" i="1"/>
  <c r="AF563" i="1"/>
  <c r="AH563" i="1" s="1"/>
  <c r="Y568" i="1"/>
  <c r="Y573" i="1"/>
  <c r="X487" i="1"/>
  <c r="Y487" i="1" s="1"/>
  <c r="AH498" i="1"/>
  <c r="Y500" i="1"/>
  <c r="AH511" i="1"/>
  <c r="X532" i="1"/>
  <c r="Y532" i="1" s="1"/>
  <c r="V534" i="1"/>
  <c r="W534" i="1" s="1"/>
  <c r="Y534" i="1" s="1"/>
  <c r="Y544" i="1"/>
  <c r="Y569" i="1"/>
  <c r="AF483" i="1"/>
  <c r="AH483" i="1" s="1"/>
  <c r="AK483" i="1"/>
  <c r="AA487" i="1"/>
  <c r="Y488" i="1"/>
  <c r="AA489" i="1"/>
  <c r="AP2" i="1"/>
  <c r="Y491" i="1"/>
  <c r="AH493" i="1"/>
  <c r="X495" i="1"/>
  <c r="Y495" i="1" s="1"/>
  <c r="AH504" i="1"/>
  <c r="V519" i="1"/>
  <c r="W519" i="1" s="1"/>
  <c r="Y528" i="1"/>
  <c r="AA532" i="1"/>
  <c r="X533" i="1"/>
  <c r="AA534" i="1"/>
  <c r="AH538" i="1"/>
  <c r="X556" i="1"/>
  <c r="Y558" i="1"/>
  <c r="R560" i="1"/>
  <c r="AH572" i="1"/>
  <c r="AH577" i="1"/>
  <c r="R483" i="1"/>
  <c r="AA495" i="1"/>
  <c r="X519" i="1"/>
  <c r="AH522" i="1"/>
  <c r="AF534" i="1"/>
  <c r="AH534" i="1" s="1"/>
  <c r="V541" i="1"/>
  <c r="W541" i="1" s="1"/>
  <c r="AA555" i="1"/>
  <c r="Y559" i="1"/>
  <c r="AH568" i="1"/>
  <c r="AH573" i="1"/>
  <c r="Y482" i="1"/>
  <c r="AF487" i="1"/>
  <c r="AH487" i="1" s="1"/>
  <c r="AH500" i="1"/>
  <c r="Y503" i="1"/>
  <c r="AA509" i="1"/>
  <c r="Y510" i="1"/>
  <c r="Y520" i="1"/>
  <c r="AF532" i="1"/>
  <c r="AH532" i="1" s="1"/>
  <c r="AK534" i="1"/>
  <c r="X541" i="1"/>
  <c r="AH544" i="1"/>
  <c r="Y547" i="1"/>
  <c r="Y551" i="1"/>
  <c r="AF555" i="1"/>
  <c r="AH555" i="1" s="1"/>
  <c r="Y562" i="1"/>
  <c r="AI562" i="1" s="1"/>
  <c r="Y566" i="1"/>
  <c r="Y576" i="1"/>
  <c r="Y485" i="1"/>
  <c r="AI485" i="1" s="1"/>
  <c r="R487" i="1"/>
  <c r="AK487" i="1"/>
  <c r="AF495" i="1"/>
  <c r="AH495" i="1" s="1"/>
  <c r="Y497" i="1"/>
  <c r="Y511" i="1"/>
  <c r="Y517" i="1"/>
  <c r="R532" i="1"/>
  <c r="AK532" i="1"/>
  <c r="R534" i="1"/>
  <c r="AA541" i="1"/>
  <c r="Y552" i="1"/>
  <c r="AK555" i="1"/>
  <c r="Y571" i="1"/>
  <c r="R495" i="1"/>
  <c r="AK495" i="1"/>
  <c r="Y531" i="1"/>
  <c r="Y538" i="1"/>
  <c r="AH541" i="1"/>
  <c r="Y572" i="1"/>
  <c r="Y578" i="1"/>
  <c r="AF484" i="1"/>
  <c r="AH484" i="1" s="1"/>
  <c r="AF489" i="1"/>
  <c r="AH489" i="1" s="1"/>
  <c r="R533" i="1"/>
  <c r="AA533" i="1"/>
  <c r="V555" i="1"/>
  <c r="W555" i="1" s="1"/>
  <c r="Y555" i="1" s="1"/>
  <c r="W556" i="1"/>
  <c r="AK556" i="1"/>
  <c r="V560" i="1"/>
  <c r="W560" i="1" s="1"/>
  <c r="Y560" i="1" s="1"/>
  <c r="W561" i="1"/>
  <c r="AK561" i="1"/>
  <c r="AF564" i="1"/>
  <c r="AH564" i="1" s="1"/>
  <c r="V484" i="1"/>
  <c r="W484" i="1" s="1"/>
  <c r="V489" i="1"/>
  <c r="W489" i="1" s="1"/>
  <c r="AF533" i="1"/>
  <c r="AH533" i="1" s="1"/>
  <c r="V564" i="1"/>
  <c r="W564" i="1" s="1"/>
  <c r="AK484" i="1"/>
  <c r="AK489" i="1"/>
  <c r="R556" i="1"/>
  <c r="AA556" i="1"/>
  <c r="R561" i="1"/>
  <c r="AA561" i="1"/>
  <c r="AK564" i="1"/>
  <c r="X484" i="1"/>
  <c r="X489" i="1"/>
  <c r="V533" i="1"/>
  <c r="W533" i="1" s="1"/>
  <c r="X564" i="1"/>
  <c r="AF556" i="1"/>
  <c r="AH556" i="1" s="1"/>
  <c r="AF561" i="1"/>
  <c r="AH561" i="1" s="1"/>
  <c r="R484" i="1"/>
  <c r="R489" i="1"/>
  <c r="R564" i="1"/>
  <c r="AI514" i="1" l="1"/>
  <c r="AI571" i="1"/>
  <c r="AI512" i="1"/>
  <c r="AI511" i="1"/>
  <c r="AI548" i="1"/>
  <c r="AI559" i="1"/>
  <c r="AI525" i="1"/>
  <c r="AI563" i="1"/>
  <c r="AI523" i="1"/>
  <c r="AI574" i="1"/>
  <c r="AI537" i="1"/>
  <c r="AI521" i="1"/>
  <c r="AI531" i="1"/>
  <c r="AI540" i="1"/>
  <c r="AI505" i="1"/>
  <c r="AI520" i="1"/>
  <c r="AI552" i="1"/>
  <c r="AI542" i="1"/>
  <c r="AI503" i="1"/>
  <c r="AI550" i="1"/>
  <c r="AI492" i="1"/>
  <c r="AI570" i="1"/>
  <c r="AI576" i="1"/>
  <c r="AI507" i="1"/>
  <c r="AI513" i="1"/>
  <c r="AI553" i="1"/>
  <c r="AI501" i="1"/>
  <c r="AI497" i="1"/>
  <c r="AI510" i="1"/>
  <c r="AI577" i="1"/>
  <c r="AI486" i="1"/>
  <c r="AI518" i="1"/>
  <c r="AI575" i="1"/>
  <c r="AI500" i="1"/>
  <c r="AI546" i="1"/>
  <c r="AI565" i="1"/>
  <c r="Y561" i="1"/>
  <c r="AI561" i="1" s="1"/>
  <c r="AI567" i="1"/>
  <c r="Y554" i="1"/>
  <c r="AI516" i="1"/>
  <c r="AI482" i="1"/>
  <c r="AI558" i="1"/>
  <c r="AI504" i="1"/>
  <c r="AI498" i="1"/>
  <c r="AI515" i="1"/>
  <c r="AI569" i="1"/>
  <c r="AI502" i="1"/>
  <c r="AI549" i="1"/>
  <c r="AI538" i="1"/>
  <c r="AI491" i="1"/>
  <c r="AI499" i="1"/>
  <c r="AI535" i="1"/>
  <c r="AI557" i="1"/>
  <c r="AI524" i="1"/>
  <c r="AI488" i="1"/>
  <c r="AI508" i="1"/>
  <c r="AI490" i="1"/>
  <c r="AI536" i="1"/>
  <c r="AI509" i="1"/>
  <c r="AI527" i="1"/>
  <c r="AI530" i="1"/>
  <c r="Y556" i="1"/>
  <c r="AI556" i="1" s="1"/>
  <c r="AI543" i="1"/>
  <c r="AI547" i="1"/>
  <c r="Y533" i="1"/>
  <c r="AI533" i="1" s="1"/>
  <c r="AI534" i="1"/>
  <c r="AI493" i="1"/>
  <c r="AI539" i="1"/>
  <c r="AI496" i="1"/>
  <c r="AI551" i="1"/>
  <c r="AI554" i="1"/>
  <c r="AI578" i="1"/>
  <c r="AI526" i="1"/>
  <c r="AI528" i="1"/>
  <c r="AI529" i="1"/>
  <c r="AI517" i="1"/>
  <c r="AI494" i="1"/>
  <c r="Y484" i="1"/>
  <c r="AI484" i="1" s="1"/>
  <c r="AI495" i="1"/>
  <c r="AI560" i="1"/>
  <c r="AI573" i="1"/>
  <c r="AI544" i="1"/>
  <c r="AI522" i="1"/>
  <c r="AI572" i="1"/>
  <c r="AI545" i="1"/>
  <c r="Y489" i="1"/>
  <c r="AI489" i="1" s="1"/>
  <c r="AI566" i="1"/>
  <c r="AI532" i="1"/>
  <c r="AI487" i="1"/>
  <c r="Y519" i="1"/>
  <c r="AI519" i="1" s="1"/>
  <c r="AI568" i="1"/>
  <c r="AI483" i="1"/>
  <c r="Y564" i="1"/>
  <c r="AI564" i="1" s="1"/>
  <c r="AI555" i="1"/>
  <c r="Y541" i="1"/>
  <c r="AI541" i="1" s="1"/>
  <c r="AK118" i="1" l="1"/>
  <c r="AF118" i="1"/>
  <c r="AA118" i="1"/>
  <c r="X118" i="1"/>
  <c r="W118" i="1"/>
  <c r="T118" i="1"/>
  <c r="S118" i="1"/>
  <c r="R118" i="1"/>
  <c r="J118" i="1"/>
  <c r="AD118" i="1" s="1"/>
  <c r="AK117" i="1"/>
  <c r="AF117" i="1"/>
  <c r="AA117" i="1"/>
  <c r="X117" i="1"/>
  <c r="W117" i="1"/>
  <c r="T117" i="1"/>
  <c r="S117" i="1"/>
  <c r="R117" i="1"/>
  <c r="J117" i="1"/>
  <c r="AD117" i="1" s="1"/>
  <c r="AK116" i="1"/>
  <c r="AF116" i="1"/>
  <c r="AA116" i="1"/>
  <c r="X116" i="1"/>
  <c r="V116" i="1"/>
  <c r="W116" i="1" s="1"/>
  <c r="T116" i="1"/>
  <c r="S116" i="1"/>
  <c r="R116" i="1"/>
  <c r="J116" i="1"/>
  <c r="AD116" i="1" s="1"/>
  <c r="AK115" i="1"/>
  <c r="AF115" i="1"/>
  <c r="AA115" i="1"/>
  <c r="X115" i="1"/>
  <c r="W115" i="1"/>
  <c r="T115" i="1"/>
  <c r="S115" i="1"/>
  <c r="R115" i="1"/>
  <c r="J115" i="1"/>
  <c r="AD115" i="1" s="1"/>
  <c r="AK114" i="1"/>
  <c r="AF114" i="1"/>
  <c r="AA114" i="1"/>
  <c r="X114" i="1"/>
  <c r="W114" i="1"/>
  <c r="T114" i="1"/>
  <c r="S114" i="1"/>
  <c r="R114" i="1"/>
  <c r="J114" i="1"/>
  <c r="AD114" i="1" s="1"/>
  <c r="AK113" i="1"/>
  <c r="AF113" i="1"/>
  <c r="AD113" i="1"/>
  <c r="AA113" i="1"/>
  <c r="X113" i="1"/>
  <c r="W113" i="1"/>
  <c r="T113" i="1"/>
  <c r="S113" i="1"/>
  <c r="R113" i="1"/>
  <c r="AK112" i="1"/>
  <c r="AF112" i="1"/>
  <c r="AD112" i="1"/>
  <c r="AA112" i="1"/>
  <c r="X112" i="1"/>
  <c r="W112" i="1"/>
  <c r="T112" i="1"/>
  <c r="S112" i="1"/>
  <c r="R112" i="1"/>
  <c r="AK111" i="1"/>
  <c r="AF111" i="1"/>
  <c r="AA111" i="1"/>
  <c r="X111" i="1"/>
  <c r="V111" i="1"/>
  <c r="W111" i="1" s="1"/>
  <c r="T111" i="1"/>
  <c r="S111" i="1"/>
  <c r="R111" i="1"/>
  <c r="J111" i="1"/>
  <c r="AD111" i="1" s="1"/>
  <c r="AK110" i="1"/>
  <c r="AF110" i="1"/>
  <c r="AA110" i="1"/>
  <c r="X110" i="1"/>
  <c r="V110" i="1"/>
  <c r="W110" i="1" s="1"/>
  <c r="T110" i="1"/>
  <c r="S110" i="1"/>
  <c r="R110" i="1"/>
  <c r="J110" i="1"/>
  <c r="AD110" i="1" s="1"/>
  <c r="AK109" i="1"/>
  <c r="AF109" i="1"/>
  <c r="AA109" i="1"/>
  <c r="X109" i="1"/>
  <c r="V109" i="1"/>
  <c r="W109" i="1" s="1"/>
  <c r="T109" i="1"/>
  <c r="S109" i="1"/>
  <c r="R109" i="1"/>
  <c r="J109" i="1"/>
  <c r="AD109" i="1" s="1"/>
  <c r="AK108" i="1"/>
  <c r="AF108" i="1"/>
  <c r="AA108" i="1"/>
  <c r="X108" i="1"/>
  <c r="W108" i="1"/>
  <c r="T108" i="1"/>
  <c r="S108" i="1"/>
  <c r="R108" i="1"/>
  <c r="J108" i="1"/>
  <c r="AD108" i="1" s="1"/>
  <c r="AK107" i="1"/>
  <c r="AF107" i="1"/>
  <c r="AA107" i="1"/>
  <c r="X107" i="1"/>
  <c r="V107" i="1"/>
  <c r="W107" i="1" s="1"/>
  <c r="T107" i="1"/>
  <c r="S107" i="1"/>
  <c r="R107" i="1"/>
  <c r="J107" i="1"/>
  <c r="AD107" i="1" s="1"/>
  <c r="AK106" i="1"/>
  <c r="AF106" i="1"/>
  <c r="AA106" i="1"/>
  <c r="X106" i="1"/>
  <c r="V106" i="1"/>
  <c r="W106" i="1" s="1"/>
  <c r="T106" i="1"/>
  <c r="S106" i="1"/>
  <c r="R106" i="1"/>
  <c r="J106" i="1"/>
  <c r="AD106" i="1" s="1"/>
  <c r="AK105" i="1"/>
  <c r="AF105" i="1"/>
  <c r="AA105" i="1"/>
  <c r="X105" i="1"/>
  <c r="V105" i="1"/>
  <c r="W105" i="1" s="1"/>
  <c r="T105" i="1"/>
  <c r="S105" i="1"/>
  <c r="R105" i="1"/>
  <c r="J105" i="1"/>
  <c r="AD105" i="1" s="1"/>
  <c r="AK104" i="1"/>
  <c r="AF104" i="1"/>
  <c r="AA104" i="1"/>
  <c r="X104" i="1"/>
  <c r="V104" i="1"/>
  <c r="W104" i="1" s="1"/>
  <c r="T104" i="1"/>
  <c r="S104" i="1"/>
  <c r="R104" i="1"/>
  <c r="J104" i="1"/>
  <c r="AD104" i="1" s="1"/>
  <c r="AK103" i="1"/>
  <c r="AF103" i="1"/>
  <c r="AA103" i="1"/>
  <c r="X103" i="1"/>
  <c r="V103" i="1"/>
  <c r="W103" i="1" s="1"/>
  <c r="T103" i="1"/>
  <c r="S103" i="1"/>
  <c r="R103" i="1"/>
  <c r="J103" i="1"/>
  <c r="AD103" i="1" s="1"/>
  <c r="AK102" i="1"/>
  <c r="AF102" i="1"/>
  <c r="AA102" i="1"/>
  <c r="X102" i="1"/>
  <c r="V102" i="1"/>
  <c r="W102" i="1" s="1"/>
  <c r="T102" i="1"/>
  <c r="S102" i="1"/>
  <c r="R102" i="1"/>
  <c r="J102" i="1"/>
  <c r="AD102" i="1" s="1"/>
  <c r="AK101" i="1"/>
  <c r="AF101" i="1"/>
  <c r="AA101" i="1"/>
  <c r="X101" i="1"/>
  <c r="V101" i="1"/>
  <c r="W101" i="1" s="1"/>
  <c r="T101" i="1"/>
  <c r="S101" i="1"/>
  <c r="R101" i="1"/>
  <c r="J101" i="1"/>
  <c r="AD101" i="1" s="1"/>
  <c r="AK100" i="1"/>
  <c r="AF100" i="1"/>
  <c r="AA100" i="1"/>
  <c r="X100" i="1"/>
  <c r="V100" i="1"/>
  <c r="W100" i="1" s="1"/>
  <c r="T100" i="1"/>
  <c r="S100" i="1"/>
  <c r="R100" i="1"/>
  <c r="J100" i="1"/>
  <c r="AD100" i="1" s="1"/>
  <c r="AK99" i="1"/>
  <c r="AF99" i="1"/>
  <c r="AA99" i="1"/>
  <c r="X99" i="1"/>
  <c r="V99" i="1"/>
  <c r="W99" i="1" s="1"/>
  <c r="T99" i="1"/>
  <c r="S99" i="1"/>
  <c r="R99" i="1"/>
  <c r="J99" i="1"/>
  <c r="AD99" i="1" s="1"/>
  <c r="AK98" i="1"/>
  <c r="AF98" i="1"/>
  <c r="AA98" i="1"/>
  <c r="X98" i="1"/>
  <c r="V98" i="1"/>
  <c r="W98" i="1" s="1"/>
  <c r="T98" i="1"/>
  <c r="S98" i="1"/>
  <c r="R98" i="1"/>
  <c r="J98" i="1"/>
  <c r="AD98" i="1" s="1"/>
  <c r="AK97" i="1"/>
  <c r="AF97" i="1"/>
  <c r="AA97" i="1"/>
  <c r="X97" i="1"/>
  <c r="V97" i="1"/>
  <c r="W97" i="1" s="1"/>
  <c r="T97" i="1"/>
  <c r="S97" i="1"/>
  <c r="R97" i="1"/>
  <c r="J97" i="1"/>
  <c r="AD97" i="1" s="1"/>
  <c r="AK96" i="1"/>
  <c r="AF96" i="1"/>
  <c r="AA96" i="1"/>
  <c r="X96" i="1"/>
  <c r="V96" i="1"/>
  <c r="W96" i="1" s="1"/>
  <c r="T96" i="1"/>
  <c r="S96" i="1"/>
  <c r="R96" i="1"/>
  <c r="J96" i="1"/>
  <c r="AD96" i="1" s="1"/>
  <c r="AK95" i="1"/>
  <c r="AF95" i="1"/>
  <c r="AA95" i="1"/>
  <c r="X95" i="1"/>
  <c r="W95" i="1"/>
  <c r="T95" i="1"/>
  <c r="S95" i="1"/>
  <c r="R95" i="1"/>
  <c r="J95" i="1"/>
  <c r="AD95" i="1" s="1"/>
  <c r="AK94" i="1"/>
  <c r="AF94" i="1"/>
  <c r="AA94" i="1"/>
  <c r="X94" i="1"/>
  <c r="V94" i="1"/>
  <c r="W94" i="1" s="1"/>
  <c r="T94" i="1"/>
  <c r="S94" i="1"/>
  <c r="R94" i="1"/>
  <c r="J94" i="1"/>
  <c r="AD94" i="1" s="1"/>
  <c r="AK93" i="1"/>
  <c r="AF93" i="1"/>
  <c r="AA93" i="1"/>
  <c r="X93" i="1"/>
  <c r="V93" i="1"/>
  <c r="W93" i="1" s="1"/>
  <c r="T93" i="1"/>
  <c r="S93" i="1"/>
  <c r="R93" i="1"/>
  <c r="J93" i="1"/>
  <c r="AD93" i="1" s="1"/>
  <c r="AK92" i="1"/>
  <c r="AF92" i="1"/>
  <c r="AA92" i="1"/>
  <c r="X92" i="1"/>
  <c r="V92" i="1"/>
  <c r="W92" i="1" s="1"/>
  <c r="T92" i="1"/>
  <c r="S92" i="1"/>
  <c r="R92" i="1"/>
  <c r="J92" i="1"/>
  <c r="AD92" i="1" s="1"/>
  <c r="AK91" i="1"/>
  <c r="AF91" i="1"/>
  <c r="AA91" i="1"/>
  <c r="X91" i="1"/>
  <c r="V91" i="1"/>
  <c r="W91" i="1" s="1"/>
  <c r="T91" i="1"/>
  <c r="S91" i="1"/>
  <c r="R91" i="1"/>
  <c r="J91" i="1"/>
  <c r="AD91" i="1" s="1"/>
  <c r="AA90" i="1"/>
  <c r="X90" i="1"/>
  <c r="V90" i="1"/>
  <c r="W90" i="1" s="1"/>
  <c r="T90" i="1"/>
  <c r="S90" i="1"/>
  <c r="R90" i="1"/>
  <c r="J90" i="1"/>
  <c r="AD90" i="1" s="1"/>
  <c r="AA89" i="1"/>
  <c r="X89" i="1"/>
  <c r="V89" i="1"/>
  <c r="W89" i="1" s="1"/>
  <c r="T89" i="1"/>
  <c r="S89" i="1"/>
  <c r="R89" i="1"/>
  <c r="J89" i="1"/>
  <c r="AD89" i="1" s="1"/>
  <c r="AA88" i="1"/>
  <c r="X88" i="1"/>
  <c r="V88" i="1"/>
  <c r="W88" i="1" s="1"/>
  <c r="T88" i="1"/>
  <c r="S88" i="1"/>
  <c r="R88" i="1"/>
  <c r="J88" i="1"/>
  <c r="AD88" i="1" s="1"/>
  <c r="AK87" i="1"/>
  <c r="AF87" i="1"/>
  <c r="AA87" i="1"/>
  <c r="X87" i="1"/>
  <c r="W87" i="1"/>
  <c r="T87" i="1"/>
  <c r="S87" i="1"/>
  <c r="R87" i="1"/>
  <c r="J87" i="1"/>
  <c r="AD87" i="1" s="1"/>
  <c r="AK86" i="1"/>
  <c r="AF86" i="1"/>
  <c r="AA86" i="1"/>
  <c r="X86" i="1"/>
  <c r="V86" i="1"/>
  <c r="W86" i="1" s="1"/>
  <c r="T86" i="1"/>
  <c r="S86" i="1"/>
  <c r="R86" i="1"/>
  <c r="J86" i="1"/>
  <c r="AD86" i="1" s="1"/>
  <c r="AK85" i="1"/>
  <c r="AF85" i="1"/>
  <c r="AA85" i="1"/>
  <c r="X85" i="1"/>
  <c r="V85" i="1"/>
  <c r="W85" i="1" s="1"/>
  <c r="T85" i="1"/>
  <c r="S85" i="1"/>
  <c r="R85" i="1"/>
  <c r="J85" i="1"/>
  <c r="AD85" i="1" s="1"/>
  <c r="AK84" i="1"/>
  <c r="AF84" i="1"/>
  <c r="AA84" i="1"/>
  <c r="X84" i="1"/>
  <c r="V84" i="1"/>
  <c r="W84" i="1" s="1"/>
  <c r="T84" i="1"/>
  <c r="S84" i="1"/>
  <c r="R84" i="1"/>
  <c r="J84" i="1"/>
  <c r="AD84" i="1" s="1"/>
  <c r="AK83" i="1"/>
  <c r="AF83" i="1"/>
  <c r="AA83" i="1"/>
  <c r="X83" i="1"/>
  <c r="W83" i="1"/>
  <c r="T83" i="1"/>
  <c r="S83" i="1"/>
  <c r="R83" i="1"/>
  <c r="J83" i="1"/>
  <c r="AD83" i="1" s="1"/>
  <c r="AK82" i="1"/>
  <c r="AF82" i="1"/>
  <c r="AA82" i="1"/>
  <c r="X82" i="1"/>
  <c r="V82" i="1"/>
  <c r="W82" i="1" s="1"/>
  <c r="T82" i="1"/>
  <c r="S82" i="1"/>
  <c r="R82" i="1"/>
  <c r="J82" i="1"/>
  <c r="AD82" i="1" s="1"/>
  <c r="AK81" i="1"/>
  <c r="AF81" i="1"/>
  <c r="AA81" i="1"/>
  <c r="X81" i="1"/>
  <c r="V81" i="1"/>
  <c r="W81" i="1" s="1"/>
  <c r="T81" i="1"/>
  <c r="S81" i="1"/>
  <c r="R81" i="1"/>
  <c r="J81" i="1"/>
  <c r="AD81" i="1" s="1"/>
  <c r="AK80" i="1"/>
  <c r="AF80" i="1"/>
  <c r="AA80" i="1"/>
  <c r="X80" i="1"/>
  <c r="V80" i="1"/>
  <c r="W80" i="1" s="1"/>
  <c r="T80" i="1"/>
  <c r="S80" i="1"/>
  <c r="R80" i="1"/>
  <c r="J80" i="1"/>
  <c r="AD80" i="1" s="1"/>
  <c r="AK79" i="1"/>
  <c r="AF79" i="1"/>
  <c r="AA79" i="1"/>
  <c r="X79" i="1"/>
  <c r="V79" i="1"/>
  <c r="W79" i="1" s="1"/>
  <c r="T79" i="1"/>
  <c r="S79" i="1"/>
  <c r="R79" i="1"/>
  <c r="J79" i="1"/>
  <c r="AD79" i="1" s="1"/>
  <c r="AK78" i="1"/>
  <c r="AF78" i="1"/>
  <c r="AA78" i="1"/>
  <c r="X78" i="1"/>
  <c r="W78" i="1"/>
  <c r="T78" i="1"/>
  <c r="S78" i="1"/>
  <c r="R78" i="1"/>
  <c r="J78" i="1"/>
  <c r="AD78" i="1" s="1"/>
  <c r="AK77" i="1"/>
  <c r="AF77" i="1"/>
  <c r="AA77" i="1"/>
  <c r="X77" i="1"/>
  <c r="V77" i="1"/>
  <c r="W77" i="1" s="1"/>
  <c r="T77" i="1"/>
  <c r="S77" i="1"/>
  <c r="R77" i="1"/>
  <c r="J77" i="1"/>
  <c r="AD77" i="1" s="1"/>
  <c r="AK76" i="1"/>
  <c r="AF76" i="1"/>
  <c r="AA76" i="1"/>
  <c r="X76" i="1"/>
  <c r="V76" i="1"/>
  <c r="W76" i="1" s="1"/>
  <c r="T76" i="1"/>
  <c r="S76" i="1"/>
  <c r="R76" i="1"/>
  <c r="J76" i="1"/>
  <c r="AD76" i="1" s="1"/>
  <c r="AK75" i="1"/>
  <c r="AF75" i="1"/>
  <c r="AA75" i="1"/>
  <c r="X75" i="1"/>
  <c r="V75" i="1"/>
  <c r="W75" i="1" s="1"/>
  <c r="T75" i="1"/>
  <c r="S75" i="1"/>
  <c r="R75" i="1"/>
  <c r="J75" i="1"/>
  <c r="AD75" i="1" s="1"/>
  <c r="AK74" i="1"/>
  <c r="AF74" i="1"/>
  <c r="AA74" i="1"/>
  <c r="X74" i="1"/>
  <c r="V74" i="1"/>
  <c r="W74" i="1" s="1"/>
  <c r="T74" i="1"/>
  <c r="S74" i="1"/>
  <c r="R74" i="1"/>
  <c r="J74" i="1"/>
  <c r="AD74" i="1" s="1"/>
  <c r="AK73" i="1"/>
  <c r="AF73" i="1"/>
  <c r="AA73" i="1"/>
  <c r="X73" i="1"/>
  <c r="V73" i="1"/>
  <c r="W73" i="1" s="1"/>
  <c r="T73" i="1"/>
  <c r="S73" i="1"/>
  <c r="R73" i="1"/>
  <c r="J73" i="1"/>
  <c r="AD73" i="1" s="1"/>
  <c r="AK72" i="1"/>
  <c r="AF72" i="1"/>
  <c r="AA72" i="1"/>
  <c r="X72" i="1"/>
  <c r="V72" i="1"/>
  <c r="W72" i="1" s="1"/>
  <c r="T72" i="1"/>
  <c r="S72" i="1"/>
  <c r="R72" i="1"/>
  <c r="J72" i="1"/>
  <c r="AD72" i="1" s="1"/>
  <c r="AK71" i="1"/>
  <c r="AF71" i="1"/>
  <c r="AA71" i="1"/>
  <c r="X71" i="1"/>
  <c r="W71" i="1"/>
  <c r="T71" i="1"/>
  <c r="S71" i="1"/>
  <c r="R71" i="1"/>
  <c r="J71" i="1"/>
  <c r="AD71" i="1" s="1"/>
  <c r="AK70" i="1"/>
  <c r="AF70" i="1"/>
  <c r="AA70" i="1"/>
  <c r="X70" i="1"/>
  <c r="W70" i="1"/>
  <c r="T70" i="1"/>
  <c r="S70" i="1"/>
  <c r="R70" i="1"/>
  <c r="J70" i="1"/>
  <c r="AD70" i="1" s="1"/>
  <c r="AK69" i="1"/>
  <c r="AF69" i="1"/>
  <c r="AA69" i="1"/>
  <c r="X69" i="1"/>
  <c r="V69" i="1"/>
  <c r="W69" i="1" s="1"/>
  <c r="T69" i="1"/>
  <c r="S69" i="1"/>
  <c r="R69" i="1"/>
  <c r="J69" i="1"/>
  <c r="AD69" i="1" s="1"/>
  <c r="AK68" i="1"/>
  <c r="AF68" i="1"/>
  <c r="AA68" i="1"/>
  <c r="X68" i="1"/>
  <c r="V68" i="1"/>
  <c r="W68" i="1" s="1"/>
  <c r="T68" i="1"/>
  <c r="S68" i="1"/>
  <c r="R68" i="1"/>
  <c r="J68" i="1"/>
  <c r="AD68" i="1" s="1"/>
  <c r="AK67" i="1"/>
  <c r="AF67" i="1"/>
  <c r="AA67" i="1"/>
  <c r="X67" i="1"/>
  <c r="V67" i="1"/>
  <c r="W67" i="1" s="1"/>
  <c r="T67" i="1"/>
  <c r="S67" i="1"/>
  <c r="R67" i="1"/>
  <c r="J67" i="1"/>
  <c r="AD67" i="1" s="1"/>
  <c r="AK66" i="1"/>
  <c r="AF66" i="1"/>
  <c r="AA66" i="1"/>
  <c r="X66" i="1"/>
  <c r="V66" i="1"/>
  <c r="W66" i="1" s="1"/>
  <c r="T66" i="1"/>
  <c r="S66" i="1"/>
  <c r="R66" i="1"/>
  <c r="J66" i="1"/>
  <c r="AD66" i="1" s="1"/>
  <c r="AK65" i="1"/>
  <c r="AF65" i="1"/>
  <c r="AA65" i="1"/>
  <c r="X65" i="1"/>
  <c r="V65" i="1"/>
  <c r="W65" i="1" s="1"/>
  <c r="T65" i="1"/>
  <c r="S65" i="1"/>
  <c r="R65" i="1"/>
  <c r="J65" i="1"/>
  <c r="AD65" i="1" s="1"/>
  <c r="AK64" i="1"/>
  <c r="AF64" i="1"/>
  <c r="AA64" i="1"/>
  <c r="X64" i="1"/>
  <c r="V64" i="1"/>
  <c r="W64" i="1" s="1"/>
  <c r="T64" i="1"/>
  <c r="S64" i="1"/>
  <c r="R64" i="1"/>
  <c r="J64" i="1"/>
  <c r="AD64" i="1" s="1"/>
  <c r="AK63" i="1"/>
  <c r="AF63" i="1"/>
  <c r="AA63" i="1"/>
  <c r="X63" i="1"/>
  <c r="V63" i="1"/>
  <c r="W63" i="1" s="1"/>
  <c r="T63" i="1"/>
  <c r="S63" i="1"/>
  <c r="R63" i="1"/>
  <c r="J63" i="1"/>
  <c r="AD63" i="1" s="1"/>
  <c r="AK62" i="1"/>
  <c r="AF62" i="1"/>
  <c r="AA62" i="1"/>
  <c r="X62" i="1"/>
  <c r="W62" i="1"/>
  <c r="T62" i="1"/>
  <c r="S62" i="1"/>
  <c r="R62" i="1"/>
  <c r="J62" i="1"/>
  <c r="AD62" i="1" s="1"/>
  <c r="AK61" i="1"/>
  <c r="AF61" i="1"/>
  <c r="AA61" i="1"/>
  <c r="X61" i="1"/>
  <c r="W61" i="1"/>
  <c r="T61" i="1"/>
  <c r="S61" i="1"/>
  <c r="R61" i="1"/>
  <c r="J61" i="1"/>
  <c r="AD61" i="1" s="1"/>
  <c r="AK60" i="1"/>
  <c r="AF60" i="1"/>
  <c r="AA60" i="1"/>
  <c r="X60" i="1"/>
  <c r="W60" i="1"/>
  <c r="T60" i="1"/>
  <c r="S60" i="1"/>
  <c r="R60" i="1"/>
  <c r="J60" i="1"/>
  <c r="AD60" i="1" s="1"/>
  <c r="AK59" i="1"/>
  <c r="AF59" i="1"/>
  <c r="AA59" i="1"/>
  <c r="X59" i="1"/>
  <c r="W59" i="1"/>
  <c r="T59" i="1"/>
  <c r="S59" i="1"/>
  <c r="R59" i="1"/>
  <c r="J59" i="1"/>
  <c r="AD59" i="1" s="1"/>
  <c r="AK58" i="1"/>
  <c r="AF58" i="1"/>
  <c r="AA58" i="1"/>
  <c r="X58" i="1"/>
  <c r="W58" i="1"/>
  <c r="T58" i="1"/>
  <c r="S58" i="1"/>
  <c r="R58" i="1"/>
  <c r="J58" i="1"/>
  <c r="AD58" i="1" s="1"/>
  <c r="AK57" i="1"/>
  <c r="AF57" i="1"/>
  <c r="AA57" i="1"/>
  <c r="X57" i="1"/>
  <c r="W57" i="1"/>
  <c r="T57" i="1"/>
  <c r="S57" i="1"/>
  <c r="R57" i="1"/>
  <c r="J57" i="1"/>
  <c r="AD57" i="1" s="1"/>
  <c r="AK56" i="1"/>
  <c r="AF56" i="1"/>
  <c r="AA56" i="1"/>
  <c r="X56" i="1"/>
  <c r="V56" i="1"/>
  <c r="W56" i="1" s="1"/>
  <c r="T56" i="1"/>
  <c r="S56" i="1"/>
  <c r="R56" i="1"/>
  <c r="J56" i="1"/>
  <c r="AD56" i="1" s="1"/>
  <c r="AK55" i="1"/>
  <c r="AF55" i="1"/>
  <c r="AA55" i="1"/>
  <c r="X55" i="1"/>
  <c r="W55" i="1"/>
  <c r="T55" i="1"/>
  <c r="S55" i="1"/>
  <c r="R55" i="1"/>
  <c r="J55" i="1"/>
  <c r="AD55" i="1" s="1"/>
  <c r="AK54" i="1"/>
  <c r="AF54" i="1"/>
  <c r="AA54" i="1"/>
  <c r="X54" i="1"/>
  <c r="V54" i="1"/>
  <c r="W54" i="1" s="1"/>
  <c r="T54" i="1"/>
  <c r="S54" i="1"/>
  <c r="R54" i="1"/>
  <c r="J54" i="1"/>
  <c r="AD54" i="1" s="1"/>
  <c r="AK53" i="1"/>
  <c r="AF53" i="1"/>
  <c r="AA53" i="1"/>
  <c r="X53" i="1"/>
  <c r="V53" i="1"/>
  <c r="W53" i="1" s="1"/>
  <c r="T53" i="1"/>
  <c r="S53" i="1"/>
  <c r="R53" i="1"/>
  <c r="J53" i="1"/>
  <c r="AD53" i="1" s="1"/>
  <c r="AK52" i="1"/>
  <c r="AF52" i="1"/>
  <c r="AA52" i="1"/>
  <c r="X52" i="1"/>
  <c r="V52" i="1"/>
  <c r="W52" i="1" s="1"/>
  <c r="T52" i="1"/>
  <c r="S52" i="1"/>
  <c r="R52" i="1"/>
  <c r="J52" i="1"/>
  <c r="AD52" i="1" s="1"/>
  <c r="AK51" i="1"/>
  <c r="AF51" i="1"/>
  <c r="AA51" i="1"/>
  <c r="X51" i="1"/>
  <c r="V51" i="1"/>
  <c r="W51" i="1" s="1"/>
  <c r="T51" i="1"/>
  <c r="S51" i="1"/>
  <c r="R51" i="1"/>
  <c r="J51" i="1"/>
  <c r="AD51" i="1" s="1"/>
  <c r="AK50" i="1"/>
  <c r="AF50" i="1"/>
  <c r="AA50" i="1"/>
  <c r="X50" i="1"/>
  <c r="V50" i="1"/>
  <c r="W50" i="1" s="1"/>
  <c r="T50" i="1"/>
  <c r="S50" i="1"/>
  <c r="R50" i="1"/>
  <c r="J50" i="1"/>
  <c r="AD50" i="1" s="1"/>
  <c r="AK49" i="1"/>
  <c r="AF49" i="1"/>
  <c r="AA49" i="1"/>
  <c r="X49" i="1"/>
  <c r="W49" i="1"/>
  <c r="T49" i="1"/>
  <c r="S49" i="1"/>
  <c r="R49" i="1"/>
  <c r="J49" i="1"/>
  <c r="AD49" i="1" s="1"/>
  <c r="AK48" i="1"/>
  <c r="AF48" i="1"/>
  <c r="AA48" i="1"/>
  <c r="X48" i="1"/>
  <c r="V48" i="1"/>
  <c r="W48" i="1" s="1"/>
  <c r="T48" i="1"/>
  <c r="S48" i="1"/>
  <c r="R48" i="1"/>
  <c r="J48" i="1"/>
  <c r="AD48" i="1" s="1"/>
  <c r="AK47" i="1"/>
  <c r="AF47" i="1"/>
  <c r="AA47" i="1"/>
  <c r="X47" i="1"/>
  <c r="V47" i="1"/>
  <c r="W47" i="1" s="1"/>
  <c r="T47" i="1"/>
  <c r="S47" i="1"/>
  <c r="R47" i="1"/>
  <c r="J47" i="1"/>
  <c r="AD47" i="1" s="1"/>
  <c r="AK46" i="1"/>
  <c r="AF46" i="1"/>
  <c r="AA46" i="1"/>
  <c r="X46" i="1"/>
  <c r="V46" i="1"/>
  <c r="W46" i="1" s="1"/>
  <c r="T46" i="1"/>
  <c r="S46" i="1"/>
  <c r="R46" i="1"/>
  <c r="J46" i="1"/>
  <c r="AD46" i="1" s="1"/>
  <c r="AK45" i="1"/>
  <c r="AF45" i="1"/>
  <c r="AA45" i="1"/>
  <c r="X45" i="1"/>
  <c r="V45" i="1"/>
  <c r="W45" i="1" s="1"/>
  <c r="T45" i="1"/>
  <c r="S45" i="1"/>
  <c r="R45" i="1"/>
  <c r="J45" i="1"/>
  <c r="AD45" i="1" s="1"/>
  <c r="AK44" i="1"/>
  <c r="AF44" i="1"/>
  <c r="AA44" i="1"/>
  <c r="X44" i="1"/>
  <c r="V44" i="1"/>
  <c r="W44" i="1" s="1"/>
  <c r="T44" i="1"/>
  <c r="S44" i="1"/>
  <c r="R44" i="1"/>
  <c r="J44" i="1"/>
  <c r="AD44" i="1" s="1"/>
  <c r="AK43" i="1"/>
  <c r="AF43" i="1"/>
  <c r="AA43" i="1"/>
  <c r="X43" i="1"/>
  <c r="V43" i="1"/>
  <c r="W43" i="1" s="1"/>
  <c r="T43" i="1"/>
  <c r="S43" i="1"/>
  <c r="R43" i="1"/>
  <c r="J43" i="1"/>
  <c r="AD43" i="1" s="1"/>
  <c r="AK42" i="1"/>
  <c r="AF42" i="1"/>
  <c r="AA42" i="1"/>
  <c r="X42" i="1"/>
  <c r="V42" i="1"/>
  <c r="W42" i="1" s="1"/>
  <c r="T42" i="1"/>
  <c r="S42" i="1"/>
  <c r="R42" i="1"/>
  <c r="J42" i="1"/>
  <c r="AD42" i="1" s="1"/>
  <c r="AK41" i="1"/>
  <c r="AF41" i="1"/>
  <c r="AA41" i="1"/>
  <c r="X41" i="1"/>
  <c r="V41" i="1"/>
  <c r="W41" i="1" s="1"/>
  <c r="T41" i="1"/>
  <c r="S41" i="1"/>
  <c r="R41" i="1"/>
  <c r="J41" i="1"/>
  <c r="AD41" i="1" s="1"/>
  <c r="AK40" i="1"/>
  <c r="AF40" i="1"/>
  <c r="AA40" i="1"/>
  <c r="X40" i="1"/>
  <c r="V40" i="1"/>
  <c r="W40" i="1" s="1"/>
  <c r="T40" i="1"/>
  <c r="S40" i="1"/>
  <c r="R40" i="1"/>
  <c r="J40" i="1"/>
  <c r="AD40" i="1" s="1"/>
  <c r="AK39" i="1"/>
  <c r="AF39" i="1"/>
  <c r="AA39" i="1"/>
  <c r="X39" i="1"/>
  <c r="V39" i="1"/>
  <c r="W39" i="1" s="1"/>
  <c r="T39" i="1"/>
  <c r="S39" i="1"/>
  <c r="R39" i="1"/>
  <c r="J39" i="1"/>
  <c r="AD39" i="1" s="1"/>
  <c r="AK38" i="1"/>
  <c r="AF38" i="1"/>
  <c r="AA38" i="1"/>
  <c r="X38" i="1"/>
  <c r="V38" i="1"/>
  <c r="W38" i="1" s="1"/>
  <c r="T38" i="1"/>
  <c r="S38" i="1"/>
  <c r="R38" i="1"/>
  <c r="J38" i="1"/>
  <c r="AD38" i="1" s="1"/>
  <c r="AK37" i="1"/>
  <c r="AF37" i="1"/>
  <c r="AA37" i="1"/>
  <c r="X37" i="1"/>
  <c r="W37" i="1"/>
  <c r="T37" i="1"/>
  <c r="S37" i="1"/>
  <c r="R37" i="1"/>
  <c r="J37" i="1"/>
  <c r="AD37" i="1" s="1"/>
  <c r="AK36" i="1"/>
  <c r="AF36" i="1"/>
  <c r="AA36" i="1"/>
  <c r="X36" i="1"/>
  <c r="V36" i="1"/>
  <c r="W36" i="1" s="1"/>
  <c r="T36" i="1"/>
  <c r="S36" i="1"/>
  <c r="R36" i="1"/>
  <c r="J36" i="1"/>
  <c r="AD36" i="1" s="1"/>
  <c r="AK35" i="1"/>
  <c r="AF35" i="1"/>
  <c r="AA35" i="1"/>
  <c r="X35" i="1"/>
  <c r="V35" i="1"/>
  <c r="W35" i="1" s="1"/>
  <c r="T35" i="1"/>
  <c r="S35" i="1"/>
  <c r="R35" i="1"/>
  <c r="J35" i="1"/>
  <c r="AD35" i="1" s="1"/>
  <c r="AK34" i="1"/>
  <c r="AF34" i="1"/>
  <c r="AA34" i="1"/>
  <c r="X34" i="1"/>
  <c r="V34" i="1"/>
  <c r="W34" i="1" s="1"/>
  <c r="T34" i="1"/>
  <c r="S34" i="1"/>
  <c r="R34" i="1"/>
  <c r="J34" i="1"/>
  <c r="AD34" i="1" s="1"/>
  <c r="AK33" i="1"/>
  <c r="AF33" i="1"/>
  <c r="AA33" i="1"/>
  <c r="X33" i="1"/>
  <c r="V33" i="1"/>
  <c r="W33" i="1" s="1"/>
  <c r="T33" i="1"/>
  <c r="S33" i="1"/>
  <c r="R33" i="1"/>
  <c r="J33" i="1"/>
  <c r="AD33" i="1" s="1"/>
  <c r="AK32" i="1"/>
  <c r="AF32" i="1"/>
  <c r="AA32" i="1"/>
  <c r="X32" i="1"/>
  <c r="V32" i="1"/>
  <c r="W32" i="1" s="1"/>
  <c r="T32" i="1"/>
  <c r="S32" i="1"/>
  <c r="R32" i="1"/>
  <c r="J32" i="1"/>
  <c r="AD32" i="1" s="1"/>
  <c r="AK31" i="1"/>
  <c r="AF31" i="1"/>
  <c r="AA31" i="1"/>
  <c r="X31" i="1"/>
  <c r="V31" i="1"/>
  <c r="W31" i="1" s="1"/>
  <c r="T31" i="1"/>
  <c r="S31" i="1"/>
  <c r="R31" i="1"/>
  <c r="J31" i="1"/>
  <c r="AD31" i="1" s="1"/>
  <c r="AK30" i="1"/>
  <c r="AF30" i="1"/>
  <c r="AA30" i="1"/>
  <c r="X30" i="1"/>
  <c r="W30" i="1"/>
  <c r="T30" i="1"/>
  <c r="S30" i="1"/>
  <c r="R30" i="1"/>
  <c r="J30" i="1"/>
  <c r="AD30" i="1" s="1"/>
  <c r="AK29" i="1"/>
  <c r="AF29" i="1"/>
  <c r="AA29" i="1"/>
  <c r="X29" i="1"/>
  <c r="V29" i="1"/>
  <c r="W29" i="1" s="1"/>
  <c r="T29" i="1"/>
  <c r="S29" i="1"/>
  <c r="R29" i="1"/>
  <c r="J29" i="1"/>
  <c r="AD29" i="1" s="1"/>
  <c r="AK28" i="1"/>
  <c r="AF28" i="1"/>
  <c r="AA28" i="1"/>
  <c r="X28" i="1"/>
  <c r="V28" i="1"/>
  <c r="W28" i="1" s="1"/>
  <c r="T28" i="1"/>
  <c r="S28" i="1"/>
  <c r="R28" i="1"/>
  <c r="J28" i="1"/>
  <c r="AD28" i="1" s="1"/>
  <c r="AK27" i="1"/>
  <c r="AF27" i="1"/>
  <c r="AA27" i="1"/>
  <c r="X27" i="1"/>
  <c r="V27" i="1"/>
  <c r="W27" i="1" s="1"/>
  <c r="T27" i="1"/>
  <c r="S27" i="1"/>
  <c r="R27" i="1"/>
  <c r="J27" i="1"/>
  <c r="AD27" i="1" s="1"/>
  <c r="AK26" i="1"/>
  <c r="AF26" i="1"/>
  <c r="AA26" i="1"/>
  <c r="X26" i="1"/>
  <c r="V26" i="1"/>
  <c r="W26" i="1" s="1"/>
  <c r="T26" i="1"/>
  <c r="S26" i="1"/>
  <c r="R26" i="1"/>
  <c r="J26" i="1"/>
  <c r="AD26" i="1" s="1"/>
  <c r="AK25" i="1"/>
  <c r="AF25" i="1"/>
  <c r="AA25" i="1"/>
  <c r="X25" i="1"/>
  <c r="W25" i="1"/>
  <c r="T25" i="1"/>
  <c r="S25" i="1"/>
  <c r="R25" i="1"/>
  <c r="J25" i="1"/>
  <c r="AD25" i="1" s="1"/>
  <c r="AK24" i="1"/>
  <c r="AF24" i="1"/>
  <c r="AA24" i="1"/>
  <c r="X24" i="1"/>
  <c r="V24" i="1"/>
  <c r="W24" i="1" s="1"/>
  <c r="T24" i="1"/>
  <c r="S24" i="1"/>
  <c r="R24" i="1"/>
  <c r="J24" i="1"/>
  <c r="AD24" i="1" s="1"/>
  <c r="AK23" i="1"/>
  <c r="AF23" i="1"/>
  <c r="AA23" i="1"/>
  <c r="X23" i="1"/>
  <c r="V23" i="1"/>
  <c r="W23" i="1" s="1"/>
  <c r="T23" i="1"/>
  <c r="S23" i="1"/>
  <c r="R23" i="1"/>
  <c r="J23" i="1"/>
  <c r="AD23" i="1" s="1"/>
  <c r="AK22" i="1"/>
  <c r="AF22" i="1"/>
  <c r="AA22" i="1"/>
  <c r="X22" i="1"/>
  <c r="V22" i="1"/>
  <c r="W22" i="1" s="1"/>
  <c r="T22" i="1"/>
  <c r="S22" i="1"/>
  <c r="R22" i="1"/>
  <c r="J22" i="1"/>
  <c r="AD22" i="1" s="1"/>
  <c r="AK21" i="1"/>
  <c r="AF21" i="1"/>
  <c r="AA21" i="1"/>
  <c r="X21" i="1"/>
  <c r="V21" i="1"/>
  <c r="W21" i="1" s="1"/>
  <c r="T21" i="1"/>
  <c r="S21" i="1"/>
  <c r="R21" i="1"/>
  <c r="J21" i="1"/>
  <c r="AD21" i="1" s="1"/>
  <c r="AK20" i="1"/>
  <c r="AF20" i="1"/>
  <c r="AA20" i="1"/>
  <c r="X20" i="1"/>
  <c r="V20" i="1"/>
  <c r="W20" i="1" s="1"/>
  <c r="T20" i="1"/>
  <c r="S20" i="1"/>
  <c r="R20" i="1"/>
  <c r="J20" i="1"/>
  <c r="AD20" i="1" s="1"/>
  <c r="U19" i="1"/>
  <c r="AF19" i="1" s="1"/>
  <c r="T19" i="1"/>
  <c r="S19" i="1"/>
  <c r="J19" i="1"/>
  <c r="AD19" i="1" s="1"/>
  <c r="AK18" i="1"/>
  <c r="AF18" i="1"/>
  <c r="AA18" i="1"/>
  <c r="X18" i="1"/>
  <c r="V18" i="1"/>
  <c r="W18" i="1" s="1"/>
  <c r="T18" i="1"/>
  <c r="S18" i="1"/>
  <c r="R18" i="1"/>
  <c r="J18" i="1"/>
  <c r="AD18" i="1" s="1"/>
  <c r="AK17" i="1"/>
  <c r="AF17" i="1"/>
  <c r="AA17" i="1"/>
  <c r="X17" i="1"/>
  <c r="V17" i="1"/>
  <c r="W17" i="1" s="1"/>
  <c r="T17" i="1"/>
  <c r="S17" i="1"/>
  <c r="R17" i="1"/>
  <c r="J17" i="1"/>
  <c r="AD17" i="1" s="1"/>
  <c r="AK16" i="1"/>
  <c r="AF16" i="1"/>
  <c r="AA16" i="1"/>
  <c r="X16" i="1"/>
  <c r="W16" i="1"/>
  <c r="T16" i="1"/>
  <c r="S16" i="1"/>
  <c r="R16" i="1"/>
  <c r="J16" i="1"/>
  <c r="AD16" i="1" s="1"/>
  <c r="AK15" i="1"/>
  <c r="AF15" i="1"/>
  <c r="AA15" i="1"/>
  <c r="X15" i="1"/>
  <c r="V15" i="1"/>
  <c r="W15" i="1" s="1"/>
  <c r="T15" i="1"/>
  <c r="S15" i="1"/>
  <c r="R15" i="1"/>
  <c r="J15" i="1"/>
  <c r="AD15" i="1" s="1"/>
  <c r="AK14" i="1"/>
  <c r="AF14" i="1"/>
  <c r="AA14" i="1"/>
  <c r="X14" i="1"/>
  <c r="V14" i="1"/>
  <c r="W14" i="1" s="1"/>
  <c r="T14" i="1"/>
  <c r="S14" i="1"/>
  <c r="R14" i="1"/>
  <c r="J14" i="1"/>
  <c r="AD14" i="1" s="1"/>
  <c r="AK13" i="1"/>
  <c r="AF13" i="1"/>
  <c r="AA13" i="1"/>
  <c r="X13" i="1"/>
  <c r="V13" i="1"/>
  <c r="W13" i="1" s="1"/>
  <c r="T13" i="1"/>
  <c r="S13" i="1"/>
  <c r="R13" i="1"/>
  <c r="J13" i="1"/>
  <c r="AD13" i="1" s="1"/>
  <c r="V12" i="1"/>
  <c r="W12" i="1" s="1"/>
  <c r="U12" i="1"/>
  <c r="AP5" i="1" s="1"/>
  <c r="T12" i="1"/>
  <c r="S12" i="1"/>
  <c r="J12" i="1"/>
  <c r="AD12" i="1" s="1"/>
  <c r="AK11" i="1"/>
  <c r="AF11" i="1"/>
  <c r="AA11" i="1"/>
  <c r="X11" i="1"/>
  <c r="V11" i="1"/>
  <c r="W11" i="1" s="1"/>
  <c r="T11" i="1"/>
  <c r="S11" i="1"/>
  <c r="R11" i="1"/>
  <c r="J11" i="1"/>
  <c r="AD11" i="1" s="1"/>
  <c r="V10" i="1"/>
  <c r="W10" i="1" s="1"/>
  <c r="U10" i="1"/>
  <c r="AP4" i="1" s="1"/>
  <c r="T10" i="1"/>
  <c r="S10" i="1"/>
  <c r="J10" i="1"/>
  <c r="AD10" i="1" s="1"/>
  <c r="AK9" i="1"/>
  <c r="AF9" i="1"/>
  <c r="AA9" i="1"/>
  <c r="X9" i="1"/>
  <c r="W9" i="1"/>
  <c r="T9" i="1"/>
  <c r="S9" i="1"/>
  <c r="R9" i="1"/>
  <c r="J9" i="1"/>
  <c r="AD9" i="1" s="1"/>
  <c r="AK8" i="1"/>
  <c r="AF8" i="1"/>
  <c r="AA8" i="1"/>
  <c r="X8" i="1"/>
  <c r="W8" i="1"/>
  <c r="T8" i="1"/>
  <c r="S8" i="1"/>
  <c r="R8" i="1"/>
  <c r="J8" i="1"/>
  <c r="AD8" i="1" s="1"/>
  <c r="AK7" i="1"/>
  <c r="AF7" i="1"/>
  <c r="AA7" i="1"/>
  <c r="X7" i="1"/>
  <c r="V7" i="1"/>
  <c r="W7" i="1" s="1"/>
  <c r="T7" i="1"/>
  <c r="S7" i="1"/>
  <c r="R7" i="1"/>
  <c r="J7" i="1"/>
  <c r="AD7" i="1" s="1"/>
  <c r="AS6" i="1"/>
  <c r="AK6" i="1"/>
  <c r="AF6" i="1"/>
  <c r="AD6" i="1"/>
  <c r="AH6" i="1" s="1"/>
  <c r="AA6" i="1"/>
  <c r="X6" i="1"/>
  <c r="V6" i="1"/>
  <c r="W6" i="1" s="1"/>
  <c r="T6" i="1"/>
  <c r="S6" i="1"/>
  <c r="R6" i="1"/>
  <c r="J6" i="1"/>
  <c r="AK5" i="1"/>
  <c r="AF5" i="1"/>
  <c r="AA5" i="1"/>
  <c r="X5" i="1"/>
  <c r="V5" i="1"/>
  <c r="W5" i="1" s="1"/>
  <c r="T5" i="1"/>
  <c r="S5" i="1"/>
  <c r="R5" i="1"/>
  <c r="J5" i="1"/>
  <c r="AD5" i="1" s="1"/>
  <c r="AK4" i="1"/>
  <c r="AF4" i="1"/>
  <c r="AA4" i="1"/>
  <c r="X4" i="1"/>
  <c r="W4" i="1"/>
  <c r="T4" i="1"/>
  <c r="S4" i="1"/>
  <c r="R4" i="1"/>
  <c r="J4" i="1"/>
  <c r="AD4" i="1" s="1"/>
  <c r="AK3" i="1"/>
  <c r="AF3" i="1"/>
  <c r="AA3" i="1"/>
  <c r="X3" i="1"/>
  <c r="V3" i="1"/>
  <c r="W3" i="1" s="1"/>
  <c r="T3" i="1"/>
  <c r="S3" i="1"/>
  <c r="R3" i="1"/>
  <c r="J3" i="1"/>
  <c r="AD3" i="1" s="1"/>
  <c r="AK2" i="1"/>
  <c r="AF2" i="1"/>
  <c r="AA2" i="1"/>
  <c r="X2" i="1"/>
  <c r="V2" i="1"/>
  <c r="W2" i="1" s="1"/>
  <c r="T2" i="1"/>
  <c r="S2" i="1"/>
  <c r="R2" i="1"/>
  <c r="J2" i="1"/>
  <c r="AD2" i="1" s="1"/>
  <c r="BB52" i="1" l="1"/>
  <c r="BA52" i="1"/>
  <c r="AZ52" i="1"/>
  <c r="AQ5" i="1"/>
  <c r="AT5" i="1" s="1"/>
  <c r="AZ12" i="1"/>
  <c r="BG12" i="1" s="1"/>
  <c r="BA13" i="1"/>
  <c r="AZ13" i="1"/>
  <c r="BG13" i="1" s="1"/>
  <c r="BA14" i="1"/>
  <c r="AZ14" i="1"/>
  <c r="BA15" i="1"/>
  <c r="BA10" i="1"/>
  <c r="AZ15" i="1"/>
  <c r="BG15" i="1" s="1"/>
  <c r="BA16" i="1"/>
  <c r="AZ16" i="1"/>
  <c r="BG16" i="1" s="1"/>
  <c r="BB16" i="1"/>
  <c r="AZ10" i="1"/>
  <c r="BG10" i="1" s="1"/>
  <c r="AZ11" i="1"/>
  <c r="BG11" i="1" s="1"/>
  <c r="BA11" i="1"/>
  <c r="BA12" i="1"/>
  <c r="AH95" i="1"/>
  <c r="Y76" i="1"/>
  <c r="Y6" i="1"/>
  <c r="AI6" i="1" s="1"/>
  <c r="AH21" i="1"/>
  <c r="Y33" i="1"/>
  <c r="Y37" i="1"/>
  <c r="AH23" i="1"/>
  <c r="AH31" i="1"/>
  <c r="AH51" i="1"/>
  <c r="AH59" i="1"/>
  <c r="AH68" i="1"/>
  <c r="AH76" i="1"/>
  <c r="AH78" i="1"/>
  <c r="AH8" i="1"/>
  <c r="AH16" i="1"/>
  <c r="AH75" i="1"/>
  <c r="AH83" i="1"/>
  <c r="AH61" i="1"/>
  <c r="V19" i="1"/>
  <c r="AH26" i="1"/>
  <c r="AH34" i="1"/>
  <c r="AH38" i="1"/>
  <c r="AH54" i="1"/>
  <c r="AH71" i="1"/>
  <c r="AH57" i="1"/>
  <c r="AH112" i="1"/>
  <c r="Y114" i="1"/>
  <c r="Y65" i="1"/>
  <c r="Y73" i="1"/>
  <c r="Y94" i="1"/>
  <c r="AH106" i="1"/>
  <c r="Y110" i="1"/>
  <c r="Y58" i="1"/>
  <c r="AH64" i="1"/>
  <c r="AH72" i="1"/>
  <c r="AH4" i="1"/>
  <c r="AH18" i="1"/>
  <c r="AH56" i="1"/>
  <c r="AH81" i="1"/>
  <c r="Y70" i="1"/>
  <c r="Y99" i="1"/>
  <c r="AH103" i="1"/>
  <c r="Y21" i="1"/>
  <c r="Y39" i="1"/>
  <c r="Y54" i="1"/>
  <c r="AH65" i="1"/>
  <c r="AH87" i="1"/>
  <c r="AH91" i="1"/>
  <c r="AH114" i="1"/>
  <c r="Y118" i="1"/>
  <c r="Y96" i="1"/>
  <c r="AH47" i="1"/>
  <c r="Y113" i="1"/>
  <c r="AH3" i="1"/>
  <c r="AH9" i="1"/>
  <c r="Y13" i="1"/>
  <c r="Y35" i="1"/>
  <c r="Y43" i="1"/>
  <c r="Y78" i="1"/>
  <c r="AH117" i="1"/>
  <c r="Y36" i="1"/>
  <c r="AH84" i="1"/>
  <c r="BB50" i="1"/>
  <c r="BA46" i="1"/>
  <c r="AZ47" i="1"/>
  <c r="AZ46" i="1"/>
  <c r="BA47" i="1"/>
  <c r="AZ49" i="1"/>
  <c r="BB47" i="1"/>
  <c r="BA49" i="1"/>
  <c r="AZ48" i="1"/>
  <c r="BB49" i="1"/>
  <c r="BA48" i="1"/>
  <c r="AZ50" i="1"/>
  <c r="BB48" i="1"/>
  <c r="BA50" i="1"/>
  <c r="BB46" i="1"/>
  <c r="AH5" i="1"/>
  <c r="Y59" i="1"/>
  <c r="Y108" i="1"/>
  <c r="AH17" i="1"/>
  <c r="AH32" i="1"/>
  <c r="Y3" i="1"/>
  <c r="Y8" i="1"/>
  <c r="Y29" i="1"/>
  <c r="AH33" i="1"/>
  <c r="Y41" i="1"/>
  <c r="AH45" i="1"/>
  <c r="Y61" i="1"/>
  <c r="Y79" i="1"/>
  <c r="AH101" i="1"/>
  <c r="AH108" i="1"/>
  <c r="X12" i="1"/>
  <c r="Y12" i="1" s="1"/>
  <c r="Y15" i="1"/>
  <c r="Y67" i="1"/>
  <c r="Y87" i="1"/>
  <c r="Y91" i="1"/>
  <c r="Y98" i="1"/>
  <c r="AH109" i="1"/>
  <c r="AH2" i="1"/>
  <c r="AH13" i="1"/>
  <c r="Y17" i="1"/>
  <c r="AH40" i="1"/>
  <c r="AH73" i="1"/>
  <c r="AH85" i="1"/>
  <c r="AH96" i="1"/>
  <c r="AH104" i="1"/>
  <c r="AF12" i="1"/>
  <c r="AH12" i="1" s="1"/>
  <c r="AH44" i="1"/>
  <c r="Y25" i="1"/>
  <c r="Y34" i="1"/>
  <c r="AH42" i="1"/>
  <c r="AH67" i="1"/>
  <c r="Y71" i="1"/>
  <c r="AI71" i="1" s="1"/>
  <c r="Y95" i="1"/>
  <c r="AH98" i="1"/>
  <c r="Y102" i="1"/>
  <c r="Y31" i="1"/>
  <c r="AQ10" i="1"/>
  <c r="AT10" i="1" s="1"/>
  <c r="AH7" i="1"/>
  <c r="R12" i="1"/>
  <c r="AK12" i="1"/>
  <c r="AH36" i="1"/>
  <c r="Y55" i="1"/>
  <c r="AH58" i="1"/>
  <c r="Y62" i="1"/>
  <c r="AH82" i="1"/>
  <c r="AH97" i="1"/>
  <c r="Y100" i="1"/>
  <c r="AH107" i="1"/>
  <c r="Y117" i="1"/>
  <c r="BB44" i="1"/>
  <c r="AZ42" i="1"/>
  <c r="BA39" i="1"/>
  <c r="BB35" i="1"/>
  <c r="BA34" i="1"/>
  <c r="AZ28" i="1"/>
  <c r="BA24" i="1"/>
  <c r="AZ19" i="1"/>
  <c r="BA6" i="1"/>
  <c r="AZ36" i="1"/>
  <c r="BA28" i="1"/>
  <c r="AZ22" i="1"/>
  <c r="BA44" i="1"/>
  <c r="BB41" i="1"/>
  <c r="AZ39" i="1"/>
  <c r="BA35" i="1"/>
  <c r="AZ34" i="1"/>
  <c r="BA30" i="1"/>
  <c r="AZ24" i="1"/>
  <c r="BA21" i="1"/>
  <c r="BB8" i="1"/>
  <c r="AZ6" i="1"/>
  <c r="BG6" i="1" s="1"/>
  <c r="BA3" i="1"/>
  <c r="AZ44" i="1"/>
  <c r="BA41" i="1"/>
  <c r="BB38" i="1"/>
  <c r="AZ35" i="1"/>
  <c r="BB32" i="1"/>
  <c r="AZ30" i="1"/>
  <c r="AZ21" i="1"/>
  <c r="BA18" i="1"/>
  <c r="BA8" i="1"/>
  <c r="AZ3" i="1"/>
  <c r="BG3" i="1" s="1"/>
  <c r="BA42" i="1"/>
  <c r="AZ31" i="1"/>
  <c r="AZ4" i="1"/>
  <c r="BG4" i="1" s="1"/>
  <c r="BB43" i="1"/>
  <c r="AZ41" i="1"/>
  <c r="BA38" i="1"/>
  <c r="BA32" i="1"/>
  <c r="AZ27" i="1"/>
  <c r="BA23" i="1"/>
  <c r="AZ18" i="1"/>
  <c r="AZ8" i="1"/>
  <c r="BG8" i="1" s="1"/>
  <c r="BA5" i="1"/>
  <c r="BA43" i="1"/>
  <c r="BB40" i="1"/>
  <c r="AZ38" i="1"/>
  <c r="AZ32" i="1"/>
  <c r="BA29" i="1"/>
  <c r="AZ23" i="1"/>
  <c r="BA20" i="1"/>
  <c r="BG14" i="1"/>
  <c r="AZ5" i="1"/>
  <c r="BG5" i="1" s="1"/>
  <c r="BA2" i="1"/>
  <c r="BB39" i="1"/>
  <c r="BB24" i="1"/>
  <c r="BA19" i="1"/>
  <c r="AZ43" i="1"/>
  <c r="BA40" i="1"/>
  <c r="BB36" i="1"/>
  <c r="AZ29" i="1"/>
  <c r="BA26" i="1"/>
  <c r="AZ20" i="1"/>
  <c r="BA7" i="1"/>
  <c r="AZ2" i="1"/>
  <c r="BG2" i="1" s="1"/>
  <c r="BB42" i="1"/>
  <c r="AZ40" i="1"/>
  <c r="BA36" i="1"/>
  <c r="BA31" i="1"/>
  <c r="AZ26" i="1"/>
  <c r="BA22" i="1"/>
  <c r="AZ7" i="1"/>
  <c r="BG7" i="1" s="1"/>
  <c r="BA4" i="1"/>
  <c r="X10" i="1"/>
  <c r="Y10" i="1" s="1"/>
  <c r="AH69" i="1"/>
  <c r="AH115" i="1"/>
  <c r="AA10" i="1"/>
  <c r="Y11" i="1"/>
  <c r="Y27" i="1"/>
  <c r="AH50" i="1"/>
  <c r="Y52" i="1"/>
  <c r="Y57" i="1"/>
  <c r="AI57" i="1" s="1"/>
  <c r="Y90" i="1"/>
  <c r="AI90" i="1" s="1"/>
  <c r="AH110" i="1"/>
  <c r="AI110" i="1" s="1"/>
  <c r="AH116" i="1"/>
  <c r="AQ2" i="1"/>
  <c r="Y7" i="1"/>
  <c r="AQ4" i="1"/>
  <c r="AT4" i="1" s="1"/>
  <c r="R10" i="1"/>
  <c r="AF10" i="1"/>
  <c r="AH10" i="1" s="1"/>
  <c r="AH25" i="1"/>
  <c r="AH62" i="1"/>
  <c r="Y63" i="1"/>
  <c r="Y77" i="1"/>
  <c r="Y82" i="1"/>
  <c r="Y88" i="1"/>
  <c r="AI88" i="1" s="1"/>
  <c r="BB29" i="1" s="1"/>
  <c r="Y97" i="1"/>
  <c r="AH100" i="1"/>
  <c r="Y107" i="1"/>
  <c r="Y18" i="1"/>
  <c r="AI18" i="1" s="1"/>
  <c r="AH86" i="1"/>
  <c r="AK10" i="1"/>
  <c r="Y9" i="1"/>
  <c r="AH11" i="1"/>
  <c r="AA12" i="1"/>
  <c r="AA19" i="1"/>
  <c r="AP12" i="1"/>
  <c r="AP16" i="1" s="1"/>
  <c r="AP17" i="1" s="1"/>
  <c r="Y24" i="1"/>
  <c r="AH27" i="1"/>
  <c r="AH35" i="1"/>
  <c r="AH52" i="1"/>
  <c r="Y64" i="1"/>
  <c r="AH66" i="1"/>
  <c r="Y69" i="1"/>
  <c r="Y74" i="1"/>
  <c r="Y84" i="1"/>
  <c r="AI84" i="1" s="1"/>
  <c r="Y116" i="1"/>
  <c r="AT13" i="1"/>
  <c r="AS13" i="1"/>
  <c r="AS3" i="1"/>
  <c r="AT11" i="1"/>
  <c r="AS11" i="1"/>
  <c r="AH15" i="1"/>
  <c r="AH94" i="1"/>
  <c r="Y103" i="1"/>
  <c r="AH105" i="1"/>
  <c r="AH28" i="1"/>
  <c r="Y30" i="1"/>
  <c r="AH46" i="1"/>
  <c r="AH49" i="1"/>
  <c r="Y60" i="1"/>
  <c r="AH80" i="1"/>
  <c r="Y92" i="1"/>
  <c r="Y14" i="1"/>
  <c r="Y40" i="1"/>
  <c r="AH43" i="1"/>
  <c r="Y101" i="1"/>
  <c r="Y109" i="1"/>
  <c r="AH111" i="1"/>
  <c r="AH113" i="1"/>
  <c r="AI113" i="1" s="1"/>
  <c r="Y66" i="1"/>
  <c r="Y93" i="1"/>
  <c r="AH99" i="1"/>
  <c r="Y115" i="1"/>
  <c r="Y48" i="1"/>
  <c r="Y75" i="1"/>
  <c r="AH77" i="1"/>
  <c r="Y85" i="1"/>
  <c r="Y105" i="1"/>
  <c r="AH118" i="1"/>
  <c r="AH14" i="1"/>
  <c r="Y16" i="1"/>
  <c r="Y20" i="1"/>
  <c r="AH30" i="1"/>
  <c r="Y45" i="1"/>
  <c r="Y49" i="1"/>
  <c r="Y53" i="1"/>
  <c r="AH55" i="1"/>
  <c r="AI55" i="1" s="1"/>
  <c r="AH70" i="1"/>
  <c r="AI70" i="1" s="1"/>
  <c r="Y80" i="1"/>
  <c r="AH92" i="1"/>
  <c r="AH93" i="1"/>
  <c r="Y106" i="1"/>
  <c r="Y4" i="1"/>
  <c r="Y28" i="1"/>
  <c r="AH37" i="1"/>
  <c r="Y38" i="1"/>
  <c r="AH41" i="1"/>
  <c r="Y46" i="1"/>
  <c r="AH48" i="1"/>
  <c r="Y50" i="1"/>
  <c r="Y68" i="1"/>
  <c r="AH79" i="1"/>
  <c r="Y86" i="1"/>
  <c r="Y111" i="1"/>
  <c r="Y112" i="1"/>
  <c r="AI112" i="1" s="1"/>
  <c r="AT3" i="1"/>
  <c r="AT7" i="1"/>
  <c r="AT6" i="1"/>
  <c r="AU6" i="1" s="1"/>
  <c r="AT8" i="1"/>
  <c r="AS8" i="1"/>
  <c r="AS7" i="1"/>
  <c r="AS9" i="1"/>
  <c r="Y22" i="1"/>
  <c r="Y5" i="1"/>
  <c r="Y32" i="1"/>
  <c r="AH20" i="1"/>
  <c r="Y42" i="1"/>
  <c r="AI13" i="1"/>
  <c r="Y2" i="1"/>
  <c r="AT9" i="1"/>
  <c r="AH19" i="1"/>
  <c r="AH60" i="1"/>
  <c r="Y23" i="1"/>
  <c r="AH29" i="1"/>
  <c r="AI29" i="1" s="1"/>
  <c r="Y47" i="1"/>
  <c r="AH63" i="1"/>
  <c r="Y83" i="1"/>
  <c r="AI83" i="1" s="1"/>
  <c r="AH102" i="1"/>
  <c r="AI102" i="1" s="1"/>
  <c r="W19" i="1"/>
  <c r="BA27" i="1" s="1"/>
  <c r="AK19" i="1"/>
  <c r="X19" i="1"/>
  <c r="AH22" i="1"/>
  <c r="Y44" i="1"/>
  <c r="Y51" i="1"/>
  <c r="AI51" i="1" s="1"/>
  <c r="Y72" i="1"/>
  <c r="Y81" i="1"/>
  <c r="Y89" i="1"/>
  <c r="AI89" i="1" s="1"/>
  <c r="R19" i="1"/>
  <c r="AH24" i="1"/>
  <c r="Y26" i="1"/>
  <c r="AH39" i="1"/>
  <c r="AH53" i="1"/>
  <c r="Y56" i="1"/>
  <c r="AH74" i="1"/>
  <c r="Y104" i="1"/>
  <c r="AI58" i="1" l="1"/>
  <c r="AI35" i="1"/>
  <c r="AI45" i="1"/>
  <c r="AI15" i="1"/>
  <c r="AI41" i="1"/>
  <c r="AI44" i="1"/>
  <c r="BD52" i="1"/>
  <c r="BC52" i="1"/>
  <c r="AI114" i="1"/>
  <c r="AI76" i="1"/>
  <c r="AI3" i="1"/>
  <c r="AI54" i="1"/>
  <c r="AI108" i="1"/>
  <c r="AI101" i="1"/>
  <c r="AI100" i="1"/>
  <c r="AI73" i="1"/>
  <c r="AI75" i="1"/>
  <c r="AI117" i="1"/>
  <c r="AI95" i="1"/>
  <c r="AI39" i="1"/>
  <c r="AI26" i="1"/>
  <c r="AI47" i="1"/>
  <c r="AI79" i="1"/>
  <c r="AI99" i="1"/>
  <c r="AI4" i="1"/>
  <c r="AI40" i="1"/>
  <c r="AI56" i="1"/>
  <c r="AI94" i="1"/>
  <c r="AI2" i="1"/>
  <c r="AI107" i="1"/>
  <c r="AI98" i="1"/>
  <c r="BC24" i="1"/>
  <c r="AI87" i="1"/>
  <c r="AI81" i="1"/>
  <c r="AI68" i="1"/>
  <c r="AI106" i="1"/>
  <c r="AI9" i="1"/>
  <c r="AI31" i="1"/>
  <c r="AI82" i="1"/>
  <c r="AI7" i="1"/>
  <c r="AI36" i="1"/>
  <c r="BD36" i="1"/>
  <c r="AI42" i="1"/>
  <c r="AI33" i="1"/>
  <c r="AI91" i="1"/>
  <c r="AI21" i="1"/>
  <c r="BB21" i="1" s="1"/>
  <c r="BD21" i="1" s="1"/>
  <c r="AI78" i="1"/>
  <c r="AI96" i="1"/>
  <c r="AI85" i="1"/>
  <c r="AI32" i="1"/>
  <c r="AI72" i="1"/>
  <c r="AI23" i="1"/>
  <c r="AI38" i="1"/>
  <c r="AI16" i="1"/>
  <c r="AI34" i="1"/>
  <c r="AI103" i="1"/>
  <c r="BB2" i="1" s="1"/>
  <c r="BD2" i="1" s="1"/>
  <c r="BC42" i="1"/>
  <c r="AI37" i="1"/>
  <c r="AI62" i="1"/>
  <c r="BD42" i="1"/>
  <c r="AI118" i="1"/>
  <c r="AI43" i="1"/>
  <c r="AI25" i="1"/>
  <c r="BD39" i="1"/>
  <c r="AI64" i="1"/>
  <c r="AI8" i="1"/>
  <c r="BC34" i="1"/>
  <c r="AI67" i="1"/>
  <c r="AI97" i="1"/>
  <c r="BB15" i="1" s="1"/>
  <c r="AI104" i="1"/>
  <c r="AI109" i="1"/>
  <c r="BD46" i="1"/>
  <c r="AI65" i="1"/>
  <c r="AI17" i="1"/>
  <c r="BC18" i="1"/>
  <c r="BD47" i="1"/>
  <c r="AU3" i="1"/>
  <c r="BC36" i="1"/>
  <c r="AI61" i="1"/>
  <c r="AI59" i="1"/>
  <c r="AI28" i="1"/>
  <c r="BB31" i="1" s="1"/>
  <c r="BD31" i="1" s="1"/>
  <c r="AI5" i="1"/>
  <c r="AI69" i="1"/>
  <c r="AI63" i="1"/>
  <c r="AI14" i="1"/>
  <c r="BD49" i="1"/>
  <c r="BC49" i="1"/>
  <c r="BC46" i="1"/>
  <c r="AI49" i="1"/>
  <c r="AI53" i="1"/>
  <c r="AI115" i="1"/>
  <c r="BC47" i="1"/>
  <c r="BC50" i="1"/>
  <c r="BC48" i="1"/>
  <c r="AI77" i="1"/>
  <c r="BD50" i="1"/>
  <c r="AI12" i="1"/>
  <c r="AI20" i="1"/>
  <c r="BD48" i="1"/>
  <c r="BC12" i="1"/>
  <c r="BC16" i="1"/>
  <c r="BC35" i="1"/>
  <c r="BC38" i="1"/>
  <c r="BD38" i="1"/>
  <c r="BC41" i="1"/>
  <c r="BD43" i="1"/>
  <c r="BC40" i="1"/>
  <c r="BD35" i="1"/>
  <c r="BC39" i="1"/>
  <c r="BD40" i="1"/>
  <c r="BC43" i="1"/>
  <c r="BD41" i="1"/>
  <c r="BD44" i="1"/>
  <c r="BC44" i="1"/>
  <c r="AI30" i="1"/>
  <c r="AU11" i="1"/>
  <c r="AI74" i="1"/>
  <c r="BC5" i="1"/>
  <c r="AI116" i="1"/>
  <c r="BB7" i="1" s="1"/>
  <c r="BD7" i="1" s="1"/>
  <c r="AI52" i="1"/>
  <c r="AI10" i="1"/>
  <c r="AI60" i="1"/>
  <c r="AI66" i="1"/>
  <c r="AI111" i="1"/>
  <c r="AI86" i="1"/>
  <c r="AI48" i="1"/>
  <c r="AQ12" i="1"/>
  <c r="AT12" i="1" s="1"/>
  <c r="AI27" i="1"/>
  <c r="BB30" i="1" s="1"/>
  <c r="BD30" i="1" s="1"/>
  <c r="AI24" i="1"/>
  <c r="AI11" i="1"/>
  <c r="AI50" i="1"/>
  <c r="AU13" i="1"/>
  <c r="AU9" i="1"/>
  <c r="AU8" i="1"/>
  <c r="AI80" i="1"/>
  <c r="AI92" i="1"/>
  <c r="AI105" i="1"/>
  <c r="AI46" i="1"/>
  <c r="AI93" i="1"/>
  <c r="AU7" i="1"/>
  <c r="BC11" i="1"/>
  <c r="BC7" i="1"/>
  <c r="BC29" i="1"/>
  <c r="BD29" i="1"/>
  <c r="BC4" i="1"/>
  <c r="BC21" i="1"/>
  <c r="BC8" i="1"/>
  <c r="BC15" i="1"/>
  <c r="BC26" i="1"/>
  <c r="BC20" i="1"/>
  <c r="BC28" i="1"/>
  <c r="AP19" i="1"/>
  <c r="BC6" i="1"/>
  <c r="BD32" i="1"/>
  <c r="BC2" i="1"/>
  <c r="BC14" i="1"/>
  <c r="BC23" i="1"/>
  <c r="BC13" i="1"/>
  <c r="BD8" i="1"/>
  <c r="BC19" i="1"/>
  <c r="BC10" i="1"/>
  <c r="BD16" i="1"/>
  <c r="BC30" i="1"/>
  <c r="AT2" i="1"/>
  <c r="BC3" i="1"/>
  <c r="BC32" i="1"/>
  <c r="Y19" i="1"/>
  <c r="AI19" i="1" s="1"/>
  <c r="AZ58" i="1"/>
  <c r="AZ61" i="1" s="1"/>
  <c r="BC22" i="1"/>
  <c r="BC27" i="1"/>
  <c r="BC31" i="1"/>
  <c r="BD24" i="1"/>
  <c r="AI22" i="1"/>
  <c r="BB10" i="1" l="1"/>
  <c r="BD10" i="1" s="1"/>
  <c r="BE10" i="1" s="1"/>
  <c r="BE52" i="1"/>
  <c r="BB12" i="1"/>
  <c r="BD12" i="1" s="1"/>
  <c r="BE12" i="1" s="1"/>
  <c r="BB13" i="1"/>
  <c r="BD13" i="1" s="1"/>
  <c r="BE13" i="1" s="1"/>
  <c r="BB14" i="1"/>
  <c r="BD14" i="1" s="1"/>
  <c r="BE14" i="1" s="1"/>
  <c r="AR5" i="1"/>
  <c r="AS5" i="1" s="1"/>
  <c r="AU5" i="1" s="1"/>
  <c r="BB11" i="1"/>
  <c r="BD11" i="1" s="1"/>
  <c r="BE11" i="1" s="1"/>
  <c r="BE36" i="1"/>
  <c r="BE24" i="1"/>
  <c r="BB34" i="1"/>
  <c r="BD34" i="1" s="1"/>
  <c r="BE34" i="1" s="1"/>
  <c r="BD15" i="1"/>
  <c r="BE15" i="1" s="1"/>
  <c r="BB18" i="1"/>
  <c r="BD18" i="1" s="1"/>
  <c r="BE18" i="1" s="1"/>
  <c r="BE42" i="1"/>
  <c r="BB5" i="1"/>
  <c r="BD5" i="1" s="1"/>
  <c r="BE5" i="1" s="1"/>
  <c r="BE39" i="1"/>
  <c r="BB27" i="1"/>
  <c r="BD27" i="1" s="1"/>
  <c r="BE27" i="1" s="1"/>
  <c r="AR10" i="1"/>
  <c r="AS10" i="1" s="1"/>
  <c r="AU10" i="1" s="1"/>
  <c r="BB6" i="1"/>
  <c r="BD6" i="1" s="1"/>
  <c r="BE6" i="1" s="1"/>
  <c r="BB4" i="1"/>
  <c r="BD4" i="1" s="1"/>
  <c r="BE4" i="1" s="1"/>
  <c r="BB3" i="1"/>
  <c r="BD3" i="1" s="1"/>
  <c r="BE3" i="1" s="1"/>
  <c r="BB20" i="1"/>
  <c r="BD20" i="1" s="1"/>
  <c r="BE20" i="1" s="1"/>
  <c r="BB28" i="1"/>
  <c r="BD28" i="1" s="1"/>
  <c r="BE28" i="1" s="1"/>
  <c r="BB19" i="1"/>
  <c r="BD19" i="1" s="1"/>
  <c r="BE19" i="1" s="1"/>
  <c r="BE16" i="1"/>
  <c r="BE50" i="1"/>
  <c r="BE49" i="1"/>
  <c r="BB26" i="1"/>
  <c r="BD26" i="1" s="1"/>
  <c r="BE26" i="1" s="1"/>
  <c r="BB23" i="1"/>
  <c r="BD23" i="1" s="1"/>
  <c r="BE23" i="1" s="1"/>
  <c r="BE21" i="1"/>
  <c r="BE38" i="1"/>
  <c r="BE35" i="1"/>
  <c r="BE44" i="1"/>
  <c r="BE43" i="1"/>
  <c r="BE41" i="1"/>
  <c r="BE40" i="1"/>
  <c r="AR2" i="1"/>
  <c r="AS2" i="1" s="1"/>
  <c r="AU2" i="1" s="1"/>
  <c r="BE30" i="1"/>
  <c r="AR4" i="1"/>
  <c r="AS4" i="1" s="1"/>
  <c r="AU4" i="1" s="1"/>
  <c r="AR12" i="1"/>
  <c r="AS12" i="1" s="1"/>
  <c r="AU12" i="1" s="1"/>
  <c r="BB22" i="1"/>
  <c r="BE2" i="1"/>
  <c r="BE29" i="1"/>
  <c r="BE7" i="1"/>
  <c r="BE8" i="1"/>
  <c r="BE31" i="1"/>
  <c r="AQ16" i="1"/>
  <c r="AQ17" i="1" s="1"/>
  <c r="BA58" i="1"/>
  <c r="BE32" i="1"/>
  <c r="BC58" i="1" l="1"/>
  <c r="BA61" i="1"/>
  <c r="AQ19" i="1"/>
  <c r="AT16" i="1"/>
  <c r="BD22" i="1"/>
  <c r="BE22" i="1" s="1"/>
  <c r="BB58" i="1"/>
  <c r="AR16" i="1"/>
  <c r="AR17" i="1" s="1"/>
  <c r="BB61" i="1" l="1"/>
  <c r="BD58" i="1"/>
  <c r="BE58" i="1" s="1"/>
  <c r="AR19" i="1"/>
  <c r="AS19" i="1" s="1"/>
  <c r="AS16" i="1"/>
  <c r="AU16" i="1" s="1"/>
</calcChain>
</file>

<file path=xl/sharedStrings.xml><?xml version="1.0" encoding="utf-8"?>
<sst xmlns="http://schemas.openxmlformats.org/spreadsheetml/2006/main" count="20604" uniqueCount="161">
  <si>
    <t>Shipment Week no</t>
  </si>
  <si>
    <t>Year</t>
  </si>
  <si>
    <t>Customer Type</t>
  </si>
  <si>
    <t>Customer Name</t>
  </si>
  <si>
    <t>Consignee</t>
  </si>
  <si>
    <t>Invoice Date</t>
  </si>
  <si>
    <t xml:space="preserve">Variety </t>
  </si>
  <si>
    <t>Length Shipped</t>
  </si>
  <si>
    <t>No of boxes</t>
  </si>
  <si>
    <t>Total Weight (Kgs)</t>
  </si>
  <si>
    <t>No. of Stems Shipped</t>
  </si>
  <si>
    <t>Average Shipping Price</t>
  </si>
  <si>
    <t>Total Shipping Value</t>
  </si>
  <si>
    <t>Currency</t>
  </si>
  <si>
    <t>EUR Equivalent</t>
  </si>
  <si>
    <t>Customs Entry No</t>
  </si>
  <si>
    <t>Variance</t>
  </si>
  <si>
    <t>Variety2</t>
  </si>
  <si>
    <t>Auction Length</t>
  </si>
  <si>
    <t>No of Stems Sold at Auction</t>
  </si>
  <si>
    <t>Average Auction Price</t>
  </si>
  <si>
    <t>Total Gross Auction Value</t>
  </si>
  <si>
    <t>Auction Charges</t>
  </si>
  <si>
    <t>Total Net Auction Value</t>
  </si>
  <si>
    <t>Payment Date</t>
  </si>
  <si>
    <t>Variance Due to Qty</t>
  </si>
  <si>
    <t>Credit note Value to be raised</t>
  </si>
  <si>
    <t>Freight Invoice</t>
  </si>
  <si>
    <t>Freight Charges</t>
  </si>
  <si>
    <t>Unpacker Invoice</t>
  </si>
  <si>
    <t>Unpacker Charges</t>
  </si>
  <si>
    <t>Other recovered Charges</t>
  </si>
  <si>
    <t>Total Charges</t>
  </si>
  <si>
    <t>Net Receivable/ (Payable)</t>
  </si>
  <si>
    <t xml:space="preserve">Net Receivable/ (Payable) EUR </t>
  </si>
  <si>
    <t>Stems Volume Sold</t>
  </si>
  <si>
    <t>Exports Between 9/3 and 14/3</t>
  </si>
  <si>
    <t>STEMS</t>
  </si>
  <si>
    <t>Gross</t>
  </si>
  <si>
    <t>Net</t>
  </si>
  <si>
    <t>AVERAGE NET PRICE</t>
  </si>
  <si>
    <t>AVERAGE GROSS PRICE</t>
  </si>
  <si>
    <t>Net % of Gross sale</t>
  </si>
  <si>
    <t>Variety</t>
  </si>
  <si>
    <t>Length</t>
  </si>
  <si>
    <t>Stems</t>
  </si>
  <si>
    <t>Auction</t>
  </si>
  <si>
    <t>VROLIJK BLOEMEN</t>
  </si>
  <si>
    <t>60CM</t>
  </si>
  <si>
    <t>EUR</t>
  </si>
  <si>
    <t>Delphinium Belladonna Oriental</t>
  </si>
  <si>
    <t>50CM</t>
  </si>
  <si>
    <t>70CM</t>
  </si>
  <si>
    <t>Delphinium Elatum Dark Blue</t>
  </si>
  <si>
    <t>80CM</t>
  </si>
  <si>
    <t>Delphinium Elatum Pure White</t>
  </si>
  <si>
    <t>90CM</t>
  </si>
  <si>
    <t>100CM</t>
  </si>
  <si>
    <t>Delphinium lavender White bee</t>
  </si>
  <si>
    <t>Delphinium Belladonna Light Blue</t>
  </si>
  <si>
    <t>110CM</t>
  </si>
  <si>
    <t>Delphinium Elatum Pink Lilac</t>
  </si>
  <si>
    <t>Delphinium Enkelbloeming</t>
  </si>
  <si>
    <t>Eucalyptus</t>
  </si>
  <si>
    <t>Pacific Astolat</t>
  </si>
  <si>
    <t>Eucalyptus Baby Blue</t>
  </si>
  <si>
    <t>Total</t>
  </si>
  <si>
    <t>CHECK</t>
  </si>
  <si>
    <t>Excluding Diplo</t>
  </si>
  <si>
    <t>F081615</t>
  </si>
  <si>
    <t>F081679</t>
  </si>
  <si>
    <t>F081325</t>
  </si>
  <si>
    <t>F081388</t>
  </si>
  <si>
    <t>F080768</t>
  </si>
  <si>
    <t>F080925</t>
  </si>
  <si>
    <t>F080201</t>
  </si>
  <si>
    <t>F080280</t>
  </si>
  <si>
    <t>F080329</t>
  </si>
  <si>
    <t>F079881</t>
  </si>
  <si>
    <t>F080014</t>
  </si>
  <si>
    <t>F079545</t>
  </si>
  <si>
    <t>F079616</t>
  </si>
  <si>
    <t>F079061</t>
  </si>
  <si>
    <t>F079185</t>
  </si>
  <si>
    <t>F078506</t>
  </si>
  <si>
    <t>F078717</t>
  </si>
  <si>
    <t>F077986</t>
  </si>
  <si>
    <t>F077523</t>
  </si>
  <si>
    <t>F077271</t>
  </si>
  <si>
    <t>F077417</t>
  </si>
  <si>
    <t>F082138</t>
  </si>
  <si>
    <t>F082359</t>
  </si>
  <si>
    <t>F082746</t>
  </si>
  <si>
    <t>F082866</t>
  </si>
  <si>
    <t>F082962</t>
  </si>
  <si>
    <t>F083668</t>
  </si>
  <si>
    <t>F083669</t>
  </si>
  <si>
    <t>F084386</t>
  </si>
  <si>
    <t>F084824</t>
  </si>
  <si>
    <t>F084969</t>
  </si>
  <si>
    <t>F085474</t>
  </si>
  <si>
    <t>Grand Total</t>
  </si>
  <si>
    <t>Sum of Net Receivable/ (Payable)</t>
  </si>
  <si>
    <t>Payment Dates</t>
  </si>
  <si>
    <t>Net Receivable</t>
  </si>
  <si>
    <t>Net Receivable(Net of Freight)</t>
  </si>
  <si>
    <t>Jan</t>
  </si>
  <si>
    <t>Feb</t>
  </si>
  <si>
    <t>Mar</t>
  </si>
  <si>
    <t>Apr</t>
  </si>
  <si>
    <t>May</t>
  </si>
  <si>
    <t>Stem Length</t>
  </si>
  <si>
    <t>Average Price</t>
  </si>
  <si>
    <t>Costs per stem</t>
  </si>
  <si>
    <t>(All)</t>
  </si>
  <si>
    <t>Delphinium Elatum Sky Blue</t>
  </si>
  <si>
    <t>F086150</t>
  </si>
  <si>
    <t>F086654</t>
  </si>
  <si>
    <t>Jun</t>
  </si>
  <si>
    <t>F087136</t>
  </si>
  <si>
    <t>F088028</t>
  </si>
  <si>
    <t>F088294</t>
  </si>
  <si>
    <t>Net Sales Per Stem Length</t>
  </si>
  <si>
    <t>Net Sales Per Variety</t>
  </si>
  <si>
    <t>Costs Per Variety (Freight + Unpacker)</t>
  </si>
  <si>
    <t>F088651</t>
  </si>
  <si>
    <t>Jul</t>
  </si>
  <si>
    <t>F089329</t>
  </si>
  <si>
    <t>F090060</t>
  </si>
  <si>
    <t>50cm</t>
  </si>
  <si>
    <t>F090347</t>
  </si>
  <si>
    <t>Sum of Weekly Average Price</t>
  </si>
  <si>
    <t>F090756</t>
  </si>
  <si>
    <t>F091227</t>
  </si>
  <si>
    <t>Volume Sold against Average Price</t>
  </si>
  <si>
    <t>F091722</t>
  </si>
  <si>
    <t>F092197</t>
  </si>
  <si>
    <t>900CM</t>
  </si>
  <si>
    <t>F092656</t>
  </si>
  <si>
    <t>F093108</t>
  </si>
  <si>
    <t>Aug</t>
  </si>
  <si>
    <t>F093585</t>
  </si>
  <si>
    <t>Sep</t>
  </si>
  <si>
    <t>Net Sales Per Month (Payment Date)</t>
  </si>
  <si>
    <t>Sales Week</t>
  </si>
  <si>
    <t>Net Sales Per Week</t>
  </si>
  <si>
    <t>F094216</t>
  </si>
  <si>
    <t>F094798</t>
  </si>
  <si>
    <t>F095405</t>
  </si>
  <si>
    <t>Av. Price Per Stem</t>
  </si>
  <si>
    <t>Stems Sold</t>
  </si>
  <si>
    <t>F096268</t>
  </si>
  <si>
    <t>Oct</t>
  </si>
  <si>
    <t>Grandiflora Roses</t>
  </si>
  <si>
    <t>English Roses</t>
  </si>
  <si>
    <t>Floribunda Roses</t>
  </si>
  <si>
    <t>Polyantha Roses</t>
  </si>
  <si>
    <t>Moss Roses</t>
  </si>
  <si>
    <t>Climbing Roses</t>
  </si>
  <si>
    <t>Miniature Roses</t>
  </si>
  <si>
    <t>Shrub Roses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</si>
</sst>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2]\ * #,##0.00_);_([$€-2]\ * \(#,##0.00\);_([$€-2]\ * &quot;-&quot;??_);_(@_)"/>
    <numFmt numFmtId="165" formatCode="[$€-2]\ #,##0.00;[Red]\-[$€-2]\ #,##0.00"/>
    <numFmt numFmtId="166" formatCode="[$€-2]\ #,##0.00"/>
    <numFmt numFmtId="167" formatCode="_(* #,##0_);_(* \(#,##0\);_(* &quot;-&quot;??_);_(@_)"/>
  </numFmts>
  <fonts count="11">
    <font>
      <sz val="11"/>
      <color theme="1"/>
      <name val="Arial Narrow"/>
      <family val="2"/>
    </font>
    <font>
      <sz val="11"/>
      <color theme="1"/>
      <name val="Arial Narrow"/>
      <family val="2"/>
    </font>
    <font>
      <sz val="11"/>
      <color rgb="FFFF0000"/>
      <name val="Arial Narrow"/>
      <family val="2"/>
    </font>
    <font>
      <b/>
      <sz val="11"/>
      <color theme="1"/>
      <name val="Arial Narrow"/>
      <family val="2"/>
    </font>
    <font>
      <b/>
      <sz val="11"/>
      <name val="Arial Narrow"/>
      <family val="2"/>
    </font>
    <font>
      <b/>
      <sz val="13"/>
      <name val="Arial Narrow"/>
      <family val="2"/>
    </font>
    <font>
      <sz val="13"/>
      <color theme="1"/>
      <name val="Arial Narrow"/>
      <family val="2"/>
    </font>
    <font>
      <b/>
      <sz val="13"/>
      <color theme="1"/>
      <name val="Arial Narrow"/>
      <family val="2"/>
    </font>
    <font>
      <b/>
      <sz val="11"/>
      <color rgb="FFFF0000"/>
      <name val="Arial Narrow"/>
      <family val="2"/>
    </font>
    <font>
      <b/>
      <sz val="14"/>
      <color theme="1"/>
      <name val="Arial Narrow"/>
      <family val="2"/>
    </font>
    <font>
      <sz val="11"/>
      <name val="Arial Narrow"/>
      <family val="2"/>
    </font>
  </fonts>
  <fills count="7">
    <fill>
      <patternFill patternType="none"/>
    </fill>
    <fill>
      <patternFill patternType="gray125"/>
    </fill>
    <fill>
      <patternFill patternType="solid">
        <fgColor rgb="FF92D050"/>
        <bgColor indexed="64"/>
      </patternFill>
    </fill>
    <fill>
      <patternFill patternType="solid">
        <fgColor rgb="FF00FFFF"/>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3" fillId="0" borderId="0" xfId="0" applyFont="1" applyAlignment="1">
      <alignment horizontal="left"/>
    </xf>
    <xf numFmtId="0" fontId="3" fillId="2" borderId="0" xfId="0" applyFont="1" applyFill="1" applyAlignment="1">
      <alignment horizontal="left"/>
    </xf>
    <xf numFmtId="0" fontId="3" fillId="3" borderId="0" xfId="0" applyFont="1" applyFill="1" applyAlignment="1">
      <alignment horizontal="left" wrapText="1"/>
    </xf>
    <xf numFmtId="0" fontId="4" fillId="2" borderId="1" xfId="0" applyFont="1" applyFill="1" applyBorder="1" applyAlignment="1">
      <alignment horizontal="left"/>
    </xf>
    <xf numFmtId="0" fontId="5" fillId="2" borderId="2" xfId="0" applyFont="1" applyFill="1" applyBorder="1" applyAlignment="1">
      <alignment horizontal="left"/>
    </xf>
    <xf numFmtId="0" fontId="4" fillId="2" borderId="2" xfId="0" applyFont="1" applyFill="1" applyBorder="1" applyAlignment="1">
      <alignment horizontal="left"/>
    </xf>
    <xf numFmtId="164" fontId="5" fillId="2" borderId="2" xfId="0" applyNumberFormat="1" applyFont="1" applyFill="1" applyBorder="1" applyAlignment="1">
      <alignment horizontal="left"/>
    </xf>
    <xf numFmtId="0" fontId="4" fillId="2" borderId="3" xfId="0" applyFont="1" applyFill="1" applyBorder="1" applyAlignment="1">
      <alignment horizontal="left" wrapText="1"/>
    </xf>
    <xf numFmtId="0" fontId="0" fillId="0" borderId="0" xfId="0" applyAlignment="1">
      <alignment horizontal="left"/>
    </xf>
    <xf numFmtId="14" fontId="0" fillId="0" borderId="0" xfId="0" applyNumberFormat="1" applyAlignment="1">
      <alignment horizontal="left"/>
    </xf>
    <xf numFmtId="1" fontId="0" fillId="0" borderId="0" xfId="0" applyNumberFormat="1" applyAlignment="1">
      <alignment horizontal="left"/>
    </xf>
    <xf numFmtId="165" fontId="0" fillId="0" borderId="0" xfId="0" applyNumberFormat="1" applyAlignment="1">
      <alignment horizontal="left"/>
    </xf>
    <xf numFmtId="164" fontId="0" fillId="0" borderId="0" xfId="0" applyNumberFormat="1" applyAlignment="1">
      <alignment horizontal="left"/>
    </xf>
    <xf numFmtId="164" fontId="2" fillId="0" borderId="0" xfId="0" applyNumberFormat="1" applyFont="1" applyAlignment="1">
      <alignment horizontal="left"/>
    </xf>
    <xf numFmtId="164" fontId="3" fillId="0" borderId="0" xfId="0" applyNumberFormat="1" applyFont="1" applyAlignment="1">
      <alignment horizontal="left"/>
    </xf>
    <xf numFmtId="9" fontId="4" fillId="3" borderId="0" xfId="1" applyFont="1" applyFill="1" applyAlignment="1">
      <alignment horizontal="left" wrapText="1"/>
    </xf>
    <xf numFmtId="0" fontId="6" fillId="0" borderId="0" xfId="0" applyFont="1" applyAlignment="1">
      <alignment horizontal="left"/>
    </xf>
    <xf numFmtId="9" fontId="4" fillId="0" borderId="0" xfId="1" applyFont="1" applyFill="1" applyAlignment="1">
      <alignment horizontal="left" wrapText="1"/>
    </xf>
    <xf numFmtId="0" fontId="3" fillId="0" borderId="4" xfId="0" applyFont="1" applyBorder="1" applyAlignment="1">
      <alignment horizontal="left"/>
    </xf>
    <xf numFmtId="0" fontId="3" fillId="4" borderId="0" xfId="0" applyFont="1" applyFill="1" applyAlignment="1">
      <alignment horizontal="left"/>
    </xf>
    <xf numFmtId="0" fontId="7" fillId="4" borderId="0" xfId="0" applyFont="1" applyFill="1" applyAlignment="1">
      <alignment horizontal="left"/>
    </xf>
    <xf numFmtId="164" fontId="7" fillId="4" borderId="0" xfId="0" applyNumberFormat="1" applyFont="1" applyFill="1" applyAlignment="1">
      <alignment horizontal="left"/>
    </xf>
    <xf numFmtId="0" fontId="7" fillId="0" borderId="0" xfId="0" applyFont="1" applyAlignment="1">
      <alignment horizontal="left"/>
    </xf>
    <xf numFmtId="164" fontId="7" fillId="0" borderId="0" xfId="0" applyNumberFormat="1" applyFont="1" applyAlignment="1">
      <alignment horizontal="left"/>
    </xf>
    <xf numFmtId="0" fontId="3" fillId="0" borderId="0" xfId="0" applyFont="1" applyAlignment="1">
      <alignment horizontal="left" wrapText="1"/>
    </xf>
    <xf numFmtId="9" fontId="4" fillId="4" borderId="0" xfId="1" applyFont="1" applyFill="1" applyAlignment="1">
      <alignment horizontal="left" wrapText="1"/>
    </xf>
    <xf numFmtId="166" fontId="0" fillId="0" borderId="0" xfId="0" applyNumberFormat="1" applyAlignment="1">
      <alignment horizontal="left"/>
    </xf>
    <xf numFmtId="164" fontId="0" fillId="4" borderId="0" xfId="0" applyNumberFormat="1" applyFill="1" applyAlignment="1">
      <alignment horizontal="left"/>
    </xf>
    <xf numFmtId="164" fontId="8" fillId="0" borderId="0" xfId="0" applyNumberFormat="1" applyFont="1" applyAlignment="1">
      <alignment horizontal="left"/>
    </xf>
    <xf numFmtId="0" fontId="0" fillId="0" borderId="0" xfId="0" pivotButton="1"/>
    <xf numFmtId="14" fontId="3" fillId="0" borderId="0" xfId="0" applyNumberFormat="1" applyFont="1" applyAlignment="1">
      <alignment horizontal="left"/>
    </xf>
    <xf numFmtId="164" fontId="0" fillId="0" borderId="0" xfId="0" applyNumberFormat="1"/>
    <xf numFmtId="166" fontId="0" fillId="0" borderId="0" xfId="0" applyNumberFormat="1"/>
    <xf numFmtId="0" fontId="0" fillId="5" borderId="0" xfId="0" applyFill="1"/>
    <xf numFmtId="0" fontId="9" fillId="6" borderId="0" xfId="0" applyFont="1" applyFill="1"/>
    <xf numFmtId="0" fontId="0" fillId="6" borderId="0" xfId="0" applyFill="1"/>
    <xf numFmtId="0" fontId="10" fillId="0" borderId="0" xfId="0" applyFont="1" applyAlignment="1">
      <alignment horizontal="left"/>
    </xf>
    <xf numFmtId="167" fontId="0" fillId="0" borderId="0" xfId="0" applyNumberFormat="1"/>
  </cellXfs>
  <cellStyles count="2">
    <cellStyle name="Normal" xfId="0" builtinId="0"/>
    <cellStyle name="Percent" xfId="1" builtinId="5"/>
  </cellStyles>
  <dxfs count="47">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2]\ * #,##0.00_);_([$€-2]\ * \(#,##0.00\);_([$€-2]\ * &quot;-&quot;??_);_(@_)"/>
    </dxf>
    <dxf>
      <numFmt numFmtId="164" formatCode="_([$€-2]\ * #,##0.00_);_([$€-2]\ * \(#,##0.00\);_([$€-2]\ * &quot;-&quot;??_);_(@_)"/>
    </dxf>
    <dxf>
      <numFmt numFmtId="167" formatCode="_(* #,##0_);_(* \(#,##0\);_(* &quot;-&quot;??_);_(@_)"/>
    </dxf>
    <dxf>
      <numFmt numFmtId="164" formatCode="_([$€-2]\ * #,##0.00_);_([$€-2]\ * \(#,##0.00\);_([$€-2]\ * &quot;-&quot;??_);_(@_)"/>
    </dxf>
    <dxf>
      <numFmt numFmtId="164" formatCode="_([$€-2]\ * #,##0.00_);_([$€-2]\ * \(#,##0.00\);_([$€-2]\ * &quot;-&quot;??_);_(@_)"/>
    </dxf>
    <dxf>
      <numFmt numFmtId="164" formatCode="_([$€-2]\ * #,##0.00_);_([$€-2]\ * \(#,##0.00\);_([$€-2]\ * &quot;-&quot;??_);_(@_)"/>
    </dxf>
    <dxf>
      <font>
        <color rgb="FF006100"/>
      </font>
      <fill>
        <patternFill>
          <bgColor rgb="FFC6EFCE"/>
        </patternFill>
      </fill>
    </dxf>
    <dxf>
      <font>
        <color rgb="FF9C0006"/>
      </font>
      <fill>
        <patternFill>
          <bgColor rgb="FFFFC7CE"/>
        </patternFill>
      </fill>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2]\ * #,##0.00_);_([$€-2]\ * \(#,##0.00\);_([$€-2]\ *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2]\ * #,##0.00_);_([$€-2]\ * \(#,##0.00\);_([$€-2]\ *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Arial Narrow"/>
        <family val="2"/>
        <scheme val="none"/>
      </font>
      <alignment horizontal="left" vertical="bottom" textRotation="0" wrapText="0" indent="0" justifyLastLine="0" shrinkToFit="0" readingOrder="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2024.xlsx]PIVOTS!Net Sales Per Month (Payment Date)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929133858266"/>
          <c:y val="0.14533514492753624"/>
          <c:w val="0.83326589384660255"/>
          <c:h val="0.63773643444026018"/>
        </c:manualLayout>
      </c:layout>
      <c:barChart>
        <c:barDir val="col"/>
        <c:grouping val="clustered"/>
        <c:varyColors val="0"/>
        <c:ser>
          <c:idx val="0"/>
          <c:order val="0"/>
          <c:tx>
            <c:strRef>
              <c:f>PIVOTS!$B$3</c:f>
              <c:strCache>
                <c:ptCount val="1"/>
                <c:pt idx="0">
                  <c:v>Total</c:v>
                </c:pt>
              </c:strCache>
            </c:strRef>
          </c:tx>
          <c:spPr>
            <a:solidFill>
              <a:schemeClr val="bg2">
                <a:lumMod val="50000"/>
              </a:schemeClr>
            </a:solidFill>
            <a:ln>
              <a:noFill/>
            </a:ln>
            <a:effectLst/>
          </c:spPr>
          <c:invertIfNegative val="0"/>
          <c:cat>
            <c:strRef>
              <c:f>PIVOTS!$A$4:$A$14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PIVOTS!$B$4:$B$14</c:f>
              <c:numCache>
                <c:formatCode>_([$€-2]\ * #,##0.00_);_([$€-2]\ * \(#,##0.00\);_([$€-2]\ * "-"??_);_(@_)</c:formatCode>
                <c:ptCount val="10"/>
                <c:pt idx="0">
                  <c:v>38014.790000000008</c:v>
                </c:pt>
                <c:pt idx="1">
                  <c:v>51965.651590909089</c:v>
                </c:pt>
                <c:pt idx="2">
                  <c:v>54247.670521915607</c:v>
                </c:pt>
                <c:pt idx="3">
                  <c:v>37683.890000000007</c:v>
                </c:pt>
                <c:pt idx="4">
                  <c:v>25546.080000000002</c:v>
                </c:pt>
                <c:pt idx="5">
                  <c:v>32754.720909090913</c:v>
                </c:pt>
                <c:pt idx="6">
                  <c:v>21503.484272727277</c:v>
                </c:pt>
                <c:pt idx="7">
                  <c:v>6322.7599999999984</c:v>
                </c:pt>
                <c:pt idx="8">
                  <c:v>12984.749999999998</c:v>
                </c:pt>
                <c:pt idx="9">
                  <c:v>3872.5599999999995</c:v>
                </c:pt>
              </c:numCache>
            </c:numRef>
          </c:val>
          <c:extLst>
            <c:ext xmlns:c16="http://schemas.microsoft.com/office/drawing/2014/chart" uri="{C3380CC4-5D6E-409C-BE32-E72D297353CC}">
              <c16:uniqueId val="{00000000-BA92-4039-A9FC-7B23F5C26D5C}"/>
            </c:ext>
          </c:extLst>
        </c:ser>
        <c:dLbls>
          <c:showLegendKey val="0"/>
          <c:showVal val="0"/>
          <c:showCatName val="0"/>
          <c:showSerName val="0"/>
          <c:showPercent val="0"/>
          <c:showBubbleSize val="0"/>
        </c:dLbls>
        <c:gapWidth val="150"/>
        <c:axId val="586335440"/>
        <c:axId val="586333640"/>
      </c:barChart>
      <c:catAx>
        <c:axId val="5863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33640"/>
        <c:crosses val="autoZero"/>
        <c:auto val="1"/>
        <c:lblAlgn val="ctr"/>
        <c:lblOffset val="100"/>
        <c:noMultiLvlLbl val="0"/>
      </c:catAx>
      <c:valAx>
        <c:axId val="586333640"/>
        <c:scaling>
          <c:orientation val="minMax"/>
        </c:scaling>
        <c:delete val="0"/>
        <c:axPos val="l"/>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3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2024.xlsx]PIVOTS!Net Sales Per Stem Length</c:name>
    <c:fmtId val="6"/>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US"/>
              <a:t>SALES PER STEM LENGTH</a:t>
            </a:r>
          </a:p>
        </c:rich>
      </c:tx>
      <c:layout>
        <c:manualLayout>
          <c:xMode val="edge"/>
          <c:yMode val="edge"/>
          <c:x val="0.35615282964455591"/>
          <c:y val="1.8115942028985508E-2"/>
        </c:manualLayout>
      </c:layout>
      <c:overlay val="0"/>
      <c:spPr>
        <a:noFill/>
        <a:ln>
          <a:noFill/>
        </a:ln>
        <a:effectLst/>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PIVOTS!$N$3</c:f>
              <c:strCache>
                <c:ptCount val="1"/>
                <c:pt idx="0">
                  <c:v>Net Receivable</c:v>
                </c:pt>
              </c:strCache>
            </c:strRef>
          </c:tx>
          <c:spPr>
            <a:solidFill>
              <a:schemeClr val="accent6">
                <a:lumMod val="60000"/>
                <a:lumOff val="40000"/>
              </a:schemeClr>
            </a:solidFill>
            <a:ln>
              <a:noFill/>
            </a:ln>
            <a:effectLst/>
          </c:spPr>
          <c:invertIfNegative val="0"/>
          <c:cat>
            <c:strRef>
              <c:f>PIVOTS!$M$4:$M$11</c:f>
              <c:strCache>
                <c:ptCount val="7"/>
                <c:pt idx="0">
                  <c:v>60CM</c:v>
                </c:pt>
                <c:pt idx="1">
                  <c:v>70CM</c:v>
                </c:pt>
                <c:pt idx="2">
                  <c:v>80CM</c:v>
                </c:pt>
                <c:pt idx="3">
                  <c:v>50CM</c:v>
                </c:pt>
                <c:pt idx="4">
                  <c:v>90CM</c:v>
                </c:pt>
                <c:pt idx="5">
                  <c:v>100CM</c:v>
                </c:pt>
                <c:pt idx="6">
                  <c:v>110CM</c:v>
                </c:pt>
              </c:strCache>
            </c:strRef>
          </c:cat>
          <c:val>
            <c:numRef>
              <c:f>PIVOTS!$N$4:$N$11</c:f>
              <c:numCache>
                <c:formatCode>_([$€-2]\ * #,##0.00_);_([$€-2]\ * \(#,##0.00\);_([$€-2]\ * "-"??_);_(@_)</c:formatCode>
                <c:ptCount val="7"/>
                <c:pt idx="0">
                  <c:v>82501.796743055675</c:v>
                </c:pt>
                <c:pt idx="1">
                  <c:v>62768.535535451425</c:v>
                </c:pt>
                <c:pt idx="2">
                  <c:v>40862.265837742954</c:v>
                </c:pt>
                <c:pt idx="3">
                  <c:v>34026.608598219987</c:v>
                </c:pt>
                <c:pt idx="4">
                  <c:v>31111.11785573954</c:v>
                </c:pt>
                <c:pt idx="5">
                  <c:v>24846.105786284854</c:v>
                </c:pt>
                <c:pt idx="6">
                  <c:v>2840.6028579157278</c:v>
                </c:pt>
              </c:numCache>
            </c:numRef>
          </c:val>
          <c:extLst>
            <c:ext xmlns:c16="http://schemas.microsoft.com/office/drawing/2014/chart" uri="{C3380CC4-5D6E-409C-BE32-E72D297353CC}">
              <c16:uniqueId val="{00000000-8898-47AD-9983-FC795AA5F4F9}"/>
            </c:ext>
          </c:extLst>
        </c:ser>
        <c:dLbls>
          <c:showLegendKey val="0"/>
          <c:showVal val="0"/>
          <c:showCatName val="0"/>
          <c:showSerName val="0"/>
          <c:showPercent val="0"/>
          <c:showBubbleSize val="0"/>
        </c:dLbls>
        <c:gapWidth val="219"/>
        <c:axId val="410575608"/>
        <c:axId val="410575248"/>
      </c:barChart>
      <c:lineChart>
        <c:grouping val="standard"/>
        <c:varyColors val="0"/>
        <c:ser>
          <c:idx val="1"/>
          <c:order val="1"/>
          <c:tx>
            <c:strRef>
              <c:f>PIVOTS!$O$3</c:f>
              <c:strCache>
                <c:ptCount val="1"/>
                <c:pt idx="0">
                  <c:v>Average Price</c:v>
                </c:pt>
              </c:strCache>
            </c:strRef>
          </c:tx>
          <c:spPr>
            <a:ln w="28575" cap="rnd">
              <a:solidFill>
                <a:schemeClr val="tx1">
                  <a:lumMod val="50000"/>
                  <a:lumOff val="50000"/>
                </a:schemeClr>
              </a:solidFill>
              <a:round/>
            </a:ln>
            <a:effectLst/>
          </c:spPr>
          <c:marker>
            <c:symbol val="none"/>
          </c:marker>
          <c:cat>
            <c:strRef>
              <c:f>PIVOTS!$M$4:$M$11</c:f>
              <c:strCache>
                <c:ptCount val="7"/>
                <c:pt idx="0">
                  <c:v>60CM</c:v>
                </c:pt>
                <c:pt idx="1">
                  <c:v>70CM</c:v>
                </c:pt>
                <c:pt idx="2">
                  <c:v>80CM</c:v>
                </c:pt>
                <c:pt idx="3">
                  <c:v>50CM</c:v>
                </c:pt>
                <c:pt idx="4">
                  <c:v>90CM</c:v>
                </c:pt>
                <c:pt idx="5">
                  <c:v>100CM</c:v>
                </c:pt>
                <c:pt idx="6">
                  <c:v>110CM</c:v>
                </c:pt>
              </c:strCache>
            </c:strRef>
          </c:cat>
          <c:val>
            <c:numRef>
              <c:f>PIVOTS!$O$4:$O$11</c:f>
              <c:numCache>
                <c:formatCode>_([$€-2]\ * #,##0.00_);_([$€-2]\ * \(#,##0.00\);_([$€-2]\ * "-"??_);_(@_)</c:formatCode>
                <c:ptCount val="7"/>
                <c:pt idx="0">
                  <c:v>0.33611370068629126</c:v>
                </c:pt>
                <c:pt idx="1">
                  <c:v>0.35575003137299605</c:v>
                </c:pt>
                <c:pt idx="2">
                  <c:v>0.3937013762187393</c:v>
                </c:pt>
                <c:pt idx="3">
                  <c:v>0.22116742670276235</c:v>
                </c:pt>
                <c:pt idx="4">
                  <c:v>0.41409713637347983</c:v>
                </c:pt>
                <c:pt idx="5">
                  <c:v>0.48048937896509097</c:v>
                </c:pt>
                <c:pt idx="6">
                  <c:v>0.43701582429472735</c:v>
                </c:pt>
              </c:numCache>
            </c:numRef>
          </c:val>
          <c:smooth val="0"/>
          <c:extLst>
            <c:ext xmlns:c16="http://schemas.microsoft.com/office/drawing/2014/chart" uri="{C3380CC4-5D6E-409C-BE32-E72D297353CC}">
              <c16:uniqueId val="{00000001-8898-47AD-9983-FC795AA5F4F9}"/>
            </c:ext>
          </c:extLst>
        </c:ser>
        <c:dLbls>
          <c:showLegendKey val="0"/>
          <c:showVal val="0"/>
          <c:showCatName val="0"/>
          <c:showSerName val="0"/>
          <c:showPercent val="0"/>
          <c:showBubbleSize val="0"/>
        </c:dLbls>
        <c:marker val="1"/>
        <c:smooth val="0"/>
        <c:axId val="982483136"/>
        <c:axId val="982484576"/>
      </c:lineChart>
      <c:catAx>
        <c:axId val="41057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5248"/>
        <c:crosses val="autoZero"/>
        <c:auto val="1"/>
        <c:lblAlgn val="ctr"/>
        <c:lblOffset val="100"/>
        <c:noMultiLvlLbl val="0"/>
      </c:catAx>
      <c:valAx>
        <c:axId val="410575248"/>
        <c:scaling>
          <c:orientation val="minMax"/>
        </c:scaling>
        <c:delete val="0"/>
        <c:axPos val="l"/>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5608"/>
        <c:crosses val="autoZero"/>
        <c:crossBetween val="between"/>
      </c:valAx>
      <c:valAx>
        <c:axId val="982484576"/>
        <c:scaling>
          <c:orientation val="minMax"/>
        </c:scaling>
        <c:delete val="0"/>
        <c:axPos val="r"/>
        <c:numFmt formatCode="_([$€-2]\ * #,##0.00_);_([$€-2]\ * \(#,##0.00\);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83136"/>
        <c:crosses val="max"/>
        <c:crossBetween val="between"/>
      </c:valAx>
      <c:catAx>
        <c:axId val="982483136"/>
        <c:scaling>
          <c:orientation val="minMax"/>
        </c:scaling>
        <c:delete val="1"/>
        <c:axPos val="b"/>
        <c:numFmt formatCode="General" sourceLinked="1"/>
        <c:majorTickMark val="out"/>
        <c:minorTickMark val="none"/>
        <c:tickLblPos val="nextTo"/>
        <c:crossAx val="982484576"/>
        <c:crosses val="autoZero"/>
        <c:auto val="1"/>
        <c:lblAlgn val="ctr"/>
        <c:lblOffset val="100"/>
        <c:noMultiLvlLbl val="0"/>
      </c:cat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2024.xlsx]PIVOTS!Cost Per Variety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PIVOTS!$N$28</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PIVOTS!$M$29:$M$36</c:f>
              <c:strCache>
                <c:ptCount val="7"/>
                <c:pt idx="0">
                  <c:v>Climbing Roses</c:v>
                </c:pt>
                <c:pt idx="1">
                  <c:v>English Roses</c:v>
                </c:pt>
                <c:pt idx="2">
                  <c:v>Floribunda Roses</c:v>
                </c:pt>
                <c:pt idx="3">
                  <c:v>Grandiflora Roses</c:v>
                </c:pt>
                <c:pt idx="4">
                  <c:v>Miniature Roses</c:v>
                </c:pt>
                <c:pt idx="5">
                  <c:v>Moss Roses</c:v>
                </c:pt>
                <c:pt idx="6">
                  <c:v>Polyantha Roses</c:v>
                </c:pt>
              </c:strCache>
            </c:strRef>
          </c:cat>
          <c:val>
            <c:numRef>
              <c:f>PIVOTS!$N$29:$N$36</c:f>
              <c:numCache>
                <c:formatCode>[$€-2]\ #,##0.00</c:formatCode>
                <c:ptCount val="7"/>
                <c:pt idx="0">
                  <c:v>9.744495528087628E-2</c:v>
                </c:pt>
                <c:pt idx="1">
                  <c:v>0.13980273303097093</c:v>
                </c:pt>
                <c:pt idx="2">
                  <c:v>0.12425364952410727</c:v>
                </c:pt>
                <c:pt idx="3">
                  <c:v>0.10125151729852586</c:v>
                </c:pt>
                <c:pt idx="4">
                  <c:v>8.8309582410800613E-2</c:v>
                </c:pt>
                <c:pt idx="5">
                  <c:v>0.11270974535775437</c:v>
                </c:pt>
                <c:pt idx="6">
                  <c:v>0.15001042273350501</c:v>
                </c:pt>
              </c:numCache>
            </c:numRef>
          </c:val>
          <c:extLst>
            <c:ext xmlns:c16="http://schemas.microsoft.com/office/drawing/2014/chart" uri="{C3380CC4-5D6E-409C-BE32-E72D297353CC}">
              <c16:uniqueId val="{00000000-AB7E-4E34-B560-05A4DCC047C7}"/>
            </c:ext>
          </c:extLst>
        </c:ser>
        <c:dLbls>
          <c:dLblPos val="outEnd"/>
          <c:showLegendKey val="0"/>
          <c:showVal val="1"/>
          <c:showCatName val="0"/>
          <c:showSerName val="0"/>
          <c:showPercent val="0"/>
          <c:showBubbleSize val="0"/>
        </c:dLbls>
        <c:gapWidth val="219"/>
        <c:overlap val="-27"/>
        <c:axId val="884777048"/>
        <c:axId val="884775608"/>
      </c:barChart>
      <c:catAx>
        <c:axId val="88477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75608"/>
        <c:crosses val="autoZero"/>
        <c:auto val="1"/>
        <c:lblAlgn val="ctr"/>
        <c:lblOffset val="100"/>
        <c:noMultiLvlLbl val="0"/>
      </c:catAx>
      <c:valAx>
        <c:axId val="884775608"/>
        <c:scaling>
          <c:orientation val="minMax"/>
        </c:scaling>
        <c:delete val="1"/>
        <c:axPos val="l"/>
        <c:numFmt formatCode="[$€-2]\ #,##0.00" sourceLinked="1"/>
        <c:majorTickMark val="none"/>
        <c:minorTickMark val="none"/>
        <c:tickLblPos val="nextTo"/>
        <c:crossAx val="88477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2024.xlsx]PIVOTS!Net Sales Per Variety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NET SALES</a:t>
            </a:r>
            <a:r>
              <a:rPr lang="en-US" baseline="0"/>
              <a:t> PER VARIETY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PIVOTS!$N$14</c:f>
              <c:strCache>
                <c:ptCount val="1"/>
                <c:pt idx="0">
                  <c:v>Sum of Net Receivable/ (Payable)</c:v>
                </c:pt>
              </c:strCache>
            </c:strRef>
          </c:tx>
          <c:spPr>
            <a:solidFill>
              <a:schemeClr val="accent6">
                <a:lumMod val="60000"/>
                <a:lumOff val="40000"/>
              </a:schemeClr>
            </a:solidFill>
            <a:ln>
              <a:noFill/>
            </a:ln>
            <a:effectLst/>
          </c:spPr>
          <c:invertIfNegative val="0"/>
          <c:cat>
            <c:strRef>
              <c:f>PIVOTS!$M$15:$M$22</c:f>
              <c:strCache>
                <c:ptCount val="7"/>
                <c:pt idx="0">
                  <c:v>Floribunda Roses</c:v>
                </c:pt>
                <c:pt idx="1">
                  <c:v>Grandiflora Roses</c:v>
                </c:pt>
                <c:pt idx="2">
                  <c:v>English Roses</c:v>
                </c:pt>
                <c:pt idx="3">
                  <c:v>Polyantha Roses</c:v>
                </c:pt>
                <c:pt idx="4">
                  <c:v>Shrub Roses</c:v>
                </c:pt>
                <c:pt idx="5">
                  <c:v>Moss Roses</c:v>
                </c:pt>
                <c:pt idx="6">
                  <c:v>Miniature Roses</c:v>
                </c:pt>
              </c:strCache>
            </c:strRef>
          </c:cat>
          <c:val>
            <c:numRef>
              <c:f>PIVOTS!$N$15:$N$22</c:f>
              <c:numCache>
                <c:formatCode>[$€-2]\ #,##0.00</c:formatCode>
                <c:ptCount val="7"/>
                <c:pt idx="0">
                  <c:v>117647.17918219337</c:v>
                </c:pt>
                <c:pt idx="1">
                  <c:v>72149.151267374502</c:v>
                </c:pt>
                <c:pt idx="2">
                  <c:v>69140.703466837149</c:v>
                </c:pt>
                <c:pt idx="3">
                  <c:v>16978.129795819659</c:v>
                </c:pt>
                <c:pt idx="4">
                  <c:v>5939.3240802328328</c:v>
                </c:pt>
                <c:pt idx="5">
                  <c:v>2571.0811087679749</c:v>
                </c:pt>
                <c:pt idx="6">
                  <c:v>708.57034538204778</c:v>
                </c:pt>
              </c:numCache>
            </c:numRef>
          </c:val>
          <c:extLst>
            <c:ext xmlns:c16="http://schemas.microsoft.com/office/drawing/2014/chart" uri="{C3380CC4-5D6E-409C-BE32-E72D297353CC}">
              <c16:uniqueId val="{00000000-B3D5-4CE4-AA61-65804421B3E6}"/>
            </c:ext>
          </c:extLst>
        </c:ser>
        <c:dLbls>
          <c:showLegendKey val="0"/>
          <c:showVal val="0"/>
          <c:showCatName val="0"/>
          <c:showSerName val="0"/>
          <c:showPercent val="0"/>
          <c:showBubbleSize val="0"/>
        </c:dLbls>
        <c:gapWidth val="219"/>
        <c:overlap val="-27"/>
        <c:axId val="569114960"/>
        <c:axId val="569113520"/>
      </c:barChart>
      <c:lineChart>
        <c:grouping val="standard"/>
        <c:varyColors val="0"/>
        <c:ser>
          <c:idx val="1"/>
          <c:order val="1"/>
          <c:tx>
            <c:strRef>
              <c:f>PIVOTS!$O$14</c:f>
              <c:strCache>
                <c:ptCount val="1"/>
                <c:pt idx="0">
                  <c:v>Average Price</c:v>
                </c:pt>
              </c:strCache>
            </c:strRef>
          </c:tx>
          <c:spPr>
            <a:ln w="28575" cap="rnd">
              <a:solidFill>
                <a:schemeClr val="tx1">
                  <a:lumMod val="50000"/>
                  <a:lumOff val="50000"/>
                </a:schemeClr>
              </a:solidFill>
              <a:round/>
            </a:ln>
            <a:effectLst/>
          </c:spPr>
          <c:marker>
            <c:symbol val="none"/>
          </c:marker>
          <c:cat>
            <c:strRef>
              <c:f>PIVOTS!$M$15:$M$22</c:f>
              <c:strCache>
                <c:ptCount val="7"/>
                <c:pt idx="0">
                  <c:v>Floribunda Roses</c:v>
                </c:pt>
                <c:pt idx="1">
                  <c:v>Grandiflora Roses</c:v>
                </c:pt>
                <c:pt idx="2">
                  <c:v>English Roses</c:v>
                </c:pt>
                <c:pt idx="3">
                  <c:v>Polyantha Roses</c:v>
                </c:pt>
                <c:pt idx="4">
                  <c:v>Shrub Roses</c:v>
                </c:pt>
                <c:pt idx="5">
                  <c:v>Moss Roses</c:v>
                </c:pt>
                <c:pt idx="6">
                  <c:v>Miniature Roses</c:v>
                </c:pt>
              </c:strCache>
            </c:strRef>
          </c:cat>
          <c:val>
            <c:numRef>
              <c:f>PIVOTS!$O$15:$O$22</c:f>
              <c:numCache>
                <c:formatCode>[$€-2]\ #,##0.00</c:formatCode>
                <c:ptCount val="7"/>
                <c:pt idx="0">
                  <c:v>0.37000622462634725</c:v>
                </c:pt>
                <c:pt idx="1">
                  <c:v>0.29216096888995546</c:v>
                </c:pt>
                <c:pt idx="2">
                  <c:v>0.36526723018277518</c:v>
                </c:pt>
                <c:pt idx="3">
                  <c:v>0.35400604244828315</c:v>
                </c:pt>
                <c:pt idx="4">
                  <c:v>3.6890211678464802</c:v>
                </c:pt>
                <c:pt idx="5">
                  <c:v>0.40173142324499606</c:v>
                </c:pt>
                <c:pt idx="6">
                  <c:v>0.63835166250634934</c:v>
                </c:pt>
              </c:numCache>
            </c:numRef>
          </c:val>
          <c:smooth val="0"/>
          <c:extLst>
            <c:ext xmlns:c16="http://schemas.microsoft.com/office/drawing/2014/chart" uri="{C3380CC4-5D6E-409C-BE32-E72D297353CC}">
              <c16:uniqueId val="{00000001-B3D5-4CE4-AA61-65804421B3E6}"/>
            </c:ext>
          </c:extLst>
        </c:ser>
        <c:dLbls>
          <c:showLegendKey val="0"/>
          <c:showVal val="0"/>
          <c:showCatName val="0"/>
          <c:showSerName val="0"/>
          <c:showPercent val="0"/>
          <c:showBubbleSize val="0"/>
        </c:dLbls>
        <c:marker val="1"/>
        <c:smooth val="0"/>
        <c:axId val="411900056"/>
        <c:axId val="411896456"/>
      </c:lineChart>
      <c:catAx>
        <c:axId val="56911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3520"/>
        <c:crosses val="autoZero"/>
        <c:auto val="1"/>
        <c:lblAlgn val="ctr"/>
        <c:lblOffset val="100"/>
        <c:noMultiLvlLbl val="0"/>
      </c:catAx>
      <c:valAx>
        <c:axId val="569113520"/>
        <c:scaling>
          <c:orientation val="minMax"/>
        </c:scaling>
        <c:delete val="0"/>
        <c:axPos val="l"/>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4960"/>
        <c:crosses val="autoZero"/>
        <c:crossBetween val="between"/>
      </c:valAx>
      <c:valAx>
        <c:axId val="411896456"/>
        <c:scaling>
          <c:orientation val="minMax"/>
        </c:scaling>
        <c:delete val="0"/>
        <c:axPos val="r"/>
        <c:numFmt formatCode="[$€-2]\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00056"/>
        <c:crosses val="max"/>
        <c:crossBetween val="between"/>
      </c:valAx>
      <c:catAx>
        <c:axId val="411900056"/>
        <c:scaling>
          <c:orientation val="minMax"/>
        </c:scaling>
        <c:delete val="1"/>
        <c:axPos val="b"/>
        <c:numFmt formatCode="General" sourceLinked="1"/>
        <c:majorTickMark val="out"/>
        <c:minorTickMark val="none"/>
        <c:tickLblPos val="nextTo"/>
        <c:crossAx val="411896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2024.xlsx]PIVOTS!Volume Sold against Average Price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r>
              <a:rPr lang="en-US" baseline="0"/>
              <a:t> SOLD AGAINST AVERAGE NET PRICE</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bg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bg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28575"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ln>
            <a:solidFill>
              <a:schemeClr val="accent6">
                <a:lumMod val="60000"/>
                <a:lumOff val="40000"/>
              </a:schemeClr>
            </a:solidFill>
          </a:ln>
          <a:effectLst/>
        </c:spPr>
        <c:marker>
          <c:symbol val="none"/>
        </c:marker>
        <c:dLbl>
          <c:idx val="0"/>
          <c:delete val="1"/>
          <c:extLst>
            <c:ext xmlns:c15="http://schemas.microsoft.com/office/drawing/2012/chart" uri="{CE6537A1-D6FC-4f65-9D91-7224C49458BB}"/>
          </c:extLst>
        </c:dLbl>
      </c:pivotFmt>
      <c:pivotFmt>
        <c:idx val="12"/>
        <c:spPr>
          <a:solidFill>
            <a:schemeClr val="bg2">
              <a:lumMod val="50000"/>
            </a:schemeClr>
          </a:solidFill>
          <a:ln w="28575" cap="rnd">
            <a:no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1"/>
          <c:tx>
            <c:strRef>
              <c:f>PIVOTS!$K$3</c:f>
              <c:strCache>
                <c:ptCount val="1"/>
                <c:pt idx="0">
                  <c:v>Stems Sold</c:v>
                </c:pt>
              </c:strCache>
            </c:strRef>
          </c:tx>
          <c:spPr>
            <a:solidFill>
              <a:schemeClr val="bg2">
                <a:lumMod val="50000"/>
              </a:schemeClr>
            </a:solidFill>
            <a:ln w="28575" cap="rnd">
              <a:noFill/>
              <a:round/>
            </a:ln>
            <a:effectLst/>
          </c:spPr>
          <c:invertIfNegative val="0"/>
          <c:cat>
            <c:strRef>
              <c:f>PIVOTS!$I$4:$I$14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PIVOTS!$K$4:$K$14</c:f>
              <c:numCache>
                <c:formatCode>_(* #,##0_);_(* \(#,##0\);_(* "-"??_);_(@_)</c:formatCode>
                <c:ptCount val="10"/>
                <c:pt idx="0">
                  <c:v>154910</c:v>
                </c:pt>
                <c:pt idx="1">
                  <c:v>139660</c:v>
                </c:pt>
                <c:pt idx="2">
                  <c:v>154680</c:v>
                </c:pt>
                <c:pt idx="3">
                  <c:v>100800</c:v>
                </c:pt>
                <c:pt idx="4">
                  <c:v>80430</c:v>
                </c:pt>
                <c:pt idx="5">
                  <c:v>69360</c:v>
                </c:pt>
                <c:pt idx="6">
                  <c:v>63990</c:v>
                </c:pt>
                <c:pt idx="7">
                  <c:v>24732</c:v>
                </c:pt>
                <c:pt idx="8">
                  <c:v>17000</c:v>
                </c:pt>
                <c:pt idx="9">
                  <c:v>8926</c:v>
                </c:pt>
              </c:numCache>
            </c:numRef>
          </c:val>
          <c:extLst>
            <c:ext xmlns:c16="http://schemas.microsoft.com/office/drawing/2014/chart" uri="{C3380CC4-5D6E-409C-BE32-E72D297353CC}">
              <c16:uniqueId val="{00000005-9E97-4027-9322-888DE1670685}"/>
            </c:ext>
          </c:extLst>
        </c:ser>
        <c:dLbls>
          <c:showLegendKey val="0"/>
          <c:showVal val="0"/>
          <c:showCatName val="0"/>
          <c:showSerName val="0"/>
          <c:showPercent val="0"/>
          <c:showBubbleSize val="0"/>
        </c:dLbls>
        <c:gapWidth val="150"/>
        <c:axId val="586335440"/>
        <c:axId val="586333640"/>
      </c:barChart>
      <c:lineChart>
        <c:grouping val="standard"/>
        <c:varyColors val="0"/>
        <c:ser>
          <c:idx val="0"/>
          <c:order val="0"/>
          <c:tx>
            <c:strRef>
              <c:f>PIVOTS!$J$3</c:f>
              <c:strCache>
                <c:ptCount val="1"/>
                <c:pt idx="0">
                  <c:v>Av. Price Per Stem</c:v>
                </c:pt>
              </c:strCache>
            </c:strRef>
          </c:tx>
          <c:spPr>
            <a:ln>
              <a:solidFill>
                <a:schemeClr val="accent6">
                  <a:lumMod val="60000"/>
                  <a:lumOff val="40000"/>
                </a:schemeClr>
              </a:solidFill>
            </a:ln>
            <a:effectLst/>
          </c:spPr>
          <c:marker>
            <c:symbol val="none"/>
          </c:marker>
          <c:cat>
            <c:strRef>
              <c:f>PIVOTS!$I$4:$I$14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PIVOTS!$J$4:$J$14</c:f>
              <c:numCache>
                <c:formatCode>_([$€-2]\ * #,##0.00_);_([$€-2]\ * \(#,##0.00\);_([$€-2]\ * "-"??_);_(@_)</c:formatCode>
                <c:ptCount val="10"/>
                <c:pt idx="0">
                  <c:v>0.24539919953521405</c:v>
                </c:pt>
                <c:pt idx="1">
                  <c:v>0.37208686517907125</c:v>
                </c:pt>
                <c:pt idx="2">
                  <c:v>0.34944389668845405</c:v>
                </c:pt>
                <c:pt idx="3">
                  <c:v>0.37384811507936516</c:v>
                </c:pt>
                <c:pt idx="4">
                  <c:v>0.31761879895561362</c:v>
                </c:pt>
                <c:pt idx="5">
                  <c:v>0.47224222763971901</c:v>
                </c:pt>
                <c:pt idx="6">
                  <c:v>0.3360444487064741</c:v>
                </c:pt>
                <c:pt idx="7">
                  <c:v>0.25565097848940638</c:v>
                </c:pt>
                <c:pt idx="8">
                  <c:v>0.76380882352941171</c:v>
                </c:pt>
                <c:pt idx="9">
                  <c:v>0.43385166928075281</c:v>
                </c:pt>
              </c:numCache>
            </c:numRef>
          </c:val>
          <c:smooth val="0"/>
          <c:extLst>
            <c:ext xmlns:c16="http://schemas.microsoft.com/office/drawing/2014/chart" uri="{C3380CC4-5D6E-409C-BE32-E72D297353CC}">
              <c16:uniqueId val="{00000003-9E97-4027-9322-888DE1670685}"/>
            </c:ext>
          </c:extLst>
        </c:ser>
        <c:dLbls>
          <c:showLegendKey val="0"/>
          <c:showVal val="0"/>
          <c:showCatName val="0"/>
          <c:showSerName val="0"/>
          <c:showPercent val="0"/>
          <c:showBubbleSize val="0"/>
        </c:dLbls>
        <c:marker val="1"/>
        <c:smooth val="0"/>
        <c:axId val="936296088"/>
        <c:axId val="936295008"/>
      </c:lineChart>
      <c:catAx>
        <c:axId val="5863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33640"/>
        <c:crosses val="autoZero"/>
        <c:auto val="1"/>
        <c:lblAlgn val="ctr"/>
        <c:lblOffset val="100"/>
        <c:noMultiLvlLbl val="0"/>
      </c:catAx>
      <c:valAx>
        <c:axId val="58633364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35440"/>
        <c:crosses val="autoZero"/>
        <c:crossBetween val="between"/>
      </c:valAx>
      <c:valAx>
        <c:axId val="936295008"/>
        <c:scaling>
          <c:orientation val="minMax"/>
        </c:scaling>
        <c:delete val="0"/>
        <c:axPos val="r"/>
        <c:numFmt formatCode="_([$€-2]\ * #,##0.00_);_([$€-2]\ * \(#,##0.00\);_([$€-2]\ * &quot;-&quot;??_);_(@_)" sourceLinked="1"/>
        <c:majorTickMark val="out"/>
        <c:minorTickMark val="none"/>
        <c:tickLblPos val="nextTo"/>
        <c:spPr>
          <a:ln>
            <a:noFill/>
          </a:ln>
        </c:spPr>
        <c:txPr>
          <a:bodyPr/>
          <a:lstStyle/>
          <a:p>
            <a:pPr>
              <a:defRPr b="0">
                <a:solidFill>
                  <a:schemeClr val="tx1"/>
                </a:solidFill>
              </a:defRPr>
            </a:pPr>
            <a:endParaRPr lang="en-US"/>
          </a:p>
        </c:txPr>
        <c:crossAx val="936296088"/>
        <c:crosses val="max"/>
        <c:crossBetween val="between"/>
      </c:valAx>
      <c:catAx>
        <c:axId val="936296088"/>
        <c:scaling>
          <c:orientation val="minMax"/>
        </c:scaling>
        <c:delete val="1"/>
        <c:axPos val="b"/>
        <c:numFmt formatCode="General" sourceLinked="1"/>
        <c:majorTickMark val="out"/>
        <c:minorTickMark val="none"/>
        <c:tickLblPos val="nextTo"/>
        <c:crossAx val="936295008"/>
        <c:crosses val="autoZero"/>
        <c:auto val="1"/>
        <c:lblAlgn val="ctr"/>
        <c:lblOffset val="100"/>
        <c:noMultiLvlLbl val="0"/>
      </c:catAx>
      <c:spPr>
        <a:noFill/>
        <a:ln>
          <a:noFill/>
        </a:ln>
      </c:spPr>
    </c:plotArea>
    <c:legend>
      <c:legendPos val="t"/>
      <c:overlay val="1"/>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[ROSES SALES ANALYSIS 2024.xlsx]PIVOTS!Net Sales Per Week</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NET PRICE PER SALES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5.6875109361329834E-2"/>
              <c:y val="-3.4687591134441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4097331583552059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5.6875109361329834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2.3541776027996501E-2"/>
              <c:y val="3.9386482939632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3-FD54-47D9-98A7-9E671E5B2ADC}"/>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02-FD54-47D9-98A7-9E671E5B2ADC}"/>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01-FD54-47D9-98A7-9E671E5B2ADC}"/>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00-FD54-47D9-98A7-9E671E5B2ADC}"/>
              </c:ext>
            </c:extLst>
          </c:dPt>
          <c:dLbls>
            <c:dLbl>
              <c:idx val="0"/>
              <c:layout>
                <c:manualLayout>
                  <c:x val="-2.3541776027996501E-2"/>
                  <c:y val="3.9386482939632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54-47D9-98A7-9E671E5B2ADC}"/>
                </c:ext>
              </c:extLst>
            </c:dLbl>
            <c:dLbl>
              <c:idx val="24"/>
              <c:layout>
                <c:manualLayout>
                  <c:x val="-5.6875109361329834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54-47D9-98A7-9E671E5B2ADC}"/>
                </c:ext>
              </c:extLst>
            </c:dLbl>
            <c:dLbl>
              <c:idx val="29"/>
              <c:layout>
                <c:manualLayout>
                  <c:x val="-5.4097331583552059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54-47D9-98A7-9E671E5B2ADC}"/>
                </c:ext>
              </c:extLst>
            </c:dLbl>
            <c:dLbl>
              <c:idx val="35"/>
              <c:layout>
                <c:manualLayout>
                  <c:x val="-5.6875109361329834E-2"/>
                  <c:y val="-3.4687591134441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54-47D9-98A7-9E671E5B2A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PIVOTS!$E$4:$E$43</c:f>
              <c:strCach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strCache>
            </c:strRef>
          </c:cat>
          <c:val>
            <c:numRef>
              <c:f>PIVOTS!$F$4:$F$43</c:f>
              <c:numCache>
                <c:formatCode>_([$€-2]\ * #,##0.00_);_([$€-2]\ * \(#,##0.00\);_([$€-2]\ * "-"??_);_(@_)</c:formatCode>
                <c:ptCount val="39"/>
                <c:pt idx="0">
                  <c:v>0.17161585940946103</c:v>
                </c:pt>
                <c:pt idx="1">
                  <c:v>0.2125226520413544</c:v>
                </c:pt>
                <c:pt idx="2">
                  <c:v>0.28784435401831132</c:v>
                </c:pt>
                <c:pt idx="3">
                  <c:v>0.30983851113716282</c:v>
                </c:pt>
                <c:pt idx="4">
                  <c:v>0.40416360858767397</c:v>
                </c:pt>
                <c:pt idx="5">
                  <c:v>0.39967003188097755</c:v>
                </c:pt>
                <c:pt idx="6">
                  <c:v>0.33839673913043461</c:v>
                </c:pt>
                <c:pt idx="7">
                  <c:v>0.35290239551478086</c:v>
                </c:pt>
                <c:pt idx="8">
                  <c:v>0.37960633311470693</c:v>
                </c:pt>
                <c:pt idx="9">
                  <c:v>0.35916235223597631</c:v>
                </c:pt>
                <c:pt idx="10">
                  <c:v>0.31572535211267605</c:v>
                </c:pt>
                <c:pt idx="11">
                  <c:v>0.29125899107588538</c:v>
                </c:pt>
                <c:pt idx="12">
                  <c:v>0.28671916971916966</c:v>
                </c:pt>
                <c:pt idx="13">
                  <c:v>0.42739578163771708</c:v>
                </c:pt>
                <c:pt idx="14">
                  <c:v>0.39311764705882357</c:v>
                </c:pt>
                <c:pt idx="15">
                  <c:v>0.42324787104622857</c:v>
                </c:pt>
                <c:pt idx="16">
                  <c:v>0.30315403422982889</c:v>
                </c:pt>
                <c:pt idx="17">
                  <c:v>0.35041187739463608</c:v>
                </c:pt>
                <c:pt idx="18">
                  <c:v>0.46753734939759034</c:v>
                </c:pt>
                <c:pt idx="19">
                  <c:v>0.25205070656691603</c:v>
                </c:pt>
                <c:pt idx="20">
                  <c:v>0.29406963470319647</c:v>
                </c:pt>
                <c:pt idx="21">
                  <c:v>0.31745833333333329</c:v>
                </c:pt>
                <c:pt idx="22">
                  <c:v>0.37105952171619477</c:v>
                </c:pt>
                <c:pt idx="23">
                  <c:v>0.52117335766423356</c:v>
                </c:pt>
                <c:pt idx="24">
                  <c:v>0.75104005524861861</c:v>
                </c:pt>
                <c:pt idx="25">
                  <c:v>0.60932986111111098</c:v>
                </c:pt>
                <c:pt idx="26">
                  <c:v>0.41740332031249994</c:v>
                </c:pt>
                <c:pt idx="27">
                  <c:v>0.28264745777098715</c:v>
                </c:pt>
                <c:pt idx="28">
                  <c:v>0.30876060070671374</c:v>
                </c:pt>
                <c:pt idx="29">
                  <c:v>0.11158198614318707</c:v>
                </c:pt>
                <c:pt idx="30">
                  <c:v>0.17903941908713683</c:v>
                </c:pt>
                <c:pt idx="31">
                  <c:v>0.35538707799767177</c:v>
                </c:pt>
                <c:pt idx="32">
                  <c:v>0.20510327022375222</c:v>
                </c:pt>
                <c:pt idx="33">
                  <c:v>0.33630459126539775</c:v>
                </c:pt>
                <c:pt idx="34">
                  <c:v>0.50118023255813959</c:v>
                </c:pt>
                <c:pt idx="35">
                  <c:v>0.91977607709750586</c:v>
                </c:pt>
                <c:pt idx="36">
                  <c:v>0.73737588652482289</c:v>
                </c:pt>
                <c:pt idx="37">
                  <c:v>0.87816939890710399</c:v>
                </c:pt>
                <c:pt idx="38">
                  <c:v>0.43385166928075281</c:v>
                </c:pt>
              </c:numCache>
            </c:numRef>
          </c:val>
          <c:smooth val="0"/>
          <c:extLst>
            <c:ext xmlns:c16="http://schemas.microsoft.com/office/drawing/2014/chart" uri="{C3380CC4-5D6E-409C-BE32-E72D297353CC}">
              <c16:uniqueId val="{00000000-9E22-437E-B66D-87D4BA30E536}"/>
            </c:ext>
          </c:extLst>
        </c:ser>
        <c:dLbls>
          <c:showLegendKey val="0"/>
          <c:showVal val="0"/>
          <c:showCatName val="0"/>
          <c:showSerName val="0"/>
          <c:showPercent val="0"/>
          <c:showBubbleSize val="0"/>
        </c:dLbls>
        <c:smooth val="0"/>
        <c:axId val="563139480"/>
        <c:axId val="563140200"/>
      </c:lineChart>
      <c:catAx>
        <c:axId val="563139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OF SALE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0200"/>
        <c:crosses val="autoZero"/>
        <c:auto val="1"/>
        <c:lblAlgn val="ctr"/>
        <c:lblOffset val="100"/>
        <c:noMultiLvlLbl val="0"/>
      </c:catAx>
      <c:valAx>
        <c:axId val="563140200"/>
        <c:scaling>
          <c:orientation val="minMax"/>
        </c:scaling>
        <c:delete val="0"/>
        <c:axPos val="l"/>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39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160020</xdr:rowOff>
    </xdr:from>
    <xdr:to>
      <xdr:col>11</xdr:col>
      <xdr:colOff>0</xdr:colOff>
      <xdr:row>27</xdr:row>
      <xdr:rowOff>160020</xdr:rowOff>
    </xdr:to>
    <xdr:graphicFrame macro="">
      <xdr:nvGraphicFramePr>
        <xdr:cNvPr id="2" name="Chart 1">
          <a:extLst>
            <a:ext uri="{FF2B5EF4-FFF2-40B4-BE49-F238E27FC236}">
              <a16:creationId xmlns:a16="http://schemas.microsoft.com/office/drawing/2014/main" id="{39814D66-23F0-4059-B29C-C277A165F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31</xdr:row>
      <xdr:rowOff>7620</xdr:rowOff>
    </xdr:from>
    <xdr:to>
      <xdr:col>11</xdr:col>
      <xdr:colOff>0</xdr:colOff>
      <xdr:row>47</xdr:row>
      <xdr:rowOff>7620</xdr:rowOff>
    </xdr:to>
    <xdr:graphicFrame macro="">
      <xdr:nvGraphicFramePr>
        <xdr:cNvPr id="3" name="Chart 2">
          <a:extLst>
            <a:ext uri="{FF2B5EF4-FFF2-40B4-BE49-F238E27FC236}">
              <a16:creationId xmlns:a16="http://schemas.microsoft.com/office/drawing/2014/main" id="{0389E41E-2B54-474C-800C-A979A1F3C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72390</xdr:colOff>
      <xdr:row>47</xdr:row>
      <xdr:rowOff>137160</xdr:rowOff>
    </xdr:from>
    <xdr:to>
      <xdr:col>22</xdr:col>
      <xdr:colOff>335280</xdr:colOff>
      <xdr:row>73</xdr:row>
      <xdr:rowOff>60960</xdr:rowOff>
    </xdr:to>
    <xdr:graphicFrame macro="">
      <xdr:nvGraphicFramePr>
        <xdr:cNvPr id="5" name="Chart 4">
          <a:extLst>
            <a:ext uri="{FF2B5EF4-FFF2-40B4-BE49-F238E27FC236}">
              <a16:creationId xmlns:a16="http://schemas.microsoft.com/office/drawing/2014/main" id="{0E407B2D-FC3A-412A-BD65-58D4C3872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48</xdr:row>
      <xdr:rowOff>137160</xdr:rowOff>
    </xdr:from>
    <xdr:to>
      <xdr:col>12</xdr:col>
      <xdr:colOff>22860</xdr:colOff>
      <xdr:row>73</xdr:row>
      <xdr:rowOff>137160</xdr:rowOff>
    </xdr:to>
    <xdr:graphicFrame macro="">
      <xdr:nvGraphicFramePr>
        <xdr:cNvPr id="6" name="Chart 5">
          <a:extLst>
            <a:ext uri="{FF2B5EF4-FFF2-40B4-BE49-F238E27FC236}">
              <a16:creationId xmlns:a16="http://schemas.microsoft.com/office/drawing/2014/main" id="{B21ED290-5D42-4F9A-B678-AAFFE0502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12</xdr:row>
      <xdr:rowOff>0</xdr:rowOff>
    </xdr:from>
    <xdr:to>
      <xdr:col>20</xdr:col>
      <xdr:colOff>182880</xdr:colOff>
      <xdr:row>27</xdr:row>
      <xdr:rowOff>114300</xdr:rowOff>
    </xdr:to>
    <xdr:graphicFrame macro="">
      <xdr:nvGraphicFramePr>
        <xdr:cNvPr id="7" name="Chart 6">
          <a:extLst>
            <a:ext uri="{FF2B5EF4-FFF2-40B4-BE49-F238E27FC236}">
              <a16:creationId xmlns:a16="http://schemas.microsoft.com/office/drawing/2014/main" id="{D5CBFC4A-7F78-47D7-9FF4-EDD1492DE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31</xdr:row>
      <xdr:rowOff>60960</xdr:rowOff>
    </xdr:from>
    <xdr:to>
      <xdr:col>20</xdr:col>
      <xdr:colOff>182880</xdr:colOff>
      <xdr:row>47</xdr:row>
      <xdr:rowOff>0</xdr:rowOff>
    </xdr:to>
    <xdr:graphicFrame macro="">
      <xdr:nvGraphicFramePr>
        <xdr:cNvPr id="4" name="Chart 3">
          <a:extLst>
            <a:ext uri="{FF2B5EF4-FFF2-40B4-BE49-F238E27FC236}">
              <a16:creationId xmlns:a16="http://schemas.microsoft.com/office/drawing/2014/main" id="{652F127C-DB40-443C-BE66-07D055C99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1</xdr:row>
      <xdr:rowOff>47625</xdr:rowOff>
    </xdr:from>
    <xdr:to>
      <xdr:col>7</xdr:col>
      <xdr:colOff>480060</xdr:colOff>
      <xdr:row>9</xdr:row>
      <xdr:rowOff>167640</xdr:rowOff>
    </xdr:to>
    <mc:AlternateContent xmlns:mc="http://schemas.openxmlformats.org/markup-compatibility/2006" xmlns:a14="http://schemas.microsoft.com/office/drawing/2010/main">
      <mc:Choice Requires="a14">
        <xdr:graphicFrame macro="">
          <xdr:nvGraphicFramePr>
            <xdr:cNvPr id="8" name="Variety2">
              <a:extLst>
                <a:ext uri="{FF2B5EF4-FFF2-40B4-BE49-F238E27FC236}">
                  <a16:creationId xmlns:a16="http://schemas.microsoft.com/office/drawing/2014/main" id="{8655457A-19A1-46C1-A316-32897075C6A9}"/>
                </a:ext>
              </a:extLst>
            </xdr:cNvPr>
            <xdr:cNvGraphicFramePr/>
          </xdr:nvGraphicFramePr>
          <xdr:xfrm>
            <a:off x="0" y="0"/>
            <a:ext cx="0" cy="0"/>
          </xdr:xfrm>
          <a:graphic>
            <a:graphicData uri="http://schemas.microsoft.com/office/drawing/2010/slicer">
              <sle:slicer xmlns:sle="http://schemas.microsoft.com/office/drawing/2010/slicer" name="Variety2"/>
            </a:graphicData>
          </a:graphic>
        </xdr:graphicFrame>
      </mc:Choice>
      <mc:Fallback xmlns="">
        <xdr:sp macro="" textlink="">
          <xdr:nvSpPr>
            <xdr:cNvPr id="0" name=""/>
            <xdr:cNvSpPr>
              <a:spLocks noTextEdit="1"/>
            </xdr:cNvSpPr>
          </xdr:nvSpPr>
          <xdr:spPr>
            <a:xfrm>
              <a:off x="1097280" y="222885"/>
              <a:ext cx="3223260" cy="1522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xdr:row>
      <xdr:rowOff>47625</xdr:rowOff>
    </xdr:from>
    <xdr:to>
      <xdr:col>12</xdr:col>
      <xdr:colOff>38100</xdr:colOff>
      <xdr:row>11</xdr:row>
      <xdr:rowOff>83820</xdr:rowOff>
    </xdr:to>
    <mc:AlternateContent xmlns:mc="http://schemas.openxmlformats.org/markup-compatibility/2006" xmlns:a14="http://schemas.microsoft.com/office/drawing/2010/main">
      <mc:Choice Requires="a14">
        <xdr:graphicFrame macro="">
          <xdr:nvGraphicFramePr>
            <xdr:cNvPr id="10" name="Auction Length">
              <a:extLst>
                <a:ext uri="{FF2B5EF4-FFF2-40B4-BE49-F238E27FC236}">
                  <a16:creationId xmlns:a16="http://schemas.microsoft.com/office/drawing/2014/main" id="{CD1D2E4F-2AB7-4FF3-A310-70ABFC82350A}"/>
                </a:ext>
              </a:extLst>
            </xdr:cNvPr>
            <xdr:cNvGraphicFramePr/>
          </xdr:nvGraphicFramePr>
          <xdr:xfrm>
            <a:off x="0" y="0"/>
            <a:ext cx="0" cy="0"/>
          </xdr:xfrm>
          <a:graphic>
            <a:graphicData uri="http://schemas.microsoft.com/office/drawing/2010/slicer">
              <sle:slicer xmlns:sle="http://schemas.microsoft.com/office/drawing/2010/slicer" name="Auction Length"/>
            </a:graphicData>
          </a:graphic>
        </xdr:graphicFrame>
      </mc:Choice>
      <mc:Fallback xmlns="">
        <xdr:sp macro="" textlink="">
          <xdr:nvSpPr>
            <xdr:cNvPr id="0" name=""/>
            <xdr:cNvSpPr>
              <a:spLocks noTextEdit="1"/>
            </xdr:cNvSpPr>
          </xdr:nvSpPr>
          <xdr:spPr>
            <a:xfrm>
              <a:off x="4937760" y="222885"/>
              <a:ext cx="1684020" cy="178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xdr:row>
      <xdr:rowOff>0</xdr:rowOff>
    </xdr:from>
    <xdr:to>
      <xdr:col>19</xdr:col>
      <xdr:colOff>45720</xdr:colOff>
      <xdr:row>8</xdr:row>
      <xdr:rowOff>114300</xdr:rowOff>
    </xdr:to>
    <mc:AlternateContent xmlns:mc="http://schemas.openxmlformats.org/markup-compatibility/2006" xmlns:tsle="http://schemas.microsoft.com/office/drawing/2012/timeslicer">
      <mc:Choice Requires="tsle">
        <xdr:graphicFrame macro="">
          <xdr:nvGraphicFramePr>
            <xdr:cNvPr id="11" name="Invoice Date">
              <a:extLst>
                <a:ext uri="{FF2B5EF4-FFF2-40B4-BE49-F238E27FC236}">
                  <a16:creationId xmlns:a16="http://schemas.microsoft.com/office/drawing/2014/main" id="{C94BD978-E0E9-41EA-A94F-CED26E5FD6B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7132320" y="175260"/>
              <a:ext cx="333756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yon Kizito" refreshedDate="45588.843395138887" createdVersion="8" refreshedVersion="8" minRefreshableVersion="3" recordCount="2545" xr:uid="{A9EF0865-E7A1-4BC7-A919-C8DE4F1DC15B}">
  <cacheSource type="worksheet">
    <worksheetSource name="Auction_Sales"/>
  </cacheSource>
  <cacheFields count="46">
    <cacheField name="Shipment Week no" numFmtId="0">
      <sharedItems containsString="0" containsBlank="1" containsNumber="1" containsInteger="1" minValue="1" maxValue="39"/>
    </cacheField>
    <cacheField name="Year" numFmtId="0">
      <sharedItems containsString="0" containsBlank="1" containsNumber="1" containsInteger="1" minValue="2023" maxValue="2024"/>
    </cacheField>
    <cacheField name="Customer Type" numFmtId="0">
      <sharedItems containsBlank="1"/>
    </cacheField>
    <cacheField name="Customer Name" numFmtId="0">
      <sharedItems containsBlank="1"/>
    </cacheField>
    <cacheField name="Consignee" numFmtId="0">
      <sharedItems containsBlank="1"/>
    </cacheField>
    <cacheField name="Invoice Date" numFmtId="14">
      <sharedItems containsNonDate="0" containsDate="1" containsString="0" containsBlank="1" minDate="2023-12-30T00:00:00" maxDate="2024-09-24T00:00:00" count="130">
        <d v="2024-03-09T00:00:00"/>
        <d v="2024-03-11T00:00:00"/>
        <d v="2024-03-12T00:00:00"/>
        <d v="2024-03-14T00:00:00"/>
        <d v="2024-03-02T00:00:00"/>
        <d v="2024-03-04T00:00:00"/>
        <d v="2024-03-05T00:00:00"/>
        <d v="2024-03-07T00:00:00"/>
        <d v="2024-02-24T00:00:00"/>
        <m/>
        <d v="2024-02-26T00:00:00"/>
        <d v="2024-02-27T00:00:00"/>
        <d v="2024-02-29T00:00:00"/>
        <d v="2024-02-17T00:00:00"/>
        <d v="2024-02-19T00:00:00"/>
        <d v="2024-02-20T00:00:00"/>
        <d v="2024-02-22T00:00:00"/>
        <d v="2024-02-10T00:00:00"/>
        <d v="2024-02-12T00:00:00"/>
        <d v="2024-02-13T00:00:00"/>
        <d v="2024-02-15T00:00:00"/>
        <d v="2024-02-03T00:00:00"/>
        <d v="2024-02-05T00:00:00"/>
        <d v="2024-02-06T00:00:00"/>
        <d v="2024-02-08T00:00:00"/>
        <d v="2024-01-27T00:00:00"/>
        <d v="2024-01-29T00:00:00"/>
        <d v="2024-01-30T00:00:00"/>
        <d v="2024-02-01T00:00:00"/>
        <d v="2024-01-20T00:00:00"/>
        <d v="2024-01-22T00:00:00"/>
        <d v="2024-01-23T00:00:00"/>
        <d v="2024-01-25T00:00:00"/>
        <d v="2024-01-13T00:00:00"/>
        <d v="2024-01-15T00:00:00"/>
        <d v="2024-01-16T00:00:00"/>
        <d v="2024-01-18T00:00:00"/>
        <d v="2024-01-06T00:00:00"/>
        <d v="2024-01-08T00:00:00"/>
        <d v="2024-01-09T00:00:00"/>
        <d v="2024-01-11T00:00:00"/>
        <d v="2023-12-30T00:00:00"/>
        <d v="2024-01-01T00:00:00"/>
        <d v="2024-01-04T00:00:00"/>
        <d v="2024-03-16T00:00:00"/>
        <d v="2024-03-18T00:00:00"/>
        <d v="2024-03-19T00:00:00"/>
        <d v="2024-03-21T00:00:00"/>
        <d v="2024-03-23T00:00:00"/>
        <d v="2024-03-25T00:00:00"/>
        <d v="2024-03-26T00:00:00"/>
        <d v="2024-03-28T00:00:00"/>
        <d v="2024-03-30T00:00:00"/>
        <d v="2024-04-01T00:00:00"/>
        <d v="2024-04-02T00:00:00"/>
        <d v="2024-04-04T00:00:00"/>
        <d v="2024-04-06T00:00:00"/>
        <d v="2024-04-08T00:00:00"/>
        <d v="2024-04-11T00:00:00"/>
        <d v="2024-04-13T00:00:00"/>
        <d v="2024-04-15T00:00:00"/>
        <d v="2024-04-18T00:00:00"/>
        <d v="2024-04-20T00:00:00"/>
        <d v="2024-04-22T00:00:00"/>
        <d v="2024-04-23T00:00:00"/>
        <d v="2024-04-25T00:00:00"/>
        <d v="2024-04-27T00:00:00"/>
        <d v="2024-04-29T00:00:00"/>
        <d v="2024-05-02T00:00:00"/>
        <d v="2024-05-04T00:00:00"/>
        <d v="2024-05-06T00:00:00"/>
        <d v="2024-05-09T00:00:00"/>
        <d v="2024-05-11T00:00:00"/>
        <d v="2024-05-13T00:00:00"/>
        <d v="2024-05-16T00:00:00"/>
        <d v="2024-05-18T00:00:00"/>
        <d v="2024-05-20T00:00:00"/>
        <d v="2024-05-23T00:00:00"/>
        <d v="2024-05-25T00:00:00"/>
        <d v="2024-05-27T00:00:00"/>
        <d v="2024-05-30T00:00:00"/>
        <d v="2024-06-01T00:00:00"/>
        <d v="2024-06-03T00:00:00"/>
        <d v="2024-06-06T00:00:00"/>
        <d v="2024-06-08T00:00:00"/>
        <d v="2024-06-10T00:00:00"/>
        <d v="2024-06-13T00:00:00"/>
        <d v="2024-06-15T00:00:00"/>
        <d v="2024-06-17T00:00:00"/>
        <d v="2024-06-20T00:00:00"/>
        <d v="2024-06-22T00:00:00"/>
        <d v="2024-06-24T00:00:00"/>
        <d v="2024-06-27T00:00:00"/>
        <d v="2024-06-29T00:00:00"/>
        <d v="2024-07-01T00:00:00"/>
        <d v="2024-07-04T00:00:00"/>
        <d v="2024-07-06T00:00:00"/>
        <d v="2024-07-08T00:00:00"/>
        <d v="2024-07-11T00:00:00"/>
        <d v="2024-07-13T00:00:00"/>
        <d v="2024-07-15T00:00:00"/>
        <d v="2024-07-18T00:00:00"/>
        <d v="2024-07-20T00:00:00"/>
        <d v="2024-07-22T00:00:00"/>
        <d v="2024-07-25T00:00:00"/>
        <d v="2024-07-27T00:00:00"/>
        <d v="2024-07-29T00:00:00"/>
        <d v="2024-08-01T00:00:00"/>
        <d v="2024-08-03T00:00:00"/>
        <d v="2024-08-05T00:00:00"/>
        <d v="2024-08-08T00:00:00"/>
        <d v="2024-08-10T00:00:00"/>
        <d v="2024-08-12T00:00:00"/>
        <d v="2024-08-15T00:00:00"/>
        <d v="2024-08-17T00:00:00"/>
        <d v="2024-08-19T00:00:00"/>
        <d v="2024-08-22T00:00:00"/>
        <d v="2024-08-24T00:00:00"/>
        <d v="2024-08-26T00:00:00"/>
        <d v="2024-08-29T00:00:00"/>
        <d v="2024-08-31T00:00:00"/>
        <d v="2024-09-02T00:00:00"/>
        <d v="2024-09-05T00:00:00"/>
        <d v="2024-09-07T00:00:00"/>
        <d v="2024-09-09T00:00:00"/>
        <d v="2024-09-14T00:00:00"/>
        <d v="2024-09-16T00:00:00"/>
        <d v="2024-09-19T00:00:00"/>
        <d v="2024-09-21T00:00:00"/>
        <d v="2024-09-23T00:00:00"/>
      </sharedItems>
      <fieldGroup par="42"/>
    </cacheField>
    <cacheField name="Variety " numFmtId="0">
      <sharedItems/>
    </cacheField>
    <cacheField name="Length Shipped" numFmtId="0">
      <sharedItems/>
    </cacheField>
    <cacheField name="No of boxes" numFmtId="0">
      <sharedItems containsString="0" containsBlank="1" containsNumber="1" containsInteger="1" minValue="1" maxValue="13"/>
    </cacheField>
    <cacheField name="Total Weight (Kgs)" numFmtId="0">
      <sharedItems containsString="0" containsBlank="1" containsNumber="1" minValue="0.54545454545454541" maxValue="1440"/>
    </cacheField>
    <cacheField name="No. of Stems Shipped" numFmtId="0">
      <sharedItems containsString="0" containsBlank="1" containsNumber="1" minValue="0.14000000000000001" maxValue="4160"/>
    </cacheField>
    <cacheField name="Average Shipping Price" numFmtId="0">
      <sharedItems containsString="0" containsBlank="1" containsNumber="1" minValue="0.14000000000000001" maxValue="499.2"/>
    </cacheField>
    <cacheField name="Total Shipping Value" numFmtId="0">
      <sharedItems containsString="0" containsBlank="1" containsNumber="1" minValue="0" maxValue="1222"/>
    </cacheField>
    <cacheField name="Currency" numFmtId="0">
      <sharedItems containsBlank="1"/>
    </cacheField>
    <cacheField name="EUR Equivalent" numFmtId="0">
      <sharedItems containsNonDate="0" containsString="0" containsBlank="1"/>
    </cacheField>
    <cacheField name="Customs Entry No" numFmtId="0">
      <sharedItems containsNonDate="0" containsString="0" containsBlank="1"/>
    </cacheField>
    <cacheField name="Sales Week" numFmtId="0">
      <sharedItems containsSemiMixedTypes="0" containsString="0" containsNumber="1" containsInteger="1" minValue="1" maxValue="39" count="39">
        <n v="10"/>
        <n v="11"/>
        <n v="9"/>
        <n v="8"/>
        <n v="7"/>
        <n v="6"/>
        <n v="5"/>
        <n v="4"/>
        <n v="3"/>
        <n v="2"/>
        <n v="1"/>
        <n v="12"/>
        <n v="13"/>
        <n v="14"/>
        <n v="15"/>
        <n v="16"/>
        <n v="17"/>
        <n v="18"/>
        <n v="19"/>
        <n v="20"/>
        <n v="21"/>
        <n v="22"/>
        <n v="23"/>
        <n v="24"/>
        <n v="25"/>
        <n v="26"/>
        <n v="27"/>
        <n v="28"/>
        <n v="29"/>
        <n v="30"/>
        <n v="31"/>
        <n v="32"/>
        <n v="33"/>
        <n v="34"/>
        <n v="35"/>
        <n v="36"/>
        <n v="37"/>
        <n v="38"/>
        <n v="39"/>
      </sharedItems>
    </cacheField>
    <cacheField name="Variance" numFmtId="0">
      <sharedItems containsSemiMixedTypes="0" containsString="0" containsNumber="1" containsInteger="1" minValue="-1600" maxValue="1840"/>
    </cacheField>
    <cacheField name="Variety2" numFmtId="0">
      <sharedItems containsBlank="1" count="23">
        <s v="Grandiflora Roses"/>
        <s v="English Roses"/>
        <s v="Floribunda Roses"/>
        <s v="Polyantha Roses"/>
        <s v="Moss Roses"/>
        <s v="Climbing Roses"/>
        <s v="Miniature Roses"/>
        <s v="Shrub Roses"/>
        <s v="" u="1"/>
        <m u="1"/>
        <s v="Delphinium Belladonna Oriental Blue" u="1"/>
        <s v="Delphinium Elatum Magic Fountains Pure White" u="1"/>
        <s v="Delphinium Elatum Magic Fountains Sky Blue" u="1"/>
        <s v="Delphinium Elatum Magic Fountains Pacific Astolat" u="1"/>
        <s v="Delphinium Belladonna Enkelbloeming Ballkleid" u="1"/>
        <s v="Eucalyptus Silver Dollar" u="1"/>
        <s v="Delphinium Elatum magic fountains Lavender White Bee" u="1"/>
        <s v="Diplocyclos Palmatus" u="1"/>
        <s v="Delphinium Elatum Lavender White Bee" u="1"/>
        <s v="Delphinium lavender White bee" u="1"/>
        <s v="Delphinium Enkelbloeming Ballkleid" u="1"/>
        <s v="Eucalyptus" u="1"/>
        <s v="Delphinium Elatum magic fountains blue sky" u="1"/>
      </sharedItems>
    </cacheField>
    <cacheField name="Auction Length" numFmtId="0">
      <sharedItems containsBlank="1" count="10">
        <s v="60CM"/>
        <s v="70CM"/>
        <s v="80CM"/>
        <s v="90CM"/>
        <s v="100CM"/>
        <s v="50CM"/>
        <s v="110CM"/>
        <s v="900CM"/>
        <s v="" u="1"/>
        <m u="1"/>
      </sharedItems>
    </cacheField>
    <cacheField name="No of Stems Sold at Auction" numFmtId="0">
      <sharedItems containsString="0" containsBlank="1" containsNumber="1" containsInteger="1" minValue="-1240" maxValue="3120"/>
    </cacheField>
    <cacheField name="Average Auction Price" numFmtId="164">
      <sharedItems containsString="0" containsBlank="1" containsNumber="1" minValue="-0.63" maxValue="8.7862068965517235"/>
    </cacheField>
    <cacheField name="Total Gross Auction Value" numFmtId="0">
      <sharedItems containsSemiMixedTypes="0" containsString="0" containsNumber="1" minValue="-528.79999999999995" maxValue="1556.4"/>
    </cacheField>
    <cacheField name="Auction Charges" numFmtId="164">
      <sharedItems containsString="0" containsBlank="1" containsNumber="1" minValue="-127.01826923076921" maxValue="35.472499999999997"/>
    </cacheField>
    <cacheField name="Total Net Auction Value" numFmtId="164">
      <sharedItems containsSemiMixedTypes="0" containsString="0" containsNumber="1" minValue="-536.22848484848475" maxValue="1433.701948051948"/>
    </cacheField>
    <cacheField name="Payment Date" numFmtId="14">
      <sharedItems containsSemiMixedTypes="0" containsNonDate="0" containsDate="1" containsString="0" minDate="2023-12-27T00:00:00" maxDate="2024-10-03T00:00:00" count="40">
        <d v="2024-03-13T00:00:00"/>
        <d v="2024-03-20T00:00:00"/>
        <d v="2024-03-06T00:00:00"/>
        <d v="2024-02-28T00:00:00"/>
        <d v="2024-02-21T00:00:00"/>
        <d v="2024-02-14T00:00:00"/>
        <d v="2024-02-07T00:00:00"/>
        <d v="2024-01-31T00:00:00"/>
        <d v="2024-01-24T00:00:00"/>
        <d v="2024-01-17T00:00:00"/>
        <d v="2024-01-10T00:00:00"/>
        <d v="2024-03-27T00:00:00"/>
        <d v="2024-04-03T00:00:00"/>
        <d v="2024-04-10T00:00:00"/>
        <d v="2024-04-17T00:00:00"/>
        <d v="2024-04-24T00:00:00"/>
        <d v="2024-05-01T00:00:00"/>
        <d v="2024-05-08T00:00:00"/>
        <d v="2024-05-15T00:00:00"/>
        <d v="2024-05-22T00:00:00"/>
        <d v="2024-05-29T00:00:00"/>
        <d v="2024-06-05T00:00:00"/>
        <d v="2024-06-12T00:00:00"/>
        <d v="2024-06-19T00:00:00"/>
        <d v="2024-06-26T00:00:00"/>
        <d v="2024-07-03T00:00:00"/>
        <d v="2024-07-10T00:00:00"/>
        <d v="2024-07-17T00:00:00"/>
        <d v="2024-07-24T00:00:00"/>
        <d v="2024-07-31T00:00:00"/>
        <d v="2024-08-07T00:00:00"/>
        <d v="2024-08-14T00:00:00"/>
        <d v="2024-08-21T00:00:00"/>
        <d v="2024-08-28T00:00:00"/>
        <d v="2024-09-04T00:00:00"/>
        <d v="2024-09-11T00:00:00"/>
        <d v="2024-09-18T00:00:00"/>
        <d v="2024-09-25T00:00:00"/>
        <d v="2024-10-02T00:00:00"/>
        <d v="2023-12-27T00:00:00" u="1"/>
      </sharedItems>
      <fieldGroup par="45"/>
    </cacheField>
    <cacheField name="Variance Due to Qty" numFmtId="0">
      <sharedItems containsSemiMixedTypes="0" containsString="0" containsNumber="1" containsInteger="1" minValue="-1840" maxValue="1600"/>
    </cacheField>
    <cacheField name="Credit note Value to be raised" numFmtId="0">
      <sharedItems containsNonDate="0" containsString="0" containsBlank="1"/>
    </cacheField>
    <cacheField name="Freight Invoice" numFmtId="0">
      <sharedItems containsBlank="1" containsMixedTypes="1" containsNumber="1" containsInteger="1" minValue="422299" maxValue="456320"/>
    </cacheField>
    <cacheField name="Freight Charges" numFmtId="164">
      <sharedItems containsString="0" containsBlank="1" containsNumber="1" minValue="0" maxValue="638.45833333333337"/>
    </cacheField>
    <cacheField name="Unpacker Invoice" numFmtId="0">
      <sharedItems containsNonDate="0" containsString="0" containsBlank="1"/>
    </cacheField>
    <cacheField name="Unpacker Charges" numFmtId="164">
      <sharedItems containsString="0" containsBlank="1" containsNumber="1" minValue="-24.8" maxValue="62.4"/>
    </cacheField>
    <cacheField name="Other recovered Charges" numFmtId="0">
      <sharedItems containsNonDate="0" containsString="0" containsBlank="1"/>
    </cacheField>
    <cacheField name="Total Charges" numFmtId="164">
      <sharedItems containsString="0" containsBlank="1" containsNumber="1" minValue="-24.8" maxValue="643.73833333333334"/>
    </cacheField>
    <cacheField name="Net Receivable/ (Payable)" numFmtId="164">
      <sharedItems containsString="0" containsBlank="1" containsNumber="1" minValue="-511.42848484848474" maxValue="1240.3809790209789"/>
    </cacheField>
    <cacheField name="Net Receivable/ (Payable) EUR " numFmtId="0">
      <sharedItems containsNonDate="0" containsString="0" containsBlank="1"/>
    </cacheField>
    <cacheField name="Stems Volume Sold" numFmtId="0">
      <sharedItems containsString="0" containsBlank="1" containsNumber="1" containsInteger="1" minValue="-1240" maxValue="3120"/>
    </cacheField>
    <cacheField name="Average Price per Stem" numFmtId="0" formula="'Net Receivable/ (Payable)'/'Stems Volume Sold'" databaseField="0"/>
    <cacheField name="Cost per stem" numFmtId="0" formula="'Total Charges'/'No of Stems Sold at Auction'" databaseField="0"/>
    <cacheField name="Weekly Average Price" numFmtId="0" formula="'Net Receivable/ (Payable)'/'No of Stems Sold at Auction'" databaseField="0"/>
    <cacheField name="Months (Invoice Date)" numFmtId="0" databaseField="0">
      <fieldGroup base="5">
        <rangePr groupBy="months" startDate="2023-12-30T00:00:00" endDate="2024-09-24T00:00:00"/>
        <groupItems count="14">
          <s v="&lt;12/30/2023"/>
          <s v="Jan"/>
          <s v="Feb"/>
          <s v="Mar"/>
          <s v="Apr"/>
          <s v="May"/>
          <s v="Jun"/>
          <s v="Jul"/>
          <s v="Aug"/>
          <s v="Sep"/>
          <s v="Oct"/>
          <s v="Nov"/>
          <s v="Dec"/>
          <s v="&gt;9/24/2024"/>
        </groupItems>
      </fieldGroup>
    </cacheField>
    <cacheField name="Quarters (Invoice Date)" numFmtId="0" databaseField="0">
      <fieldGroup base="5">
        <rangePr groupBy="quarters" startDate="2023-12-30T00:00:00" endDate="2024-09-24T00:00:00"/>
        <groupItems count="6">
          <s v="&lt;12/30/2023"/>
          <s v="Qtr1"/>
          <s v="Qtr2"/>
          <s v="Qtr3"/>
          <s v="Qtr4"/>
          <s v="&gt;9/24/2024"/>
        </groupItems>
      </fieldGroup>
    </cacheField>
    <cacheField name="Years (Invoice Date)" numFmtId="0" databaseField="0">
      <fieldGroup base="5">
        <rangePr groupBy="years" startDate="2023-12-30T00:00:00" endDate="2024-09-24T00:00:00"/>
        <groupItems count="4">
          <s v="&lt;12/30/2023"/>
          <s v="2023"/>
          <s v="2024"/>
          <s v="&gt;9/24/2024"/>
        </groupItems>
      </fieldGroup>
    </cacheField>
    <cacheField name="Months (Payment Date)" numFmtId="0" databaseField="0">
      <fieldGroup base="25">
        <rangePr groupBy="months" startDate="2024-01-10T00:00:00" endDate="2024-10-03T00:00:00"/>
        <groupItems count="14">
          <s v="&lt;1/10/2024"/>
          <s v="Jan"/>
          <s v="Feb"/>
          <s v="Mar"/>
          <s v="Apr"/>
          <s v="May"/>
          <s v="Jun"/>
          <s v="Jul"/>
          <s v="Aug"/>
          <s v="Sep"/>
          <s v="Oct"/>
          <s v="Nov"/>
          <s v="Dec"/>
          <s v="&gt;10/3/2024"/>
        </groupItems>
      </fieldGroup>
    </cacheField>
    <cacheField name="Quarters (Payment Date)" numFmtId="0" databaseField="0">
      <fieldGroup base="25">
        <rangePr groupBy="quarters" startDate="2024-01-10T00:00:00" endDate="2024-10-03T00:00:00"/>
        <groupItems count="6">
          <s v="&lt;1/10/2024"/>
          <s v="Qtr1"/>
          <s v="Qtr2"/>
          <s v="Qtr3"/>
          <s v="Qtr4"/>
          <s v="&gt;10/3/2024"/>
        </groupItems>
      </fieldGroup>
    </cacheField>
    <cacheField name="Years (Payment Date)" numFmtId="0" databaseField="0">
      <fieldGroup base="25">
        <rangePr groupBy="years" startDate="2024-01-10T00:00:00" endDate="2024-10-03T00:00:00"/>
        <groupItems count="3">
          <s v="&lt;1/10/2024"/>
          <s v="2024"/>
          <s v="&gt;10/3/2024"/>
        </groupItems>
      </fieldGroup>
    </cacheField>
  </cacheFields>
  <extLst>
    <ext xmlns:x14="http://schemas.microsoft.com/office/spreadsheetml/2009/9/main" uri="{725AE2AE-9491-48be-B2B4-4EB974FC3084}">
      <x14:pivotCacheDefinition pivotCacheId="469121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5">
  <r>
    <n v="11"/>
    <n v="2024"/>
    <s v="Auction"/>
    <s v="VROLIJK BLOEMEN"/>
    <s v="VROLIJK BLOEMEN"/>
    <x v="0"/>
    <s v="Grandiflora Roses"/>
    <s v="60CM"/>
    <n v="1"/>
    <n v="12"/>
    <n v="720"/>
    <n v="0.24"/>
    <n v="172.8"/>
    <s v="EUR"/>
    <m/>
    <m/>
    <x v="0"/>
    <n v="0"/>
    <x v="0"/>
    <x v="0"/>
    <n v="720"/>
    <n v="0.37888888888888889"/>
    <n v="272.8"/>
    <n v="-32.224421052631598"/>
    <n v="240.5755789473684"/>
    <x v="0"/>
    <n v="0"/>
    <m/>
    <n v="432345"/>
    <n v="42.023103448275862"/>
    <m/>
    <n v="14.4"/>
    <m/>
    <n v="56.42310344827586"/>
    <n v="184.15247549909253"/>
    <m/>
    <n v="720"/>
  </r>
  <r>
    <n v="11"/>
    <n v="2024"/>
    <s v="Auction"/>
    <s v="VROLIJK BLOEMEN"/>
    <s v="VROLIJK BLOEMEN"/>
    <x v="0"/>
    <s v="Grandiflora Roses"/>
    <s v="70CM"/>
    <n v="2"/>
    <n v="24"/>
    <n v="1040"/>
    <n v="0.28000000000000003"/>
    <n v="291.2"/>
    <s v="EUR"/>
    <m/>
    <m/>
    <x v="0"/>
    <n v="0"/>
    <x v="0"/>
    <x v="1"/>
    <n v="1040"/>
    <n v="0.44500000000000001"/>
    <n v="462.8"/>
    <n v="-46.546385964912304"/>
    <n v="416.25361403508771"/>
    <x v="0"/>
    <n v="0"/>
    <m/>
    <n v="432345"/>
    <n v="84.046206896551723"/>
    <m/>
    <n v="20.8"/>
    <m/>
    <n v="104.84620689655172"/>
    <n v="311.40740713853597"/>
    <m/>
    <n v="1040"/>
  </r>
  <r>
    <n v="11"/>
    <n v="2024"/>
    <s v="Auction"/>
    <s v="VROLIJK BLOEMEN"/>
    <s v="VROLIJK BLOEMEN"/>
    <x v="0"/>
    <s v="Grandiflora Roses"/>
    <s v="80CM"/>
    <n v="1"/>
    <n v="12"/>
    <n v="480"/>
    <n v="0.33"/>
    <n v="158.4"/>
    <s v="EUR"/>
    <m/>
    <m/>
    <x v="0"/>
    <n v="480"/>
    <x v="0"/>
    <x v="2"/>
    <m/>
    <m/>
    <n v="0"/>
    <n v="0"/>
    <n v="0"/>
    <x v="0"/>
    <n v="-480"/>
    <m/>
    <n v="432345"/>
    <n v="42.023103448275862"/>
    <m/>
    <n v="0"/>
    <m/>
    <n v="42.023103448275862"/>
    <n v="-42.023103448275862"/>
    <m/>
    <n v="0"/>
  </r>
  <r>
    <n v="11"/>
    <n v="2024"/>
    <s v="Auction"/>
    <s v="VROLIJK BLOEMEN"/>
    <s v="VROLIJK BLOEMEN"/>
    <x v="0"/>
    <s v="Grandiflora Roses"/>
    <s v="90CM"/>
    <n v="1"/>
    <n v="12"/>
    <n v="360"/>
    <n v="0.38"/>
    <n v="136.80000000000001"/>
    <s v="EUR"/>
    <m/>
    <m/>
    <x v="0"/>
    <n v="-120"/>
    <x v="0"/>
    <x v="3"/>
    <n v="480"/>
    <n v="0.6183333333333334"/>
    <n v="296.8"/>
    <n v="-21.482947368421062"/>
    <n v="275.31705263157897"/>
    <x v="0"/>
    <n v="120"/>
    <m/>
    <n v="432345"/>
    <n v="42.023103448275862"/>
    <m/>
    <n v="9.6"/>
    <m/>
    <n v="51.623103448275863"/>
    <n v="223.69394918330312"/>
    <m/>
    <n v="480"/>
  </r>
  <r>
    <n v="11"/>
    <n v="2024"/>
    <s v="Auction"/>
    <s v="VROLIJK BLOEMEN"/>
    <s v="VROLIJK BLOEMEN"/>
    <x v="0"/>
    <s v="Grandiflora Roses"/>
    <s v="100CM"/>
    <n v="1"/>
    <n v="12"/>
    <n v="280"/>
    <n v="0.47"/>
    <n v="131.6"/>
    <s v="EUR"/>
    <m/>
    <m/>
    <x v="0"/>
    <n v="0"/>
    <x v="0"/>
    <x v="4"/>
    <n v="280"/>
    <n v="0.67142857142857137"/>
    <n v="187.99999999999997"/>
    <n v="-12.531719298245619"/>
    <n v="175.46828070175434"/>
    <x v="0"/>
    <n v="0"/>
    <m/>
    <n v="432345"/>
    <n v="42.023103448275862"/>
    <m/>
    <n v="5.6000000000000005"/>
    <m/>
    <n v="47.623103448275863"/>
    <n v="127.84517725347848"/>
    <m/>
    <n v="280"/>
  </r>
  <r>
    <n v="11"/>
    <n v="2024"/>
    <s v="Auction"/>
    <s v="VROLIJK BLOEMEN"/>
    <s v="VROLIJK BLOEMEN"/>
    <x v="0"/>
    <s v="English Roses"/>
    <s v="60CM"/>
    <n v="1"/>
    <n v="12"/>
    <n v="480"/>
    <n v="0.47"/>
    <n v="225.6"/>
    <s v="EUR"/>
    <m/>
    <m/>
    <x v="0"/>
    <n v="-120"/>
    <x v="1"/>
    <x v="0"/>
    <n v="600"/>
    <n v="0.3193333333333333"/>
    <n v="191.6"/>
    <n v="-26.853684210526332"/>
    <n v="164.74631578947367"/>
    <x v="0"/>
    <n v="120"/>
    <m/>
    <n v="432345"/>
    <n v="42.023103448275862"/>
    <m/>
    <n v="12"/>
    <m/>
    <n v="54.023103448275862"/>
    <n v="110.72321234119781"/>
    <m/>
    <n v="600"/>
  </r>
  <r>
    <n v="11"/>
    <n v="2024"/>
    <s v="Auction"/>
    <s v="VROLIJK BLOEMEN"/>
    <s v="VROLIJK BLOEMEN"/>
    <x v="0"/>
    <s v="English Roses"/>
    <s v="70CM"/>
    <n v="2"/>
    <n v="24"/>
    <n v="800"/>
    <n v="0.52"/>
    <n v="416"/>
    <s v="EUR"/>
    <m/>
    <m/>
    <x v="0"/>
    <n v="800"/>
    <x v="1"/>
    <x v="1"/>
    <m/>
    <m/>
    <n v="0"/>
    <n v="0"/>
    <n v="0"/>
    <x v="0"/>
    <n v="-800"/>
    <m/>
    <n v="432345"/>
    <n v="84.046206896551723"/>
    <m/>
    <n v="0"/>
    <m/>
    <n v="84.046206896551723"/>
    <n v="-84.046206896551723"/>
    <m/>
    <n v="0"/>
  </r>
  <r>
    <n v="11"/>
    <n v="2024"/>
    <s v="Auction"/>
    <s v="VROLIJK BLOEMEN"/>
    <s v="VROLIJK BLOEMEN"/>
    <x v="0"/>
    <s v="English Roses"/>
    <s v="90CM"/>
    <n v="1"/>
    <n v="12"/>
    <n v="200"/>
    <n v="0.75"/>
    <n v="150"/>
    <s v="EUR"/>
    <m/>
    <m/>
    <x v="0"/>
    <n v="200"/>
    <x v="1"/>
    <x v="3"/>
    <m/>
    <m/>
    <n v="0"/>
    <n v="0"/>
    <n v="0"/>
    <x v="0"/>
    <n v="-200"/>
    <m/>
    <n v="432345"/>
    <n v="42.023103448275862"/>
    <m/>
    <n v="0"/>
    <m/>
    <n v="42.023103448275862"/>
    <n v="-42.023103448275862"/>
    <m/>
    <n v="0"/>
  </r>
  <r>
    <n v="11"/>
    <n v="2024"/>
    <s v="Auction"/>
    <s v="VROLIJK BLOEMEN"/>
    <s v="VROLIJK BLOEMEN"/>
    <x v="0"/>
    <s v="English Roses"/>
    <s v="100CM"/>
    <n v="1"/>
    <n v="12"/>
    <n v="160"/>
    <n v="0.94"/>
    <n v="150.4"/>
    <s v="EUR"/>
    <m/>
    <m/>
    <x v="0"/>
    <n v="160"/>
    <x v="1"/>
    <x v="4"/>
    <n v="0"/>
    <n v="-0.57000000000000006"/>
    <n v="-45.600000000000009"/>
    <n v="0"/>
    <n v="-45.600000000000009"/>
    <x v="0"/>
    <n v="-160"/>
    <m/>
    <n v="432345"/>
    <n v="42.023103448275862"/>
    <m/>
    <n v="0"/>
    <m/>
    <n v="42.023103448275862"/>
    <n v="-87.62310344827587"/>
    <m/>
    <n v="0"/>
  </r>
  <r>
    <n v="11"/>
    <n v="2024"/>
    <s v="Auction"/>
    <s v="VROLIJK BLOEMEN"/>
    <s v="VROLIJK BLOEMEN"/>
    <x v="0"/>
    <s v="Floribunda Roses"/>
    <s v="60CM"/>
    <n v="3"/>
    <n v="36"/>
    <n v="1560"/>
    <n v="0.47"/>
    <n v="733.2"/>
    <s v="EUR"/>
    <m/>
    <m/>
    <x v="0"/>
    <n v="-160"/>
    <x v="2"/>
    <x v="0"/>
    <n v="1720"/>
    <n v="0.3237209302325581"/>
    <n v="556.79999999999995"/>
    <n v="-76.980561403508815"/>
    <n v="479.81943859649112"/>
    <x v="0"/>
    <n v="160"/>
    <m/>
    <n v="432345"/>
    <n v="126.06931034482758"/>
    <m/>
    <n v="34.4"/>
    <m/>
    <n v="160.46931034482759"/>
    <n v="319.35012825166353"/>
    <m/>
    <n v="1720"/>
  </r>
  <r>
    <n v="11"/>
    <n v="2024"/>
    <s v="Auction"/>
    <s v="VROLIJK BLOEMEN"/>
    <s v="VROLIJK BLOEMEN"/>
    <x v="0"/>
    <s v="Floribunda Roses"/>
    <s v="70CM"/>
    <n v="4"/>
    <n v="48"/>
    <n v="1600"/>
    <n v="0.52"/>
    <n v="832"/>
    <s v="EUR"/>
    <m/>
    <m/>
    <x v="0"/>
    <n v="1600"/>
    <x v="2"/>
    <x v="1"/>
    <n v="0"/>
    <n v="-0.35"/>
    <n v="-251.99999999999997"/>
    <n v="0"/>
    <n v="-251.99999999999997"/>
    <x v="0"/>
    <n v="-1600"/>
    <m/>
    <n v="432345"/>
    <n v="168.09241379310345"/>
    <m/>
    <n v="0"/>
    <m/>
    <n v="168.09241379310345"/>
    <n v="-420.09241379310345"/>
    <m/>
    <n v="0"/>
  </r>
  <r>
    <n v="11"/>
    <n v="2024"/>
    <s v="Auction"/>
    <s v="VROLIJK BLOEMEN"/>
    <s v="VROLIJK BLOEMEN"/>
    <x v="0"/>
    <s v="Floribunda Roses"/>
    <s v="80CM"/>
    <n v="1"/>
    <n v="12"/>
    <n v="320"/>
    <n v="0.56999999999999995"/>
    <n v="182.4"/>
    <s v="EUR"/>
    <m/>
    <m/>
    <x v="0"/>
    <n v="0"/>
    <x v="2"/>
    <x v="2"/>
    <n v="320"/>
    <n v="0.48250000000000004"/>
    <n v="154.4"/>
    <n v="-14.321964912280709"/>
    <n v="140.07803508771929"/>
    <x v="0"/>
    <n v="0"/>
    <m/>
    <n v="432345"/>
    <n v="42.023103448275862"/>
    <m/>
    <n v="6.4"/>
    <m/>
    <n v="48.42310344827586"/>
    <n v="91.654931639443419"/>
    <m/>
    <n v="320"/>
  </r>
  <r>
    <n v="11"/>
    <n v="2024"/>
    <s v="Auction"/>
    <s v="VROLIJK BLOEMEN"/>
    <s v="VROLIJK BLOEMEN"/>
    <x v="0"/>
    <s v="Floribunda Roses"/>
    <s v="90CM"/>
    <n v="1"/>
    <n v="12"/>
    <n v="240"/>
    <n v="0.75"/>
    <n v="180"/>
    <s v="EUR"/>
    <m/>
    <m/>
    <x v="0"/>
    <n v="0"/>
    <x v="2"/>
    <x v="3"/>
    <n v="240"/>
    <n v="0.51500000000000001"/>
    <n v="123.60000000000001"/>
    <n v="-10.741473684210531"/>
    <n v="112.85852631578948"/>
    <x v="0"/>
    <n v="0"/>
    <m/>
    <n v="432345"/>
    <n v="42.023103448275862"/>
    <m/>
    <n v="4.8"/>
    <m/>
    <n v="46.823103448275859"/>
    <n v="66.035422867513617"/>
    <m/>
    <n v="240"/>
  </r>
  <r>
    <n v="11"/>
    <n v="2024"/>
    <s v="Auction"/>
    <s v="VROLIJK BLOEMEN"/>
    <s v="VROLIJK BLOEMEN"/>
    <x v="0"/>
    <s v="Floribunda Roses"/>
    <s v="100CM"/>
    <n v="1"/>
    <n v="12"/>
    <n v="200"/>
    <n v="0.94"/>
    <n v="188"/>
    <s v="EUR"/>
    <m/>
    <m/>
    <x v="0"/>
    <n v="0"/>
    <x v="2"/>
    <x v="4"/>
    <n v="200"/>
    <n v="0.69400000000000006"/>
    <n v="138.80000000000001"/>
    <n v="-8.9512280701754445"/>
    <n v="129.84877192982458"/>
    <x v="0"/>
    <n v="0"/>
    <m/>
    <n v="432345"/>
    <n v="42.023103448275862"/>
    <m/>
    <n v="4"/>
    <m/>
    <n v="46.023103448275862"/>
    <n v="83.825668481548718"/>
    <m/>
    <n v="200"/>
  </r>
  <r>
    <n v="11"/>
    <n v="2024"/>
    <s v="Auction"/>
    <s v="VROLIJK BLOEMEN"/>
    <s v="VROLIJK BLOEMEN"/>
    <x v="0"/>
    <s v="English Roses"/>
    <s v="60CM"/>
    <n v="1"/>
    <n v="9"/>
    <n v="360"/>
    <n v="0.47"/>
    <n v="169.2"/>
    <s v="EUR"/>
    <m/>
    <m/>
    <x v="0"/>
    <n v="360"/>
    <x v="1"/>
    <x v="0"/>
    <m/>
    <m/>
    <n v="0"/>
    <n v="0"/>
    <n v="0"/>
    <x v="0"/>
    <n v="-360"/>
    <m/>
    <n v="432345"/>
    <n v="31.517327586206896"/>
    <m/>
    <n v="0"/>
    <m/>
    <n v="31.517327586206896"/>
    <n v="-31.517327586206896"/>
    <m/>
    <n v="0"/>
  </r>
  <r>
    <n v="11"/>
    <n v="2024"/>
    <s v="Auction"/>
    <s v="VROLIJK BLOEMEN"/>
    <s v="VROLIJK BLOEMEN"/>
    <x v="0"/>
    <s v="English Roses"/>
    <s v="50CM"/>
    <m/>
    <n v="3"/>
    <n v="120"/>
    <n v="0.38"/>
    <n v="45.6"/>
    <s v="EUR"/>
    <m/>
    <m/>
    <x v="0"/>
    <n v="-280"/>
    <x v="1"/>
    <x v="5"/>
    <n v="400"/>
    <n v="0.22"/>
    <n v="88"/>
    <n v="-17.902456140350889"/>
    <n v="70.097543859649107"/>
    <x v="0"/>
    <n v="280"/>
    <m/>
    <n v="432345"/>
    <n v="10.505775862068965"/>
    <m/>
    <n v="8"/>
    <m/>
    <n v="18.505775862068965"/>
    <n v="51.591767997580142"/>
    <m/>
    <n v="400"/>
  </r>
  <r>
    <n v="11"/>
    <n v="2024"/>
    <s v="Auction"/>
    <s v="VROLIJK BLOEMEN"/>
    <s v="VROLIJK BLOEMEN"/>
    <x v="0"/>
    <s v="Polyantha Roses"/>
    <s v="50CM"/>
    <n v="1"/>
    <n v="1"/>
    <n v="40"/>
    <n v="0.42"/>
    <n v="16.8"/>
    <s v="EUR"/>
    <m/>
    <m/>
    <x v="0"/>
    <n v="0"/>
    <x v="3"/>
    <x v="5"/>
    <n v="40"/>
    <n v="0.38"/>
    <n v="15.2"/>
    <n v="-1.7902456140350886"/>
    <n v="13.409754385964911"/>
    <x v="0"/>
    <n v="0"/>
    <m/>
    <n v="432345"/>
    <n v="3.5019252873563218"/>
    <m/>
    <n v="0.8"/>
    <m/>
    <n v="4.3019252873563216"/>
    <n v="9.1078290986085904"/>
    <m/>
    <n v="40"/>
  </r>
  <r>
    <n v="11"/>
    <n v="2024"/>
    <s v="Auction"/>
    <s v="VROLIJK BLOEMEN"/>
    <s v="VROLIJK BLOEMEN"/>
    <x v="0"/>
    <s v="Polyantha Roses"/>
    <s v="60CM"/>
    <m/>
    <n v="4"/>
    <n v="160"/>
    <n v="0.52"/>
    <n v="83.2"/>
    <s v="EUR"/>
    <m/>
    <m/>
    <x v="0"/>
    <n v="0"/>
    <x v="3"/>
    <x v="0"/>
    <n v="160"/>
    <n v="0"/>
    <n v="0"/>
    <n v="-7.1609824561403546"/>
    <n v="-7.1609824561403546"/>
    <x v="0"/>
    <n v="0"/>
    <m/>
    <n v="432345"/>
    <n v="14.007701149425287"/>
    <m/>
    <n v="3.2"/>
    <m/>
    <n v="17.207701149425287"/>
    <n v="-24.368683605565643"/>
    <m/>
    <n v="160"/>
  </r>
  <r>
    <n v="11"/>
    <n v="2024"/>
    <s v="Auction"/>
    <s v="VROLIJK BLOEMEN"/>
    <s v="VROLIJK BLOEMEN"/>
    <x v="0"/>
    <s v="Polyantha Roses"/>
    <s v="70CM"/>
    <m/>
    <n v="7"/>
    <n v="280"/>
    <n v="0.61"/>
    <n v="170.8"/>
    <s v="EUR"/>
    <m/>
    <m/>
    <x v="0"/>
    <n v="0"/>
    <x v="3"/>
    <x v="1"/>
    <n v="280"/>
    <n v="0.66428571428571426"/>
    <n v="186"/>
    <n v="-12.531719298245619"/>
    <n v="173.4682807017544"/>
    <x v="0"/>
    <n v="0"/>
    <m/>
    <n v="432345"/>
    <n v="24.513477011494253"/>
    <m/>
    <n v="5.6000000000000005"/>
    <m/>
    <n v="30.113477011494254"/>
    <n v="143.35480369026016"/>
    <m/>
    <n v="280"/>
  </r>
  <r>
    <n v="11"/>
    <n v="2024"/>
    <s v="Auction"/>
    <s v="VROLIJK BLOEMEN"/>
    <s v="VROLIJK BLOEMEN"/>
    <x v="0"/>
    <s v="English Roses"/>
    <s v="80CM"/>
    <n v="1"/>
    <n v="10.5"/>
    <n v="280"/>
    <n v="0.56999999999999995"/>
    <n v="159.6"/>
    <s v="EUR"/>
    <m/>
    <m/>
    <x v="0"/>
    <n v="0"/>
    <x v="1"/>
    <x v="2"/>
    <n v="280"/>
    <n v="0.61142857142857143"/>
    <n v="171.2"/>
    <n v="-12.531719298245619"/>
    <n v="158.66828070175438"/>
    <x v="0"/>
    <n v="0"/>
    <m/>
    <n v="432345"/>
    <n v="36.770215517241382"/>
    <m/>
    <n v="5.6000000000000005"/>
    <m/>
    <n v="42.370215517241384"/>
    <n v="116.29806518451301"/>
    <m/>
    <n v="280"/>
  </r>
  <r>
    <n v="11"/>
    <n v="2024"/>
    <s v="Auction"/>
    <s v="VROLIJK BLOEMEN"/>
    <s v="VROLIJK BLOEMEN"/>
    <x v="0"/>
    <s v="English Roses"/>
    <s v="90CM"/>
    <m/>
    <n v="1.5"/>
    <n v="40"/>
    <n v="0.75"/>
    <n v="30"/>
    <s v="EUR"/>
    <m/>
    <m/>
    <x v="0"/>
    <n v="-200"/>
    <x v="1"/>
    <x v="3"/>
    <n v="240"/>
    <n v="0.36333333333333334"/>
    <n v="87.2"/>
    <n v="-10.741473684210531"/>
    <n v="76.45852631578947"/>
    <x v="0"/>
    <n v="200"/>
    <m/>
    <n v="432345"/>
    <n v="5.2528879310344827"/>
    <m/>
    <n v="4.8"/>
    <m/>
    <n v="10.052887931034483"/>
    <n v="66.40563838475498"/>
    <m/>
    <n v="240"/>
  </r>
  <r>
    <n v="11"/>
    <n v="2024"/>
    <s v="Auction"/>
    <s v="VROLIJK BLOEMEN"/>
    <s v="VROLIJK BLOEMEN"/>
    <x v="0"/>
    <s v="English Roses"/>
    <s v="100CM"/>
    <n v="1"/>
    <n v="4"/>
    <n v="80"/>
    <n v="0.94"/>
    <n v="75.2"/>
    <s v="EUR"/>
    <m/>
    <m/>
    <x v="0"/>
    <n v="-160"/>
    <x v="1"/>
    <x v="4"/>
    <n v="240"/>
    <n v="0.42499999999999999"/>
    <n v="102"/>
    <n v="-10.741473684210531"/>
    <n v="91.258526315789467"/>
    <x v="0"/>
    <n v="160"/>
    <m/>
    <n v="432345"/>
    <n v="14.007701149425287"/>
    <m/>
    <n v="4.8"/>
    <m/>
    <n v="18.807701149425288"/>
    <n v="72.450825166364183"/>
    <m/>
    <n v="240"/>
  </r>
  <r>
    <n v="11"/>
    <n v="2024"/>
    <s v="Auction"/>
    <s v="VROLIJK BLOEMEN"/>
    <s v="VROLIJK BLOEMEN"/>
    <x v="0"/>
    <s v="English Roses"/>
    <s v="70CM"/>
    <m/>
    <n v="8"/>
    <n v="160"/>
    <n v="0.52"/>
    <n v="83.2"/>
    <s v="EUR"/>
    <m/>
    <m/>
    <x v="0"/>
    <n v="-800"/>
    <x v="1"/>
    <x v="1"/>
    <n v="960"/>
    <n v="0.40125"/>
    <n v="385.2"/>
    <n v="-42.965894736842124"/>
    <n v="342.23410526315786"/>
    <x v="0"/>
    <n v="800"/>
    <m/>
    <n v="432345"/>
    <n v="28.015402298850574"/>
    <m/>
    <n v="19.2"/>
    <m/>
    <n v="47.215402298850577"/>
    <n v="295.01870296430729"/>
    <m/>
    <n v="960"/>
  </r>
  <r>
    <n v="11"/>
    <n v="2024"/>
    <s v="Auction"/>
    <s v="VROLIJK BLOEMEN"/>
    <s v="VROLIJK BLOEMEN"/>
    <x v="0"/>
    <s v="Floribunda Roses"/>
    <s v="60CM"/>
    <n v="1"/>
    <n v="4.8000000000000007"/>
    <n v="160"/>
    <n v="0.47"/>
    <n v="75.2"/>
    <s v="EUR"/>
    <m/>
    <m/>
    <x v="0"/>
    <n v="160"/>
    <x v="2"/>
    <x v="0"/>
    <m/>
    <m/>
    <n v="0"/>
    <n v="0"/>
    <n v="0"/>
    <x v="0"/>
    <n v="-160"/>
    <m/>
    <n v="432345"/>
    <n v="16.809241379310347"/>
    <m/>
    <n v="0"/>
    <m/>
    <n v="16.809241379310347"/>
    <n v="-16.809241379310347"/>
    <m/>
    <n v="0"/>
  </r>
  <r>
    <n v="11"/>
    <n v="2024"/>
    <s v="Auction"/>
    <s v="VROLIJK BLOEMEN"/>
    <s v="VROLIJK BLOEMEN"/>
    <x v="0"/>
    <s v="Floribunda Roses"/>
    <s v="70CM"/>
    <m/>
    <n v="7.1999999999999993"/>
    <n v="240"/>
    <n v="0.52"/>
    <n v="124.8"/>
    <s v="EUR"/>
    <m/>
    <m/>
    <x v="0"/>
    <n v="-1600"/>
    <x v="2"/>
    <x v="1"/>
    <n v="1840"/>
    <n v="0.57130434782608697"/>
    <n v="1051.2"/>
    <n v="-82.351298245614075"/>
    <n v="968.84870175438596"/>
    <x v="0"/>
    <n v="1600"/>
    <m/>
    <n v="432345"/>
    <n v="25.213862068965515"/>
    <m/>
    <n v="36.800000000000004"/>
    <m/>
    <n v="62.013862068965523"/>
    <n v="906.83483968542043"/>
    <m/>
    <n v="1840"/>
  </r>
  <r>
    <n v="11"/>
    <n v="2024"/>
    <s v="Auction"/>
    <s v="VROLIJK BLOEMEN"/>
    <s v="VROLIJK BLOEMEN"/>
    <x v="0"/>
    <s v="Polyantha Roses"/>
    <s v="90CM"/>
    <n v="1"/>
    <n v="4.8000000000000007"/>
    <n v="80"/>
    <n v="0.85"/>
    <n v="68"/>
    <s v="EUR"/>
    <m/>
    <m/>
    <x v="0"/>
    <n v="0"/>
    <x v="3"/>
    <x v="3"/>
    <n v="80"/>
    <n v="0.91500000000000004"/>
    <n v="73.2"/>
    <n v="-3.5804912280701773"/>
    <n v="69.61950877192983"/>
    <x v="0"/>
    <n v="0"/>
    <m/>
    <n v="432345"/>
    <n v="16.809241379310347"/>
    <m/>
    <n v="1.6"/>
    <m/>
    <n v="18.409241379310348"/>
    <n v="51.210267392619485"/>
    <m/>
    <n v="80"/>
  </r>
  <r>
    <n v="11"/>
    <n v="2024"/>
    <s v="Auction"/>
    <s v="VROLIJK BLOEMEN"/>
    <s v="VROLIJK BLOEMEN"/>
    <x v="0"/>
    <s v="Polyantha Roses"/>
    <s v="100CM"/>
    <m/>
    <n v="7.1999999999999993"/>
    <n v="120"/>
    <n v="1.04"/>
    <n v="124.8"/>
    <s v="EUR"/>
    <m/>
    <m/>
    <x v="0"/>
    <n v="0"/>
    <x v="3"/>
    <x v="4"/>
    <n v="120"/>
    <n v="1"/>
    <n v="120"/>
    <n v="-5.3707368421052655"/>
    <n v="114.62926315789474"/>
    <x v="0"/>
    <n v="0"/>
    <m/>
    <n v="432345"/>
    <n v="25.213862068965515"/>
    <m/>
    <n v="2.4"/>
    <m/>
    <n v="27.613862068965513"/>
    <n v="87.015401088929224"/>
    <m/>
    <n v="120"/>
  </r>
  <r>
    <n v="11"/>
    <n v="2024"/>
    <s v="Auction"/>
    <s v="VROLIJK BLOEMEN"/>
    <s v="VROLIJK BLOEMEN"/>
    <x v="0"/>
    <s v="Grandiflora Roses"/>
    <s v="80CM"/>
    <n v="1"/>
    <n v="8"/>
    <n v="240"/>
    <n v="0.33"/>
    <n v="79.2"/>
    <s v="EUR"/>
    <m/>
    <m/>
    <x v="0"/>
    <n v="-520"/>
    <x v="0"/>
    <x v="2"/>
    <n v="760"/>
    <n v="0.54842105263157892"/>
    <n v="416.79999999999995"/>
    <n v="-34.014666666666685"/>
    <n v="382.78533333333326"/>
    <x v="0"/>
    <n v="520"/>
    <m/>
    <n v="432345"/>
    <n v="28.015402298850574"/>
    <m/>
    <n v="15.200000000000001"/>
    <m/>
    <n v="43.215402298850577"/>
    <n v="339.56993103448269"/>
    <m/>
    <n v="760"/>
  </r>
  <r>
    <n v="11"/>
    <n v="2024"/>
    <s v="Auction"/>
    <s v="VROLIJK BLOEMEN"/>
    <s v="VROLIJK BLOEMEN"/>
    <x v="0"/>
    <s v="Grandiflora Roses"/>
    <s v="90CM"/>
    <m/>
    <n v="4"/>
    <n v="120"/>
    <n v="0.38"/>
    <n v="45.6"/>
    <s v="EUR"/>
    <m/>
    <m/>
    <x v="0"/>
    <n v="120"/>
    <x v="0"/>
    <x v="3"/>
    <m/>
    <m/>
    <n v="0"/>
    <n v="0"/>
    <n v="0"/>
    <x v="0"/>
    <n v="-120"/>
    <m/>
    <n v="432345"/>
    <n v="14.007701149425287"/>
    <m/>
    <n v="0"/>
    <m/>
    <n v="14.007701149425287"/>
    <n v="-14.007701149425287"/>
    <m/>
    <n v="0"/>
  </r>
  <r>
    <n v="11"/>
    <n v="2024"/>
    <s v="Auction"/>
    <s v="VROLIJK BLOEMEN"/>
    <s v="VROLIJK BLOEMEN"/>
    <x v="0"/>
    <s v="Moss Roses"/>
    <s v="50CM"/>
    <n v="1"/>
    <n v="2.4000000000000004"/>
    <n v="80"/>
    <n v="0.14000000000000001"/>
    <n v="11.2"/>
    <s v="EUR"/>
    <m/>
    <m/>
    <x v="0"/>
    <n v="0"/>
    <x v="4"/>
    <x v="5"/>
    <n v="80"/>
    <n v="0.24"/>
    <n v="19.2"/>
    <n v="-3.5804912280701773"/>
    <n v="15.619508771929823"/>
    <x v="0"/>
    <n v="0"/>
    <m/>
    <n v="432345"/>
    <n v="8.4046206896551734"/>
    <m/>
    <n v="1.6"/>
    <m/>
    <n v="10.004620689655173"/>
    <n v="5.6148880822746499"/>
    <m/>
    <n v="80"/>
  </r>
  <r>
    <n v="11"/>
    <n v="2024"/>
    <s v="Auction"/>
    <s v="VROLIJK BLOEMEN"/>
    <s v="VROLIJK BLOEMEN"/>
    <x v="0"/>
    <s v="Moss Roses"/>
    <s v="60CM"/>
    <m/>
    <n v="3.5999999999999996"/>
    <n v="120"/>
    <n v="0.24"/>
    <n v="28.8"/>
    <s v="EUR"/>
    <m/>
    <m/>
    <x v="0"/>
    <n v="0"/>
    <x v="4"/>
    <x v="0"/>
    <n v="120"/>
    <n v="0.25"/>
    <n v="30"/>
    <n v="-5.3707368421052655"/>
    <n v="24.629263157894734"/>
    <x v="0"/>
    <n v="0"/>
    <m/>
    <n v="432345"/>
    <n v="12.606931034482757"/>
    <m/>
    <n v="2.4"/>
    <m/>
    <n v="15.006931034482758"/>
    <n v="9.6223321234119759"/>
    <m/>
    <n v="120"/>
  </r>
  <r>
    <n v="11"/>
    <n v="2024"/>
    <s v="Auction"/>
    <s v="VROLIJK BLOEMEN"/>
    <s v="VROLIJK BLOEMEN"/>
    <x v="0"/>
    <s v="Moss Roses"/>
    <s v="70CM"/>
    <m/>
    <n v="2.4000000000000004"/>
    <n v="80"/>
    <n v="0.28000000000000003"/>
    <n v="22.4"/>
    <s v="EUR"/>
    <m/>
    <m/>
    <x v="0"/>
    <n v="0"/>
    <x v="4"/>
    <x v="1"/>
    <n v="80"/>
    <n v="0.375"/>
    <n v="30"/>
    <n v="-3.5804912280701773"/>
    <n v="26.419508771929824"/>
    <x v="0"/>
    <n v="0"/>
    <m/>
    <n v="432345"/>
    <n v="8.4046206896551734"/>
    <m/>
    <n v="1.6"/>
    <m/>
    <n v="10.004620689655173"/>
    <n v="16.414888082274651"/>
    <m/>
    <n v="80"/>
  </r>
  <r>
    <n v="11"/>
    <n v="2024"/>
    <s v="Auction"/>
    <s v="VROLIJK BLOEMEN"/>
    <s v="VROLIJK BLOEMEN"/>
    <x v="0"/>
    <s v="Moss Roses"/>
    <s v="80CM"/>
    <m/>
    <n v="3.5999999999999996"/>
    <n v="120"/>
    <n v="0.33"/>
    <n v="39.6"/>
    <s v="EUR"/>
    <m/>
    <m/>
    <x v="0"/>
    <n v="0"/>
    <x v="4"/>
    <x v="2"/>
    <n v="120"/>
    <n v="0.54666666666666663"/>
    <n v="65.599999999999994"/>
    <n v="-5.3707368421052655"/>
    <n v="60.229263157894728"/>
    <x v="0"/>
    <n v="0"/>
    <m/>
    <n v="432345"/>
    <n v="12.606931034482757"/>
    <m/>
    <n v="2.4"/>
    <m/>
    <n v="15.006931034482758"/>
    <n v="45.222332123411974"/>
    <m/>
    <n v="120"/>
  </r>
  <r>
    <n v="11"/>
    <n v="2024"/>
    <s v="Auction"/>
    <s v="VROLIJK BLOEMEN"/>
    <s v="VROLIJK BLOEMEN"/>
    <x v="1"/>
    <s v="Grandiflora Roses"/>
    <s v="60CM"/>
    <n v="1"/>
    <n v="12"/>
    <n v="920"/>
    <n v="0.24"/>
    <n v="220.8"/>
    <s v="EUR"/>
    <m/>
    <m/>
    <x v="0"/>
    <n v="0"/>
    <x v="0"/>
    <x v="0"/>
    <n v="920"/>
    <n v="0.37"/>
    <n v="340.4"/>
    <n v="-36.197585139318896"/>
    <n v="304.20241486068107"/>
    <x v="0"/>
    <n v="0"/>
    <m/>
    <s v="F081615"/>
    <n v="43.704666666666668"/>
    <m/>
    <n v="18.400000000000002"/>
    <m/>
    <n v="62.104666666666674"/>
    <n v="242.0977481940144"/>
    <m/>
    <n v="920"/>
  </r>
  <r>
    <n v="11"/>
    <n v="2024"/>
    <s v="Auction"/>
    <s v="VROLIJK BLOEMEN"/>
    <s v="VROLIJK BLOEMEN"/>
    <x v="1"/>
    <s v="Grandiflora Roses"/>
    <s v="70CM"/>
    <n v="1"/>
    <n v="12"/>
    <n v="440"/>
    <n v="0.28000000000000003"/>
    <n v="123.2"/>
    <s v="EUR"/>
    <m/>
    <m/>
    <x v="0"/>
    <n v="-520"/>
    <x v="0"/>
    <x v="1"/>
    <n v="960"/>
    <n v="0.59041666666666659"/>
    <n v="566.79999999999995"/>
    <n v="-37.771393188854503"/>
    <n v="529.02860681114544"/>
    <x v="0"/>
    <n v="520"/>
    <m/>
    <s v="F081615"/>
    <n v="43.704666666666668"/>
    <m/>
    <n v="19.2"/>
    <m/>
    <n v="62.904666666666671"/>
    <n v="466.12394014447875"/>
    <m/>
    <n v="960"/>
  </r>
  <r>
    <n v="11"/>
    <n v="2024"/>
    <s v="Auction"/>
    <s v="VROLIJK BLOEMEN"/>
    <s v="VROLIJK BLOEMEN"/>
    <x v="1"/>
    <s v="Grandiflora Roses"/>
    <s v="70CM"/>
    <n v="1"/>
    <n v="12"/>
    <n v="520"/>
    <n v="0.28000000000000003"/>
    <n v="145.6"/>
    <s v="EUR"/>
    <m/>
    <m/>
    <x v="0"/>
    <n v="520"/>
    <x v="0"/>
    <x v="1"/>
    <m/>
    <m/>
    <n v="0"/>
    <n v="0"/>
    <n v="0"/>
    <x v="0"/>
    <n v="-520"/>
    <m/>
    <s v="F081615"/>
    <n v="43.704666666666668"/>
    <m/>
    <n v="0"/>
    <m/>
    <n v="43.704666666666668"/>
    <n v="-43.704666666666668"/>
    <m/>
    <n v="0"/>
  </r>
  <r>
    <n v="11"/>
    <n v="2024"/>
    <s v="Auction"/>
    <s v="VROLIJK BLOEMEN"/>
    <s v="VROLIJK BLOEMEN"/>
    <x v="1"/>
    <s v="Grandiflora Roses"/>
    <s v="80CM"/>
    <n v="1"/>
    <n v="12"/>
    <n v="480"/>
    <n v="0.33"/>
    <n v="158.4"/>
    <s v="EUR"/>
    <m/>
    <m/>
    <x v="0"/>
    <n v="0"/>
    <x v="0"/>
    <x v="2"/>
    <n v="480"/>
    <n v="0.57999999999999996"/>
    <n v="278.39999999999998"/>
    <n v="-18.885696594427252"/>
    <n v="259.51430340557272"/>
    <x v="0"/>
    <n v="0"/>
    <m/>
    <s v="F081615"/>
    <n v="43.704666666666668"/>
    <m/>
    <n v="9.6"/>
    <m/>
    <n v="53.30466666666667"/>
    <n v="206.20963673890606"/>
    <m/>
    <n v="480"/>
  </r>
  <r>
    <n v="11"/>
    <n v="2024"/>
    <s v="Auction"/>
    <s v="VROLIJK BLOEMEN"/>
    <s v="VROLIJK BLOEMEN"/>
    <x v="1"/>
    <s v="Grandiflora Roses"/>
    <s v="90CM"/>
    <n v="1"/>
    <n v="12"/>
    <n v="440"/>
    <n v="0.38"/>
    <n v="167.2"/>
    <s v="EUR"/>
    <m/>
    <m/>
    <x v="0"/>
    <n v="-40"/>
    <x v="0"/>
    <x v="3"/>
    <n v="480"/>
    <n v="0.63583333333333336"/>
    <n v="305.2"/>
    <n v="-18.885696594427252"/>
    <n v="286.31430340557273"/>
    <x v="0"/>
    <n v="40"/>
    <m/>
    <s v="F081615"/>
    <n v="43.704666666666668"/>
    <m/>
    <n v="9.6"/>
    <m/>
    <n v="53.30466666666667"/>
    <n v="233.00963673890607"/>
    <m/>
    <n v="480"/>
  </r>
  <r>
    <n v="11"/>
    <n v="2024"/>
    <s v="Auction"/>
    <s v="VROLIJK BLOEMEN"/>
    <s v="VROLIJK BLOEMEN"/>
    <x v="1"/>
    <s v="English Roses"/>
    <s v="50CM"/>
    <n v="1"/>
    <n v="12"/>
    <n v="520"/>
    <n v="0.38"/>
    <n v="197.6"/>
    <s v="EUR"/>
    <m/>
    <m/>
    <x v="0"/>
    <n v="-80"/>
    <x v="1"/>
    <x v="5"/>
    <n v="600"/>
    <n v="0.23"/>
    <n v="138"/>
    <n v="-23.607120743034066"/>
    <n v="114.39287925696593"/>
    <x v="0"/>
    <n v="80"/>
    <m/>
    <s v="F081615"/>
    <n v="43.704666666666668"/>
    <m/>
    <n v="12"/>
    <m/>
    <n v="55.704666666666668"/>
    <n v="58.688212590299258"/>
    <m/>
    <n v="600"/>
  </r>
  <r>
    <n v="11"/>
    <n v="2024"/>
    <s v="Auction"/>
    <s v="VROLIJK BLOEMEN"/>
    <s v="VROLIJK BLOEMEN"/>
    <x v="1"/>
    <s v="English Roses"/>
    <s v="60CM"/>
    <n v="1"/>
    <n v="12"/>
    <n v="480"/>
    <n v="0.47"/>
    <n v="225.6"/>
    <s v="EUR"/>
    <m/>
    <m/>
    <x v="0"/>
    <n v="-400"/>
    <x v="1"/>
    <x v="0"/>
    <n v="880"/>
    <n v="0.21227272727272728"/>
    <n v="186.8"/>
    <n v="-34.623777089783289"/>
    <n v="152.17622291021672"/>
    <x v="0"/>
    <n v="400"/>
    <m/>
    <s v="F081615"/>
    <n v="43.704666666666668"/>
    <m/>
    <n v="17.600000000000001"/>
    <m/>
    <n v="61.30466666666667"/>
    <n v="90.87155624355006"/>
    <m/>
    <n v="880"/>
  </r>
  <r>
    <n v="11"/>
    <n v="2024"/>
    <s v="Auction"/>
    <s v="VROLIJK BLOEMEN"/>
    <s v="VROLIJK BLOEMEN"/>
    <x v="1"/>
    <s v="English Roses"/>
    <s v="70CM"/>
    <n v="2"/>
    <n v="24"/>
    <n v="800"/>
    <n v="0.52"/>
    <n v="416"/>
    <s v="EUR"/>
    <m/>
    <m/>
    <x v="0"/>
    <n v="-160"/>
    <x v="1"/>
    <x v="1"/>
    <n v="960"/>
    <n v="0.55249999999999999"/>
    <n v="530.4"/>
    <n v="-37.771393188854503"/>
    <n v="492.62860681114546"/>
    <x v="0"/>
    <n v="160"/>
    <m/>
    <s v="F081615"/>
    <n v="87.409333333333336"/>
    <m/>
    <n v="19.2"/>
    <m/>
    <n v="106.60933333333334"/>
    <n v="386.01927347781213"/>
    <m/>
    <n v="960"/>
  </r>
  <r>
    <n v="11"/>
    <n v="2024"/>
    <s v="Auction"/>
    <s v="VROLIJK BLOEMEN"/>
    <s v="VROLIJK BLOEMEN"/>
    <x v="1"/>
    <s v="English Roses"/>
    <s v="90CM"/>
    <n v="1"/>
    <n v="12"/>
    <n v="200"/>
    <n v="0.75"/>
    <n v="150"/>
    <s v="EUR"/>
    <m/>
    <m/>
    <x v="0"/>
    <n v="0"/>
    <x v="1"/>
    <x v="3"/>
    <n v="200"/>
    <n v="0.54200000000000004"/>
    <n v="108.4"/>
    <n v="-7.8690402476780212"/>
    <n v="100.53095975232199"/>
    <x v="0"/>
    <n v="0"/>
    <m/>
    <s v="F081615"/>
    <n v="43.704666666666668"/>
    <m/>
    <n v="4"/>
    <m/>
    <n v="47.704666666666668"/>
    <n v="52.826293085655323"/>
    <m/>
    <n v="200"/>
  </r>
  <r>
    <n v="11"/>
    <n v="2024"/>
    <s v="Auction"/>
    <s v="VROLIJK BLOEMEN"/>
    <s v="VROLIJK BLOEMEN"/>
    <x v="1"/>
    <s v="English Roses"/>
    <s v="100CM"/>
    <n v="1"/>
    <n v="12"/>
    <n v="200"/>
    <n v="0.94"/>
    <n v="188"/>
    <s v="EUR"/>
    <m/>
    <m/>
    <x v="0"/>
    <n v="-120"/>
    <x v="1"/>
    <x v="4"/>
    <n v="320"/>
    <n v="0.51500000000000001"/>
    <n v="164.8"/>
    <n v="-12.590464396284833"/>
    <n v="152.20953560371518"/>
    <x v="0"/>
    <n v="120"/>
    <m/>
    <s v="F081615"/>
    <n v="43.704666666666668"/>
    <m/>
    <n v="6.4"/>
    <m/>
    <n v="50.104666666666667"/>
    <n v="102.10486893704851"/>
    <m/>
    <n v="320"/>
  </r>
  <r>
    <n v="11"/>
    <n v="2024"/>
    <s v="Auction"/>
    <s v="VROLIJK BLOEMEN"/>
    <s v="VROLIJK BLOEMEN"/>
    <x v="1"/>
    <s v="Floribunda Roses"/>
    <s v="50CM"/>
    <n v="3"/>
    <n v="36"/>
    <n v="1800"/>
    <n v="0.38"/>
    <n v="684"/>
    <s v="EUR"/>
    <m/>
    <m/>
    <x v="0"/>
    <n v="-280"/>
    <x v="2"/>
    <x v="5"/>
    <n v="2080"/>
    <n v="0.21769230769230768"/>
    <n v="452.8"/>
    <n v="-81.838018575851407"/>
    <n v="370.96198142414858"/>
    <x v="0"/>
    <n v="280"/>
    <m/>
    <s v="F081615"/>
    <n v="131.114"/>
    <m/>
    <n v="41.6"/>
    <m/>
    <n v="172.714"/>
    <n v="198.24798142414858"/>
    <m/>
    <n v="2080"/>
  </r>
  <r>
    <n v="11"/>
    <n v="2024"/>
    <s v="Auction"/>
    <s v="VROLIJK BLOEMEN"/>
    <s v="VROLIJK BLOEMEN"/>
    <x v="1"/>
    <s v="Floribunda Roses"/>
    <s v="60CM"/>
    <n v="3"/>
    <n v="36"/>
    <n v="1560"/>
    <n v="0.47"/>
    <n v="733.2"/>
    <s v="EUR"/>
    <m/>
    <m/>
    <x v="0"/>
    <n v="-360"/>
    <x v="2"/>
    <x v="0"/>
    <n v="1920"/>
    <n v="0.46708333333333329"/>
    <n v="896.8"/>
    <n v="-75.542786377709007"/>
    <n v="821.25721362229092"/>
    <x v="0"/>
    <n v="360"/>
    <m/>
    <s v="F081615"/>
    <n v="131.114"/>
    <m/>
    <n v="38.4"/>
    <m/>
    <n v="169.51400000000001"/>
    <n v="651.74321362229091"/>
    <m/>
    <n v="1920"/>
  </r>
  <r>
    <n v="11"/>
    <n v="2024"/>
    <s v="Auction"/>
    <s v="VROLIJK BLOEMEN"/>
    <s v="VROLIJK BLOEMEN"/>
    <x v="1"/>
    <s v="Floribunda Roses"/>
    <s v="70CM"/>
    <n v="3"/>
    <n v="36"/>
    <n v="1200"/>
    <n v="0.52"/>
    <n v="624"/>
    <s v="EUR"/>
    <m/>
    <m/>
    <x v="0"/>
    <n v="0"/>
    <x v="2"/>
    <x v="1"/>
    <n v="1200"/>
    <n v="0.62033333333333329"/>
    <n v="744.4"/>
    <n v="-47.214241486068133"/>
    <n v="697.18575851393189"/>
    <x v="0"/>
    <n v="0"/>
    <m/>
    <s v="F081615"/>
    <n v="131.114"/>
    <m/>
    <n v="24"/>
    <m/>
    <n v="155.114"/>
    <n v="542.07175851393185"/>
    <m/>
    <n v="1200"/>
  </r>
  <r>
    <n v="11"/>
    <n v="2024"/>
    <s v="Auction"/>
    <s v="VROLIJK BLOEMEN"/>
    <s v="VROLIJK BLOEMEN"/>
    <x v="1"/>
    <s v="Floribunda Roses"/>
    <s v="80CM"/>
    <n v="1"/>
    <n v="12"/>
    <n v="320"/>
    <n v="0.56999999999999995"/>
    <n v="182.4"/>
    <s v="EUR"/>
    <m/>
    <m/>
    <x v="0"/>
    <n v="-320"/>
    <x v="2"/>
    <x v="2"/>
    <n v="640"/>
    <n v="0.49000000000000005"/>
    <n v="313.60000000000002"/>
    <n v="-25.180928792569667"/>
    <n v="288.41907120743036"/>
    <x v="0"/>
    <n v="320"/>
    <m/>
    <s v="F081615"/>
    <n v="43.704666666666668"/>
    <m/>
    <n v="12.8"/>
    <m/>
    <n v="56.504666666666665"/>
    <n v="231.91440454076371"/>
    <m/>
    <n v="640"/>
  </r>
  <r>
    <n v="11"/>
    <n v="2024"/>
    <s v="Auction"/>
    <s v="VROLIJK BLOEMEN"/>
    <s v="VROLIJK BLOEMEN"/>
    <x v="1"/>
    <s v="Floribunda Roses"/>
    <s v="80CM"/>
    <n v="1"/>
    <n v="12"/>
    <n v="280"/>
    <n v="0.56999999999999995"/>
    <n v="159.6"/>
    <s v="EUR"/>
    <m/>
    <m/>
    <x v="0"/>
    <n v="280"/>
    <x v="2"/>
    <x v="2"/>
    <m/>
    <m/>
    <n v="0"/>
    <n v="0"/>
    <n v="0"/>
    <x v="0"/>
    <n v="-280"/>
    <m/>
    <s v="F081615"/>
    <n v="43.704666666666668"/>
    <m/>
    <n v="0"/>
    <m/>
    <n v="43.704666666666668"/>
    <n v="-43.704666666666668"/>
    <m/>
    <n v="0"/>
  </r>
  <r>
    <n v="11"/>
    <n v="2024"/>
    <s v="Auction"/>
    <s v="VROLIJK BLOEMEN"/>
    <s v="VROLIJK BLOEMEN"/>
    <x v="1"/>
    <s v="Floribunda Roses"/>
    <s v="90CM"/>
    <n v="2"/>
    <n v="24"/>
    <n v="480"/>
    <n v="0.75"/>
    <n v="360"/>
    <s v="EUR"/>
    <m/>
    <m/>
    <x v="0"/>
    <n v="0"/>
    <x v="2"/>
    <x v="3"/>
    <n v="480"/>
    <n v="0.61250000000000004"/>
    <n v="294"/>
    <n v="-18.885696594427252"/>
    <n v="275.11430340557274"/>
    <x v="0"/>
    <n v="0"/>
    <m/>
    <s v="F081615"/>
    <n v="87.409333333333336"/>
    <m/>
    <n v="9.6"/>
    <m/>
    <n v="97.009333333333331"/>
    <n v="178.10497007223941"/>
    <m/>
    <n v="480"/>
  </r>
  <r>
    <n v="11"/>
    <n v="2024"/>
    <s v="Auction"/>
    <s v="VROLIJK BLOEMEN"/>
    <s v="VROLIJK BLOEMEN"/>
    <x v="1"/>
    <s v="Floribunda Roses"/>
    <s v="100CM"/>
    <n v="1"/>
    <n v="12"/>
    <n v="200"/>
    <n v="0.94"/>
    <n v="188"/>
    <s v="EUR"/>
    <m/>
    <m/>
    <x v="0"/>
    <n v="40"/>
    <x v="2"/>
    <x v="4"/>
    <n v="160"/>
    <n v="0.99250000000000005"/>
    <n v="158.80000000000001"/>
    <n v="-6.2952321981424166"/>
    <n v="152.50476780185758"/>
    <x v="0"/>
    <n v="-40"/>
    <m/>
    <s v="F081615"/>
    <n v="43.704666666666668"/>
    <m/>
    <n v="3.2"/>
    <m/>
    <n v="46.904666666666671"/>
    <n v="105.60010113519091"/>
    <m/>
    <n v="160"/>
  </r>
  <r>
    <n v="11"/>
    <n v="2024"/>
    <s v="Auction"/>
    <s v="VROLIJK BLOEMEN"/>
    <s v="VROLIJK BLOEMEN"/>
    <x v="1"/>
    <s v="Polyantha Roses"/>
    <s v="50CM"/>
    <n v="1"/>
    <n v="1.2000000000000002"/>
    <n v="40"/>
    <n v="0.42"/>
    <n v="16.8"/>
    <s v="EUR"/>
    <m/>
    <m/>
    <x v="0"/>
    <n v="0"/>
    <x v="3"/>
    <x v="5"/>
    <n v="40"/>
    <n v="0.5"/>
    <n v="20"/>
    <n v="-1.5738080495356042"/>
    <n v="18.426191950464396"/>
    <x v="0"/>
    <n v="0"/>
    <m/>
    <s v="F081615"/>
    <n v="4.3704666666666681"/>
    <m/>
    <n v="0.8"/>
    <m/>
    <n v="5.1704666666666679"/>
    <n v="13.255725283797728"/>
    <m/>
    <n v="40"/>
  </r>
  <r>
    <n v="11"/>
    <n v="2024"/>
    <s v="Auction"/>
    <s v="VROLIJK BLOEMEN"/>
    <s v="VROLIJK BLOEMEN"/>
    <x v="1"/>
    <s v="Polyantha Roses"/>
    <s v="60CM"/>
    <m/>
    <n v="3.5999999999999996"/>
    <n v="120"/>
    <n v="0.52"/>
    <n v="62.4"/>
    <s v="EUR"/>
    <m/>
    <m/>
    <x v="0"/>
    <n v="0"/>
    <x v="3"/>
    <x v="0"/>
    <n v="120"/>
    <n v="0.67999999999999994"/>
    <n v="81.599999999999994"/>
    <n v="-4.7214241486068129"/>
    <n v="76.87857585139318"/>
    <x v="0"/>
    <n v="0"/>
    <m/>
    <s v="F081615"/>
    <n v="13.1114"/>
    <m/>
    <n v="2.4"/>
    <m/>
    <n v="15.5114"/>
    <n v="61.367175851393178"/>
    <m/>
    <n v="120"/>
  </r>
  <r>
    <n v="11"/>
    <n v="2024"/>
    <s v="Auction"/>
    <s v="VROLIJK BLOEMEN"/>
    <s v="VROLIJK BLOEMEN"/>
    <x v="1"/>
    <s v="Polyantha Roses"/>
    <s v="70CM"/>
    <m/>
    <n v="7.1999999999999993"/>
    <n v="240"/>
    <n v="0.61"/>
    <n v="146.4"/>
    <s v="EUR"/>
    <m/>
    <m/>
    <x v="0"/>
    <n v="0"/>
    <x v="3"/>
    <x v="1"/>
    <n v="240"/>
    <n v="0.82000000000000006"/>
    <n v="196.8"/>
    <n v="-9.4428482972136258"/>
    <n v="187.35715170278638"/>
    <x v="0"/>
    <n v="0"/>
    <m/>
    <s v="F081615"/>
    <n v="26.222799999999999"/>
    <m/>
    <n v="4.8"/>
    <m/>
    <n v="31.0228"/>
    <n v="156.33435170278639"/>
    <m/>
    <n v="240"/>
  </r>
  <r>
    <n v="11"/>
    <n v="2024"/>
    <s v="Auction"/>
    <s v="VROLIJK BLOEMEN"/>
    <s v="VROLIJK BLOEMEN"/>
    <x v="1"/>
    <s v="Grandiflora Roses"/>
    <s v="90CM"/>
    <n v="1"/>
    <n v="1.7142857142857142"/>
    <n v="40"/>
    <n v="0.38"/>
    <n v="15.2"/>
    <s v="EUR"/>
    <m/>
    <m/>
    <x v="0"/>
    <n v="40"/>
    <x v="0"/>
    <x v="3"/>
    <m/>
    <m/>
    <n v="0"/>
    <n v="0"/>
    <n v="0"/>
    <x v="0"/>
    <n v="-40"/>
    <m/>
    <s v="F081615"/>
    <n v="6.2435238095238095"/>
    <m/>
    <n v="0"/>
    <m/>
    <n v="6.2435238095238095"/>
    <n v="-6.2435238095238095"/>
    <m/>
    <n v="0"/>
  </r>
  <r>
    <n v="11"/>
    <n v="2024"/>
    <s v="Auction"/>
    <s v="VROLIJK BLOEMEN"/>
    <s v="VROLIJK BLOEMEN"/>
    <x v="1"/>
    <s v="Grandiflora Roses"/>
    <s v="100CM"/>
    <m/>
    <n v="10.285714285714285"/>
    <n v="240"/>
    <n v="0.47"/>
    <n v="112.8"/>
    <s v="EUR"/>
    <m/>
    <m/>
    <x v="0"/>
    <n v="0"/>
    <x v="0"/>
    <x v="4"/>
    <n v="240"/>
    <n v="0.77"/>
    <n v="184.8"/>
    <n v="-9.4428482972136258"/>
    <n v="175.35715170278638"/>
    <x v="0"/>
    <n v="0"/>
    <m/>
    <s v="F081615"/>
    <n v="37.461142857142853"/>
    <m/>
    <n v="4.8"/>
    <m/>
    <n v="42.26114285714285"/>
    <n v="133.09600884564352"/>
    <m/>
    <n v="240"/>
  </r>
  <r>
    <n v="11"/>
    <n v="2024"/>
    <s v="Auction"/>
    <s v="VROLIJK BLOEMEN"/>
    <s v="VROLIJK BLOEMEN"/>
    <x v="1"/>
    <s v="Floribunda Roses"/>
    <s v="60CM"/>
    <n v="1"/>
    <n v="7.5"/>
    <n v="400"/>
    <n v="0.47"/>
    <n v="188"/>
    <s v="EUR"/>
    <m/>
    <m/>
    <x v="0"/>
    <n v="400"/>
    <x v="2"/>
    <x v="0"/>
    <m/>
    <m/>
    <n v="0"/>
    <n v="0"/>
    <n v="0"/>
    <x v="0"/>
    <n v="-400"/>
    <m/>
    <s v="F081615"/>
    <n v="27.315416666666668"/>
    <m/>
    <n v="0"/>
    <m/>
    <n v="27.315416666666668"/>
    <n v="-27.315416666666668"/>
    <m/>
    <n v="0"/>
  </r>
  <r>
    <n v="11"/>
    <n v="2024"/>
    <s v="Auction"/>
    <s v="VROLIJK BLOEMEN"/>
    <s v="VROLIJK BLOEMEN"/>
    <x v="1"/>
    <s v="Floribunda Roses"/>
    <s v="50CM"/>
    <m/>
    <n v="4.5"/>
    <n v="240"/>
    <n v="0.38"/>
    <n v="91.2"/>
    <s v="EUR"/>
    <m/>
    <m/>
    <x v="0"/>
    <n v="240"/>
    <x v="2"/>
    <x v="5"/>
    <m/>
    <m/>
    <n v="0"/>
    <n v="0"/>
    <n v="0"/>
    <x v="0"/>
    <n v="-240"/>
    <m/>
    <s v="F081615"/>
    <n v="16.389250000000001"/>
    <m/>
    <n v="0"/>
    <m/>
    <n v="16.389250000000001"/>
    <n v="-16.389250000000001"/>
    <m/>
    <n v="0"/>
  </r>
  <r>
    <n v="11"/>
    <n v="2024"/>
    <s v="Auction"/>
    <s v="VROLIJK BLOEMEN"/>
    <s v="VROLIJK BLOEMEN"/>
    <x v="1"/>
    <s v="English Roses"/>
    <s v="70CM"/>
    <n v="1"/>
    <n v="6.8571428571428568"/>
    <n v="160"/>
    <n v="0.52"/>
    <n v="83.2"/>
    <s v="EUR"/>
    <m/>
    <m/>
    <x v="0"/>
    <n v="160"/>
    <x v="1"/>
    <x v="1"/>
    <m/>
    <m/>
    <n v="0"/>
    <n v="0"/>
    <n v="0"/>
    <x v="0"/>
    <n v="-160"/>
    <m/>
    <s v="F081615"/>
    <n v="24.974095238095238"/>
    <m/>
    <n v="0"/>
    <m/>
    <n v="24.974095238095238"/>
    <n v="-24.974095238095238"/>
    <m/>
    <n v="0"/>
  </r>
  <r>
    <n v="11"/>
    <n v="2024"/>
    <s v="Auction"/>
    <s v="VROLIJK BLOEMEN"/>
    <s v="VROLIJK BLOEMEN"/>
    <x v="1"/>
    <s v="English Roses"/>
    <s v="100CM"/>
    <m/>
    <n v="5.1428571428571423"/>
    <n v="120"/>
    <n v="0.94"/>
    <n v="112.8"/>
    <s v="EUR"/>
    <m/>
    <m/>
    <x v="0"/>
    <n v="120"/>
    <x v="1"/>
    <x v="4"/>
    <m/>
    <m/>
    <n v="0"/>
    <n v="0"/>
    <n v="0"/>
    <x v="0"/>
    <n v="-120"/>
    <m/>
    <s v="F081615"/>
    <n v="18.730571428571427"/>
    <m/>
    <n v="0"/>
    <m/>
    <n v="18.730571428571427"/>
    <n v="-18.730571428571427"/>
    <m/>
    <n v="0"/>
  </r>
  <r>
    <n v="11"/>
    <n v="2024"/>
    <s v="Auction"/>
    <s v="VROLIJK BLOEMEN"/>
    <s v="VROLIJK BLOEMEN"/>
    <x v="1"/>
    <s v="English Roses"/>
    <s v="60CM"/>
    <n v="1"/>
    <n v="10"/>
    <n v="400"/>
    <n v="0.47"/>
    <n v="188"/>
    <s v="EUR"/>
    <m/>
    <m/>
    <x v="0"/>
    <n v="400"/>
    <x v="1"/>
    <x v="0"/>
    <m/>
    <m/>
    <n v="0"/>
    <n v="0"/>
    <n v="0"/>
    <x v="0"/>
    <n v="-400"/>
    <m/>
    <s v="F081615"/>
    <n v="36.420555555555559"/>
    <m/>
    <n v="0"/>
    <m/>
    <n v="36.420555555555559"/>
    <n v="-36.420555555555559"/>
    <m/>
    <n v="0"/>
  </r>
  <r>
    <n v="11"/>
    <n v="2024"/>
    <s v="Auction"/>
    <s v="VROLIJK BLOEMEN"/>
    <s v="VROLIJK BLOEMEN"/>
    <x v="1"/>
    <s v="English Roses"/>
    <s v="50CM"/>
    <m/>
    <n v="2"/>
    <n v="80"/>
    <n v="0.38"/>
    <n v="30.4"/>
    <s v="EUR"/>
    <m/>
    <m/>
    <x v="0"/>
    <n v="80"/>
    <x v="1"/>
    <x v="5"/>
    <m/>
    <m/>
    <n v="0"/>
    <n v="0"/>
    <n v="0"/>
    <x v="0"/>
    <n v="-80"/>
    <m/>
    <s v="F081615"/>
    <n v="7.2841111111111116"/>
    <m/>
    <n v="0"/>
    <m/>
    <n v="7.2841111111111116"/>
    <n v="-7.2841111111111116"/>
    <m/>
    <n v="0"/>
  </r>
  <r>
    <n v="11"/>
    <n v="2024"/>
    <s v="Auction"/>
    <s v="VROLIJK BLOEMEN"/>
    <s v="VROLIJK BLOEMEN"/>
    <x v="2"/>
    <s v="Grandiflora Roses"/>
    <s v="60CM"/>
    <n v="1"/>
    <n v="12"/>
    <n v="600"/>
    <n v="0.24"/>
    <n v="144"/>
    <s v="EUR"/>
    <m/>
    <m/>
    <x v="0"/>
    <n v="0"/>
    <x v="0"/>
    <x v="0"/>
    <n v="600"/>
    <n v="0.44600000000000006"/>
    <n v="267.60000000000002"/>
    <n v="-27.776027397260258"/>
    <n v="239.82397260273976"/>
    <x v="0"/>
    <n v="0"/>
    <m/>
    <s v="F081679"/>
    <n v="28.269047619047615"/>
    <m/>
    <n v="12"/>
    <m/>
    <n v="40.269047619047612"/>
    <n v="199.55492498369216"/>
    <m/>
    <n v="600"/>
  </r>
  <r>
    <n v="11"/>
    <n v="2024"/>
    <s v="Auction"/>
    <s v="VROLIJK BLOEMEN"/>
    <s v="VROLIJK BLOEMEN"/>
    <x v="2"/>
    <s v="Grandiflora Roses"/>
    <s v="70CM"/>
    <n v="1"/>
    <n v="12"/>
    <n v="400"/>
    <n v="0.28000000000000003"/>
    <n v="112"/>
    <s v="EUR"/>
    <m/>
    <m/>
    <x v="0"/>
    <n v="0"/>
    <x v="0"/>
    <x v="1"/>
    <n v="400"/>
    <n v="0.45"/>
    <n v="180"/>
    <n v="-18.517351598173502"/>
    <n v="161.48264840182651"/>
    <x v="0"/>
    <n v="0"/>
    <m/>
    <s v="F081679"/>
    <n v="28.269047619047615"/>
    <m/>
    <n v="8"/>
    <m/>
    <n v="36.269047619047612"/>
    <n v="125.2136007827789"/>
    <m/>
    <n v="400"/>
  </r>
  <r>
    <n v="11"/>
    <n v="2024"/>
    <s v="Auction"/>
    <s v="VROLIJK BLOEMEN"/>
    <s v="VROLIJK BLOEMEN"/>
    <x v="2"/>
    <s v="Grandiflora Roses"/>
    <s v="80CM"/>
    <n v="1"/>
    <n v="12"/>
    <n v="440"/>
    <n v="0.33"/>
    <n v="145.19999999999999"/>
    <s v="EUR"/>
    <m/>
    <m/>
    <x v="0"/>
    <n v="0"/>
    <x v="0"/>
    <x v="2"/>
    <n v="440"/>
    <n v="0.59090909090909094"/>
    <n v="260"/>
    <n v="-20.369086757990857"/>
    <n v="239.63091324200914"/>
    <x v="0"/>
    <n v="0"/>
    <m/>
    <s v="F081679"/>
    <n v="28.269047619047615"/>
    <m/>
    <n v="8.8000000000000007"/>
    <m/>
    <n v="37.069047619047616"/>
    <n v="202.56186562296153"/>
    <m/>
    <n v="440"/>
  </r>
  <r>
    <n v="11"/>
    <n v="2024"/>
    <s v="Auction"/>
    <s v="VROLIJK BLOEMEN"/>
    <s v="VROLIJK BLOEMEN"/>
    <x v="2"/>
    <s v="English Roses"/>
    <s v="60CM"/>
    <n v="1"/>
    <n v="12"/>
    <n v="440"/>
    <n v="0.47"/>
    <n v="206.8"/>
    <s v="EUR"/>
    <m/>
    <m/>
    <x v="0"/>
    <n v="0"/>
    <x v="1"/>
    <x v="0"/>
    <n v="440"/>
    <n v="0.51909090909090916"/>
    <n v="228.40000000000003"/>
    <n v="-20.369086757990857"/>
    <n v="208.03091324200918"/>
    <x v="0"/>
    <n v="0"/>
    <m/>
    <s v="F081679"/>
    <n v="28.269047619047615"/>
    <m/>
    <n v="8.8000000000000007"/>
    <m/>
    <n v="37.069047619047616"/>
    <n v="170.96186562296157"/>
    <m/>
    <n v="440"/>
  </r>
  <r>
    <n v="11"/>
    <n v="2024"/>
    <s v="Auction"/>
    <s v="VROLIJK BLOEMEN"/>
    <s v="VROLIJK BLOEMEN"/>
    <x v="2"/>
    <s v="English Roses"/>
    <s v="70CM"/>
    <n v="1"/>
    <n v="12"/>
    <n v="400"/>
    <n v="0.52"/>
    <n v="208"/>
    <s v="EUR"/>
    <m/>
    <m/>
    <x v="0"/>
    <n v="-80"/>
    <x v="1"/>
    <x v="1"/>
    <n v="480"/>
    <n v="0.69500000000000006"/>
    <n v="333.6"/>
    <n v="-22.220821917808205"/>
    <n v="311.3791780821918"/>
    <x v="0"/>
    <n v="80"/>
    <m/>
    <s v="F081679"/>
    <n v="28.269047619047615"/>
    <m/>
    <n v="9.6"/>
    <m/>
    <n v="37.869047619047613"/>
    <n v="273.51013046314421"/>
    <m/>
    <n v="480"/>
  </r>
  <r>
    <n v="11"/>
    <n v="2024"/>
    <s v="Auction"/>
    <s v="VROLIJK BLOEMEN"/>
    <s v="VROLIJK BLOEMEN"/>
    <x v="2"/>
    <s v="English Roses"/>
    <s v="80CM"/>
    <n v="1"/>
    <n v="12"/>
    <n v="280"/>
    <n v="0.56999999999999995"/>
    <n v="159.6"/>
    <s v="EUR"/>
    <m/>
    <m/>
    <x v="0"/>
    <n v="0"/>
    <x v="1"/>
    <x v="2"/>
    <n v="280"/>
    <n v="0.6071428571428571"/>
    <n v="170"/>
    <n v="-12.962146118721455"/>
    <n v="157.03785388127855"/>
    <x v="0"/>
    <n v="0"/>
    <m/>
    <s v="F081679"/>
    <n v="28.269047619047615"/>
    <m/>
    <n v="5.6000000000000005"/>
    <m/>
    <n v="33.869047619047613"/>
    <n v="123.16880626223093"/>
    <m/>
    <n v="280"/>
  </r>
  <r>
    <n v="11"/>
    <n v="2024"/>
    <s v="Auction"/>
    <s v="VROLIJK BLOEMEN"/>
    <s v="VROLIJK BLOEMEN"/>
    <x v="2"/>
    <s v="Floribunda Roses"/>
    <s v="50CM"/>
    <n v="2"/>
    <n v="24"/>
    <n v="1200"/>
    <n v="0.38"/>
    <n v="456"/>
    <s v="EUR"/>
    <m/>
    <m/>
    <x v="0"/>
    <n v="-240"/>
    <x v="2"/>
    <x v="5"/>
    <n v="1440"/>
    <n v="0.31361111111111112"/>
    <n v="451.6"/>
    <n v="-66.662465753424613"/>
    <n v="384.93753424657541"/>
    <x v="0"/>
    <n v="240"/>
    <m/>
    <s v="F081679"/>
    <n v="56.538095238095231"/>
    <m/>
    <n v="28.8"/>
    <m/>
    <n v="85.338095238095235"/>
    <n v="299.5994390084802"/>
    <m/>
    <n v="1440"/>
  </r>
  <r>
    <n v="11"/>
    <n v="2024"/>
    <s v="Auction"/>
    <s v="VROLIJK BLOEMEN"/>
    <s v="VROLIJK BLOEMEN"/>
    <x v="2"/>
    <s v="Floribunda Roses"/>
    <s v="60CM"/>
    <n v="2"/>
    <n v="24"/>
    <n v="1040"/>
    <n v="0.47"/>
    <n v="488.8"/>
    <s v="EUR"/>
    <m/>
    <m/>
    <x v="0"/>
    <n v="1040"/>
    <x v="2"/>
    <x v="0"/>
    <m/>
    <m/>
    <n v="0"/>
    <n v="0"/>
    <n v="0"/>
    <x v="0"/>
    <n v="-1040"/>
    <m/>
    <s v="F081679"/>
    <n v="56.538095238095231"/>
    <m/>
    <n v="0"/>
    <m/>
    <n v="56.538095238095231"/>
    <n v="-56.538095238095231"/>
    <m/>
    <n v="0"/>
  </r>
  <r>
    <n v="11"/>
    <n v="2024"/>
    <s v="Auction"/>
    <s v="VROLIJK BLOEMEN"/>
    <s v="VROLIJK BLOEMEN"/>
    <x v="2"/>
    <s v="Floribunda Roses"/>
    <s v="70CM"/>
    <n v="2"/>
    <n v="24"/>
    <n v="800"/>
    <n v="0.52"/>
    <n v="416"/>
    <s v="EUR"/>
    <m/>
    <m/>
    <x v="0"/>
    <n v="800"/>
    <x v="2"/>
    <x v="1"/>
    <m/>
    <m/>
    <n v="0"/>
    <n v="0"/>
    <n v="0"/>
    <x v="0"/>
    <n v="-800"/>
    <m/>
    <s v="F081679"/>
    <n v="56.538095238095231"/>
    <m/>
    <n v="0"/>
    <m/>
    <n v="56.538095238095231"/>
    <n v="-56.538095238095231"/>
    <m/>
    <n v="0"/>
  </r>
  <r>
    <n v="11"/>
    <n v="2024"/>
    <s v="Auction"/>
    <s v="VROLIJK BLOEMEN"/>
    <s v="VROLIJK BLOEMEN"/>
    <x v="2"/>
    <s v="Floribunda Roses"/>
    <s v="90CM"/>
    <n v="1"/>
    <n v="12"/>
    <n v="200"/>
    <n v="0.75"/>
    <n v="150"/>
    <s v="EUR"/>
    <m/>
    <m/>
    <x v="0"/>
    <n v="0"/>
    <x v="2"/>
    <x v="3"/>
    <n v="200"/>
    <n v="0.80599999999999994"/>
    <n v="161.19999999999999"/>
    <n v="-9.2586757990867508"/>
    <n v="151.94132420091324"/>
    <x v="0"/>
    <n v="0"/>
    <m/>
    <s v="F081679"/>
    <n v="28.269047619047615"/>
    <m/>
    <n v="4"/>
    <m/>
    <n v="32.269047619047612"/>
    <n v="119.67227658186563"/>
    <m/>
    <n v="200"/>
  </r>
  <r>
    <n v="11"/>
    <n v="2024"/>
    <s v="Auction"/>
    <s v="VROLIJK BLOEMEN"/>
    <s v="VROLIJK BLOEMEN"/>
    <x v="2"/>
    <s v="Floribunda Roses"/>
    <s v="100CM"/>
    <n v="1"/>
    <n v="12"/>
    <n v="200"/>
    <n v="0.94"/>
    <n v="188"/>
    <s v="EUR"/>
    <m/>
    <m/>
    <x v="0"/>
    <n v="0"/>
    <x v="2"/>
    <x v="4"/>
    <n v="200"/>
    <n v="0.75"/>
    <n v="150"/>
    <n v="-9.2586757990867508"/>
    <n v="140.74132420091325"/>
    <x v="0"/>
    <n v="0"/>
    <m/>
    <s v="F081679"/>
    <n v="28.269047619047615"/>
    <m/>
    <n v="4"/>
    <m/>
    <n v="32.269047619047612"/>
    <n v="108.47227658186564"/>
    <m/>
    <n v="200"/>
  </r>
  <r>
    <n v="11"/>
    <n v="2024"/>
    <s v="Auction"/>
    <s v="VROLIJK BLOEMEN"/>
    <s v="VROLIJK BLOEMEN"/>
    <x v="2"/>
    <s v="Moss Roses"/>
    <s v="50CM"/>
    <n v="1"/>
    <n v="2.6666666666666665"/>
    <n v="80"/>
    <n v="0.14000000000000001"/>
    <n v="11.2"/>
    <s v="EUR"/>
    <m/>
    <m/>
    <x v="0"/>
    <n v="0"/>
    <x v="4"/>
    <x v="5"/>
    <n v="80"/>
    <n v="0.42000000000000004"/>
    <n v="33.6"/>
    <n v="-3.7034703196347007"/>
    <n v="29.896529680365301"/>
    <x v="0"/>
    <n v="0"/>
    <m/>
    <s v="F081679"/>
    <n v="6.2820105820105816"/>
    <m/>
    <n v="1.6"/>
    <m/>
    <n v="7.8820105820105812"/>
    <n v="22.014519098354718"/>
    <m/>
    <n v="80"/>
  </r>
  <r>
    <n v="11"/>
    <n v="2024"/>
    <s v="Auction"/>
    <s v="VROLIJK BLOEMEN"/>
    <s v="VROLIJK BLOEMEN"/>
    <x v="2"/>
    <s v="Moss Roses"/>
    <s v="60CM"/>
    <m/>
    <n v="5.333333333333333"/>
    <n v="160"/>
    <n v="0.24"/>
    <n v="38.4"/>
    <s v="EUR"/>
    <m/>
    <m/>
    <x v="0"/>
    <n v="0"/>
    <x v="4"/>
    <x v="0"/>
    <n v="160"/>
    <n v="0.73499999999999999"/>
    <n v="117.6"/>
    <n v="-7.4069406392694015"/>
    <n v="110.19305936073059"/>
    <x v="0"/>
    <n v="0"/>
    <m/>
    <s v="F081679"/>
    <n v="12.564021164021163"/>
    <m/>
    <n v="3.2"/>
    <m/>
    <n v="15.764021164021162"/>
    <n v="94.429038196709428"/>
    <m/>
    <n v="160"/>
  </r>
  <r>
    <n v="11"/>
    <n v="2024"/>
    <s v="Auction"/>
    <s v="VROLIJK BLOEMEN"/>
    <s v="VROLIJK BLOEMEN"/>
    <x v="2"/>
    <s v="Moss Roses"/>
    <s v="80CM"/>
    <m/>
    <n v="1.3333333333333333"/>
    <n v="40"/>
    <n v="0.33"/>
    <n v="13.2"/>
    <s v="EUR"/>
    <m/>
    <m/>
    <x v="0"/>
    <n v="0"/>
    <x v="4"/>
    <x v="2"/>
    <n v="40"/>
    <n v="0.78"/>
    <n v="31.200000000000003"/>
    <n v="-1.8517351598173504"/>
    <n v="29.348264840182651"/>
    <x v="0"/>
    <n v="0"/>
    <m/>
    <s v="F081679"/>
    <n v="3.1410052910052908"/>
    <m/>
    <n v="0.8"/>
    <m/>
    <n v="3.9410052910052906"/>
    <n v="25.407259549177361"/>
    <m/>
    <n v="40"/>
  </r>
  <r>
    <n v="11"/>
    <n v="2024"/>
    <s v="Auction"/>
    <s v="VROLIJK BLOEMEN"/>
    <s v="VROLIJK BLOEMEN"/>
    <x v="2"/>
    <s v="Moss Roses"/>
    <s v="70CM"/>
    <m/>
    <n v="2.6666666666666665"/>
    <n v="80"/>
    <n v="0.28000000000000003"/>
    <n v="22.4"/>
    <s v="EUR"/>
    <m/>
    <m/>
    <x v="0"/>
    <n v="0"/>
    <x v="4"/>
    <x v="1"/>
    <n v="80"/>
    <n v="0.8"/>
    <n v="64"/>
    <n v="-3.7034703196347007"/>
    <n v="60.296529680365296"/>
    <x v="0"/>
    <n v="0"/>
    <m/>
    <s v="F081679"/>
    <n v="6.2820105820105816"/>
    <m/>
    <n v="1.6"/>
    <m/>
    <n v="7.8820105820105812"/>
    <n v="52.414519098354717"/>
    <m/>
    <n v="80"/>
  </r>
  <r>
    <n v="11"/>
    <n v="2024"/>
    <s v="Auction"/>
    <s v="VROLIJK BLOEMEN"/>
    <s v="VROLIJK BLOEMEN"/>
    <x v="2"/>
    <s v="Floribunda Roses"/>
    <s v="50CM"/>
    <n v="1"/>
    <n v="4.5"/>
    <n v="240"/>
    <n v="0.38"/>
    <n v="91.2"/>
    <s v="EUR"/>
    <m/>
    <m/>
    <x v="0"/>
    <n v="240"/>
    <x v="2"/>
    <x v="5"/>
    <m/>
    <m/>
    <n v="0"/>
    <n v="0"/>
    <n v="0"/>
    <x v="0"/>
    <n v="-240"/>
    <m/>
    <s v="F081679"/>
    <n v="10.600892857142856"/>
    <m/>
    <n v="0"/>
    <m/>
    <n v="10.600892857142856"/>
    <n v="-10.600892857142856"/>
    <m/>
    <n v="0"/>
  </r>
  <r>
    <n v="11"/>
    <n v="2024"/>
    <s v="Auction"/>
    <s v="VROLIJK BLOEMEN"/>
    <s v="VROLIJK BLOEMEN"/>
    <x v="2"/>
    <s v="Floribunda Roses"/>
    <s v="60CM"/>
    <m/>
    <n v="7.5"/>
    <n v="400"/>
    <n v="0.47"/>
    <n v="188"/>
    <s v="EUR"/>
    <m/>
    <m/>
    <x v="0"/>
    <n v="-1040"/>
    <x v="2"/>
    <x v="0"/>
    <n v="1440"/>
    <n v="0.39666666666666672"/>
    <n v="571.20000000000005"/>
    <n v="-66.662465753424613"/>
    <n v="504.53753424657543"/>
    <x v="0"/>
    <n v="1040"/>
    <m/>
    <s v="F081679"/>
    <n v="17.668154761904759"/>
    <m/>
    <n v="28.8"/>
    <m/>
    <n v="46.468154761904756"/>
    <n v="458.06937948467066"/>
    <m/>
    <n v="1440"/>
  </r>
  <r>
    <n v="11"/>
    <n v="2024"/>
    <s v="Auction"/>
    <s v="VROLIJK BLOEMEN"/>
    <s v="VROLIJK BLOEMEN"/>
    <x v="2"/>
    <s v="Floribunda Roses"/>
    <s v="70CM"/>
    <n v="1"/>
    <n v="8"/>
    <n v="320"/>
    <n v="0.52"/>
    <n v="166.4"/>
    <s v="EUR"/>
    <m/>
    <m/>
    <x v="0"/>
    <n v="-800"/>
    <x v="2"/>
    <x v="1"/>
    <n v="1120"/>
    <n v="0.77571428571428569"/>
    <n v="868.8"/>
    <n v="-51.848584474885818"/>
    <n v="816.95141552511416"/>
    <x v="0"/>
    <n v="800"/>
    <m/>
    <s v="F081679"/>
    <n v="18.846031746031745"/>
    <m/>
    <n v="22.400000000000002"/>
    <m/>
    <n v="41.246031746031747"/>
    <n v="775.70538377908247"/>
    <m/>
    <n v="1120"/>
  </r>
  <r>
    <n v="11"/>
    <n v="2024"/>
    <s v="Auction"/>
    <s v="VROLIJK BLOEMEN"/>
    <s v="VROLIJK BLOEMEN"/>
    <x v="2"/>
    <s v="Floribunda Roses"/>
    <s v="80CM"/>
    <m/>
    <n v="4"/>
    <n v="160"/>
    <n v="0.56999999999999995"/>
    <n v="91.2"/>
    <s v="EUR"/>
    <m/>
    <m/>
    <x v="0"/>
    <n v="0"/>
    <x v="2"/>
    <x v="2"/>
    <n v="160"/>
    <n v="1.0050000000000001"/>
    <n v="160.80000000000001"/>
    <n v="-7.4069406392694015"/>
    <n v="153.3930593607306"/>
    <x v="0"/>
    <n v="0"/>
    <m/>
    <s v="F081679"/>
    <n v="9.4230158730158724"/>
    <m/>
    <n v="3.2"/>
    <m/>
    <n v="12.623015873015873"/>
    <n v="140.77004348771473"/>
    <m/>
    <n v="160"/>
  </r>
  <r>
    <n v="11"/>
    <n v="2024"/>
    <s v="Auction"/>
    <s v="VROLIJK BLOEMEN"/>
    <s v="VROLIJK BLOEMEN"/>
    <x v="2"/>
    <s v="English Roses"/>
    <s v="50CM"/>
    <n v="1"/>
    <n v="9.6000000000000014"/>
    <n v="320"/>
    <n v="0.38"/>
    <n v="121.6"/>
    <s v="EUR"/>
    <m/>
    <m/>
    <x v="0"/>
    <n v="0"/>
    <x v="1"/>
    <x v="5"/>
    <n v="320"/>
    <n v="0.36875000000000002"/>
    <n v="118"/>
    <n v="-14.813881278538803"/>
    <n v="103.1861187214612"/>
    <x v="0"/>
    <n v="0"/>
    <m/>
    <s v="F081679"/>
    <n v="22.615238095238098"/>
    <m/>
    <n v="6.4"/>
    <m/>
    <n v="29.015238095238097"/>
    <n v="74.170880626223095"/>
    <m/>
    <n v="320"/>
  </r>
  <r>
    <n v="11"/>
    <n v="2024"/>
    <s v="Auction"/>
    <s v="VROLIJK BLOEMEN"/>
    <s v="VROLIJK BLOEMEN"/>
    <x v="2"/>
    <s v="English Roses"/>
    <s v="70CM"/>
    <m/>
    <n v="2.4000000000000004"/>
    <n v="80"/>
    <n v="0.52"/>
    <n v="41.6"/>
    <s v="EUR"/>
    <m/>
    <m/>
    <x v="0"/>
    <n v="80"/>
    <x v="1"/>
    <x v="1"/>
    <m/>
    <m/>
    <n v="0"/>
    <n v="0"/>
    <n v="0"/>
    <x v="0"/>
    <n v="-80"/>
    <m/>
    <s v="F081679"/>
    <n v="5.6538095238095245"/>
    <m/>
    <n v="0"/>
    <m/>
    <n v="5.6538095238095245"/>
    <n v="-5.6538095238095245"/>
    <m/>
    <n v="0"/>
  </r>
  <r>
    <n v="11"/>
    <n v="2024"/>
    <s v="Auction"/>
    <s v="VROLIJK BLOEMEN"/>
    <s v="VROLIJK BLOEMEN"/>
    <x v="2"/>
    <s v="Polyantha Roses"/>
    <s v="60CM"/>
    <n v="1"/>
    <n v="4.3636363636363633"/>
    <n v="160"/>
    <n v="0.52"/>
    <n v="83.2"/>
    <s v="EUR"/>
    <m/>
    <m/>
    <x v="0"/>
    <n v="0"/>
    <x v="3"/>
    <x v="0"/>
    <n v="160"/>
    <n v="0.61"/>
    <n v="97.6"/>
    <n v="-7.4069406392694015"/>
    <n v="90.193059360730587"/>
    <x v="0"/>
    <n v="0"/>
    <m/>
    <s v="F081679"/>
    <n v="10.279653679653679"/>
    <m/>
    <n v="3.2"/>
    <m/>
    <n v="13.47965367965368"/>
    <n v="76.713405681076907"/>
    <m/>
    <n v="160"/>
  </r>
  <r>
    <n v="11"/>
    <n v="2024"/>
    <s v="Auction"/>
    <s v="VROLIJK BLOEMEN"/>
    <s v="VROLIJK BLOEMEN"/>
    <x v="2"/>
    <s v="Polyantha Roses"/>
    <s v="70CM"/>
    <m/>
    <n v="6.545454545454545"/>
    <n v="240"/>
    <n v="0.61"/>
    <n v="146.4"/>
    <s v="EUR"/>
    <m/>
    <m/>
    <x v="0"/>
    <n v="0"/>
    <x v="3"/>
    <x v="1"/>
    <n v="240"/>
    <n v="0.72666666666666668"/>
    <n v="174.4"/>
    <n v="-11.110410958904103"/>
    <n v="163.28958904109589"/>
    <x v="0"/>
    <n v="0"/>
    <m/>
    <s v="F081679"/>
    <n v="15.419480519480517"/>
    <m/>
    <n v="4.8"/>
    <m/>
    <n v="20.219480519480516"/>
    <n v="143.07010852161537"/>
    <m/>
    <n v="240"/>
  </r>
  <r>
    <n v="11"/>
    <n v="2024"/>
    <s v="Auction"/>
    <s v="VROLIJK BLOEMEN"/>
    <s v="VROLIJK BLOEMEN"/>
    <x v="2"/>
    <s v="Polyantha Roses"/>
    <s v="50CM"/>
    <m/>
    <n v="1.0909090909090908"/>
    <n v="40"/>
    <n v="0.42"/>
    <n v="16.8"/>
    <s v="EUR"/>
    <m/>
    <m/>
    <x v="0"/>
    <n v="0"/>
    <x v="3"/>
    <x v="5"/>
    <n v="40"/>
    <n v="0.32"/>
    <n v="12.8"/>
    <n v="-1.8517351598173504"/>
    <n v="10.948264840182651"/>
    <x v="0"/>
    <n v="0"/>
    <m/>
    <s v="F081679"/>
    <n v="2.5699134199134197"/>
    <m/>
    <n v="0.8"/>
    <m/>
    <n v="3.36991341991342"/>
    <n v="7.5783514202692306"/>
    <m/>
    <n v="40"/>
  </r>
  <r>
    <n v="11"/>
    <n v="2024"/>
    <s v="Auction"/>
    <s v="VROLIJK BLOEMEN"/>
    <s v="VROLIJK BLOEMEN"/>
    <x v="2"/>
    <s v="Polyantha Roses"/>
    <s v="90CM"/>
    <n v="1"/>
    <n v="5.1428571428571423"/>
    <n v="120"/>
    <n v="0.85"/>
    <n v="102"/>
    <s v="EUR"/>
    <m/>
    <m/>
    <x v="0"/>
    <n v="120"/>
    <x v="3"/>
    <x v="3"/>
    <m/>
    <m/>
    <n v="0"/>
    <n v="0"/>
    <n v="0"/>
    <x v="0"/>
    <n v="-120"/>
    <m/>
    <s v="F081679"/>
    <n v="12.115306122448978"/>
    <m/>
    <n v="0"/>
    <m/>
    <n v="12.115306122448978"/>
    <n v="-12.115306122448978"/>
    <m/>
    <n v="0"/>
  </r>
  <r>
    <n v="11"/>
    <n v="2024"/>
    <s v="Auction"/>
    <s v="VROLIJK BLOEMEN"/>
    <s v="VROLIJK BLOEMEN"/>
    <x v="2"/>
    <s v="Polyantha Roses"/>
    <s v="80CM"/>
    <m/>
    <n v="6.8571428571428568"/>
    <n v="160"/>
    <n v="0.66"/>
    <n v="105.6"/>
    <s v="EUR"/>
    <m/>
    <m/>
    <x v="0"/>
    <n v="0"/>
    <x v="3"/>
    <x v="2"/>
    <n v="160"/>
    <n v="0.84000000000000008"/>
    <n v="134.4"/>
    <n v="-7.4069406392694015"/>
    <n v="126.9930593607306"/>
    <x v="0"/>
    <n v="0"/>
    <m/>
    <s v="F081679"/>
    <n v="16.153741496598638"/>
    <m/>
    <m/>
    <m/>
    <m/>
    <n v="126.9930593607306"/>
    <m/>
    <m/>
  </r>
  <r>
    <n v="11"/>
    <n v="2024"/>
    <s v="Auction"/>
    <s v="VROLIJK BLOEMEN"/>
    <s v="VROLIJK BLOEMEN"/>
    <x v="2"/>
    <s v="Polyantha Roses"/>
    <s v="90CM"/>
    <n v="1"/>
    <n v="3"/>
    <n v="40"/>
    <n v="0.85"/>
    <n v="34"/>
    <s v="EUR"/>
    <m/>
    <m/>
    <x v="0"/>
    <n v="-120"/>
    <x v="3"/>
    <x v="3"/>
    <n v="160"/>
    <n v="0.86"/>
    <n v="137.6"/>
    <n v="-7.4069406392694015"/>
    <n v="130.19305936073059"/>
    <x v="0"/>
    <n v="120"/>
    <m/>
    <s v="F081679"/>
    <n v="7.0672619047619039"/>
    <m/>
    <m/>
    <m/>
    <m/>
    <n v="130.19305936073059"/>
    <m/>
    <m/>
  </r>
  <r>
    <n v="11"/>
    <n v="2024"/>
    <s v="Auction"/>
    <s v="VROLIJK BLOEMEN"/>
    <s v="VROLIJK BLOEMEN"/>
    <x v="2"/>
    <s v="Polyantha Roses"/>
    <s v="100CM"/>
    <m/>
    <n v="9"/>
    <n v="120"/>
    <n v="1.04"/>
    <n v="124.8"/>
    <s v="EUR"/>
    <m/>
    <m/>
    <x v="0"/>
    <n v="0"/>
    <x v="3"/>
    <x v="4"/>
    <n v="120"/>
    <n v="1.0066666666666666"/>
    <n v="120.8"/>
    <n v="-5.5552054794520513"/>
    <n v="115.24479452054794"/>
    <x v="0"/>
    <n v="0"/>
    <m/>
    <s v="F081679"/>
    <n v="21.201785714285712"/>
    <m/>
    <m/>
    <m/>
    <m/>
    <n v="115.24479452054794"/>
    <m/>
    <m/>
  </r>
  <r>
    <n v="11"/>
    <n v="2024"/>
    <s v="Auction"/>
    <s v="VROLIJK BLOEMEN"/>
    <s v="VROLIJK BLOEMEN"/>
    <x v="3"/>
    <s v="Floribunda Roses"/>
    <s v="50CM"/>
    <n v="4"/>
    <n v="48"/>
    <n v="2400"/>
    <n v="0.38"/>
    <n v="912"/>
    <s v="EUR"/>
    <m/>
    <m/>
    <x v="1"/>
    <n v="-240"/>
    <x v="2"/>
    <x v="5"/>
    <n v="2640"/>
    <n v="0.27166666666666667"/>
    <n v="717.2"/>
    <n v="-106.90884507042253"/>
    <n v="610.29115492957749"/>
    <x v="1"/>
    <n v="240"/>
    <m/>
    <n v="433193"/>
    <n v="164.10117647058823"/>
    <m/>
    <n v="52.800000000000004"/>
    <m/>
    <n v="216.90117647058824"/>
    <n v="393.38997845898928"/>
    <m/>
    <n v="2640"/>
  </r>
  <r>
    <n v="11"/>
    <n v="2024"/>
    <s v="Auction"/>
    <s v="VROLIJK BLOEMEN"/>
    <s v="VROLIJK BLOEMEN"/>
    <x v="3"/>
    <s v="Floribunda Roses"/>
    <s v="60CM"/>
    <n v="5"/>
    <n v="60"/>
    <n v="2600"/>
    <n v="0.47"/>
    <n v="1222"/>
    <s v="EUR"/>
    <m/>
    <m/>
    <x v="1"/>
    <n v="40"/>
    <x v="2"/>
    <x v="0"/>
    <n v="2560"/>
    <n v="0.50718750000000001"/>
    <n v="1298.4000000000001"/>
    <n v="-103.66918309859155"/>
    <n v="1194.7308169014086"/>
    <x v="1"/>
    <n v="-40"/>
    <m/>
    <n v="433193"/>
    <n v="205.12647058823529"/>
    <m/>
    <n v="51.2"/>
    <m/>
    <n v="256.32647058823528"/>
    <n v="938.40434631317339"/>
    <m/>
    <n v="2560"/>
  </r>
  <r>
    <n v="11"/>
    <n v="2024"/>
    <s v="Auction"/>
    <s v="VROLIJK BLOEMEN"/>
    <s v="VROLIJK BLOEMEN"/>
    <x v="3"/>
    <s v="Floribunda Roses"/>
    <s v="70CM"/>
    <n v="3"/>
    <n v="36"/>
    <n v="1200"/>
    <n v="0.52"/>
    <n v="624"/>
    <s v="EUR"/>
    <m/>
    <m/>
    <x v="1"/>
    <n v="0"/>
    <x v="2"/>
    <x v="1"/>
    <n v="1200"/>
    <n v="0.65600000000000003"/>
    <n v="787.2"/>
    <n v="-48.594929577464789"/>
    <n v="738.60507042253528"/>
    <x v="1"/>
    <n v="0"/>
    <m/>
    <n v="433193"/>
    <n v="123.07588235294118"/>
    <m/>
    <n v="24"/>
    <m/>
    <n v="147.07588235294116"/>
    <n v="591.52918806959406"/>
    <m/>
    <n v="1200"/>
  </r>
  <r>
    <n v="11"/>
    <n v="2024"/>
    <s v="Auction"/>
    <s v="VROLIJK BLOEMEN"/>
    <s v="VROLIJK BLOEMEN"/>
    <x v="3"/>
    <s v="Floribunda Roses"/>
    <s v="80CM"/>
    <n v="2"/>
    <n v="24"/>
    <n v="640"/>
    <n v="0.56999999999999995"/>
    <n v="364.8"/>
    <s v="EUR"/>
    <m/>
    <m/>
    <x v="1"/>
    <n v="-200"/>
    <x v="2"/>
    <x v="2"/>
    <n v="840"/>
    <n v="0.38714285714285712"/>
    <n v="325.2"/>
    <n v="-34.016450704225349"/>
    <n v="291.18354929577464"/>
    <x v="1"/>
    <n v="200"/>
    <m/>
    <n v="433193"/>
    <n v="82.050588235294114"/>
    <m/>
    <n v="16.8"/>
    <m/>
    <n v="98.850588235294111"/>
    <n v="192.33296106048053"/>
    <m/>
    <n v="840"/>
  </r>
  <r>
    <n v="11"/>
    <n v="2024"/>
    <s v="Auction"/>
    <s v="VROLIJK BLOEMEN"/>
    <s v="VROLIJK BLOEMEN"/>
    <x v="3"/>
    <s v="Floribunda Roses"/>
    <s v="80CM"/>
    <n v="1"/>
    <n v="12"/>
    <n v="200"/>
    <n v="0.56999999999999995"/>
    <n v="114"/>
    <s v="EUR"/>
    <m/>
    <m/>
    <x v="1"/>
    <n v="200"/>
    <x v="2"/>
    <x v="2"/>
    <m/>
    <m/>
    <n v="0"/>
    <n v="0"/>
    <n v="0"/>
    <x v="1"/>
    <n v="-200"/>
    <m/>
    <n v="433193"/>
    <n v="41.025294117647057"/>
    <m/>
    <n v="0"/>
    <m/>
    <n v="41.025294117647057"/>
    <n v="-41.025294117647057"/>
    <m/>
    <n v="0"/>
  </r>
  <r>
    <n v="11"/>
    <n v="2024"/>
    <s v="Auction"/>
    <s v="VROLIJK BLOEMEN"/>
    <s v="VROLIJK BLOEMEN"/>
    <x v="3"/>
    <s v="Floribunda Roses"/>
    <s v="90CM"/>
    <n v="2"/>
    <n v="24"/>
    <n v="480"/>
    <n v="0.75"/>
    <n v="360"/>
    <s v="EUR"/>
    <m/>
    <m/>
    <x v="1"/>
    <n v="0"/>
    <x v="2"/>
    <x v="3"/>
    <n v="480"/>
    <n v="0.51916666666666667"/>
    <n v="249.2"/>
    <n v="-19.437971830985912"/>
    <n v="229.76202816901409"/>
    <x v="1"/>
    <n v="0"/>
    <m/>
    <n v="433193"/>
    <n v="82.050588235294114"/>
    <m/>
    <n v="9.6"/>
    <m/>
    <n v="91.650588235294109"/>
    <n v="138.11143993371996"/>
    <m/>
    <n v="480"/>
  </r>
  <r>
    <n v="11"/>
    <n v="2024"/>
    <s v="Auction"/>
    <s v="VROLIJK BLOEMEN"/>
    <s v="VROLIJK BLOEMEN"/>
    <x v="3"/>
    <s v="Floribunda Roses"/>
    <s v="100CM"/>
    <n v="2"/>
    <n v="24"/>
    <n v="400"/>
    <n v="0.94"/>
    <n v="376"/>
    <s v="EUR"/>
    <m/>
    <m/>
    <x v="1"/>
    <n v="-160"/>
    <x v="2"/>
    <x v="4"/>
    <n v="560"/>
    <n v="0.6"/>
    <n v="336"/>
    <n v="-22.677633802816899"/>
    <n v="313.3223661971831"/>
    <x v="1"/>
    <n v="160"/>
    <m/>
    <n v="433193"/>
    <n v="82.050588235294114"/>
    <m/>
    <n v="11.200000000000001"/>
    <m/>
    <n v="93.250588235294117"/>
    <n v="220.07177796188898"/>
    <m/>
    <n v="560"/>
  </r>
  <r>
    <n v="11"/>
    <n v="2024"/>
    <s v="Auction"/>
    <s v="VROLIJK BLOEMEN"/>
    <s v="VROLIJK BLOEMEN"/>
    <x v="3"/>
    <s v="English Roses"/>
    <s v="50CM"/>
    <n v="1"/>
    <n v="12"/>
    <n v="400"/>
    <n v="0.38"/>
    <n v="152"/>
    <s v="EUR"/>
    <m/>
    <m/>
    <x v="1"/>
    <n v="0"/>
    <x v="1"/>
    <x v="5"/>
    <n v="400"/>
    <n v="0.27"/>
    <n v="108"/>
    <n v="-16.198309859154929"/>
    <n v="91.801690140845068"/>
    <x v="1"/>
    <n v="0"/>
    <m/>
    <n v="433193"/>
    <n v="41.025294117647057"/>
    <m/>
    <n v="8"/>
    <m/>
    <n v="49.025294117647057"/>
    <n v="42.776396023198011"/>
    <m/>
    <n v="400"/>
  </r>
  <r>
    <n v="11"/>
    <n v="2024"/>
    <s v="Auction"/>
    <s v="VROLIJK BLOEMEN"/>
    <s v="VROLIJK BLOEMEN"/>
    <x v="3"/>
    <s v="English Roses"/>
    <s v="60CM"/>
    <n v="1"/>
    <n v="12"/>
    <n v="400"/>
    <n v="0.47"/>
    <n v="188"/>
    <s v="EUR"/>
    <m/>
    <m/>
    <x v="1"/>
    <n v="0"/>
    <x v="1"/>
    <x v="0"/>
    <n v="400"/>
    <n v="0.45600000000000002"/>
    <n v="182.4"/>
    <n v="-16.198309859154929"/>
    <n v="166.20169014084507"/>
    <x v="1"/>
    <n v="0"/>
    <m/>
    <n v="433193"/>
    <n v="41.025294117647057"/>
    <m/>
    <n v="8"/>
    <m/>
    <n v="49.025294117647057"/>
    <n v="117.17639602319801"/>
    <m/>
    <n v="400"/>
  </r>
  <r>
    <n v="11"/>
    <n v="2024"/>
    <s v="Auction"/>
    <s v="VROLIJK BLOEMEN"/>
    <s v="VROLIJK BLOEMEN"/>
    <x v="3"/>
    <s v="English Roses"/>
    <s v="70CM"/>
    <n v="1"/>
    <n v="12"/>
    <n v="400"/>
    <n v="0.52"/>
    <n v="208"/>
    <s v="EUR"/>
    <m/>
    <m/>
    <x v="1"/>
    <n v="0"/>
    <x v="1"/>
    <x v="1"/>
    <n v="400"/>
    <n v="0.65500000000000003"/>
    <n v="262"/>
    <n v="-16.198309859154929"/>
    <n v="245.80169014084507"/>
    <x v="1"/>
    <n v="0"/>
    <m/>
    <n v="433193"/>
    <n v="41.025294117647057"/>
    <m/>
    <n v="8"/>
    <m/>
    <n v="49.025294117647057"/>
    <n v="196.776396023198"/>
    <m/>
    <n v="400"/>
  </r>
  <r>
    <n v="11"/>
    <n v="2024"/>
    <s v="Auction"/>
    <s v="VROLIJK BLOEMEN"/>
    <s v="VROLIJK BLOEMEN"/>
    <x v="3"/>
    <s v="English Roses"/>
    <s v="80CM"/>
    <n v="1"/>
    <n v="12"/>
    <n v="320"/>
    <n v="0.56999999999999995"/>
    <n v="182.4"/>
    <s v="EUR"/>
    <m/>
    <m/>
    <x v="1"/>
    <n v="-160"/>
    <x v="1"/>
    <x v="2"/>
    <n v="480"/>
    <n v="0.73750000000000004"/>
    <n v="354"/>
    <n v="-19.437971830985912"/>
    <n v="334.56202816901407"/>
    <x v="1"/>
    <n v="160"/>
    <m/>
    <n v="433193"/>
    <n v="41.025294117647057"/>
    <m/>
    <n v="9.6"/>
    <m/>
    <n v="50.625294117647059"/>
    <n v="283.93673405136701"/>
    <m/>
    <n v="480"/>
  </r>
  <r>
    <n v="11"/>
    <n v="2024"/>
    <s v="Auction"/>
    <s v="VROLIJK BLOEMEN"/>
    <s v="VROLIJK BLOEMEN"/>
    <x v="3"/>
    <s v="English Roses"/>
    <s v="90CM"/>
    <n v="1"/>
    <n v="12"/>
    <n v="200"/>
    <n v="0.75"/>
    <n v="150"/>
    <s v="EUR"/>
    <m/>
    <m/>
    <x v="1"/>
    <n v="-120"/>
    <x v="1"/>
    <x v="3"/>
    <n v="320"/>
    <n v="0.67125000000000001"/>
    <n v="214.8"/>
    <n v="-12.958647887323943"/>
    <n v="201.84135211267608"/>
    <x v="1"/>
    <n v="120"/>
    <m/>
    <n v="433193"/>
    <n v="41.025294117647057"/>
    <m/>
    <n v="6.4"/>
    <m/>
    <n v="47.425294117647056"/>
    <n v="154.41605799502901"/>
    <m/>
    <n v="320"/>
  </r>
  <r>
    <n v="11"/>
    <n v="2024"/>
    <s v="Auction"/>
    <s v="VROLIJK BLOEMEN"/>
    <s v="VROLIJK BLOEMEN"/>
    <x v="3"/>
    <s v="Grandiflora Roses"/>
    <s v="50CM"/>
    <n v="1"/>
    <n v="12"/>
    <n v="760"/>
    <n v="0.14000000000000001"/>
    <n v="106.4"/>
    <s v="EUR"/>
    <m/>
    <m/>
    <x v="1"/>
    <n v="0"/>
    <x v="0"/>
    <x v="5"/>
    <n v="760"/>
    <n v="0.28999999999999998"/>
    <n v="220.39999999999998"/>
    <n v="-30.776788732394365"/>
    <n v="189.6232112676056"/>
    <x v="1"/>
    <n v="0"/>
    <m/>
    <n v="433193"/>
    <n v="41.025294117647057"/>
    <m/>
    <n v="15.200000000000001"/>
    <m/>
    <n v="56.22529411764706"/>
    <n v="133.39791714995854"/>
    <m/>
    <n v="760"/>
  </r>
  <r>
    <n v="11"/>
    <n v="2024"/>
    <s v="Auction"/>
    <s v="VROLIJK BLOEMEN"/>
    <s v="VROLIJK BLOEMEN"/>
    <x v="3"/>
    <s v="Grandiflora Roses"/>
    <s v="60CM"/>
    <n v="1"/>
    <n v="12"/>
    <n v="720"/>
    <n v="0.24"/>
    <n v="172.8"/>
    <s v="EUR"/>
    <m/>
    <m/>
    <x v="1"/>
    <n v="-160"/>
    <x v="0"/>
    <x v="0"/>
    <n v="880"/>
    <n v="0.39"/>
    <n v="343.2"/>
    <n v="-35.636281690140841"/>
    <n v="307.56371830985915"/>
    <x v="1"/>
    <n v="160"/>
    <m/>
    <n v="433193"/>
    <n v="41.025294117647057"/>
    <m/>
    <n v="17.600000000000001"/>
    <m/>
    <n v="58.625294117647059"/>
    <n v="248.9384241922121"/>
    <m/>
    <n v="880"/>
  </r>
  <r>
    <n v="11"/>
    <n v="2024"/>
    <s v="Auction"/>
    <s v="VROLIJK BLOEMEN"/>
    <s v="VROLIJK BLOEMEN"/>
    <x v="3"/>
    <s v="Grandiflora Roses"/>
    <s v="70CM"/>
    <n v="1"/>
    <n v="12"/>
    <n v="520"/>
    <n v="0.28000000000000003"/>
    <n v="145.6"/>
    <s v="EUR"/>
    <m/>
    <m/>
    <x v="1"/>
    <n v="-40"/>
    <x v="0"/>
    <x v="1"/>
    <n v="560"/>
    <n v="0.53642857142857137"/>
    <n v="300.39999999999998"/>
    <n v="-22.677633802816899"/>
    <n v="277.72236619718308"/>
    <x v="1"/>
    <n v="40"/>
    <m/>
    <n v="433193"/>
    <n v="41.025294117647057"/>
    <m/>
    <n v="11.200000000000001"/>
    <m/>
    <n v="52.22529411764706"/>
    <n v="225.49707207953603"/>
    <m/>
    <n v="560"/>
  </r>
  <r>
    <n v="11"/>
    <n v="2024"/>
    <s v="Auction"/>
    <s v="VROLIJK BLOEMEN"/>
    <s v="VROLIJK BLOEMEN"/>
    <x v="3"/>
    <s v="Grandiflora Roses"/>
    <s v="80CM"/>
    <n v="1"/>
    <n v="12"/>
    <n v="480"/>
    <n v="0.33"/>
    <n v="158.4"/>
    <s v="EUR"/>
    <m/>
    <m/>
    <x v="1"/>
    <n v="0"/>
    <x v="0"/>
    <x v="2"/>
    <n v="480"/>
    <n v="0.60499999999999998"/>
    <n v="290.39999999999998"/>
    <n v="-19.437971830985912"/>
    <n v="270.96202816901405"/>
    <x v="1"/>
    <n v="0"/>
    <m/>
    <n v="433193"/>
    <n v="41.025294117647057"/>
    <m/>
    <n v="9.6"/>
    <m/>
    <n v="50.625294117647059"/>
    <n v="220.33673405136699"/>
    <m/>
    <n v="480"/>
  </r>
  <r>
    <n v="11"/>
    <n v="2024"/>
    <s v="Auction"/>
    <s v="VROLIJK BLOEMEN"/>
    <s v="VROLIJK BLOEMEN"/>
    <x v="3"/>
    <s v="Grandiflora Roses"/>
    <s v="90CM"/>
    <n v="1"/>
    <n v="12"/>
    <n v="320"/>
    <n v="0.38"/>
    <n v="121.6"/>
    <s v="EUR"/>
    <m/>
    <m/>
    <x v="1"/>
    <n v="-360"/>
    <x v="0"/>
    <x v="3"/>
    <n v="680"/>
    <n v="0.56058823529411761"/>
    <n v="381.2"/>
    <n v="-27.537126760563378"/>
    <n v="353.66287323943664"/>
    <x v="1"/>
    <n v="360"/>
    <m/>
    <n v="433193"/>
    <n v="41.025294117647057"/>
    <m/>
    <n v="13.6"/>
    <m/>
    <n v="54.625294117647059"/>
    <n v="299.03757912178958"/>
    <m/>
    <n v="680"/>
  </r>
  <r>
    <n v="11"/>
    <n v="2024"/>
    <s v="Auction"/>
    <s v="VROLIJK BLOEMEN"/>
    <s v="VROLIJK BLOEMEN"/>
    <x v="3"/>
    <s v="Grandiflora Roses"/>
    <s v="90CM"/>
    <n v="1"/>
    <n v="12"/>
    <n v="360"/>
    <n v="0.38"/>
    <n v="136.80000000000001"/>
    <s v="EUR"/>
    <m/>
    <m/>
    <x v="1"/>
    <n v="360"/>
    <x v="0"/>
    <x v="3"/>
    <m/>
    <m/>
    <n v="0"/>
    <n v="0"/>
    <n v="0"/>
    <x v="1"/>
    <n v="-360"/>
    <m/>
    <n v="433193"/>
    <n v="41.025294117647057"/>
    <m/>
    <n v="0"/>
    <m/>
    <n v="41.025294117647057"/>
    <n v="-41.025294117647057"/>
    <m/>
    <n v="0"/>
  </r>
  <r>
    <n v="11"/>
    <n v="2024"/>
    <s v="Auction"/>
    <s v="VROLIJK BLOEMEN"/>
    <s v="VROLIJK BLOEMEN"/>
    <x v="3"/>
    <s v="Polyantha Roses"/>
    <s v="50CM"/>
    <n v="1"/>
    <n v="1.3333333333333333"/>
    <n v="40"/>
    <n v="0.42"/>
    <n v="16.8"/>
    <s v="EUR"/>
    <m/>
    <m/>
    <x v="1"/>
    <n v="0"/>
    <x v="3"/>
    <x v="5"/>
    <n v="40"/>
    <n v="0.48"/>
    <n v="19.2"/>
    <n v="-1.6198309859154929"/>
    <n v="17.580169014084507"/>
    <x v="1"/>
    <n v="0"/>
    <m/>
    <n v="433193"/>
    <n v="4.558366013071895"/>
    <m/>
    <n v="0.8"/>
    <m/>
    <n v="5.3583660130718949"/>
    <n v="12.221803001012614"/>
    <m/>
    <n v="40"/>
  </r>
  <r>
    <n v="11"/>
    <n v="2024"/>
    <s v="Auction"/>
    <s v="VROLIJK BLOEMEN"/>
    <s v="VROLIJK BLOEMEN"/>
    <x v="3"/>
    <s v="Polyantha Roses"/>
    <s v="60CM"/>
    <m/>
    <n v="6.666666666666667"/>
    <n v="200"/>
    <n v="0.52"/>
    <n v="104"/>
    <s v="EUR"/>
    <m/>
    <m/>
    <x v="1"/>
    <n v="0"/>
    <x v="3"/>
    <x v="0"/>
    <n v="200"/>
    <n v="0.61599999999999999"/>
    <n v="123.2"/>
    <n v="-8.0991549295774643"/>
    <n v="115.10084507042254"/>
    <x v="1"/>
    <n v="0"/>
    <m/>
    <n v="433193"/>
    <n v="22.791830065359477"/>
    <m/>
    <n v="4"/>
    <m/>
    <n v="26.791830065359477"/>
    <n v="88.30901500506306"/>
    <m/>
    <n v="200"/>
  </r>
  <r>
    <n v="11"/>
    <n v="2024"/>
    <s v="Auction"/>
    <s v="VROLIJK BLOEMEN"/>
    <s v="VROLIJK BLOEMEN"/>
    <x v="3"/>
    <s v="Polyantha Roses"/>
    <s v="70CM"/>
    <m/>
    <n v="4"/>
    <n v="120"/>
    <n v="0.61"/>
    <n v="73.2"/>
    <s v="EUR"/>
    <m/>
    <m/>
    <x v="1"/>
    <n v="0"/>
    <x v="3"/>
    <x v="1"/>
    <n v="120"/>
    <n v="0.78999999999999992"/>
    <n v="94.8"/>
    <n v="-4.859492957746478"/>
    <n v="89.940507042253515"/>
    <x v="1"/>
    <n v="0"/>
    <m/>
    <n v="433193"/>
    <n v="13.675098039215685"/>
    <m/>
    <n v="2.4"/>
    <m/>
    <n v="16.075098039215685"/>
    <n v="73.865409003037826"/>
    <m/>
    <n v="120"/>
  </r>
  <r>
    <n v="11"/>
    <n v="2024"/>
    <s v="Auction"/>
    <s v="VROLIJK BLOEMEN"/>
    <s v="VROLIJK BLOEMEN"/>
    <x v="3"/>
    <s v="English Roses"/>
    <s v="80CM"/>
    <n v="1"/>
    <n v="6"/>
    <n v="160"/>
    <n v="0.56999999999999995"/>
    <n v="91.2"/>
    <s v="EUR"/>
    <m/>
    <m/>
    <x v="1"/>
    <n v="160"/>
    <x v="1"/>
    <x v="2"/>
    <m/>
    <m/>
    <n v="0"/>
    <n v="0"/>
    <n v="0"/>
    <x v="1"/>
    <n v="-160"/>
    <m/>
    <n v="433193"/>
    <n v="20.512647058823529"/>
    <m/>
    <n v="0"/>
    <m/>
    <n v="20.512647058823529"/>
    <n v="-20.512647058823529"/>
    <m/>
    <n v="0"/>
  </r>
  <r>
    <n v="11"/>
    <n v="2024"/>
    <s v="Auction"/>
    <s v="VROLIJK BLOEMEN"/>
    <s v="VROLIJK BLOEMEN"/>
    <x v="3"/>
    <s v="English Roses"/>
    <s v="90CM"/>
    <m/>
    <n v="6"/>
    <n v="160"/>
    <n v="0.75"/>
    <n v="120"/>
    <s v="EUR"/>
    <m/>
    <m/>
    <x v="1"/>
    <n v="160"/>
    <x v="1"/>
    <x v="3"/>
    <m/>
    <m/>
    <n v="0"/>
    <n v="0"/>
    <n v="0"/>
    <x v="1"/>
    <n v="-160"/>
    <m/>
    <n v="433193"/>
    <n v="20.512647058823529"/>
    <m/>
    <n v="0"/>
    <m/>
    <n v="20.512647058823529"/>
    <n v="-20.512647058823529"/>
    <m/>
    <n v="0"/>
  </r>
  <r>
    <n v="11"/>
    <n v="2024"/>
    <s v="Auction"/>
    <s v="VROLIJK BLOEMEN"/>
    <s v="VROLIJK BLOEMEN"/>
    <x v="3"/>
    <s v="Grandiflora Roses"/>
    <s v="60CM"/>
    <n v="1"/>
    <n v="2.7692307692307692"/>
    <n v="120"/>
    <n v="0.24"/>
    <n v="28.8"/>
    <s v="EUR"/>
    <m/>
    <m/>
    <x v="1"/>
    <n v="120"/>
    <x v="0"/>
    <x v="0"/>
    <m/>
    <m/>
    <n v="0"/>
    <n v="0"/>
    <n v="0"/>
    <x v="1"/>
    <n v="-120"/>
    <m/>
    <n v="433193"/>
    <n v="9.46737556561086"/>
    <m/>
    <n v="0"/>
    <m/>
    <n v="9.46737556561086"/>
    <n v="-9.46737556561086"/>
    <m/>
    <n v="0"/>
  </r>
  <r>
    <n v="11"/>
    <n v="2024"/>
    <s v="Auction"/>
    <s v="VROLIJK BLOEMEN"/>
    <s v="VROLIJK BLOEMEN"/>
    <x v="3"/>
    <s v="Grandiflora Roses"/>
    <s v="70CM"/>
    <m/>
    <n v="5.5384615384615383"/>
    <n v="240"/>
    <n v="0.28000000000000003"/>
    <n v="67.2"/>
    <s v="EUR"/>
    <m/>
    <m/>
    <x v="1"/>
    <n v="240"/>
    <x v="0"/>
    <x v="1"/>
    <m/>
    <m/>
    <n v="0"/>
    <n v="0"/>
    <n v="0"/>
    <x v="1"/>
    <n v="-240"/>
    <m/>
    <n v="433193"/>
    <n v="18.93475113122172"/>
    <m/>
    <n v="0"/>
    <m/>
    <n v="18.93475113122172"/>
    <n v="-18.93475113122172"/>
    <m/>
    <n v="0"/>
  </r>
  <r>
    <n v="11"/>
    <n v="2024"/>
    <s v="Auction"/>
    <s v="VROLIJK BLOEMEN"/>
    <s v="VROLIJK BLOEMEN"/>
    <x v="3"/>
    <s v="Grandiflora Roses"/>
    <s v="100CM"/>
    <m/>
    <n v="3.6923076923076925"/>
    <n v="160"/>
    <n v="0.47"/>
    <n v="75.2"/>
    <s v="EUR"/>
    <m/>
    <m/>
    <x v="1"/>
    <n v="-40"/>
    <x v="0"/>
    <x v="4"/>
    <n v="200"/>
    <n v="0.65"/>
    <n v="130"/>
    <n v="-8.0991549295774643"/>
    <n v="121.90084507042253"/>
    <x v="1"/>
    <n v="40"/>
    <m/>
    <n v="433193"/>
    <n v="12.623167420814481"/>
    <m/>
    <n v="4"/>
    <m/>
    <n v="16.623167420814482"/>
    <n v="105.27767764960805"/>
    <m/>
    <n v="200"/>
  </r>
  <r>
    <n v="11"/>
    <n v="2024"/>
    <s v="Auction"/>
    <s v="VROLIJK BLOEMEN"/>
    <s v="VROLIJK BLOEMEN"/>
    <x v="3"/>
    <s v="Floribunda Roses"/>
    <s v="50CM"/>
    <n v="1"/>
    <n v="2"/>
    <n v="40"/>
    <n v="0.38"/>
    <n v="15.2"/>
    <s v="EUR"/>
    <m/>
    <m/>
    <x v="1"/>
    <n v="40"/>
    <x v="2"/>
    <x v="5"/>
    <m/>
    <m/>
    <n v="0"/>
    <n v="0"/>
    <n v="0"/>
    <x v="1"/>
    <n v="-40"/>
    <m/>
    <n v="433193"/>
    <n v="6.8375490196078426"/>
    <m/>
    <n v="0"/>
    <m/>
    <n v="6.8375490196078426"/>
    <n v="-6.8375490196078426"/>
    <m/>
    <n v="0"/>
  </r>
  <r>
    <n v="11"/>
    <n v="2024"/>
    <s v="Auction"/>
    <s v="VROLIJK BLOEMEN"/>
    <s v="VROLIJK BLOEMEN"/>
    <x v="3"/>
    <s v="Floribunda Roses"/>
    <s v="100CM"/>
    <m/>
    <n v="10"/>
    <n v="200"/>
    <n v="0.94"/>
    <n v="188"/>
    <m/>
    <m/>
    <m/>
    <x v="1"/>
    <n v="200"/>
    <x v="2"/>
    <x v="4"/>
    <m/>
    <m/>
    <n v="0"/>
    <n v="0"/>
    <n v="0"/>
    <x v="1"/>
    <n v="-200"/>
    <m/>
    <n v="433193"/>
    <n v="34.187745098039215"/>
    <m/>
    <n v="0"/>
    <m/>
    <n v="34.187745098039215"/>
    <n v="-34.187745098039215"/>
    <m/>
    <n v="0"/>
  </r>
  <r>
    <n v="10"/>
    <n v="2024"/>
    <s v="Auction"/>
    <s v="VROLIJK BLOEMEN"/>
    <s v="VROLIJK BLOEMEN"/>
    <x v="4"/>
    <s v="Grandiflora Roses"/>
    <s v="60CM"/>
    <n v="1"/>
    <n v="12"/>
    <n v="720"/>
    <n v="0.24"/>
    <n v="172.8"/>
    <s v="EUR"/>
    <m/>
    <m/>
    <x v="2"/>
    <n v="-240"/>
    <x v="0"/>
    <x v="0"/>
    <n v="960"/>
    <n v="0.42"/>
    <n v="403.2"/>
    <n v="-46.236073619631895"/>
    <n v="356.96392638036809"/>
    <x v="2"/>
    <n v="240"/>
    <m/>
    <n v="431437"/>
    <n v="40.341176470588231"/>
    <m/>
    <n v="19.2"/>
    <m/>
    <n v="59.541176470588226"/>
    <n v="297.4227499097799"/>
    <m/>
    <n v="960"/>
  </r>
  <r>
    <n v="10"/>
    <n v="2024"/>
    <s v="Auction"/>
    <s v="VROLIJK BLOEMEN"/>
    <s v="VROLIJK BLOEMEN"/>
    <x v="4"/>
    <s v="Grandiflora Roses"/>
    <s v="70CM"/>
    <n v="1"/>
    <n v="12"/>
    <n v="520"/>
    <n v="0.28000000000000003"/>
    <n v="145.6"/>
    <s v="EUR"/>
    <m/>
    <m/>
    <x v="2"/>
    <n v="520"/>
    <x v="0"/>
    <x v="1"/>
    <m/>
    <m/>
    <n v="0"/>
    <n v="0"/>
    <n v="0"/>
    <x v="2"/>
    <n v="-520"/>
    <m/>
    <n v="431437"/>
    <n v="40.341176470588231"/>
    <m/>
    <n v="0"/>
    <m/>
    <n v="40.341176470588231"/>
    <n v="-40.341176470588231"/>
    <m/>
    <n v="0"/>
  </r>
  <r>
    <n v="10"/>
    <n v="2024"/>
    <s v="Auction"/>
    <s v="VROLIJK BLOEMEN"/>
    <s v="VROLIJK BLOEMEN"/>
    <x v="4"/>
    <s v="Grandiflora Roses"/>
    <s v="80CM"/>
    <n v="1"/>
    <n v="12"/>
    <n v="480"/>
    <n v="0.33"/>
    <n v="158.4"/>
    <s v="EUR"/>
    <m/>
    <m/>
    <x v="2"/>
    <n v="480"/>
    <x v="0"/>
    <x v="2"/>
    <m/>
    <m/>
    <n v="0"/>
    <n v="0"/>
    <n v="0"/>
    <x v="2"/>
    <n v="-480"/>
    <m/>
    <n v="431437"/>
    <n v="40.341176470588231"/>
    <m/>
    <n v="0"/>
    <m/>
    <n v="40.341176470588231"/>
    <n v="-40.341176470588231"/>
    <m/>
    <n v="0"/>
  </r>
  <r>
    <n v="10"/>
    <n v="2024"/>
    <s v="Auction"/>
    <s v="VROLIJK BLOEMEN"/>
    <s v="VROLIJK BLOEMEN"/>
    <x v="4"/>
    <s v="Grandiflora Roses"/>
    <s v="90CM"/>
    <n v="1"/>
    <n v="12"/>
    <n v="400"/>
    <n v="0.38"/>
    <n v="152"/>
    <s v="EUR"/>
    <m/>
    <m/>
    <x v="2"/>
    <n v="0"/>
    <x v="0"/>
    <x v="3"/>
    <n v="400"/>
    <n v="0.61199999999999999"/>
    <n v="244.79999999999998"/>
    <n v="-19.265030674846624"/>
    <n v="225.53496932515336"/>
    <x v="2"/>
    <n v="0"/>
    <m/>
    <n v="431437"/>
    <n v="40.341176470588231"/>
    <m/>
    <n v="8"/>
    <m/>
    <n v="48.341176470588231"/>
    <n v="177.19379285456512"/>
    <m/>
    <n v="400"/>
  </r>
  <r>
    <n v="10"/>
    <n v="2024"/>
    <s v="Auction"/>
    <s v="VROLIJK BLOEMEN"/>
    <s v="VROLIJK BLOEMEN"/>
    <x v="4"/>
    <s v="Grandiflora Roses"/>
    <s v="100CM"/>
    <n v="1"/>
    <n v="12"/>
    <n v="280"/>
    <n v="0.47"/>
    <n v="131.6"/>
    <s v="EUR"/>
    <m/>
    <m/>
    <x v="2"/>
    <n v="0"/>
    <x v="0"/>
    <x v="4"/>
    <n v="280"/>
    <n v="0.68285714285714283"/>
    <n v="191.2"/>
    <n v="-13.485521472392637"/>
    <n v="177.71447852760735"/>
    <x v="2"/>
    <n v="0"/>
    <m/>
    <n v="431437"/>
    <n v="40.341176470588231"/>
    <m/>
    <n v="5.6000000000000005"/>
    <m/>
    <n v="45.941176470588232"/>
    <n v="131.77330205701912"/>
    <m/>
    <n v="280"/>
  </r>
  <r>
    <n v="10"/>
    <n v="2024"/>
    <s v="Auction"/>
    <s v="VROLIJK BLOEMEN"/>
    <s v="VROLIJK BLOEMEN"/>
    <x v="4"/>
    <s v="English Roses"/>
    <s v="60CM"/>
    <n v="1"/>
    <n v="12"/>
    <n v="440"/>
    <n v="0.47"/>
    <n v="206.8"/>
    <s v="EUR"/>
    <m/>
    <m/>
    <x v="2"/>
    <n v="0"/>
    <x v="1"/>
    <x v="0"/>
    <n v="440"/>
    <n v="0.48"/>
    <n v="211.2"/>
    <n v="-21.191533742331288"/>
    <n v="190.00846625766872"/>
    <x v="2"/>
    <n v="0"/>
    <m/>
    <n v="431437"/>
    <n v="40.341176470588231"/>
    <m/>
    <n v="8.8000000000000007"/>
    <m/>
    <n v="49.141176470588235"/>
    <n v="140.86728978708049"/>
    <m/>
    <n v="440"/>
  </r>
  <r>
    <n v="10"/>
    <n v="2024"/>
    <s v="Auction"/>
    <s v="VROLIJK BLOEMEN"/>
    <s v="VROLIJK BLOEMEN"/>
    <x v="4"/>
    <s v="English Roses"/>
    <s v="70CM"/>
    <n v="1"/>
    <n v="12"/>
    <n v="400"/>
    <n v="0.52"/>
    <n v="208"/>
    <s v="EUR"/>
    <m/>
    <m/>
    <x v="2"/>
    <n v="-360"/>
    <x v="1"/>
    <x v="1"/>
    <n v="760"/>
    <n v="0.60421052631578942"/>
    <n v="459.19999999999993"/>
    <n v="-36.603558282208589"/>
    <n v="422.59644171779132"/>
    <x v="2"/>
    <n v="360"/>
    <m/>
    <n v="431437"/>
    <n v="40.341176470588231"/>
    <m/>
    <n v="15.200000000000001"/>
    <m/>
    <n v="55.541176470588233"/>
    <n v="367.05526524720307"/>
    <m/>
    <n v="760"/>
  </r>
  <r>
    <n v="10"/>
    <n v="2024"/>
    <s v="Auction"/>
    <s v="VROLIJK BLOEMEN"/>
    <s v="VROLIJK BLOEMEN"/>
    <x v="4"/>
    <s v="English Roses"/>
    <s v="90CM"/>
    <n v="1"/>
    <n v="12"/>
    <n v="200"/>
    <n v="0.75"/>
    <n v="150"/>
    <s v="EUR"/>
    <m/>
    <m/>
    <x v="2"/>
    <n v="0"/>
    <x v="1"/>
    <x v="3"/>
    <n v="200"/>
    <n v="0.46"/>
    <n v="92"/>
    <n v="-9.6325153374233121"/>
    <n v="82.367484662576686"/>
    <x v="2"/>
    <n v="0"/>
    <m/>
    <n v="431437"/>
    <n v="40.341176470588231"/>
    <m/>
    <n v="4"/>
    <m/>
    <n v="44.341176470588231"/>
    <n v="38.026308191988456"/>
    <m/>
    <n v="200"/>
  </r>
  <r>
    <n v="10"/>
    <n v="2024"/>
    <s v="Auction"/>
    <s v="VROLIJK BLOEMEN"/>
    <s v="VROLIJK BLOEMEN"/>
    <x v="4"/>
    <s v="English Roses"/>
    <s v="100CM"/>
    <n v="2"/>
    <n v="24"/>
    <n v="400"/>
    <n v="0.94"/>
    <n v="376"/>
    <s v="EUR"/>
    <m/>
    <m/>
    <x v="2"/>
    <n v="0"/>
    <x v="1"/>
    <x v="4"/>
    <n v="400"/>
    <n v="0.60199999999999998"/>
    <n v="240.79999999999998"/>
    <n v="-19.265030674846624"/>
    <n v="221.53496932515336"/>
    <x v="2"/>
    <n v="0"/>
    <m/>
    <n v="431437"/>
    <n v="80.682352941176461"/>
    <m/>
    <n v="8"/>
    <m/>
    <n v="88.682352941176461"/>
    <n v="132.85261638397691"/>
    <m/>
    <n v="400"/>
  </r>
  <r>
    <n v="10"/>
    <n v="2024"/>
    <s v="Auction"/>
    <s v="VROLIJK BLOEMEN"/>
    <s v="VROLIJK BLOEMEN"/>
    <x v="4"/>
    <s v="Floribunda Roses"/>
    <s v="70CM"/>
    <n v="1"/>
    <n v="12"/>
    <n v="360"/>
    <n v="0.52"/>
    <n v="187.2"/>
    <s v="EUR"/>
    <m/>
    <m/>
    <x v="2"/>
    <n v="360"/>
    <x v="2"/>
    <x v="1"/>
    <m/>
    <m/>
    <n v="0"/>
    <n v="0"/>
    <n v="0"/>
    <x v="2"/>
    <n v="-360"/>
    <m/>
    <n v="431437"/>
    <n v="40.341176470588231"/>
    <m/>
    <n v="0"/>
    <m/>
    <n v="40.341176470588231"/>
    <n v="-40.341176470588231"/>
    <m/>
    <n v="0"/>
  </r>
  <r>
    <n v="10"/>
    <n v="2024"/>
    <s v="Auction"/>
    <s v="VROLIJK BLOEMEN"/>
    <s v="VROLIJK BLOEMEN"/>
    <x v="4"/>
    <s v="Floribunda Roses"/>
    <s v="70CM"/>
    <n v="1"/>
    <n v="12"/>
    <n v="400"/>
    <n v="0.52"/>
    <n v="208"/>
    <s v="EUR"/>
    <m/>
    <m/>
    <x v="2"/>
    <n v="-320"/>
    <x v="2"/>
    <x v="1"/>
    <n v="720"/>
    <n v="0.41666666666666669"/>
    <n v="300"/>
    <n v="-34.677055214723929"/>
    <n v="265.32294478527609"/>
    <x v="2"/>
    <n v="320"/>
    <m/>
    <n v="431437"/>
    <n v="40.341176470588231"/>
    <m/>
    <n v="14.4"/>
    <m/>
    <n v="54.741176470588229"/>
    <n v="210.58176831468785"/>
    <m/>
    <n v="720"/>
  </r>
  <r>
    <n v="10"/>
    <n v="2024"/>
    <s v="Auction"/>
    <s v="VROLIJK BLOEMEN"/>
    <s v="VROLIJK BLOEMEN"/>
    <x v="4"/>
    <s v="Floribunda Roses"/>
    <s v="80CM"/>
    <n v="1"/>
    <n v="12"/>
    <n v="240"/>
    <n v="0.56999999999999995"/>
    <n v="136.80000000000001"/>
    <s v="EUR"/>
    <m/>
    <m/>
    <x v="2"/>
    <n v="0"/>
    <x v="2"/>
    <x v="2"/>
    <n v="240"/>
    <n v="0.99"/>
    <n v="237.6"/>
    <n v="-11.559018404907974"/>
    <n v="226.04098159509203"/>
    <x v="2"/>
    <n v="0"/>
    <m/>
    <n v="431437"/>
    <n v="40.341176470588231"/>
    <m/>
    <n v="4.8"/>
    <m/>
    <n v="45.141176470588228"/>
    <n v="180.89980512450381"/>
    <m/>
    <n v="240"/>
  </r>
  <r>
    <n v="10"/>
    <n v="2024"/>
    <s v="Auction"/>
    <s v="VROLIJK BLOEMEN"/>
    <s v="VROLIJK BLOEMEN"/>
    <x v="4"/>
    <s v="Polyantha Roses"/>
    <s v="60CM"/>
    <n v="1"/>
    <n v="12"/>
    <n v="440"/>
    <n v="0.52"/>
    <n v="228.8"/>
    <s v="EUR"/>
    <m/>
    <m/>
    <x v="2"/>
    <n v="0"/>
    <x v="3"/>
    <x v="0"/>
    <n v="440"/>
    <n v="0.67999999999999994"/>
    <n v="299.2"/>
    <n v="-21.191533742331288"/>
    <n v="278.00846625766872"/>
    <x v="2"/>
    <n v="0"/>
    <m/>
    <n v="431437"/>
    <n v="40.341176470588231"/>
    <m/>
    <n v="8.8000000000000007"/>
    <m/>
    <n v="49.141176470588235"/>
    <n v="228.86728978708049"/>
    <m/>
    <n v="440"/>
  </r>
  <r>
    <n v="10"/>
    <n v="2024"/>
    <s v="Auction"/>
    <s v="VROLIJK BLOEMEN"/>
    <s v="VROLIJK BLOEMEN"/>
    <x v="4"/>
    <s v="Polyantha Roses"/>
    <s v="70CM"/>
    <n v="1"/>
    <n v="12"/>
    <n v="360"/>
    <n v="0.61"/>
    <n v="219.6"/>
    <s v="EUR"/>
    <m/>
    <m/>
    <x v="2"/>
    <n v="0"/>
    <x v="3"/>
    <x v="1"/>
    <n v="360"/>
    <n v="0.91111111111111109"/>
    <n v="328"/>
    <n v="-17.338527607361964"/>
    <n v="310.66147239263802"/>
    <x v="2"/>
    <n v="0"/>
    <m/>
    <n v="431437"/>
    <n v="40.341176470588231"/>
    <m/>
    <n v="7.2"/>
    <m/>
    <n v="47.541176470588233"/>
    <n v="263.12029592204976"/>
    <m/>
    <n v="360"/>
  </r>
  <r>
    <n v="10"/>
    <n v="2024"/>
    <s v="Auction"/>
    <s v="VROLIJK BLOEMEN"/>
    <s v="VROLIJK BLOEMEN"/>
    <x v="4"/>
    <s v="Grandiflora Roses"/>
    <s v="70CM"/>
    <n v="1"/>
    <n v="3.6923076923076925"/>
    <n v="160"/>
    <n v="0.28000000000000003"/>
    <n v="44.8"/>
    <s v="EUR"/>
    <m/>
    <m/>
    <x v="2"/>
    <n v="-480"/>
    <x v="0"/>
    <x v="1"/>
    <n v="640"/>
    <n v="0.5"/>
    <n v="320"/>
    <n v="-30.824049079754598"/>
    <n v="289.17595092024538"/>
    <x v="2"/>
    <n v="480"/>
    <m/>
    <n v="431437"/>
    <n v="12.412669683257919"/>
    <m/>
    <n v="12.8"/>
    <m/>
    <n v="25.212669683257921"/>
    <n v="263.96328123698748"/>
    <m/>
    <n v="640"/>
  </r>
  <r>
    <n v="10"/>
    <n v="2024"/>
    <s v="Auction"/>
    <s v="VROLIJK BLOEMEN"/>
    <s v="VROLIJK BLOEMEN"/>
    <x v="4"/>
    <s v="Grandiflora Roses"/>
    <s v="60CM"/>
    <m/>
    <n v="4.6153846153846159"/>
    <n v="200"/>
    <n v="0.24"/>
    <n v="48"/>
    <s v="EUR"/>
    <m/>
    <m/>
    <x v="2"/>
    <n v="200"/>
    <x v="0"/>
    <x v="0"/>
    <m/>
    <m/>
    <n v="0"/>
    <n v="0"/>
    <n v="0"/>
    <x v="2"/>
    <n v="-200"/>
    <m/>
    <n v="431437"/>
    <n v="15.5158371040724"/>
    <m/>
    <n v="0"/>
    <m/>
    <n v="15.5158371040724"/>
    <n v="-15.5158371040724"/>
    <m/>
    <n v="0"/>
  </r>
  <r>
    <n v="10"/>
    <n v="2024"/>
    <s v="Auction"/>
    <s v="VROLIJK BLOEMEN"/>
    <s v="VROLIJK BLOEMEN"/>
    <x v="4"/>
    <s v="Grandiflora Roses"/>
    <s v="80CM"/>
    <m/>
    <n v="3.6923076923076925"/>
    <n v="160"/>
    <n v="0.33"/>
    <n v="52.8"/>
    <s v="EUR"/>
    <m/>
    <m/>
    <x v="2"/>
    <n v="-480"/>
    <x v="0"/>
    <x v="2"/>
    <n v="640"/>
    <n v="0.56125000000000003"/>
    <n v="359.20000000000005"/>
    <n v="-30.824049079754598"/>
    <n v="328.37595092024543"/>
    <x v="2"/>
    <n v="480"/>
    <m/>
    <n v="431437"/>
    <n v="12.412669683257919"/>
    <m/>
    <n v="12.8"/>
    <m/>
    <n v="25.212669683257921"/>
    <n v="303.16328123698753"/>
    <m/>
    <n v="640"/>
  </r>
  <r>
    <n v="10"/>
    <n v="2024"/>
    <s v="Auction"/>
    <s v="VROLIJK BLOEMEN"/>
    <s v="VROLIJK BLOEMEN"/>
    <x v="4"/>
    <s v="English Roses"/>
    <s v="70CM"/>
    <n v="1"/>
    <n v="10.8"/>
    <n v="360"/>
    <n v="0.52"/>
    <n v="187.2"/>
    <s v="EUR"/>
    <m/>
    <m/>
    <x v="2"/>
    <n v="360"/>
    <x v="1"/>
    <x v="1"/>
    <m/>
    <m/>
    <n v="0"/>
    <n v="0"/>
    <n v="0"/>
    <x v="2"/>
    <n v="-360"/>
    <m/>
    <n v="431437"/>
    <n v="36.307058823529417"/>
    <m/>
    <n v="0"/>
    <m/>
    <n v="36.307058823529417"/>
    <n v="-36.307058823529417"/>
    <m/>
    <n v="0"/>
  </r>
  <r>
    <n v="10"/>
    <n v="2024"/>
    <s v="Auction"/>
    <s v="VROLIJK BLOEMEN"/>
    <s v="VROLIJK BLOEMEN"/>
    <x v="4"/>
    <s v="English Roses"/>
    <s v="80CM"/>
    <m/>
    <n v="1.2000000000000002"/>
    <n v="40"/>
    <n v="0.56999999999999995"/>
    <n v="22.8"/>
    <s v="EUR"/>
    <m/>
    <m/>
    <x v="2"/>
    <n v="0"/>
    <x v="1"/>
    <x v="2"/>
    <n v="40"/>
    <n v="0.45"/>
    <n v="18"/>
    <n v="-1.9265030674846624"/>
    <n v="16.073496932515337"/>
    <x v="2"/>
    <n v="0"/>
    <m/>
    <n v="431437"/>
    <n v="4.0341176470588236"/>
    <m/>
    <n v="0.8"/>
    <m/>
    <n v="4.8341176470588234"/>
    <n v="11.239379285456513"/>
    <m/>
    <n v="40"/>
  </r>
  <r>
    <n v="10"/>
    <n v="2024"/>
    <s v="Auction"/>
    <s v="VROLIJK BLOEMEN"/>
    <s v="VROLIJK BLOEMEN"/>
    <x v="5"/>
    <s v="Grandiflora Roses"/>
    <s v="60CM"/>
    <n v="1"/>
    <n v="12"/>
    <n v="720"/>
    <n v="0.24"/>
    <n v="172.8"/>
    <s v="EUR"/>
    <m/>
    <m/>
    <x v="2"/>
    <n v="-320"/>
    <x v="0"/>
    <x v="0"/>
    <n v="1040"/>
    <n v="0.45"/>
    <n v="468"/>
    <n v="-48.390044444444364"/>
    <n v="419.60995555555564"/>
    <x v="2"/>
    <n v="320"/>
    <m/>
    <s v="F081325"/>
    <n v="43.740833333333327"/>
    <m/>
    <n v="20.8"/>
    <m/>
    <n v="64.540833333333325"/>
    <n v="355.06912222222229"/>
    <m/>
    <n v="1040"/>
  </r>
  <r>
    <n v="10"/>
    <n v="2024"/>
    <s v="Auction"/>
    <s v="VROLIJK BLOEMEN"/>
    <s v="VROLIJK BLOEMEN"/>
    <x v="5"/>
    <s v="Grandiflora Roses"/>
    <s v="70CM"/>
    <n v="1"/>
    <n v="12"/>
    <n v="520"/>
    <n v="0.28000000000000003"/>
    <n v="145.6"/>
    <s v="EUR"/>
    <m/>
    <m/>
    <x v="2"/>
    <n v="-240"/>
    <x v="0"/>
    <x v="1"/>
    <n v="760"/>
    <n v="0.51052631578947372"/>
    <n v="388"/>
    <n v="-35.361955555555497"/>
    <n v="352.63804444444452"/>
    <x v="2"/>
    <n v="240"/>
    <m/>
    <s v="F081325"/>
    <n v="43.740833333333327"/>
    <m/>
    <n v="15.200000000000001"/>
    <m/>
    <n v="58.94083333333333"/>
    <n v="293.69721111111119"/>
    <m/>
    <n v="760"/>
  </r>
  <r>
    <n v="10"/>
    <n v="2024"/>
    <s v="Auction"/>
    <s v="VROLIJK BLOEMEN"/>
    <s v="VROLIJK BLOEMEN"/>
    <x v="5"/>
    <s v="Grandiflora Roses"/>
    <s v="80CM"/>
    <n v="1"/>
    <n v="12"/>
    <n v="480"/>
    <n v="0.33"/>
    <n v="158.4"/>
    <s v="EUR"/>
    <m/>
    <m/>
    <x v="2"/>
    <n v="-200"/>
    <x v="0"/>
    <x v="2"/>
    <n v="680"/>
    <n v="0.65235294117647058"/>
    <n v="443.6"/>
    <n v="-31.639644444444393"/>
    <n v="411.96035555555562"/>
    <x v="2"/>
    <n v="200"/>
    <m/>
    <s v="F081325"/>
    <n v="43.740833333333327"/>
    <m/>
    <n v="13.6"/>
    <m/>
    <n v="57.340833333333329"/>
    <n v="354.61952222222232"/>
    <m/>
    <n v="680"/>
  </r>
  <r>
    <n v="10"/>
    <n v="2024"/>
    <s v="Auction"/>
    <s v="VROLIJK BLOEMEN"/>
    <s v="VROLIJK BLOEMEN"/>
    <x v="5"/>
    <s v="Grandiflora Roses"/>
    <s v="90CM"/>
    <n v="1"/>
    <n v="12"/>
    <n v="360"/>
    <n v="0.38"/>
    <n v="136.80000000000001"/>
    <s v="EUR"/>
    <m/>
    <m/>
    <x v="2"/>
    <n v="-160"/>
    <x v="0"/>
    <x v="3"/>
    <n v="520"/>
    <n v="0.67923076923076919"/>
    <n v="353.2"/>
    <n v="-24.195022222222182"/>
    <n v="329.00497777777781"/>
    <x v="2"/>
    <n v="160"/>
    <m/>
    <s v="F081325"/>
    <n v="43.740833333333327"/>
    <m/>
    <n v="10.4"/>
    <m/>
    <n v="54.140833333333326"/>
    <n v="274.86414444444449"/>
    <m/>
    <n v="520"/>
  </r>
  <r>
    <n v="10"/>
    <n v="2024"/>
    <s v="Auction"/>
    <s v="VROLIJK BLOEMEN"/>
    <s v="VROLIJK BLOEMEN"/>
    <x v="5"/>
    <s v="Grandiflora Roses"/>
    <s v="100CM"/>
    <n v="1"/>
    <n v="12"/>
    <n v="320"/>
    <n v="0.47"/>
    <n v="150.4"/>
    <s v="EUR"/>
    <m/>
    <m/>
    <x v="2"/>
    <n v="-80"/>
    <x v="0"/>
    <x v="4"/>
    <n v="400"/>
    <n v="0.69400000000000006"/>
    <n v="277.60000000000002"/>
    <n v="-18.611555555555523"/>
    <n v="258.9884444444445"/>
    <x v="2"/>
    <n v="80"/>
    <m/>
    <s v="F081325"/>
    <n v="43.740833333333327"/>
    <m/>
    <n v="8"/>
    <m/>
    <n v="51.740833333333327"/>
    <n v="207.24761111111115"/>
    <m/>
    <n v="400"/>
  </r>
  <r>
    <n v="10"/>
    <n v="2024"/>
    <s v="Auction"/>
    <s v="VROLIJK BLOEMEN"/>
    <s v="VROLIJK BLOEMEN"/>
    <x v="5"/>
    <s v="English Roses"/>
    <s v="50CM"/>
    <n v="1"/>
    <n v="12"/>
    <n v="480"/>
    <n v="0.38"/>
    <n v="182.4"/>
    <s v="EUR"/>
    <m/>
    <m/>
    <x v="2"/>
    <n v="0"/>
    <x v="1"/>
    <x v="5"/>
    <n v="480"/>
    <n v="0.25833333333333336"/>
    <n v="124.00000000000001"/>
    <n v="-22.33386666666663"/>
    <n v="101.66613333333339"/>
    <x v="2"/>
    <n v="0"/>
    <m/>
    <s v="F081325"/>
    <n v="43.740833333333327"/>
    <m/>
    <n v="9.6"/>
    <m/>
    <n v="53.340833333333329"/>
    <n v="48.325300000000063"/>
    <m/>
    <n v="480"/>
  </r>
  <r>
    <n v="10"/>
    <n v="2024"/>
    <s v="Auction"/>
    <s v="VROLIJK BLOEMEN"/>
    <s v="VROLIJK BLOEMEN"/>
    <x v="5"/>
    <s v="English Roses"/>
    <s v="60CM"/>
    <n v="1"/>
    <n v="12"/>
    <n v="480"/>
    <n v="0.47"/>
    <n v="225.6"/>
    <s v="EUR"/>
    <m/>
    <m/>
    <x v="2"/>
    <n v="0"/>
    <x v="1"/>
    <x v="0"/>
    <n v="480"/>
    <n v="0.35500000000000004"/>
    <n v="170.4"/>
    <n v="-22.33386666666663"/>
    <n v="148.06613333333337"/>
    <x v="2"/>
    <n v="0"/>
    <m/>
    <s v="F081325"/>
    <n v="43.740833333333327"/>
    <m/>
    <n v="9.6"/>
    <m/>
    <n v="53.340833333333329"/>
    <n v="94.725300000000033"/>
    <m/>
    <n v="480"/>
  </r>
  <r>
    <n v="10"/>
    <n v="2024"/>
    <s v="Auction"/>
    <s v="VROLIJK BLOEMEN"/>
    <s v="VROLIJK BLOEMEN"/>
    <x v="5"/>
    <s v="English Roses"/>
    <s v="70CM"/>
    <n v="1"/>
    <n v="12"/>
    <n v="400"/>
    <n v="0.52"/>
    <n v="208"/>
    <s v="EUR"/>
    <m/>
    <m/>
    <x v="2"/>
    <n v="-360"/>
    <x v="1"/>
    <x v="1"/>
    <n v="760"/>
    <n v="0.53368421052631587"/>
    <n v="405.60000000000008"/>
    <n v="-35.361955555555497"/>
    <n v="370.2380444444446"/>
    <x v="2"/>
    <n v="360"/>
    <m/>
    <s v="F081325"/>
    <n v="43.740833333333327"/>
    <m/>
    <n v="15.200000000000001"/>
    <m/>
    <n v="58.94083333333333"/>
    <n v="311.29721111111127"/>
    <m/>
    <n v="760"/>
  </r>
  <r>
    <n v="10"/>
    <n v="2024"/>
    <s v="Auction"/>
    <s v="VROLIJK BLOEMEN"/>
    <s v="VROLIJK BLOEMEN"/>
    <x v="5"/>
    <s v="English Roses"/>
    <s v="70CM"/>
    <n v="1"/>
    <n v="12"/>
    <n v="360"/>
    <n v="0.52"/>
    <n v="187.2"/>
    <s v="EUR"/>
    <m/>
    <m/>
    <x v="2"/>
    <n v="360"/>
    <x v="1"/>
    <x v="1"/>
    <m/>
    <m/>
    <n v="0"/>
    <n v="0"/>
    <n v="0"/>
    <x v="2"/>
    <n v="-360"/>
    <m/>
    <s v="F081325"/>
    <n v="43.740833333333327"/>
    <m/>
    <n v="0"/>
    <m/>
    <n v="43.740833333333327"/>
    <n v="-43.740833333333327"/>
    <m/>
    <n v="0"/>
  </r>
  <r>
    <n v="10"/>
    <n v="2024"/>
    <s v="Auction"/>
    <s v="VROLIJK BLOEMEN"/>
    <s v="VROLIJK BLOEMEN"/>
    <x v="5"/>
    <s v="English Roses"/>
    <s v="80CM"/>
    <n v="1"/>
    <n v="12"/>
    <n v="320"/>
    <n v="0.56999999999999995"/>
    <n v="182.4"/>
    <s v="EUR"/>
    <m/>
    <m/>
    <x v="2"/>
    <n v="-280"/>
    <x v="1"/>
    <x v="2"/>
    <n v="600"/>
    <n v="0.43133333333333335"/>
    <n v="258.8"/>
    <n v="-27.917333333333289"/>
    <n v="230.88266666666672"/>
    <x v="2"/>
    <n v="280"/>
    <m/>
    <s v="F081325"/>
    <n v="43.740833333333327"/>
    <m/>
    <n v="12"/>
    <m/>
    <n v="55.740833333333327"/>
    <n v="175.14183333333341"/>
    <m/>
    <n v="600"/>
  </r>
  <r>
    <n v="10"/>
    <n v="2024"/>
    <s v="Auction"/>
    <s v="VROLIJK BLOEMEN"/>
    <s v="VROLIJK BLOEMEN"/>
    <x v="5"/>
    <s v="English Roses"/>
    <s v="90CM"/>
    <n v="1"/>
    <n v="12"/>
    <n v="200"/>
    <n v="0.75"/>
    <n v="150"/>
    <s v="EUR"/>
    <m/>
    <m/>
    <x v="2"/>
    <n v="-40"/>
    <x v="1"/>
    <x v="3"/>
    <n v="240"/>
    <n v="0.41333333333333333"/>
    <n v="99.2"/>
    <n v="-11.166933333333315"/>
    <n v="88.033066666666684"/>
    <x v="2"/>
    <n v="40"/>
    <m/>
    <s v="F081325"/>
    <n v="43.740833333333327"/>
    <m/>
    <n v="4.8"/>
    <m/>
    <n v="48.540833333333325"/>
    <n v="39.49223333333336"/>
    <m/>
    <n v="240"/>
  </r>
  <r>
    <n v="10"/>
    <n v="2024"/>
    <s v="Auction"/>
    <s v="VROLIJK BLOEMEN"/>
    <s v="VROLIJK BLOEMEN"/>
    <x v="5"/>
    <s v="English Roses"/>
    <s v="100CM"/>
    <n v="1"/>
    <n v="12"/>
    <n v="200"/>
    <n v="0.94"/>
    <n v="188"/>
    <s v="EUR"/>
    <m/>
    <m/>
    <x v="2"/>
    <n v="0"/>
    <x v="1"/>
    <x v="4"/>
    <n v="200"/>
    <n v="0.44"/>
    <n v="88"/>
    <n v="-9.3057777777777613"/>
    <n v="78.694222222222237"/>
    <x v="2"/>
    <n v="0"/>
    <m/>
    <s v="F081325"/>
    <n v="43.740833333333327"/>
    <m/>
    <n v="4"/>
    <m/>
    <n v="47.740833333333327"/>
    <n v="30.953388888888909"/>
    <m/>
    <n v="200"/>
  </r>
  <r>
    <n v="10"/>
    <n v="2024"/>
    <s v="Auction"/>
    <s v="VROLIJK BLOEMEN"/>
    <s v="VROLIJK BLOEMEN"/>
    <x v="5"/>
    <s v="Floribunda Roses"/>
    <s v="70CM"/>
    <n v="3"/>
    <n v="36"/>
    <n v="1200"/>
    <n v="0.52"/>
    <n v="624"/>
    <s v="EUR"/>
    <m/>
    <m/>
    <x v="2"/>
    <n v="1200"/>
    <x v="2"/>
    <x v="1"/>
    <m/>
    <m/>
    <n v="0"/>
    <n v="0"/>
    <n v="0"/>
    <x v="2"/>
    <n v="-1200"/>
    <m/>
    <s v="F081325"/>
    <n v="131.2225"/>
    <m/>
    <n v="0"/>
    <m/>
    <n v="131.2225"/>
    <n v="-131.2225"/>
    <m/>
    <n v="0"/>
  </r>
  <r>
    <n v="10"/>
    <n v="2024"/>
    <s v="Auction"/>
    <s v="VROLIJK BLOEMEN"/>
    <s v="VROLIJK BLOEMEN"/>
    <x v="5"/>
    <s v="Floribunda Roses"/>
    <s v="80CM"/>
    <n v="1"/>
    <n v="12"/>
    <n v="320"/>
    <n v="0.56999999999999995"/>
    <n v="182.4"/>
    <s v="EUR"/>
    <m/>
    <m/>
    <x v="2"/>
    <n v="-80"/>
    <x v="2"/>
    <x v="2"/>
    <n v="400"/>
    <n v="0.80599999999999994"/>
    <n v="322.39999999999998"/>
    <n v="-18.611555555555523"/>
    <n v="303.78844444444445"/>
    <x v="2"/>
    <n v="80"/>
    <m/>
    <s v="F081325"/>
    <n v="43.740833333333327"/>
    <m/>
    <n v="8"/>
    <m/>
    <n v="51.740833333333327"/>
    <n v="252.04761111111111"/>
    <m/>
    <n v="400"/>
  </r>
  <r>
    <n v="10"/>
    <n v="2024"/>
    <s v="Auction"/>
    <s v="VROLIJK BLOEMEN"/>
    <s v="VROLIJK BLOEMEN"/>
    <x v="5"/>
    <s v="Floribunda Roses"/>
    <s v="90CM"/>
    <n v="1"/>
    <n v="12"/>
    <n v="200"/>
    <n v="0.75"/>
    <n v="150"/>
    <s v="EUR"/>
    <m/>
    <m/>
    <x v="2"/>
    <n v="-80"/>
    <x v="2"/>
    <x v="3"/>
    <n v="280"/>
    <n v="0.8342857142857143"/>
    <n v="233.6"/>
    <n v="-13.028088888888869"/>
    <n v="220.57191111111112"/>
    <x v="2"/>
    <n v="80"/>
    <m/>
    <s v="F081325"/>
    <n v="43.740833333333327"/>
    <m/>
    <n v="5.6000000000000005"/>
    <m/>
    <n v="49.340833333333329"/>
    <n v="171.23107777777778"/>
    <m/>
    <n v="280"/>
  </r>
  <r>
    <n v="10"/>
    <n v="2024"/>
    <s v="Auction"/>
    <s v="VROLIJK BLOEMEN"/>
    <s v="VROLIJK BLOEMEN"/>
    <x v="5"/>
    <s v="Floribunda Roses"/>
    <s v="100CM"/>
    <n v="1"/>
    <n v="12"/>
    <n v="200"/>
    <n v="0.94"/>
    <n v="188"/>
    <s v="EUR"/>
    <m/>
    <m/>
    <x v="2"/>
    <n v="0"/>
    <x v="2"/>
    <x v="4"/>
    <n v="200"/>
    <n v="0.82599999999999996"/>
    <n v="165.2"/>
    <n v="-9.3057777777777613"/>
    <n v="155.89422222222223"/>
    <x v="2"/>
    <n v="0"/>
    <m/>
    <s v="F081325"/>
    <n v="43.740833333333327"/>
    <m/>
    <n v="4"/>
    <m/>
    <n v="47.740833333333327"/>
    <n v="108.1533888888889"/>
    <m/>
    <n v="200"/>
  </r>
  <r>
    <n v="10"/>
    <n v="2024"/>
    <s v="Auction"/>
    <s v="VROLIJK BLOEMEN"/>
    <s v="VROLIJK BLOEMEN"/>
    <x v="5"/>
    <s v="Floribunda Roses"/>
    <s v="70CM"/>
    <n v="1"/>
    <n v="5.1428571428571423"/>
    <n v="120"/>
    <n v="0.52"/>
    <n v="62.4"/>
    <s v="EUR"/>
    <m/>
    <m/>
    <x v="2"/>
    <n v="-1160"/>
    <x v="2"/>
    <x v="1"/>
    <n v="1280"/>
    <n v="0.65749999999999997"/>
    <n v="841.59999999999991"/>
    <n v="-59.556977777777682"/>
    <n v="782.04302222222225"/>
    <x v="2"/>
    <n v="1160"/>
    <m/>
    <s v="F081325"/>
    <n v="18.746071428571426"/>
    <m/>
    <n v="25.6"/>
    <m/>
    <n v="44.346071428571427"/>
    <n v="737.69695079365079"/>
    <m/>
    <n v="1280"/>
  </r>
  <r>
    <n v="10"/>
    <n v="2024"/>
    <s v="Auction"/>
    <s v="VROLIJK BLOEMEN"/>
    <s v="VROLIJK BLOEMEN"/>
    <x v="5"/>
    <s v="Floribunda Roses"/>
    <s v="90CM"/>
    <m/>
    <n v="3.4285714285714284"/>
    <n v="80"/>
    <n v="0.75"/>
    <n v="60"/>
    <s v="EUR"/>
    <m/>
    <m/>
    <x v="2"/>
    <n v="80"/>
    <x v="2"/>
    <x v="3"/>
    <m/>
    <m/>
    <n v="0"/>
    <n v="0"/>
    <n v="0"/>
    <x v="2"/>
    <n v="-80"/>
    <m/>
    <s v="F081325"/>
    <n v="12.497380952380951"/>
    <m/>
    <n v="0"/>
    <m/>
    <n v="12.497380952380951"/>
    <n v="-12.497380952380951"/>
    <m/>
    <n v="0"/>
  </r>
  <r>
    <n v="10"/>
    <n v="2024"/>
    <s v="Auction"/>
    <s v="VROLIJK BLOEMEN"/>
    <s v="VROLIJK BLOEMEN"/>
    <x v="5"/>
    <s v="Floribunda Roses"/>
    <s v="80CM"/>
    <m/>
    <n v="3.4285714285714284"/>
    <n v="80"/>
    <n v="0.56999999999999995"/>
    <n v="45.6"/>
    <s v="EUR"/>
    <m/>
    <m/>
    <x v="2"/>
    <n v="80"/>
    <x v="2"/>
    <x v="2"/>
    <m/>
    <m/>
    <n v="0"/>
    <n v="0"/>
    <n v="0"/>
    <x v="2"/>
    <n v="-80"/>
    <m/>
    <s v="F081325"/>
    <n v="12.497380952380951"/>
    <m/>
    <n v="0"/>
    <m/>
    <n v="12.497380952380951"/>
    <n v="-12.497380952380951"/>
    <m/>
    <n v="0"/>
  </r>
  <r>
    <n v="10"/>
    <n v="2024"/>
    <s v="Auction"/>
    <s v="VROLIJK BLOEMEN"/>
    <s v="VROLIJK BLOEMEN"/>
    <x v="5"/>
    <s v="English Roses"/>
    <s v="90CM"/>
    <n v="1"/>
    <n v="1.5"/>
    <n v="40"/>
    <n v="0.75"/>
    <n v="30"/>
    <s v="EUR"/>
    <m/>
    <m/>
    <x v="2"/>
    <n v="40"/>
    <x v="1"/>
    <x v="3"/>
    <m/>
    <m/>
    <n v="0"/>
    <n v="0"/>
    <n v="0"/>
    <x v="2"/>
    <n v="-40"/>
    <m/>
    <s v="F081325"/>
    <n v="5.4676041666666659"/>
    <m/>
    <n v="0"/>
    <m/>
    <n v="5.4676041666666659"/>
    <n v="-5.4676041666666659"/>
    <m/>
    <n v="0"/>
  </r>
  <r>
    <n v="10"/>
    <n v="2024"/>
    <s v="Auction"/>
    <s v="VROLIJK BLOEMEN"/>
    <s v="VROLIJK BLOEMEN"/>
    <x v="5"/>
    <s v="English Roses"/>
    <s v="80CM"/>
    <m/>
    <n v="10.5"/>
    <n v="280"/>
    <n v="0.56999999999999995"/>
    <n v="159.6"/>
    <s v="EUR"/>
    <m/>
    <m/>
    <x v="2"/>
    <n v="280"/>
    <x v="1"/>
    <x v="2"/>
    <m/>
    <m/>
    <n v="0"/>
    <n v="0"/>
    <n v="0"/>
    <x v="2"/>
    <n v="-280"/>
    <m/>
    <s v="F081325"/>
    <n v="38.273229166666667"/>
    <m/>
    <n v="0"/>
    <m/>
    <n v="38.273229166666667"/>
    <n v="-38.273229166666667"/>
    <m/>
    <n v="0"/>
  </r>
  <r>
    <n v="10"/>
    <n v="2024"/>
    <s v="Auction"/>
    <s v="VROLIJK BLOEMEN"/>
    <s v="VROLIJK BLOEMEN"/>
    <x v="5"/>
    <s v="Polyantha Roses"/>
    <s v="50CM"/>
    <n v="1"/>
    <n v="1.3333333333333333"/>
    <n v="40"/>
    <n v="0.42"/>
    <n v="16.8"/>
    <s v="EUR"/>
    <m/>
    <m/>
    <x v="2"/>
    <n v="0"/>
    <x v="3"/>
    <x v="5"/>
    <n v="40"/>
    <n v="0.52"/>
    <n v="20.8"/>
    <n v="-1.8611555555555526"/>
    <n v="18.938844444444449"/>
    <x v="2"/>
    <n v="0"/>
    <m/>
    <s v="F081325"/>
    <n v="4.8600925925925926"/>
    <m/>
    <n v="0.8"/>
    <m/>
    <n v="5.6600925925925925"/>
    <n v="13.278751851851856"/>
    <m/>
    <n v="40"/>
  </r>
  <r>
    <n v="10"/>
    <n v="2024"/>
    <s v="Auction"/>
    <s v="VROLIJK BLOEMEN"/>
    <s v="VROLIJK BLOEMEN"/>
    <x v="5"/>
    <s v="Polyantha Roses"/>
    <s v="70CM"/>
    <m/>
    <n v="10.666666666666666"/>
    <n v="320"/>
    <n v="0.61"/>
    <n v="195.2"/>
    <s v="EUR"/>
    <m/>
    <m/>
    <x v="2"/>
    <n v="0"/>
    <x v="3"/>
    <x v="1"/>
    <n v="320"/>
    <n v="0.77"/>
    <n v="246.4"/>
    <n v="-14.889244444444421"/>
    <n v="231.51075555555559"/>
    <x v="2"/>
    <n v="0"/>
    <m/>
    <s v="F081325"/>
    <n v="38.880740740740741"/>
    <m/>
    <n v="6.4"/>
    <m/>
    <n v="45.28074074074074"/>
    <n v="186.23001481481487"/>
    <m/>
    <n v="320"/>
  </r>
  <r>
    <n v="10"/>
    <n v="2024"/>
    <s v="Auction"/>
    <s v="VROLIJK BLOEMEN"/>
    <s v="VROLIJK BLOEMEN"/>
    <x v="5"/>
    <s v="Polyantha Roses"/>
    <s v="60CM"/>
    <n v="1"/>
    <n v="4.5"/>
    <n v="120"/>
    <n v="0.52"/>
    <n v="62.4"/>
    <s v="EUR"/>
    <m/>
    <m/>
    <x v="2"/>
    <n v="0"/>
    <x v="3"/>
    <x v="0"/>
    <n v="120"/>
    <n v="0.68666666666666676"/>
    <n v="82.4"/>
    <n v="-5.5834666666666575"/>
    <n v="76.816533333333354"/>
    <x v="2"/>
    <n v="0"/>
    <m/>
    <s v="F081325"/>
    <n v="16.4028125"/>
    <m/>
    <n v="2.4"/>
    <m/>
    <n v="18.802812499999998"/>
    <n v="58.013720833333352"/>
    <m/>
    <n v="120"/>
  </r>
  <r>
    <n v="10"/>
    <n v="2024"/>
    <s v="Auction"/>
    <s v="VROLIJK BLOEMEN"/>
    <s v="VROLIJK BLOEMEN"/>
    <x v="5"/>
    <s v="Polyantha Roses"/>
    <s v="100CM"/>
    <m/>
    <n v="1.5"/>
    <n v="40"/>
    <n v="1.04"/>
    <n v="41.6"/>
    <s v="EUR"/>
    <m/>
    <m/>
    <x v="2"/>
    <n v="0"/>
    <x v="3"/>
    <x v="4"/>
    <n v="40"/>
    <n v="1.2"/>
    <n v="48"/>
    <n v="-1.8611555555555526"/>
    <n v="46.138844444444445"/>
    <x v="2"/>
    <n v="0"/>
    <m/>
    <s v="F081325"/>
    <n v="5.4676041666666659"/>
    <m/>
    <n v="0.8"/>
    <m/>
    <n v="6.2676041666666658"/>
    <n v="39.87124027777778"/>
    <m/>
    <n v="40"/>
  </r>
  <r>
    <n v="10"/>
    <n v="2024"/>
    <s v="Auction"/>
    <s v="VROLIJK BLOEMEN"/>
    <s v="VROLIJK BLOEMEN"/>
    <x v="5"/>
    <s v="Polyantha Roses"/>
    <s v="90CM"/>
    <m/>
    <n v="1.5"/>
    <n v="40"/>
    <n v="0.85"/>
    <n v="34"/>
    <s v="EUR"/>
    <m/>
    <m/>
    <x v="2"/>
    <n v="0"/>
    <x v="3"/>
    <x v="3"/>
    <n v="40"/>
    <n v="0.96"/>
    <n v="38.4"/>
    <n v="-1.8611555555555526"/>
    <n v="36.538844444444443"/>
    <x v="2"/>
    <n v="0"/>
    <m/>
    <s v="F081325"/>
    <n v="5.4676041666666659"/>
    <m/>
    <n v="0.8"/>
    <m/>
    <n v="6.2676041666666658"/>
    <n v="30.271240277777778"/>
    <m/>
    <n v="40"/>
  </r>
  <r>
    <n v="10"/>
    <n v="2024"/>
    <s v="Auction"/>
    <s v="VROLIJK BLOEMEN"/>
    <s v="VROLIJK BLOEMEN"/>
    <x v="5"/>
    <s v="Polyantha Roses"/>
    <s v="80CM"/>
    <m/>
    <n v="4.5"/>
    <n v="120"/>
    <n v="0.66"/>
    <n v="79.2"/>
    <s v="EUR"/>
    <m/>
    <m/>
    <x v="2"/>
    <n v="0"/>
    <x v="3"/>
    <x v="2"/>
    <n v="120"/>
    <n v="0.84333333333333338"/>
    <n v="101.2"/>
    <n v="-5.5834666666666575"/>
    <n v="95.616533333333351"/>
    <x v="2"/>
    <n v="0"/>
    <m/>
    <s v="F081325"/>
    <n v="16.4028125"/>
    <m/>
    <n v="2.4"/>
    <m/>
    <n v="18.802812499999998"/>
    <n v="76.813720833333349"/>
    <m/>
    <n v="120"/>
  </r>
  <r>
    <n v="10"/>
    <n v="2024"/>
    <s v="Auction"/>
    <s v="VROLIJK BLOEMEN"/>
    <s v="VROLIJK BLOEMEN"/>
    <x v="5"/>
    <s v="Grandiflora Roses"/>
    <s v="60CM"/>
    <n v="1"/>
    <n v="6.8571428571428568"/>
    <n v="320"/>
    <n v="0.24"/>
    <n v="76.8"/>
    <s v="EUR"/>
    <m/>
    <m/>
    <x v="2"/>
    <n v="320"/>
    <x v="0"/>
    <x v="0"/>
    <m/>
    <m/>
    <n v="0"/>
    <n v="0"/>
    <n v="0"/>
    <x v="2"/>
    <n v="-320"/>
    <m/>
    <s v="F081325"/>
    <n v="24.994761904761901"/>
    <m/>
    <n v="0"/>
    <m/>
    <n v="24.994761904761901"/>
    <n v="-24.994761904761901"/>
    <m/>
    <n v="0"/>
  </r>
  <r>
    <n v="10"/>
    <n v="2024"/>
    <s v="Auction"/>
    <s v="VROLIJK BLOEMEN"/>
    <s v="VROLIJK BLOEMEN"/>
    <x v="5"/>
    <s v="Grandiflora Roses"/>
    <s v="90CM"/>
    <m/>
    <n v="3.4285714285714284"/>
    <n v="160"/>
    <n v="0.38"/>
    <n v="60.8"/>
    <s v="EUR"/>
    <m/>
    <m/>
    <x v="2"/>
    <n v="160"/>
    <x v="0"/>
    <x v="3"/>
    <m/>
    <m/>
    <n v="0"/>
    <n v="0"/>
    <n v="0"/>
    <x v="2"/>
    <n v="-160"/>
    <m/>
    <s v="F081325"/>
    <n v="12.497380952380951"/>
    <m/>
    <n v="0"/>
    <m/>
    <n v="12.497380952380951"/>
    <n v="-12.497380952380951"/>
    <m/>
    <n v="0"/>
  </r>
  <r>
    <n v="10"/>
    <n v="2024"/>
    <s v="Auction"/>
    <s v="VROLIJK BLOEMEN"/>
    <s v="VROLIJK BLOEMEN"/>
    <x v="5"/>
    <s v="Grandiflora Roses"/>
    <s v="100CM"/>
    <m/>
    <n v="1.7142857142857142"/>
    <n v="80"/>
    <n v="0.47"/>
    <n v="37.6"/>
    <s v="EUR"/>
    <m/>
    <m/>
    <x v="2"/>
    <n v="80"/>
    <x v="0"/>
    <x v="4"/>
    <m/>
    <m/>
    <n v="0"/>
    <n v="0"/>
    <n v="0"/>
    <x v="2"/>
    <n v="-80"/>
    <m/>
    <s v="F081325"/>
    <n v="6.2486904761904754"/>
    <m/>
    <n v="0"/>
    <m/>
    <n v="6.2486904761904754"/>
    <n v="-6.2486904761904754"/>
    <m/>
    <n v="0"/>
  </r>
  <r>
    <n v="10"/>
    <n v="2024"/>
    <s v="Auction"/>
    <s v="VROLIJK BLOEMEN"/>
    <s v="VROLIJK BLOEMEN"/>
    <x v="5"/>
    <s v="Grandiflora Roses"/>
    <s v="70CM"/>
    <n v="1"/>
    <n v="6.545454545454545"/>
    <n v="240"/>
    <n v="0.28000000000000003"/>
    <n v="67.2"/>
    <s v="EUR"/>
    <m/>
    <m/>
    <x v="2"/>
    <n v="240"/>
    <x v="0"/>
    <x v="1"/>
    <m/>
    <m/>
    <n v="0"/>
    <n v="0"/>
    <n v="0"/>
    <x v="2"/>
    <n v="-240"/>
    <m/>
    <s v="F081325"/>
    <n v="23.858636363636361"/>
    <m/>
    <n v="0"/>
    <m/>
    <n v="23.858636363636361"/>
    <n v="-23.858636363636361"/>
    <m/>
    <n v="0"/>
  </r>
  <r>
    <n v="10"/>
    <n v="2024"/>
    <s v="Auction"/>
    <s v="VROLIJK BLOEMEN"/>
    <s v="VROLIJK BLOEMEN"/>
    <x v="5"/>
    <s v="Grandiflora Roses"/>
    <s v="80CM"/>
    <m/>
    <n v="5.4545454545454541"/>
    <n v="200"/>
    <n v="0.33"/>
    <n v="66"/>
    <s v="EUR"/>
    <m/>
    <m/>
    <x v="2"/>
    <n v="200"/>
    <x v="0"/>
    <x v="2"/>
    <m/>
    <m/>
    <n v="0"/>
    <n v="0"/>
    <n v="0"/>
    <x v="2"/>
    <n v="-200"/>
    <m/>
    <s v="F081325"/>
    <n v="19.882196969696967"/>
    <m/>
    <n v="0"/>
    <m/>
    <n v="19.882196969696967"/>
    <n v="-19.882196969696967"/>
    <m/>
    <n v="0"/>
  </r>
  <r>
    <n v="10"/>
    <n v="2024"/>
    <s v="Auction"/>
    <s v="VROLIJK BLOEMEN"/>
    <s v="VROLIJK BLOEMEN"/>
    <x v="6"/>
    <s v="Grandiflora Roses"/>
    <s v="60CM"/>
    <n v="1"/>
    <n v="12"/>
    <n v="720"/>
    <n v="0.24"/>
    <n v="172.8"/>
    <s v="EUR"/>
    <m/>
    <m/>
    <x v="2"/>
    <n v="0"/>
    <x v="0"/>
    <x v="0"/>
    <n v="720"/>
    <n v="0.5"/>
    <n v="360"/>
    <n v="-36.240428571428552"/>
    <n v="323.75957142857146"/>
    <x v="2"/>
    <n v="0"/>
    <m/>
    <s v="F081388"/>
    <n v="45.494"/>
    <m/>
    <n v="14.4"/>
    <m/>
    <n v="59.893999999999998"/>
    <n v="263.86557142857146"/>
    <m/>
    <n v="720"/>
  </r>
  <r>
    <n v="10"/>
    <n v="2024"/>
    <s v="Auction"/>
    <s v="VROLIJK BLOEMEN"/>
    <s v="VROLIJK BLOEMEN"/>
    <x v="6"/>
    <s v="Grandiflora Roses"/>
    <s v="70CM"/>
    <n v="1"/>
    <n v="12"/>
    <n v="520"/>
    <n v="0.28000000000000003"/>
    <n v="145.6"/>
    <s v="EUR"/>
    <m/>
    <m/>
    <x v="2"/>
    <n v="0"/>
    <x v="0"/>
    <x v="1"/>
    <n v="520"/>
    <n v="0.60615384615384615"/>
    <n v="315.2"/>
    <n v="-26.173642857142845"/>
    <n v="289.02635714285714"/>
    <x v="2"/>
    <n v="0"/>
    <m/>
    <s v="F081388"/>
    <n v="45.494"/>
    <m/>
    <n v="10.4"/>
    <m/>
    <n v="55.893999999999998"/>
    <n v="233.13235714285713"/>
    <m/>
    <n v="520"/>
  </r>
  <r>
    <n v="10"/>
    <n v="2024"/>
    <s v="Auction"/>
    <s v="VROLIJK BLOEMEN"/>
    <s v="VROLIJK BLOEMEN"/>
    <x v="6"/>
    <s v="Grandiflora Roses"/>
    <s v="80CM"/>
    <n v="1"/>
    <n v="12"/>
    <n v="480"/>
    <n v="0.33"/>
    <n v="158.4"/>
    <s v="EUR"/>
    <m/>
    <m/>
    <x v="2"/>
    <n v="0"/>
    <x v="0"/>
    <x v="2"/>
    <n v="480"/>
    <n v="0.72666666666666668"/>
    <n v="348.8"/>
    <n v="-24.160285714285706"/>
    <n v="324.63971428571432"/>
    <x v="2"/>
    <n v="0"/>
    <m/>
    <s v="F081388"/>
    <n v="45.494"/>
    <m/>
    <n v="9.6"/>
    <m/>
    <n v="55.094000000000001"/>
    <n v="269.54571428571433"/>
    <m/>
    <n v="480"/>
  </r>
  <r>
    <n v="10"/>
    <n v="2024"/>
    <s v="Auction"/>
    <s v="VROLIJK BLOEMEN"/>
    <s v="VROLIJK BLOEMEN"/>
    <x v="6"/>
    <s v="Polyantha Roses"/>
    <s v="90CM"/>
    <n v="1"/>
    <n v="12"/>
    <n v="200"/>
    <n v="0.85"/>
    <n v="170"/>
    <s v="EUR"/>
    <m/>
    <m/>
    <x v="2"/>
    <n v="0"/>
    <x v="3"/>
    <x v="3"/>
    <n v="200"/>
    <n v="0.89200000000000002"/>
    <n v="178.4"/>
    <n v="-10.066785714285711"/>
    <n v="168.33321428571429"/>
    <x v="2"/>
    <n v="0"/>
    <m/>
    <s v="F081388"/>
    <n v="45.494"/>
    <m/>
    <n v="4"/>
    <m/>
    <n v="49.494"/>
    <n v="118.83921428571429"/>
    <m/>
    <n v="200"/>
  </r>
  <r>
    <n v="10"/>
    <n v="2024"/>
    <s v="Auction"/>
    <s v="VROLIJK BLOEMEN"/>
    <s v="VROLIJK BLOEMEN"/>
    <x v="6"/>
    <s v="Polyantha Roses"/>
    <s v="100CM"/>
    <n v="1"/>
    <n v="12"/>
    <n v="160"/>
    <n v="1.04"/>
    <n v="166.4"/>
    <s v="EUR"/>
    <m/>
    <m/>
    <x v="2"/>
    <n v="0"/>
    <x v="3"/>
    <x v="4"/>
    <n v="160"/>
    <n v="1.0574999999999999"/>
    <n v="169.2"/>
    <n v="-8.0534285714285687"/>
    <n v="161.14657142857141"/>
    <x v="2"/>
    <n v="0"/>
    <m/>
    <s v="F081388"/>
    <n v="45.494"/>
    <m/>
    <n v="3.2"/>
    <m/>
    <n v="48.694000000000003"/>
    <n v="112.4525714285714"/>
    <m/>
    <n v="160"/>
  </r>
  <r>
    <n v="10"/>
    <n v="2024"/>
    <s v="Auction"/>
    <s v="VROLIJK BLOEMEN"/>
    <s v="VROLIJK BLOEMEN"/>
    <x v="6"/>
    <s v="English Roses"/>
    <s v="50CM"/>
    <n v="1"/>
    <n v="12"/>
    <n v="520"/>
    <n v="0.38"/>
    <n v="197.6"/>
    <s v="EUR"/>
    <m/>
    <m/>
    <x v="2"/>
    <n v="0"/>
    <x v="1"/>
    <x v="5"/>
    <n v="520"/>
    <n v="0.23769230769230767"/>
    <n v="123.6"/>
    <n v="-26.173642857142845"/>
    <n v="97.426357142857142"/>
    <x v="2"/>
    <n v="0"/>
    <m/>
    <s v="F081388"/>
    <n v="45.494"/>
    <m/>
    <n v="10.4"/>
    <m/>
    <n v="55.893999999999998"/>
    <n v="41.532357142857144"/>
    <m/>
    <n v="520"/>
  </r>
  <r>
    <n v="10"/>
    <n v="2024"/>
    <s v="Auction"/>
    <s v="VROLIJK BLOEMEN"/>
    <s v="VROLIJK BLOEMEN"/>
    <x v="6"/>
    <s v="English Roses"/>
    <s v="60CM"/>
    <n v="2"/>
    <n v="24"/>
    <n v="960"/>
    <n v="0.47"/>
    <n v="451.2"/>
    <s v="EUR"/>
    <m/>
    <m/>
    <x v="2"/>
    <n v="0"/>
    <x v="1"/>
    <x v="0"/>
    <n v="960"/>
    <n v="0.39916666666666667"/>
    <n v="383.2"/>
    <n v="-48.320571428571412"/>
    <n v="334.87942857142855"/>
    <x v="2"/>
    <n v="0"/>
    <m/>
    <s v="F081388"/>
    <n v="90.988"/>
    <m/>
    <n v="19.2"/>
    <m/>
    <n v="110.188"/>
    <n v="224.69142857142856"/>
    <m/>
    <n v="960"/>
  </r>
  <r>
    <n v="10"/>
    <n v="2024"/>
    <s v="Auction"/>
    <s v="VROLIJK BLOEMEN"/>
    <s v="VROLIJK BLOEMEN"/>
    <x v="6"/>
    <s v="English Roses"/>
    <s v="80CM"/>
    <n v="1"/>
    <n v="12"/>
    <n v="320"/>
    <n v="0.56999999999999995"/>
    <n v="182.4"/>
    <s v="EUR"/>
    <m/>
    <m/>
    <x v="2"/>
    <n v="0"/>
    <x v="1"/>
    <x v="2"/>
    <n v="320"/>
    <n v="0.70750000000000002"/>
    <n v="226.4"/>
    <n v="-16.106857142857137"/>
    <n v="210.29314285714287"/>
    <x v="2"/>
    <n v="0"/>
    <m/>
    <s v="F081388"/>
    <n v="45.494"/>
    <m/>
    <n v="6.4"/>
    <m/>
    <n v="51.893999999999998"/>
    <n v="158.39914285714286"/>
    <m/>
    <n v="320"/>
  </r>
  <r>
    <n v="10"/>
    <n v="2024"/>
    <s v="Auction"/>
    <s v="VROLIJK BLOEMEN"/>
    <s v="VROLIJK BLOEMEN"/>
    <x v="6"/>
    <s v="English Roses"/>
    <s v="90CM"/>
    <n v="1"/>
    <n v="12"/>
    <n v="200"/>
    <n v="0.75"/>
    <n v="150"/>
    <s v="EUR"/>
    <m/>
    <m/>
    <x v="2"/>
    <n v="0"/>
    <x v="1"/>
    <x v="3"/>
    <n v="200"/>
    <n v="0.63800000000000001"/>
    <n v="127.60000000000001"/>
    <n v="-10.066785714285711"/>
    <n v="117.53321428571429"/>
    <x v="2"/>
    <n v="0"/>
    <m/>
    <s v="F081388"/>
    <n v="45.494"/>
    <m/>
    <n v="4"/>
    <m/>
    <n v="49.494"/>
    <n v="68.039214285714294"/>
    <m/>
    <n v="200"/>
  </r>
  <r>
    <n v="10"/>
    <n v="2024"/>
    <s v="Auction"/>
    <s v="VROLIJK BLOEMEN"/>
    <s v="VROLIJK BLOEMEN"/>
    <x v="6"/>
    <s v="English Roses"/>
    <s v="100CM"/>
    <n v="1"/>
    <n v="12"/>
    <n v="200"/>
    <n v="0.94"/>
    <n v="188"/>
    <s v="EUR"/>
    <m/>
    <m/>
    <x v="2"/>
    <n v="0"/>
    <x v="1"/>
    <x v="4"/>
    <n v="200"/>
    <n v="0.7340000000000001"/>
    <n v="146.80000000000001"/>
    <n v="-10.066785714285711"/>
    <n v="136.7332142857143"/>
    <x v="2"/>
    <n v="0"/>
    <m/>
    <s v="F081388"/>
    <n v="45.494"/>
    <m/>
    <n v="4"/>
    <m/>
    <n v="49.494"/>
    <n v="87.239214285714297"/>
    <m/>
    <n v="200"/>
  </r>
  <r>
    <n v="10"/>
    <n v="2024"/>
    <s v="Auction"/>
    <s v="VROLIJK BLOEMEN"/>
    <s v="VROLIJK BLOEMEN"/>
    <x v="6"/>
    <s v="Floribunda Roses"/>
    <s v="70CM"/>
    <n v="1"/>
    <n v="12"/>
    <n v="400"/>
    <n v="0.52"/>
    <n v="208"/>
    <s v="EUR"/>
    <m/>
    <m/>
    <x v="2"/>
    <n v="400"/>
    <x v="2"/>
    <x v="1"/>
    <m/>
    <m/>
    <n v="0"/>
    <n v="0"/>
    <n v="0"/>
    <x v="2"/>
    <n v="-400"/>
    <m/>
    <s v="F081388"/>
    <n v="45.494"/>
    <m/>
    <n v="0"/>
    <m/>
    <n v="45.494"/>
    <n v="-45.494"/>
    <m/>
    <n v="0"/>
  </r>
  <r>
    <n v="10"/>
    <n v="2024"/>
    <s v="Auction"/>
    <s v="VROLIJK BLOEMEN"/>
    <s v="VROLIJK BLOEMEN"/>
    <x v="6"/>
    <s v="Floribunda Roses"/>
    <s v="70CM"/>
    <n v="1"/>
    <n v="4"/>
    <n v="80"/>
    <n v="0.52"/>
    <n v="41.6"/>
    <s v="EUR"/>
    <m/>
    <m/>
    <x v="2"/>
    <n v="-400"/>
    <x v="2"/>
    <x v="1"/>
    <n v="480"/>
    <n v="0.92749999999999999"/>
    <n v="445.2"/>
    <n v="-24.160285714285706"/>
    <n v="421.0397142857143"/>
    <x v="2"/>
    <n v="400"/>
    <m/>
    <s v="F081388"/>
    <n v="15.164666666666667"/>
    <m/>
    <n v="9.6"/>
    <m/>
    <n v="24.764666666666667"/>
    <n v="396.27504761904765"/>
    <m/>
    <n v="480"/>
  </r>
  <r>
    <n v="10"/>
    <n v="2024"/>
    <s v="Auction"/>
    <s v="VROLIJK BLOEMEN"/>
    <s v="VROLIJK BLOEMEN"/>
    <x v="6"/>
    <s v="Floribunda Roses"/>
    <s v="90CM"/>
    <m/>
    <n v="4"/>
    <n v="80"/>
    <n v="0.75"/>
    <n v="60"/>
    <s v="EUR"/>
    <m/>
    <m/>
    <x v="2"/>
    <n v="0"/>
    <x v="2"/>
    <x v="3"/>
    <n v="80"/>
    <n v="0.89"/>
    <n v="71.2"/>
    <n v="-4.0267142857142844"/>
    <n v="67.173285714285726"/>
    <x v="2"/>
    <n v="0"/>
    <m/>
    <s v="F081388"/>
    <n v="15.164666666666667"/>
    <m/>
    <n v="1.6"/>
    <m/>
    <n v="16.764666666666667"/>
    <n v="50.408619047619055"/>
    <m/>
    <n v="80"/>
  </r>
  <r>
    <n v="10"/>
    <n v="2024"/>
    <s v="Auction"/>
    <s v="VROLIJK BLOEMEN"/>
    <s v="VROLIJK BLOEMEN"/>
    <x v="6"/>
    <s v="Floribunda Roses"/>
    <s v="100CM"/>
    <m/>
    <n v="4"/>
    <n v="80"/>
    <n v="0.94"/>
    <n v="75.2"/>
    <s v="EUR"/>
    <m/>
    <m/>
    <x v="2"/>
    <n v="0"/>
    <x v="2"/>
    <x v="4"/>
    <n v="80"/>
    <n v="1"/>
    <n v="80"/>
    <n v="-4.0267142857142844"/>
    <n v="75.973285714285709"/>
    <x v="2"/>
    <n v="0"/>
    <m/>
    <s v="F081388"/>
    <n v="15.164666666666667"/>
    <m/>
    <n v="1.6"/>
    <m/>
    <n v="16.764666666666667"/>
    <n v="59.208619047619038"/>
    <m/>
    <n v="80"/>
  </r>
  <r>
    <n v="10"/>
    <n v="2024"/>
    <s v="Auction"/>
    <s v="VROLIJK BLOEMEN"/>
    <s v="VROLIJK BLOEMEN"/>
    <x v="6"/>
    <s v="Grandiflora Roses"/>
    <s v="90CM"/>
    <n v="1"/>
    <n v="5.333333333333333"/>
    <n v="160"/>
    <n v="0.38"/>
    <n v="60.8"/>
    <s v="EUR"/>
    <m/>
    <m/>
    <x v="2"/>
    <n v="-40"/>
    <x v="0"/>
    <x v="3"/>
    <n v="200"/>
    <n v="0.76200000000000001"/>
    <n v="152.4"/>
    <n v="-10.066785714285711"/>
    <n v="142.33321428571429"/>
    <x v="2"/>
    <n v="40"/>
    <m/>
    <s v="F081388"/>
    <n v="20.219555555555552"/>
    <m/>
    <n v="4"/>
    <m/>
    <n v="24.219555555555552"/>
    <n v="118.11365873015873"/>
    <m/>
    <n v="200"/>
  </r>
  <r>
    <n v="10"/>
    <n v="2024"/>
    <s v="Auction"/>
    <s v="VROLIJK BLOEMEN"/>
    <s v="VROLIJK BLOEMEN"/>
    <x v="6"/>
    <s v="Grandiflora Roses"/>
    <s v="100CM"/>
    <m/>
    <n v="6.666666666666667"/>
    <n v="200"/>
    <n v="0.47"/>
    <n v="94"/>
    <s v="EUR"/>
    <m/>
    <m/>
    <x v="2"/>
    <n v="40"/>
    <x v="0"/>
    <x v="4"/>
    <n v="160"/>
    <n v="0.81500000000000006"/>
    <n v="130.4"/>
    <n v="-8.0534285714285687"/>
    <n v="122.34657142857144"/>
    <x v="2"/>
    <n v="-40"/>
    <m/>
    <s v="F081388"/>
    <n v="25.274444444444448"/>
    <m/>
    <n v="3.2"/>
    <m/>
    <n v="28.474444444444448"/>
    <n v="93.872126984126993"/>
    <m/>
    <n v="160"/>
  </r>
  <r>
    <n v="10"/>
    <n v="2024"/>
    <s v="Auction"/>
    <s v="VROLIJK BLOEMEN"/>
    <s v="VROLIJK BLOEMEN"/>
    <x v="6"/>
    <s v="Floribunda Roses"/>
    <s v="60CM"/>
    <n v="1"/>
    <n v="6"/>
    <n v="160"/>
    <n v="0.47"/>
    <n v="75.2"/>
    <s v="EUR"/>
    <m/>
    <m/>
    <x v="2"/>
    <n v="0"/>
    <x v="2"/>
    <x v="0"/>
    <n v="160"/>
    <n v="0.64"/>
    <n v="102.4"/>
    <n v="-8.0534285714285687"/>
    <n v="94.346571428571437"/>
    <x v="2"/>
    <n v="0"/>
    <m/>
    <s v="F081388"/>
    <n v="22.747"/>
    <m/>
    <n v="3.2"/>
    <m/>
    <n v="25.946999999999999"/>
    <n v="68.399571428571434"/>
    <m/>
    <n v="160"/>
  </r>
  <r>
    <n v="10"/>
    <n v="2024"/>
    <s v="Auction"/>
    <s v="VROLIJK BLOEMEN"/>
    <s v="VROLIJK BLOEMEN"/>
    <x v="6"/>
    <s v="Floribunda Roses"/>
    <s v="80CM"/>
    <m/>
    <n v="6"/>
    <n v="160"/>
    <n v="0.56999999999999995"/>
    <n v="91.2"/>
    <s v="EUR"/>
    <m/>
    <m/>
    <x v="2"/>
    <n v="0"/>
    <x v="2"/>
    <x v="2"/>
    <n v="160"/>
    <n v="1.0925"/>
    <n v="174.8"/>
    <n v="-8.0534285714285687"/>
    <n v="166.74657142857143"/>
    <x v="2"/>
    <n v="0"/>
    <m/>
    <s v="F081388"/>
    <n v="22.747"/>
    <m/>
    <n v="3.2"/>
    <m/>
    <n v="25.946999999999999"/>
    <n v="140.79957142857143"/>
    <m/>
    <n v="160"/>
  </r>
  <r>
    <n v="10"/>
    <n v="2024"/>
    <s v="Auction"/>
    <s v="VROLIJK BLOEMEN"/>
    <s v="VROLIJK BLOEMEN"/>
    <x v="7"/>
    <s v="Polyantha Roses"/>
    <s v="100CM"/>
    <n v="1"/>
    <n v="12"/>
    <n v="200"/>
    <n v="1.04"/>
    <n v="208"/>
    <s v="EUR"/>
    <m/>
    <m/>
    <x v="0"/>
    <n v="0"/>
    <x v="3"/>
    <x v="4"/>
    <n v="200"/>
    <n v="1.23"/>
    <n v="246"/>
    <n v="-10.009950248756233"/>
    <n v="235.99004975124376"/>
    <x v="0"/>
    <n v="0"/>
    <m/>
    <n v="432050"/>
    <n v="42.864444444444437"/>
    <m/>
    <n v="4"/>
    <m/>
    <n v="46.864444444444437"/>
    <n v="189.12560530679932"/>
    <m/>
    <n v="200"/>
  </r>
  <r>
    <n v="10"/>
    <n v="2024"/>
    <s v="Auction"/>
    <s v="VROLIJK BLOEMEN"/>
    <s v="VROLIJK BLOEMEN"/>
    <x v="7"/>
    <s v="Grandiflora Roses"/>
    <s v="70CM"/>
    <n v="1"/>
    <n v="12"/>
    <n v="520"/>
    <n v="0.28000000000000003"/>
    <n v="145.6"/>
    <s v="EUR"/>
    <m/>
    <m/>
    <x v="0"/>
    <n v="0"/>
    <x v="0"/>
    <x v="1"/>
    <n v="520"/>
    <n v="0.58538461538461539"/>
    <n v="304.39999999999998"/>
    <n v="-26.025870646766204"/>
    <n v="278.3741293532338"/>
    <x v="0"/>
    <n v="0"/>
    <m/>
    <n v="432050"/>
    <n v="42.864444444444437"/>
    <m/>
    <n v="10.4"/>
    <m/>
    <n v="53.264444444444436"/>
    <n v="225.10968490878935"/>
    <m/>
    <n v="520"/>
  </r>
  <r>
    <n v="10"/>
    <n v="2024"/>
    <s v="Auction"/>
    <s v="VROLIJK BLOEMEN"/>
    <s v="VROLIJK BLOEMEN"/>
    <x v="7"/>
    <s v="Grandiflora Roses"/>
    <s v="80CM"/>
    <n v="1"/>
    <n v="12"/>
    <n v="480"/>
    <n v="0.33"/>
    <n v="158.4"/>
    <s v="EUR"/>
    <m/>
    <m/>
    <x v="0"/>
    <n v="-200"/>
    <x v="0"/>
    <x v="2"/>
    <n v="680"/>
    <n v="0.51294117647058823"/>
    <n v="348.8"/>
    <n v="-34.033830845771185"/>
    <n v="314.76616915422881"/>
    <x v="0"/>
    <n v="200"/>
    <m/>
    <n v="432050"/>
    <n v="42.864444444444437"/>
    <m/>
    <n v="13.6"/>
    <m/>
    <n v="56.464444444444439"/>
    <n v="258.30172470978437"/>
    <m/>
    <n v="680"/>
  </r>
  <r>
    <n v="10"/>
    <n v="2024"/>
    <s v="Auction"/>
    <s v="VROLIJK BLOEMEN"/>
    <s v="VROLIJK BLOEMEN"/>
    <x v="7"/>
    <s v="Grandiflora Roses"/>
    <s v="90CM"/>
    <n v="1"/>
    <n v="12"/>
    <n v="360"/>
    <n v="0.38"/>
    <n v="136.80000000000001"/>
    <s v="EUR"/>
    <m/>
    <m/>
    <x v="0"/>
    <n v="-160"/>
    <x v="0"/>
    <x v="3"/>
    <n v="520"/>
    <n v="0.67461538461538462"/>
    <n v="350.8"/>
    <n v="-26.025870646766204"/>
    <n v="324.77412935323383"/>
    <x v="0"/>
    <n v="160"/>
    <m/>
    <n v="432050"/>
    <n v="42.864444444444437"/>
    <m/>
    <n v="10.4"/>
    <m/>
    <n v="53.264444444444436"/>
    <n v="271.50968490878938"/>
    <m/>
    <n v="520"/>
  </r>
  <r>
    <n v="10"/>
    <n v="2024"/>
    <s v="Auction"/>
    <s v="VROLIJK BLOEMEN"/>
    <s v="VROLIJK BLOEMEN"/>
    <x v="7"/>
    <s v="Grandiflora Roses"/>
    <s v="100CM"/>
    <n v="1"/>
    <n v="12"/>
    <n v="320"/>
    <n v="0.47"/>
    <n v="150.4"/>
    <s v="EUR"/>
    <m/>
    <m/>
    <x v="0"/>
    <n v="0"/>
    <x v="0"/>
    <x v="4"/>
    <n v="320"/>
    <n v="0.70374999999999999"/>
    <n v="225.2"/>
    <n v="-16.015920398009971"/>
    <n v="209.18407960199002"/>
    <x v="0"/>
    <n v="0"/>
    <m/>
    <n v="432050"/>
    <n v="42.864444444444437"/>
    <m/>
    <n v="6.4"/>
    <m/>
    <n v="49.264444444444436"/>
    <n v="159.9196351575456"/>
    <m/>
    <n v="320"/>
  </r>
  <r>
    <n v="10"/>
    <n v="2024"/>
    <s v="Auction"/>
    <s v="VROLIJK BLOEMEN"/>
    <s v="VROLIJK BLOEMEN"/>
    <x v="7"/>
    <s v="English Roses"/>
    <s v="60CM"/>
    <n v="1"/>
    <n v="12"/>
    <n v="440"/>
    <n v="0.47"/>
    <n v="206.8"/>
    <s v="EUR"/>
    <m/>
    <m/>
    <x v="0"/>
    <n v="0"/>
    <x v="1"/>
    <x v="0"/>
    <n v="440"/>
    <n v="0.37545454545454543"/>
    <n v="165.2"/>
    <n v="-22.021890547263709"/>
    <n v="143.17810945273629"/>
    <x v="0"/>
    <n v="0"/>
    <m/>
    <n v="432050"/>
    <n v="42.864444444444437"/>
    <m/>
    <n v="8.8000000000000007"/>
    <m/>
    <n v="51.664444444444442"/>
    <n v="91.513665008291852"/>
    <m/>
    <n v="440"/>
  </r>
  <r>
    <n v="10"/>
    <n v="2024"/>
    <s v="Auction"/>
    <s v="VROLIJK BLOEMEN"/>
    <s v="VROLIJK BLOEMEN"/>
    <x v="7"/>
    <s v="English Roses"/>
    <s v="80CM"/>
    <n v="1"/>
    <n v="12"/>
    <n v="240"/>
    <n v="0.56999999999999995"/>
    <n v="136.80000000000001"/>
    <s v="EUR"/>
    <m/>
    <m/>
    <x v="0"/>
    <n v="240"/>
    <x v="1"/>
    <x v="2"/>
    <m/>
    <m/>
    <n v="0"/>
    <n v="0"/>
    <n v="0"/>
    <x v="0"/>
    <n v="-240"/>
    <m/>
    <n v="432050"/>
    <n v="42.864444444444437"/>
    <m/>
    <n v="0"/>
    <m/>
    <n v="42.864444444444437"/>
    <n v="-42.864444444444437"/>
    <m/>
    <n v="0"/>
  </r>
  <r>
    <n v="10"/>
    <n v="2024"/>
    <s v="Auction"/>
    <s v="VROLIJK BLOEMEN"/>
    <s v="VROLIJK BLOEMEN"/>
    <x v="7"/>
    <s v="English Roses"/>
    <s v="80CM"/>
    <n v="1"/>
    <n v="12"/>
    <n v="320"/>
    <n v="0.56999999999999995"/>
    <n v="182.4"/>
    <s v="EUR"/>
    <m/>
    <m/>
    <x v="0"/>
    <n v="-240"/>
    <x v="1"/>
    <x v="2"/>
    <n v="560"/>
    <n v="0.6607142857142857"/>
    <n v="370"/>
    <n v="-28.02786069651745"/>
    <n v="341.97213930348255"/>
    <x v="0"/>
    <n v="240"/>
    <m/>
    <n v="432050"/>
    <n v="42.864444444444437"/>
    <m/>
    <n v="11.200000000000001"/>
    <m/>
    <n v="54.06444444444444"/>
    <n v="287.90769485903809"/>
    <m/>
    <n v="560"/>
  </r>
  <r>
    <n v="10"/>
    <n v="2024"/>
    <s v="Auction"/>
    <s v="VROLIJK BLOEMEN"/>
    <s v="VROLIJK BLOEMEN"/>
    <x v="7"/>
    <s v="English Roses"/>
    <s v="90CM"/>
    <n v="2"/>
    <n v="24"/>
    <n v="400"/>
    <n v="0.75"/>
    <n v="300"/>
    <s v="EUR"/>
    <m/>
    <m/>
    <x v="0"/>
    <n v="-200"/>
    <x v="1"/>
    <x v="3"/>
    <n v="600"/>
    <n v="0.71"/>
    <n v="426"/>
    <n v="-30.029850746268696"/>
    <n v="395.97014925373128"/>
    <x v="0"/>
    <n v="200"/>
    <m/>
    <n v="432050"/>
    <n v="85.728888888888875"/>
    <m/>
    <n v="12"/>
    <m/>
    <n v="97.728888888888875"/>
    <n v="298.24126036484239"/>
    <m/>
    <n v="600"/>
  </r>
  <r>
    <n v="10"/>
    <n v="2024"/>
    <s v="Auction"/>
    <s v="VROLIJK BLOEMEN"/>
    <s v="VROLIJK BLOEMEN"/>
    <x v="7"/>
    <s v="English Roses"/>
    <s v="90CM"/>
    <n v="1"/>
    <n v="12"/>
    <n v="240"/>
    <n v="0.75"/>
    <n v="180"/>
    <s v="EUR"/>
    <m/>
    <m/>
    <x v="0"/>
    <n v="240"/>
    <x v="1"/>
    <x v="3"/>
    <m/>
    <m/>
    <n v="0"/>
    <n v="0"/>
    <n v="0"/>
    <x v="0"/>
    <n v="-240"/>
    <m/>
    <n v="432050"/>
    <n v="42.864444444444437"/>
    <m/>
    <n v="0"/>
    <m/>
    <n v="42.864444444444437"/>
    <n v="-42.864444444444437"/>
    <m/>
    <n v="0"/>
  </r>
  <r>
    <n v="10"/>
    <n v="2024"/>
    <s v="Auction"/>
    <s v="VROLIJK BLOEMEN"/>
    <s v="VROLIJK BLOEMEN"/>
    <x v="7"/>
    <s v="English Roses"/>
    <s v="100CM"/>
    <n v="1"/>
    <n v="12"/>
    <n v="200"/>
    <n v="0.94"/>
    <n v="188"/>
    <s v="EUR"/>
    <m/>
    <m/>
    <x v="0"/>
    <n v="200"/>
    <x v="1"/>
    <x v="4"/>
    <m/>
    <m/>
    <n v="0"/>
    <n v="0"/>
    <n v="0"/>
    <x v="0"/>
    <n v="-200"/>
    <m/>
    <n v="432050"/>
    <n v="42.864444444444437"/>
    <m/>
    <n v="0"/>
    <m/>
    <n v="42.864444444444437"/>
    <n v="-42.864444444444437"/>
    <m/>
    <n v="0"/>
  </r>
  <r>
    <n v="10"/>
    <n v="2024"/>
    <s v="Auction"/>
    <s v="VROLIJK BLOEMEN"/>
    <s v="VROLIJK BLOEMEN"/>
    <x v="7"/>
    <s v="English Roses"/>
    <s v="100CM"/>
    <n v="2"/>
    <n v="24"/>
    <n v="320"/>
    <n v="0.94"/>
    <n v="300.8"/>
    <s v="EUR"/>
    <m/>
    <m/>
    <x v="0"/>
    <n v="-160"/>
    <x v="1"/>
    <x v="4"/>
    <n v="480"/>
    <n v="0.5575"/>
    <n v="267.60000000000002"/>
    <n v="-24.023880597014958"/>
    <n v="243.57611940298506"/>
    <x v="0"/>
    <n v="160"/>
    <m/>
    <n v="432050"/>
    <n v="85.728888888888875"/>
    <m/>
    <n v="9.6"/>
    <m/>
    <n v="95.328888888888869"/>
    <n v="148.2472305140962"/>
    <m/>
    <n v="480"/>
  </r>
  <r>
    <n v="10"/>
    <n v="2024"/>
    <s v="Auction"/>
    <s v="VROLIJK BLOEMEN"/>
    <s v="VROLIJK BLOEMEN"/>
    <x v="7"/>
    <s v="Floribunda Roses"/>
    <s v="70CM"/>
    <n v="3"/>
    <n v="36"/>
    <n v="1200"/>
    <n v="0.52"/>
    <n v="624"/>
    <s v="EUR"/>
    <m/>
    <m/>
    <x v="0"/>
    <n v="0"/>
    <x v="2"/>
    <x v="1"/>
    <n v="1200"/>
    <n v="0.48466666666666669"/>
    <n v="581.6"/>
    <n v="-60.059701492537393"/>
    <n v="521.54029850746258"/>
    <x v="0"/>
    <n v="0"/>
    <m/>
    <n v="432050"/>
    <n v="128.59333333333331"/>
    <m/>
    <n v="24"/>
    <m/>
    <n v="152.59333333333331"/>
    <n v="368.94696517412928"/>
    <m/>
    <n v="1200"/>
  </r>
  <r>
    <n v="10"/>
    <n v="2024"/>
    <s v="Auction"/>
    <s v="VROLIJK BLOEMEN"/>
    <s v="VROLIJK BLOEMEN"/>
    <x v="7"/>
    <s v="Floribunda Roses"/>
    <s v="80CM"/>
    <n v="2"/>
    <n v="24"/>
    <n v="640"/>
    <n v="0.56999999999999995"/>
    <n v="364.8"/>
    <s v="EUR"/>
    <m/>
    <m/>
    <x v="0"/>
    <n v="0"/>
    <x v="2"/>
    <x v="2"/>
    <n v="640"/>
    <n v="0.81937499999999996"/>
    <n v="524.4"/>
    <n v="-32.031840796019942"/>
    <n v="492.36815920398004"/>
    <x v="0"/>
    <n v="0"/>
    <m/>
    <n v="432050"/>
    <n v="85.728888888888875"/>
    <m/>
    <n v="12.8"/>
    <m/>
    <n v="98.528888888888872"/>
    <n v="393.8392703150912"/>
    <m/>
    <n v="640"/>
  </r>
  <r>
    <n v="10"/>
    <n v="2024"/>
    <s v="Auction"/>
    <s v="VROLIJK BLOEMEN"/>
    <s v="VROLIJK BLOEMEN"/>
    <x v="7"/>
    <s v="Floribunda Roses"/>
    <s v="90CM"/>
    <n v="2"/>
    <n v="24"/>
    <n v="480"/>
    <n v="0.75"/>
    <n v="360"/>
    <s v="EUR"/>
    <m/>
    <m/>
    <x v="0"/>
    <n v="0"/>
    <x v="2"/>
    <x v="3"/>
    <n v="480"/>
    <n v="0.91833333333333333"/>
    <n v="440.8"/>
    <n v="-24.023880597014958"/>
    <n v="416.77611940298505"/>
    <x v="0"/>
    <n v="0"/>
    <m/>
    <n v="432050"/>
    <n v="85.728888888888875"/>
    <m/>
    <n v="9.6"/>
    <m/>
    <n v="95.328888888888869"/>
    <n v="321.44723051409619"/>
    <m/>
    <n v="480"/>
  </r>
  <r>
    <n v="10"/>
    <n v="2024"/>
    <s v="Auction"/>
    <s v="VROLIJK BLOEMEN"/>
    <s v="VROLIJK BLOEMEN"/>
    <x v="7"/>
    <s v="Floribunda Roses"/>
    <s v="100CM"/>
    <n v="1"/>
    <n v="12"/>
    <n v="200"/>
    <n v="0.94"/>
    <n v="188"/>
    <s v="EUR"/>
    <m/>
    <m/>
    <x v="0"/>
    <n v="-160"/>
    <x v="2"/>
    <x v="4"/>
    <n v="360"/>
    <n v="0.68222222222222217"/>
    <n v="245.6"/>
    <n v="-18.017910447761221"/>
    <n v="227.58208955223878"/>
    <x v="0"/>
    <n v="160"/>
    <m/>
    <n v="432050"/>
    <n v="42.864444444444437"/>
    <m/>
    <n v="7.2"/>
    <m/>
    <n v="50.06444444444444"/>
    <n v="177.51764510779435"/>
    <m/>
    <n v="360"/>
  </r>
  <r>
    <n v="10"/>
    <n v="2024"/>
    <s v="Auction"/>
    <s v="VROLIJK BLOEMEN"/>
    <s v="VROLIJK BLOEMEN"/>
    <x v="7"/>
    <s v="Floribunda Roses"/>
    <s v="100CM"/>
    <n v="1"/>
    <n v="12"/>
    <n v="160"/>
    <n v="0.94"/>
    <n v="150.4"/>
    <s v="EUR"/>
    <m/>
    <m/>
    <x v="0"/>
    <n v="160"/>
    <x v="2"/>
    <x v="4"/>
    <m/>
    <m/>
    <n v="0"/>
    <n v="0"/>
    <n v="0"/>
    <x v="0"/>
    <n v="-160"/>
    <m/>
    <n v="432050"/>
    <n v="42.864444444444437"/>
    <m/>
    <n v="0"/>
    <m/>
    <n v="42.864444444444437"/>
    <n v="-42.864444444444437"/>
    <m/>
    <n v="0"/>
  </r>
  <r>
    <n v="10"/>
    <n v="2024"/>
    <s v="Auction"/>
    <s v="VROLIJK BLOEMEN"/>
    <s v="VROLIJK BLOEMEN"/>
    <x v="7"/>
    <s v="Polyantha Roses"/>
    <s v="100CM"/>
    <n v="1"/>
    <n v="2.4000000000000004"/>
    <n v="40"/>
    <n v="1.04"/>
    <n v="41.6"/>
    <s v="EUR"/>
    <m/>
    <m/>
    <x v="0"/>
    <n v="40"/>
    <x v="3"/>
    <x v="4"/>
    <m/>
    <m/>
    <n v="0"/>
    <n v="0"/>
    <n v="0"/>
    <x v="0"/>
    <n v="-40"/>
    <m/>
    <n v="432050"/>
    <n v="8.5728888888888903"/>
    <m/>
    <n v="0"/>
    <m/>
    <n v="8.5728888888888903"/>
    <n v="-8.5728888888888903"/>
    <m/>
    <n v="0"/>
  </r>
  <r>
    <n v="10"/>
    <n v="2024"/>
    <s v="Auction"/>
    <s v="VROLIJK BLOEMEN"/>
    <s v="VROLIJK BLOEMEN"/>
    <x v="7"/>
    <s v="Polyantha Roses"/>
    <s v="90CM"/>
    <m/>
    <n v="4.8000000000000007"/>
    <n v="80"/>
    <n v="0.85"/>
    <n v="68"/>
    <s v="EUR"/>
    <m/>
    <m/>
    <x v="0"/>
    <n v="-40"/>
    <x v="3"/>
    <x v="3"/>
    <n v="120"/>
    <n v="0.91"/>
    <n v="109.2"/>
    <n v="-6.0059701492537396"/>
    <n v="103.19402985074626"/>
    <x v="0"/>
    <n v="40"/>
    <m/>
    <n v="432050"/>
    <n v="17.145777777777781"/>
    <m/>
    <n v="2.4"/>
    <m/>
    <n v="19.545777777777779"/>
    <n v="83.648252072968489"/>
    <m/>
    <n v="120"/>
  </r>
  <r>
    <n v="10"/>
    <n v="2024"/>
    <s v="Auction"/>
    <s v="VROLIJK BLOEMEN"/>
    <s v="VROLIJK BLOEMEN"/>
    <x v="7"/>
    <s v="Polyantha Roses"/>
    <s v="80CM"/>
    <m/>
    <n v="4.8000000000000007"/>
    <n v="80"/>
    <n v="0.66"/>
    <n v="52.8"/>
    <s v="EUR"/>
    <m/>
    <m/>
    <x v="0"/>
    <n v="0"/>
    <x v="3"/>
    <x v="2"/>
    <n v="80"/>
    <n v="0.8"/>
    <n v="64"/>
    <n v="-4.0039800995024928"/>
    <n v="59.996019900497508"/>
    <x v="0"/>
    <n v="0"/>
    <m/>
    <n v="432050"/>
    <n v="17.145777777777781"/>
    <m/>
    <n v="1.6"/>
    <m/>
    <n v="18.745777777777782"/>
    <n v="41.250242122719726"/>
    <m/>
    <n v="80"/>
  </r>
  <r>
    <n v="10"/>
    <n v="2024"/>
    <s v="Auction"/>
    <s v="VROLIJK BLOEMEN"/>
    <s v="VROLIJK BLOEMEN"/>
    <x v="7"/>
    <s v="Polyantha Roses"/>
    <s v="60CM"/>
    <n v="1"/>
    <n v="9.6000000000000014"/>
    <n v="320"/>
    <n v="0.52"/>
    <n v="166.4"/>
    <s v="EUR"/>
    <m/>
    <m/>
    <x v="0"/>
    <n v="0"/>
    <x v="3"/>
    <x v="0"/>
    <n v="320"/>
    <n v="0.51"/>
    <n v="163.19999999999999"/>
    <n v="-16.015920398009971"/>
    <n v="147.18407960199002"/>
    <x v="0"/>
    <n v="0"/>
    <m/>
    <n v="432050"/>
    <n v="34.291555555555561"/>
    <m/>
    <n v="6.4"/>
    <m/>
    <n v="40.69155555555556"/>
    <n v="106.49252404643445"/>
    <m/>
    <n v="320"/>
  </r>
  <r>
    <n v="10"/>
    <n v="2024"/>
    <s v="Auction"/>
    <s v="VROLIJK BLOEMEN"/>
    <s v="VROLIJK BLOEMEN"/>
    <x v="7"/>
    <s v="Polyantha Roses"/>
    <s v="50CM"/>
    <m/>
    <n v="2.4000000000000004"/>
    <n v="80"/>
    <n v="0.42"/>
    <n v="33.6"/>
    <s v="EUR"/>
    <m/>
    <m/>
    <x v="0"/>
    <n v="0"/>
    <x v="3"/>
    <x v="5"/>
    <n v="80"/>
    <n v="0.44000000000000006"/>
    <n v="35.200000000000003"/>
    <n v="-4.0039800995024928"/>
    <n v="31.196019900497511"/>
    <x v="0"/>
    <n v="0"/>
    <m/>
    <n v="432050"/>
    <n v="8.5728888888888903"/>
    <m/>
    <n v="1.6"/>
    <m/>
    <n v="10.17288888888889"/>
    <n v="21.023131011608619"/>
    <m/>
    <n v="80"/>
  </r>
  <r>
    <n v="10"/>
    <n v="2024"/>
    <s v="Auction"/>
    <s v="VROLIJK BLOEMEN"/>
    <s v="VROLIJK BLOEMEN"/>
    <x v="7"/>
    <s v="English Roses"/>
    <s v="50CM"/>
    <n v="1"/>
    <n v="5.4545454545454541"/>
    <n v="200"/>
    <n v="0.38"/>
    <n v="76"/>
    <s v="EUR"/>
    <m/>
    <m/>
    <x v="0"/>
    <n v="0"/>
    <x v="1"/>
    <x v="5"/>
    <n v="200"/>
    <n v="0.314"/>
    <n v="62.8"/>
    <n v="-10.009950248756233"/>
    <n v="52.790049751243764"/>
    <x v="0"/>
    <n v="0"/>
    <m/>
    <n v="432050"/>
    <n v="19.483838383838382"/>
    <m/>
    <n v="4"/>
    <m/>
    <n v="23.483838383838382"/>
    <n v="29.306211367405382"/>
    <m/>
    <n v="200"/>
  </r>
  <r>
    <n v="10"/>
    <n v="2024"/>
    <s v="Auction"/>
    <s v="VROLIJK BLOEMEN"/>
    <s v="VROLIJK BLOEMEN"/>
    <x v="7"/>
    <s v="English Roses"/>
    <s v="70CM"/>
    <m/>
    <n v="6.545454545454545"/>
    <n v="240"/>
    <n v="0.52"/>
    <n v="124.8"/>
    <s v="EUR"/>
    <m/>
    <m/>
    <x v="0"/>
    <n v="0"/>
    <x v="1"/>
    <x v="1"/>
    <n v="240"/>
    <n v="0.4"/>
    <n v="96"/>
    <n v="-12.011940298507479"/>
    <n v="83.988059701492517"/>
    <x v="0"/>
    <n v="0"/>
    <m/>
    <n v="432050"/>
    <n v="23.380606060606056"/>
    <m/>
    <n v="4.8"/>
    <m/>
    <n v="28.180606060606056"/>
    <n v="55.807453640886465"/>
    <m/>
    <n v="240"/>
  </r>
  <r>
    <n v="10"/>
    <n v="2024"/>
    <s v="Auction"/>
    <s v="VROLIJK BLOEMEN"/>
    <s v="VROLIJK BLOEMEN"/>
    <x v="7"/>
    <s v="Grandiflora Roses"/>
    <s v="90CM"/>
    <n v="1"/>
    <n v="5.333333333333333"/>
    <n v="160"/>
    <n v="0.38"/>
    <n v="60.8"/>
    <s v="EUR"/>
    <m/>
    <m/>
    <x v="0"/>
    <n v="160"/>
    <x v="0"/>
    <x v="3"/>
    <m/>
    <m/>
    <n v="0"/>
    <n v="0"/>
    <n v="0"/>
    <x v="0"/>
    <n v="-160"/>
    <m/>
    <n v="432050"/>
    <n v="19.05086419753086"/>
    <m/>
    <n v="0"/>
    <m/>
    <n v="19.05086419753086"/>
    <n v="-19.05086419753086"/>
    <m/>
    <n v="0"/>
  </r>
  <r>
    <n v="10"/>
    <n v="2024"/>
    <s v="Auction"/>
    <s v="VROLIJK BLOEMEN"/>
    <s v="VROLIJK BLOEMEN"/>
    <x v="7"/>
    <s v="Grandiflora Roses"/>
    <s v="80CM"/>
    <m/>
    <n v="6.666666666666667"/>
    <n v="200"/>
    <n v="0.33"/>
    <n v="66"/>
    <s v="EUR"/>
    <m/>
    <m/>
    <x v="0"/>
    <n v="200"/>
    <x v="0"/>
    <x v="2"/>
    <m/>
    <m/>
    <n v="0"/>
    <n v="0"/>
    <n v="0"/>
    <x v="0"/>
    <n v="-200"/>
    <m/>
    <n v="432050"/>
    <n v="23.813580246913578"/>
    <m/>
    <n v="0"/>
    <m/>
    <n v="23.813580246913578"/>
    <n v="-23.813580246913578"/>
    <m/>
    <n v="0"/>
  </r>
  <r>
    <n v="9"/>
    <n v="2024"/>
    <s v="Auction"/>
    <s v="VROLIJK BLOEMEN"/>
    <s v="VROLIJK BLOEMEN"/>
    <x v="8"/>
    <s v="Grandiflora Roses"/>
    <s v="60CM"/>
    <n v="2"/>
    <n v="24"/>
    <n v="1440"/>
    <n v="0.24"/>
    <n v="345.6"/>
    <s v="EUR"/>
    <m/>
    <m/>
    <x v="2"/>
    <n v="0"/>
    <x v="0"/>
    <x v="0"/>
    <n v="1440"/>
    <n v="0.38388888888888884"/>
    <n v="552.79999999999995"/>
    <n v="-58.940869565217412"/>
    <n v="493.85913043478251"/>
    <x v="2"/>
    <n v="0"/>
    <m/>
    <n v="430904"/>
    <n v="81.75"/>
    <m/>
    <n v="28.8"/>
    <m/>
    <n v="110.55"/>
    <n v="383.3091304347825"/>
    <m/>
    <n v="1440"/>
  </r>
  <r>
    <n v="9"/>
    <n v="2024"/>
    <s v="Auction"/>
    <s v="VROLIJK BLOEMEN"/>
    <s v="VROLIJK BLOEMEN"/>
    <x v="8"/>
    <s v="Grandiflora Roses"/>
    <s v="70CM"/>
    <n v="2"/>
    <n v="24"/>
    <n v="1040"/>
    <n v="0.28000000000000003"/>
    <n v="291.2"/>
    <s v="EUR"/>
    <m/>
    <m/>
    <x v="2"/>
    <n v="0"/>
    <x v="0"/>
    <x v="1"/>
    <n v="1040"/>
    <n v="0.4869230769230769"/>
    <n v="506.4"/>
    <n v="-42.568405797101462"/>
    <n v="463.83159420289849"/>
    <x v="2"/>
    <n v="0"/>
    <m/>
    <n v="430904"/>
    <n v="81.75"/>
    <m/>
    <n v="20.8"/>
    <m/>
    <n v="102.55"/>
    <n v="361.28159420289848"/>
    <m/>
    <n v="1040"/>
  </r>
  <r>
    <n v="9"/>
    <n v="2024"/>
    <s v="Auction"/>
    <s v="VROLIJK BLOEMEN"/>
    <s v="VROLIJK BLOEMEN"/>
    <x v="8"/>
    <s v="Grandiflora Roses"/>
    <s v="90CM"/>
    <n v="1"/>
    <n v="12"/>
    <n v="320"/>
    <n v="0.38"/>
    <n v="121.6"/>
    <s v="EUR"/>
    <m/>
    <m/>
    <x v="2"/>
    <n v="0"/>
    <x v="0"/>
    <x v="3"/>
    <n v="320"/>
    <n v="0.66249999999999998"/>
    <n v="212"/>
    <n v="-13.097971014492757"/>
    <n v="198.90202898550723"/>
    <x v="2"/>
    <n v="0"/>
    <m/>
    <n v="430904"/>
    <n v="40.875"/>
    <m/>
    <n v="6.4"/>
    <m/>
    <n v="47.274999999999999"/>
    <n v="151.62702898550722"/>
    <m/>
    <n v="320"/>
  </r>
  <r>
    <n v="9"/>
    <n v="2024"/>
    <s v="Auction"/>
    <s v="VROLIJK BLOEMEN"/>
    <s v="VROLIJK BLOEMEN"/>
    <x v="8"/>
    <s v="Grandiflora Roses"/>
    <s v="100CM"/>
    <n v="1"/>
    <n v="12"/>
    <n v="320"/>
    <n v="0.47"/>
    <n v="150.4"/>
    <s v="EUR"/>
    <m/>
    <m/>
    <x v="2"/>
    <n v="0"/>
    <x v="0"/>
    <x v="4"/>
    <n v="320"/>
    <n v="0.80749999999999988"/>
    <n v="258.39999999999998"/>
    <n v="-13.097971014492757"/>
    <n v="245.30202898550721"/>
    <x v="2"/>
    <n v="0"/>
    <m/>
    <n v="430904"/>
    <n v="40.875"/>
    <m/>
    <n v="6.4"/>
    <m/>
    <n v="47.274999999999999"/>
    <n v="198.0270289855072"/>
    <m/>
    <n v="320"/>
  </r>
  <r>
    <n v="9"/>
    <n v="2024"/>
    <s v="Auction"/>
    <s v="VROLIJK BLOEMEN"/>
    <s v="VROLIJK BLOEMEN"/>
    <x v="8"/>
    <s v="English Roses"/>
    <s v="50CM"/>
    <n v="1"/>
    <n v="12"/>
    <n v="560"/>
    <n v="0.38"/>
    <n v="212.8"/>
    <s v="EUR"/>
    <m/>
    <m/>
    <x v="2"/>
    <n v="0"/>
    <x v="1"/>
    <x v="5"/>
    <n v="560"/>
    <n v="0.33"/>
    <n v="184.8"/>
    <n v="-22.921449275362324"/>
    <n v="161.87855072463768"/>
    <x v="2"/>
    <n v="0"/>
    <m/>
    <n v="430904"/>
    <n v="40.875"/>
    <m/>
    <n v="11.200000000000001"/>
    <m/>
    <n v="52.075000000000003"/>
    <n v="109.80355072463767"/>
    <m/>
    <n v="560"/>
  </r>
  <r>
    <n v="9"/>
    <n v="2024"/>
    <s v="Auction"/>
    <s v="VROLIJK BLOEMEN"/>
    <s v="VROLIJK BLOEMEN"/>
    <x v="8"/>
    <s v="English Roses"/>
    <s v="60CM"/>
    <n v="2"/>
    <n v="24"/>
    <n v="960"/>
    <n v="0.47"/>
    <n v="451.2"/>
    <s v="EUR"/>
    <m/>
    <m/>
    <x v="2"/>
    <n v="80"/>
    <x v="1"/>
    <x v="0"/>
    <n v="880"/>
    <n v="0.4"/>
    <n v="352"/>
    <n v="-36.019420289855077"/>
    <n v="315.98057971014492"/>
    <x v="2"/>
    <n v="-80"/>
    <m/>
    <n v="430904"/>
    <n v="81.75"/>
    <m/>
    <n v="17.600000000000001"/>
    <m/>
    <n v="99.35"/>
    <n v="216.63057971014493"/>
    <m/>
    <n v="880"/>
  </r>
  <r>
    <n v="9"/>
    <n v="2024"/>
    <s v="Auction"/>
    <s v="VROLIJK BLOEMEN"/>
    <s v="VROLIJK BLOEMEN"/>
    <x v="8"/>
    <s v="English Roses"/>
    <s v="70CM"/>
    <n v="1"/>
    <n v="12"/>
    <n v="400"/>
    <n v="0.52"/>
    <n v="208"/>
    <s v="EUR"/>
    <m/>
    <m/>
    <x v="2"/>
    <n v="0"/>
    <x v="1"/>
    <x v="1"/>
    <n v="400"/>
    <n v="0.52700000000000002"/>
    <n v="210.8"/>
    <n v="-16.372463768115946"/>
    <n v="194.42753623188406"/>
    <x v="2"/>
    <n v="0"/>
    <m/>
    <n v="430904"/>
    <n v="40.875"/>
    <m/>
    <n v="8"/>
    <m/>
    <n v="48.875"/>
    <n v="145.55253623188406"/>
    <m/>
    <n v="400"/>
  </r>
  <r>
    <n v="9"/>
    <n v="2024"/>
    <s v="Auction"/>
    <s v="VROLIJK BLOEMEN"/>
    <s v="VROLIJK BLOEMEN"/>
    <x v="8"/>
    <s v="English Roses"/>
    <s v="80CM"/>
    <n v="1"/>
    <n v="12"/>
    <n v="320"/>
    <n v="0.56999999999999995"/>
    <n v="182.4"/>
    <s v="EUR"/>
    <m/>
    <m/>
    <x v="2"/>
    <n v="0"/>
    <x v="1"/>
    <x v="2"/>
    <n v="320"/>
    <n v="0.90875000000000006"/>
    <n v="290.8"/>
    <n v="-13.097971014492757"/>
    <n v="277.70202898550724"/>
    <x v="2"/>
    <n v="0"/>
    <m/>
    <n v="430904"/>
    <n v="40.875"/>
    <m/>
    <n v="6.4"/>
    <m/>
    <n v="47.274999999999999"/>
    <n v="230.42702898550723"/>
    <m/>
    <n v="320"/>
  </r>
  <r>
    <n v="9"/>
    <n v="2024"/>
    <s v="Auction"/>
    <s v="VROLIJK BLOEMEN"/>
    <s v="VROLIJK BLOEMEN"/>
    <x v="8"/>
    <s v="English Roses"/>
    <s v="90CM"/>
    <n v="1"/>
    <n v="12"/>
    <n v="240"/>
    <n v="0.75"/>
    <n v="180"/>
    <s v="EUR"/>
    <m/>
    <m/>
    <x v="2"/>
    <n v="-160"/>
    <x v="1"/>
    <x v="3"/>
    <n v="400"/>
    <n v="0.54700000000000004"/>
    <n v="218.8"/>
    <n v="-16.372463768115946"/>
    <n v="202.42753623188406"/>
    <x v="2"/>
    <n v="160"/>
    <m/>
    <n v="430904"/>
    <n v="40.875"/>
    <m/>
    <n v="8"/>
    <m/>
    <n v="48.875"/>
    <n v="153.55253623188406"/>
    <m/>
    <n v="400"/>
  </r>
  <r>
    <n v="9"/>
    <n v="2024"/>
    <s v="Auction"/>
    <s v="VROLIJK BLOEMEN"/>
    <s v="VROLIJK BLOEMEN"/>
    <x v="8"/>
    <s v="English Roses"/>
    <s v="100CM"/>
    <n v="2"/>
    <n v="24"/>
    <n v="400"/>
    <n v="0.94"/>
    <n v="376"/>
    <s v="EUR"/>
    <m/>
    <m/>
    <x v="2"/>
    <n v="-40"/>
    <x v="1"/>
    <x v="4"/>
    <n v="440"/>
    <n v="0.54909090909090907"/>
    <n v="241.6"/>
    <n v="-18.009710144927539"/>
    <n v="223.59028985507246"/>
    <x v="2"/>
    <n v="40"/>
    <m/>
    <n v="430904"/>
    <n v="81.75"/>
    <m/>
    <n v="8.8000000000000007"/>
    <m/>
    <n v="90.55"/>
    <n v="133.04028985507244"/>
    <m/>
    <n v="440"/>
  </r>
  <r>
    <n v="9"/>
    <n v="2024"/>
    <s v="Auction"/>
    <s v="VROLIJK BLOEMEN"/>
    <s v="VROLIJK BLOEMEN"/>
    <x v="8"/>
    <s v="Floribunda Roses"/>
    <s v="50CM"/>
    <n v="3"/>
    <n v="36"/>
    <n v="1800"/>
    <n v="0.38"/>
    <n v="684"/>
    <s v="EUR"/>
    <m/>
    <m/>
    <x v="2"/>
    <n v="360"/>
    <x v="2"/>
    <x v="5"/>
    <n v="1440"/>
    <n v="0.29499999999999998"/>
    <n v="424.79999999999995"/>
    <n v="-58.940869565217412"/>
    <n v="365.85913043478251"/>
    <x v="2"/>
    <n v="-360"/>
    <m/>
    <n v="430904"/>
    <n v="122.625"/>
    <m/>
    <n v="28.8"/>
    <m/>
    <n v="151.42500000000001"/>
    <n v="214.4341304347825"/>
    <m/>
    <n v="1440"/>
  </r>
  <r>
    <n v="9"/>
    <n v="2024"/>
    <s v="Auction"/>
    <s v="VROLIJK BLOEMEN"/>
    <s v="VROLIJK BLOEMEN"/>
    <x v="8"/>
    <s v="Floribunda Roses"/>
    <s v="60CM"/>
    <n v="3"/>
    <n v="36"/>
    <n v="1560"/>
    <n v="0.47"/>
    <n v="733.2"/>
    <s v="EUR"/>
    <m/>
    <m/>
    <x v="2"/>
    <n v="-80"/>
    <x v="2"/>
    <x v="0"/>
    <n v="1640"/>
    <n v="0.543170731707317"/>
    <n v="890.79999999999984"/>
    <n v="-67.127101449275372"/>
    <n v="823.67289855072443"/>
    <x v="2"/>
    <n v="80"/>
    <m/>
    <n v="430904"/>
    <n v="122.625"/>
    <m/>
    <n v="32.799999999999997"/>
    <m/>
    <n v="155.42500000000001"/>
    <n v="668.24789855072436"/>
    <m/>
    <n v="1640"/>
  </r>
  <r>
    <n v="9"/>
    <n v="2024"/>
    <s v="Auction"/>
    <s v="VROLIJK BLOEMEN"/>
    <s v="VROLIJK BLOEMEN"/>
    <x v="8"/>
    <s v="Floribunda Roses"/>
    <s v="70CM"/>
    <n v="1"/>
    <n v="12"/>
    <n v="400"/>
    <n v="0.52"/>
    <n v="208"/>
    <s v="EUR"/>
    <m/>
    <m/>
    <x v="2"/>
    <n v="-40"/>
    <x v="2"/>
    <x v="1"/>
    <n v="440"/>
    <n v="0.66727272727272735"/>
    <n v="293.60000000000002"/>
    <n v="-18.009710144927539"/>
    <n v="275.59028985507246"/>
    <x v="2"/>
    <n v="40"/>
    <m/>
    <n v="430904"/>
    <n v="40.875"/>
    <m/>
    <n v="8.8000000000000007"/>
    <m/>
    <n v="49.674999999999997"/>
    <n v="225.91528985507244"/>
    <m/>
    <n v="440"/>
  </r>
  <r>
    <n v="9"/>
    <n v="2024"/>
    <s v="Auction"/>
    <s v="VROLIJK BLOEMEN"/>
    <s v="VROLIJK BLOEMEN"/>
    <x v="8"/>
    <s v="Floribunda Roses"/>
    <s v="50CM"/>
    <n v="1"/>
    <n v="6.4615384615384617"/>
    <n v="280"/>
    <n v="0.38"/>
    <n v="106.4"/>
    <s v="EUR"/>
    <m/>
    <m/>
    <x v="2"/>
    <n v="-360"/>
    <x v="2"/>
    <x v="5"/>
    <n v="640"/>
    <n v="0.36749999999999999"/>
    <n v="235.2"/>
    <n v="-26.195942028985513"/>
    <n v="209.00405797101448"/>
    <x v="2"/>
    <n v="360"/>
    <m/>
    <n v="430904"/>
    <n v="22.009615384615383"/>
    <m/>
    <n v="12.8"/>
    <m/>
    <n v="34.809615384615384"/>
    <n v="174.19444258639908"/>
    <m/>
    <n v="640"/>
  </r>
  <r>
    <n v="9"/>
    <n v="2024"/>
    <s v="Auction"/>
    <s v="VROLIJK BLOEMEN"/>
    <s v="VROLIJK BLOEMEN"/>
    <x v="8"/>
    <s v="Floribunda Roses"/>
    <s v="60CM"/>
    <m/>
    <n v="1.8461538461538463"/>
    <n v="80"/>
    <n v="0.47"/>
    <n v="37.6"/>
    <s v="EUR"/>
    <m/>
    <m/>
    <x v="2"/>
    <n v="80"/>
    <x v="2"/>
    <x v="0"/>
    <m/>
    <m/>
    <n v="0"/>
    <n v="0"/>
    <n v="0"/>
    <x v="2"/>
    <n v="-80"/>
    <m/>
    <n v="430904"/>
    <n v="6.2884615384615392"/>
    <m/>
    <n v="0"/>
    <m/>
    <n v="6.2884615384615392"/>
    <n v="-6.2884615384615392"/>
    <m/>
    <n v="0"/>
  </r>
  <r>
    <n v="9"/>
    <n v="2024"/>
    <s v="Auction"/>
    <s v="VROLIJK BLOEMEN"/>
    <s v="VROLIJK BLOEMEN"/>
    <x v="8"/>
    <s v="Floribunda Roses"/>
    <s v="70CM"/>
    <m/>
    <n v="0.92307692307692313"/>
    <n v="40"/>
    <n v="0.52"/>
    <n v="20.8"/>
    <s v="EUR"/>
    <m/>
    <m/>
    <x v="2"/>
    <n v="40"/>
    <x v="2"/>
    <x v="1"/>
    <m/>
    <m/>
    <n v="0"/>
    <n v="0"/>
    <n v="0"/>
    <x v="2"/>
    <n v="-40"/>
    <m/>
    <n v="430904"/>
    <n v="3.1442307692307696"/>
    <m/>
    <n v="0"/>
    <m/>
    <n v="3.1442307692307696"/>
    <n v="-3.1442307692307696"/>
    <m/>
    <n v="0"/>
  </r>
  <r>
    <n v="9"/>
    <n v="2024"/>
    <s v="Auction"/>
    <s v="VROLIJK BLOEMEN"/>
    <s v="VROLIJK BLOEMEN"/>
    <x v="8"/>
    <s v="Floribunda Roses"/>
    <s v="90CM"/>
    <m/>
    <n v="0.92307692307692313"/>
    <n v="40"/>
    <n v="0.75"/>
    <n v="30"/>
    <s v="EUR"/>
    <m/>
    <m/>
    <x v="2"/>
    <n v="0"/>
    <x v="2"/>
    <x v="3"/>
    <n v="40"/>
    <n v="0.91999999999999993"/>
    <n v="36.799999999999997"/>
    <n v="-1.6372463768115946"/>
    <n v="35.162753623188401"/>
    <x v="2"/>
    <n v="0"/>
    <m/>
    <n v="430904"/>
    <n v="3.1442307692307696"/>
    <m/>
    <n v="0.8"/>
    <m/>
    <n v="3.9442307692307699"/>
    <n v="31.21852285395763"/>
    <m/>
    <n v="40"/>
  </r>
  <r>
    <n v="9"/>
    <n v="2024"/>
    <s v="Auction"/>
    <s v="VROLIJK BLOEMEN"/>
    <s v="VROLIJK BLOEMEN"/>
    <x v="8"/>
    <s v="Floribunda Roses"/>
    <s v="100CM"/>
    <m/>
    <n v="1.8461538461538463"/>
    <n v="80"/>
    <n v="0.94"/>
    <n v="75.2"/>
    <s v="EUR"/>
    <m/>
    <m/>
    <x v="2"/>
    <n v="0"/>
    <x v="2"/>
    <x v="4"/>
    <n v="80"/>
    <n v="0.95"/>
    <n v="76"/>
    <n v="-3.2744927536231891"/>
    <n v="72.725507246376807"/>
    <x v="2"/>
    <n v="0"/>
    <m/>
    <n v="430904"/>
    <n v="6.2884615384615392"/>
    <m/>
    <n v="1.6"/>
    <m/>
    <n v="7.8884615384615397"/>
    <n v="64.837045707915266"/>
    <m/>
    <n v="80"/>
  </r>
  <r>
    <n v="9"/>
    <n v="2024"/>
    <s v="Auction"/>
    <s v="VROLIJK BLOEMEN"/>
    <s v="VROLIJK BLOEMEN"/>
    <x v="8"/>
    <s v="Grandiflora Roses"/>
    <s v="50CM"/>
    <n v="1"/>
    <n v="9"/>
    <n v="480"/>
    <n v="0.14000000000000001"/>
    <n v="67.2"/>
    <s v="EUR"/>
    <m/>
    <m/>
    <x v="2"/>
    <n v="0"/>
    <x v="0"/>
    <x v="5"/>
    <n v="480"/>
    <n v="0.28500000000000003"/>
    <n v="136.80000000000001"/>
    <n v="-19.646956521739135"/>
    <n v="117.15304347826088"/>
    <x v="2"/>
    <n v="0"/>
    <m/>
    <n v="430904"/>
    <n v="30.65625"/>
    <m/>
    <n v="9.6"/>
    <m/>
    <n v="40.256250000000001"/>
    <n v="76.896793478260889"/>
    <m/>
    <n v="480"/>
  </r>
  <r>
    <n v="9"/>
    <n v="2024"/>
    <s v="Auction"/>
    <s v="VROLIJK BLOEMEN"/>
    <s v="VROLIJK BLOEMEN"/>
    <x v="8"/>
    <s v="Grandiflora Roses"/>
    <s v="80CM"/>
    <m/>
    <n v="3"/>
    <n v="160"/>
    <n v="0.33"/>
    <n v="52.8"/>
    <s v="EUR"/>
    <m/>
    <m/>
    <x v="2"/>
    <n v="0"/>
    <x v="0"/>
    <x v="2"/>
    <n v="160"/>
    <n v="0.64500000000000002"/>
    <n v="103.2"/>
    <n v="-6.5489855072463783"/>
    <n v="96.651014492753632"/>
    <x v="2"/>
    <n v="0"/>
    <m/>
    <n v="430904"/>
    <n v="10.21875"/>
    <m/>
    <n v="3.2"/>
    <m/>
    <n v="13.418749999999999"/>
    <n v="83.232264492753629"/>
    <m/>
    <n v="160"/>
  </r>
  <r>
    <n v="9"/>
    <n v="2024"/>
    <s v="Auction"/>
    <s v="VROLIJK BLOEMEN"/>
    <s v="VROLIJK BLOEMEN"/>
    <x v="8"/>
    <s v="English Roses"/>
    <s v="90CM"/>
    <n v="1"/>
    <n v="9.6000000000000014"/>
    <n v="160"/>
    <n v="0.75"/>
    <n v="120"/>
    <s v="EUR"/>
    <m/>
    <m/>
    <x v="2"/>
    <n v="160"/>
    <x v="1"/>
    <x v="3"/>
    <m/>
    <m/>
    <n v="0"/>
    <n v="0"/>
    <n v="0"/>
    <x v="2"/>
    <n v="-160"/>
    <m/>
    <n v="430904"/>
    <n v="32.700000000000003"/>
    <m/>
    <n v="0"/>
    <m/>
    <n v="32.700000000000003"/>
    <n v="-32.700000000000003"/>
    <m/>
    <n v="0"/>
  </r>
  <r>
    <n v="9"/>
    <n v="2024"/>
    <s v="Auction"/>
    <s v="VROLIJK BLOEMEN"/>
    <s v="VROLIJK BLOEMEN"/>
    <x v="8"/>
    <s v="English Roses"/>
    <s v="100CM"/>
    <m/>
    <n v="2.4000000000000004"/>
    <n v="40"/>
    <n v="0.94"/>
    <n v="37.6"/>
    <s v="EUR"/>
    <m/>
    <m/>
    <x v="2"/>
    <n v="40"/>
    <x v="1"/>
    <x v="4"/>
    <m/>
    <m/>
    <n v="0"/>
    <n v="0"/>
    <n v="0"/>
    <x v="2"/>
    <n v="-40"/>
    <m/>
    <n v="430904"/>
    <n v="8.1750000000000007"/>
    <m/>
    <n v="0"/>
    <m/>
    <n v="8.1750000000000007"/>
    <n v="-8.1750000000000007"/>
    <m/>
    <n v="0"/>
  </r>
  <r>
    <m/>
    <m/>
    <m/>
    <m/>
    <m/>
    <x v="9"/>
    <s v="Floribunda Roses"/>
    <s v="60CM"/>
    <m/>
    <m/>
    <m/>
    <m/>
    <m/>
    <s v="EUR"/>
    <m/>
    <m/>
    <x v="2"/>
    <n v="0"/>
    <x v="2"/>
    <x v="0"/>
    <m/>
    <m/>
    <n v="-172.8"/>
    <n v="-6.6599999999999966"/>
    <n v="-179.46"/>
    <x v="2"/>
    <n v="0"/>
    <m/>
    <n v="430904"/>
    <n v="0"/>
    <m/>
    <n v="0"/>
    <m/>
    <n v="0"/>
    <n v="-179.46"/>
    <m/>
    <n v="0"/>
  </r>
  <r>
    <n v="9"/>
    <n v="2024"/>
    <s v="Auction"/>
    <s v="VROLIJK BLOEMEN"/>
    <s v="VROLIJK BLOEMEN"/>
    <x v="10"/>
    <s v="Grandiflora Roses"/>
    <s v="70CM"/>
    <n v="1"/>
    <n v="12"/>
    <n v="520"/>
    <n v="0.28000000000000003"/>
    <n v="145.6"/>
    <s v="EUR"/>
    <m/>
    <m/>
    <x v="2"/>
    <n v="0"/>
    <x v="0"/>
    <x v="1"/>
    <n v="520"/>
    <n v="0.5146153846153847"/>
    <n v="267.60000000000002"/>
    <n v="-21.330952380952372"/>
    <n v="246.26904761904765"/>
    <x v="2"/>
    <n v="0"/>
    <m/>
    <s v="F080768"/>
    <n v="39.032800000000002"/>
    <m/>
    <n v="10.4"/>
    <m/>
    <n v="49.4328"/>
    <n v="196.83624761904764"/>
    <m/>
    <n v="520"/>
  </r>
  <r>
    <n v="9"/>
    <n v="2024"/>
    <s v="Auction"/>
    <s v="VROLIJK BLOEMEN"/>
    <s v="VROLIJK BLOEMEN"/>
    <x v="10"/>
    <s v="Grandiflora Roses"/>
    <s v="80CM"/>
    <n v="1"/>
    <n v="12"/>
    <n v="440"/>
    <n v="0.33"/>
    <n v="145.19999999999999"/>
    <s v="EUR"/>
    <m/>
    <m/>
    <x v="2"/>
    <n v="0"/>
    <x v="0"/>
    <x v="2"/>
    <n v="440"/>
    <n v="0.61818181818181817"/>
    <n v="272"/>
    <n v="-18.049267399267393"/>
    <n v="253.95073260073261"/>
    <x v="2"/>
    <n v="0"/>
    <m/>
    <s v="F080768"/>
    <n v="39.032800000000002"/>
    <m/>
    <n v="8.8000000000000007"/>
    <m/>
    <n v="47.832800000000006"/>
    <n v="206.11793260073262"/>
    <m/>
    <n v="440"/>
  </r>
  <r>
    <n v="9"/>
    <n v="2024"/>
    <s v="Auction"/>
    <s v="VROLIJK BLOEMEN"/>
    <s v="VROLIJK BLOEMEN"/>
    <x v="10"/>
    <s v="Grandiflora Roses"/>
    <s v="90CM"/>
    <n v="1"/>
    <n v="12"/>
    <n v="440"/>
    <n v="0.38"/>
    <n v="167.2"/>
    <s v="EUR"/>
    <m/>
    <m/>
    <x v="2"/>
    <n v="0"/>
    <x v="0"/>
    <x v="3"/>
    <n v="440"/>
    <n v="0.63090909090909097"/>
    <n v="277.60000000000002"/>
    <n v="-18.049267399267393"/>
    <n v="259.55073260073266"/>
    <x v="2"/>
    <n v="0"/>
    <m/>
    <s v="F080768"/>
    <n v="39.032800000000002"/>
    <m/>
    <n v="8.8000000000000007"/>
    <m/>
    <n v="47.832800000000006"/>
    <n v="211.71793260073264"/>
    <m/>
    <n v="440"/>
  </r>
  <r>
    <n v="9"/>
    <n v="2024"/>
    <s v="Auction"/>
    <s v="VROLIJK BLOEMEN"/>
    <s v="VROLIJK BLOEMEN"/>
    <x v="10"/>
    <s v="Grandiflora Roses"/>
    <s v="100CM"/>
    <n v="1"/>
    <n v="12"/>
    <n v="320"/>
    <n v="0.47"/>
    <n v="150.4"/>
    <s v="EUR"/>
    <m/>
    <m/>
    <x v="2"/>
    <n v="0"/>
    <x v="0"/>
    <x v="4"/>
    <n v="320"/>
    <n v="0.63"/>
    <n v="201.6"/>
    <n v="-13.126739926739921"/>
    <n v="188.47326007326006"/>
    <x v="2"/>
    <n v="0"/>
    <m/>
    <s v="F080768"/>
    <n v="39.032800000000002"/>
    <m/>
    <n v="6.4"/>
    <m/>
    <n v="45.4328"/>
    <n v="143.04046007326008"/>
    <m/>
    <n v="320"/>
  </r>
  <r>
    <n v="9"/>
    <n v="2024"/>
    <s v="Auction"/>
    <s v="VROLIJK BLOEMEN"/>
    <s v="VROLIJK BLOEMEN"/>
    <x v="10"/>
    <s v="English Roses"/>
    <s v="50CM"/>
    <n v="1"/>
    <n v="12"/>
    <n v="480"/>
    <n v="0.38"/>
    <n v="182.4"/>
    <s v="EUR"/>
    <m/>
    <m/>
    <x v="2"/>
    <n v="0"/>
    <x v="1"/>
    <x v="5"/>
    <n v="480"/>
    <n v="0.28999999999999998"/>
    <n v="139.19999999999999"/>
    <n v="-19.690109890109881"/>
    <n v="119.50989010989011"/>
    <x v="2"/>
    <n v="0"/>
    <m/>
    <s v="F080768"/>
    <n v="39.032800000000002"/>
    <m/>
    <n v="9.6"/>
    <m/>
    <n v="48.632800000000003"/>
    <n v="70.877090109890105"/>
    <m/>
    <n v="480"/>
  </r>
  <r>
    <n v="9"/>
    <n v="2024"/>
    <s v="Auction"/>
    <s v="VROLIJK BLOEMEN"/>
    <s v="VROLIJK BLOEMEN"/>
    <x v="10"/>
    <s v="English Roses"/>
    <s v="60CM"/>
    <n v="1"/>
    <n v="12"/>
    <n v="480"/>
    <n v="0.47"/>
    <n v="225.6"/>
    <s v="EUR"/>
    <m/>
    <m/>
    <x v="2"/>
    <n v="-40"/>
    <x v="1"/>
    <x v="0"/>
    <n v="520"/>
    <n v="0.44846153846153847"/>
    <n v="233.2"/>
    <n v="-21.330952380952372"/>
    <n v="211.86904761904762"/>
    <x v="2"/>
    <n v="40"/>
    <m/>
    <s v="F080768"/>
    <n v="39.032800000000002"/>
    <m/>
    <n v="10.4"/>
    <m/>
    <n v="49.4328"/>
    <n v="162.43624761904761"/>
    <m/>
    <n v="520"/>
  </r>
  <r>
    <n v="9"/>
    <n v="2024"/>
    <s v="Auction"/>
    <s v="VROLIJK BLOEMEN"/>
    <s v="VROLIJK BLOEMEN"/>
    <x v="10"/>
    <s v="English Roses"/>
    <s v="70CM"/>
    <n v="1"/>
    <n v="12"/>
    <n v="400"/>
    <n v="0.52"/>
    <n v="208"/>
    <s v="EUR"/>
    <m/>
    <m/>
    <x v="2"/>
    <n v="40"/>
    <x v="1"/>
    <x v="1"/>
    <n v="360"/>
    <n v="0.49"/>
    <n v="176.4"/>
    <n v="-14.767582417582412"/>
    <n v="161.63241758241759"/>
    <x v="2"/>
    <n v="-40"/>
    <m/>
    <s v="F080768"/>
    <n v="39.032800000000002"/>
    <m/>
    <n v="7.2"/>
    <m/>
    <n v="46.232800000000005"/>
    <n v="115.39961758241759"/>
    <m/>
    <n v="360"/>
  </r>
  <r>
    <n v="9"/>
    <n v="2024"/>
    <s v="Auction"/>
    <s v="VROLIJK BLOEMEN"/>
    <s v="VROLIJK BLOEMEN"/>
    <x v="10"/>
    <s v="English Roses"/>
    <s v="80CM"/>
    <n v="2"/>
    <n v="24"/>
    <n v="640"/>
    <n v="0.56999999999999995"/>
    <n v="364.8"/>
    <s v="EUR"/>
    <m/>
    <m/>
    <x v="2"/>
    <n v="0"/>
    <x v="1"/>
    <x v="2"/>
    <n v="640"/>
    <n v="0.59187500000000004"/>
    <n v="378.8"/>
    <n v="-26.253479853479842"/>
    <n v="352.54652014652015"/>
    <x v="2"/>
    <n v="0"/>
    <m/>
    <s v="F080768"/>
    <n v="78.065600000000003"/>
    <m/>
    <n v="12.8"/>
    <m/>
    <n v="90.865600000000001"/>
    <n v="261.68092014652018"/>
    <m/>
    <n v="640"/>
  </r>
  <r>
    <n v="9"/>
    <n v="2024"/>
    <s v="Auction"/>
    <s v="VROLIJK BLOEMEN"/>
    <s v="VROLIJK BLOEMEN"/>
    <x v="10"/>
    <s v="English Roses"/>
    <s v="90CM"/>
    <n v="2"/>
    <n v="24"/>
    <n v="480"/>
    <n v="0.75"/>
    <n v="360"/>
    <s v="EUR"/>
    <m/>
    <m/>
    <x v="2"/>
    <n v="0"/>
    <x v="1"/>
    <x v="3"/>
    <n v="480"/>
    <n v="0.6875"/>
    <n v="330"/>
    <n v="-19.690109890109881"/>
    <n v="310.30989010989015"/>
    <x v="2"/>
    <n v="0"/>
    <m/>
    <s v="F080768"/>
    <n v="78.065600000000003"/>
    <m/>
    <n v="9.6"/>
    <m/>
    <n v="87.665599999999998"/>
    <n v="222.64429010989016"/>
    <m/>
    <n v="480"/>
  </r>
  <r>
    <n v="9"/>
    <n v="2024"/>
    <s v="Auction"/>
    <s v="VROLIJK BLOEMEN"/>
    <s v="VROLIJK BLOEMEN"/>
    <x v="10"/>
    <s v="English Roses"/>
    <s v="100CM"/>
    <n v="3"/>
    <n v="36"/>
    <n v="600"/>
    <n v="0.94"/>
    <n v="564"/>
    <s v="EUR"/>
    <m/>
    <m/>
    <x v="2"/>
    <n v="0"/>
    <x v="1"/>
    <x v="4"/>
    <n v="600"/>
    <n v="0.48066666666666663"/>
    <n v="288.39999999999998"/>
    <n v="-24.612637362637351"/>
    <n v="263.78736263736261"/>
    <x v="2"/>
    <n v="0"/>
    <m/>
    <s v="F080768"/>
    <n v="117.0984"/>
    <m/>
    <n v="12"/>
    <m/>
    <n v="129.0984"/>
    <n v="134.68896263736261"/>
    <m/>
    <n v="600"/>
  </r>
  <r>
    <n v="9"/>
    <n v="2024"/>
    <s v="Auction"/>
    <s v="VROLIJK BLOEMEN"/>
    <s v="VROLIJK BLOEMEN"/>
    <x v="10"/>
    <s v="Floribunda Roses"/>
    <s v="50CM"/>
    <n v="3"/>
    <n v="36"/>
    <n v="1800"/>
    <n v="0.38"/>
    <n v="684"/>
    <s v="EUR"/>
    <m/>
    <m/>
    <x v="2"/>
    <n v="120"/>
    <x v="2"/>
    <x v="5"/>
    <n v="1680"/>
    <n v="0.2907142857142857"/>
    <n v="488.4"/>
    <n v="-68.915384615384582"/>
    <n v="419.48461538461538"/>
    <x v="2"/>
    <n v="-120"/>
    <m/>
    <s v="F080768"/>
    <n v="117.0984"/>
    <m/>
    <n v="33.6"/>
    <m/>
    <n v="150.69839999999999"/>
    <n v="268.78621538461539"/>
    <m/>
    <n v="1680"/>
  </r>
  <r>
    <n v="9"/>
    <n v="2024"/>
    <s v="Auction"/>
    <s v="VROLIJK BLOEMEN"/>
    <s v="VROLIJK BLOEMEN"/>
    <x v="10"/>
    <s v="Floribunda Roses"/>
    <s v="60CM"/>
    <n v="3"/>
    <n v="36"/>
    <n v="1560"/>
    <n v="0.47"/>
    <n v="733.2"/>
    <s v="EUR"/>
    <m/>
    <m/>
    <x v="2"/>
    <n v="-120"/>
    <x v="2"/>
    <x v="0"/>
    <n v="1680"/>
    <n v="0.50309523809523815"/>
    <n v="845.2"/>
    <n v="-68.915384615384582"/>
    <n v="776.28461538461545"/>
    <x v="2"/>
    <n v="120"/>
    <m/>
    <s v="F080768"/>
    <n v="117.0984"/>
    <m/>
    <n v="33.6"/>
    <m/>
    <n v="150.69839999999999"/>
    <n v="625.58621538461546"/>
    <m/>
    <n v="1680"/>
  </r>
  <r>
    <n v="9"/>
    <n v="2024"/>
    <s v="Auction"/>
    <s v="VROLIJK BLOEMEN"/>
    <s v="VROLIJK BLOEMEN"/>
    <x v="10"/>
    <s v="Floribunda Roses"/>
    <s v="70CM"/>
    <n v="1"/>
    <n v="12"/>
    <n v="400"/>
    <n v="0.52"/>
    <n v="208"/>
    <s v="EUR"/>
    <m/>
    <m/>
    <x v="2"/>
    <n v="-80"/>
    <x v="2"/>
    <x v="1"/>
    <n v="480"/>
    <n v="0.7"/>
    <n v="336"/>
    <n v="-19.690109890109881"/>
    <n v="316.30989010989015"/>
    <x v="2"/>
    <n v="80"/>
    <m/>
    <s v="F080768"/>
    <n v="39.032800000000002"/>
    <m/>
    <n v="9.6"/>
    <m/>
    <n v="48.632800000000003"/>
    <n v="267.67709010989017"/>
    <m/>
    <n v="480"/>
  </r>
  <r>
    <n v="9"/>
    <n v="2024"/>
    <s v="Auction"/>
    <s v="VROLIJK BLOEMEN"/>
    <s v="VROLIJK BLOEMEN"/>
    <x v="10"/>
    <s v="Floribunda Roses"/>
    <s v="80CM"/>
    <n v="1"/>
    <n v="12"/>
    <n v="280"/>
    <n v="0.56999999999999995"/>
    <n v="159.6"/>
    <s v="EUR"/>
    <m/>
    <m/>
    <x v="2"/>
    <n v="0"/>
    <x v="2"/>
    <x v="2"/>
    <n v="280"/>
    <n v="0.8928571428571429"/>
    <n v="250"/>
    <n v="-11.48589743589743"/>
    <n v="238.51410256410256"/>
    <x v="2"/>
    <n v="0"/>
    <m/>
    <s v="F080768"/>
    <n v="39.032800000000002"/>
    <m/>
    <n v="5.6000000000000005"/>
    <m/>
    <n v="44.632800000000003"/>
    <n v="193.88130256410255"/>
    <m/>
    <n v="280"/>
  </r>
  <r>
    <n v="9"/>
    <n v="2024"/>
    <s v="Auction"/>
    <s v="VROLIJK BLOEMEN"/>
    <s v="VROLIJK BLOEMEN"/>
    <x v="10"/>
    <s v="Grandiflora Roses"/>
    <s v="50CM"/>
    <n v="1"/>
    <n v="5.2173913043478262"/>
    <n v="400"/>
    <n v="0.14000000000000001"/>
    <n v="56"/>
    <s v="EUR"/>
    <m/>
    <m/>
    <x v="2"/>
    <n v="0"/>
    <x v="0"/>
    <x v="5"/>
    <n v="400"/>
    <n v="0.29199999999999998"/>
    <n v="116.8"/>
    <n v="-16.408424908424902"/>
    <n v="100.39157509157509"/>
    <x v="2"/>
    <n v="0"/>
    <m/>
    <s v="F080768"/>
    <n v="16.970782608695654"/>
    <m/>
    <n v="8"/>
    <m/>
    <n v="24.970782608695654"/>
    <n v="75.420792482879435"/>
    <m/>
    <n v="400"/>
  </r>
  <r>
    <n v="9"/>
    <n v="2024"/>
    <s v="Auction"/>
    <s v="VROLIJK BLOEMEN"/>
    <s v="VROLIJK BLOEMEN"/>
    <x v="10"/>
    <s v="Grandiflora Roses"/>
    <s v="60CM"/>
    <m/>
    <n v="6.7826086956521738"/>
    <n v="520"/>
    <n v="0.24"/>
    <n v="124.8"/>
    <s v="EUR"/>
    <m/>
    <m/>
    <x v="2"/>
    <n v="0"/>
    <x v="0"/>
    <x v="0"/>
    <n v="520"/>
    <n v="0.44"/>
    <n v="228.8"/>
    <n v="-21.330952380952372"/>
    <n v="207.46904761904764"/>
    <x v="2"/>
    <n v="0"/>
    <m/>
    <s v="F080768"/>
    <n v="22.062017391304348"/>
    <m/>
    <n v="10.4"/>
    <m/>
    <n v="32.46201739130435"/>
    <n v="175.00703022774329"/>
    <m/>
    <n v="520"/>
  </r>
  <r>
    <n v="9"/>
    <n v="2024"/>
    <s v="Auction"/>
    <s v="VROLIJK BLOEMEN"/>
    <s v="VROLIJK BLOEMEN"/>
    <x v="10"/>
    <s v="Polyantha Roses"/>
    <s v="50CM"/>
    <n v="1"/>
    <n v="3.2"/>
    <n v="160"/>
    <n v="0.42"/>
    <n v="67.2"/>
    <s v="EUR"/>
    <m/>
    <m/>
    <x v="2"/>
    <n v="0"/>
    <x v="3"/>
    <x v="5"/>
    <n v="160"/>
    <n v="0.48"/>
    <n v="76.8"/>
    <n v="-6.5633699633699605"/>
    <n v="70.236630036630032"/>
    <x v="2"/>
    <n v="0"/>
    <m/>
    <s v="F080768"/>
    <n v="10.408746666666669"/>
    <m/>
    <n v="3.2"/>
    <m/>
    <n v="13.608746666666669"/>
    <n v="56.627883369963364"/>
    <m/>
    <n v="160"/>
  </r>
  <r>
    <n v="9"/>
    <n v="2024"/>
    <s v="Auction"/>
    <s v="VROLIJK BLOEMEN"/>
    <s v="VROLIJK BLOEMEN"/>
    <x v="10"/>
    <s v="Polyantha Roses"/>
    <s v="60CM"/>
    <m/>
    <n v="8.7999999999999989"/>
    <n v="440"/>
    <n v="0.52"/>
    <n v="228.8"/>
    <s v="EUR"/>
    <m/>
    <m/>
    <x v="2"/>
    <n v="0"/>
    <x v="3"/>
    <x v="0"/>
    <n v="440"/>
    <n v="0.68545454545454554"/>
    <n v="301.60000000000002"/>
    <n v="-18.049267399267393"/>
    <n v="283.55073260073266"/>
    <x v="2"/>
    <n v="0"/>
    <m/>
    <s v="F080768"/>
    <n v="28.624053333333332"/>
    <m/>
    <n v="8.8000000000000007"/>
    <m/>
    <n v="37.424053333333333"/>
    <n v="246.12667926739931"/>
    <m/>
    <n v="440"/>
  </r>
  <r>
    <n v="9"/>
    <n v="2024"/>
    <s v="Auction"/>
    <s v="VROLIJK BLOEMEN"/>
    <s v="VROLIJK BLOEMEN"/>
    <x v="10"/>
    <s v="Floribunda Roses"/>
    <s v="50CM"/>
    <n v="1"/>
    <n v="7.7142857142857153"/>
    <n v="360"/>
    <n v="0.38"/>
    <n v="136.80000000000001"/>
    <s v="EUR"/>
    <m/>
    <m/>
    <x v="2"/>
    <n v="-120"/>
    <x v="2"/>
    <x v="5"/>
    <n v="480"/>
    <n v="0.47499999999999998"/>
    <n v="228"/>
    <n v="-19.690109890109881"/>
    <n v="208.30989010989012"/>
    <x v="2"/>
    <n v="120"/>
    <m/>
    <s v="F080768"/>
    <n v="25.092514285714291"/>
    <m/>
    <n v="9.6"/>
    <m/>
    <n v="34.692514285714289"/>
    <n v="173.61737582417584"/>
    <m/>
    <n v="480"/>
  </r>
  <r>
    <n v="9"/>
    <n v="2024"/>
    <s v="Auction"/>
    <s v="VROLIJK BLOEMEN"/>
    <s v="VROLIJK BLOEMEN"/>
    <x v="10"/>
    <s v="Floribunda Roses"/>
    <s v="60CM"/>
    <m/>
    <n v="2.5714285714285712"/>
    <n v="120"/>
    <n v="0.47"/>
    <n v="56.4"/>
    <s v="EUR"/>
    <m/>
    <m/>
    <x v="2"/>
    <n v="120"/>
    <x v="2"/>
    <x v="0"/>
    <m/>
    <m/>
    <n v="0"/>
    <n v="0"/>
    <n v="0"/>
    <x v="2"/>
    <n v="-120"/>
    <m/>
    <s v="F080768"/>
    <n v="8.3641714285714279"/>
    <m/>
    <n v="0"/>
    <m/>
    <n v="8.3641714285714279"/>
    <n v="-8.3641714285714279"/>
    <m/>
    <n v="0"/>
  </r>
  <r>
    <n v="9"/>
    <n v="2024"/>
    <s v="Auction"/>
    <s v="VROLIJK BLOEMEN"/>
    <s v="VROLIJK BLOEMEN"/>
    <x v="10"/>
    <s v="Floribunda Roses"/>
    <s v="70CM"/>
    <m/>
    <n v="1.7142857142857142"/>
    <n v="80"/>
    <n v="0.52"/>
    <n v="41.6"/>
    <s v="EUR"/>
    <m/>
    <m/>
    <x v="2"/>
    <n v="80"/>
    <x v="2"/>
    <x v="1"/>
    <m/>
    <m/>
    <n v="0"/>
    <n v="0"/>
    <n v="0"/>
    <x v="2"/>
    <n v="-80"/>
    <m/>
    <s v="F080768"/>
    <n v="5.5761142857142856"/>
    <m/>
    <n v="0"/>
    <m/>
    <n v="5.5761142857142856"/>
    <n v="-5.5761142857142856"/>
    <m/>
    <n v="0"/>
  </r>
  <r>
    <n v="9"/>
    <n v="2024"/>
    <s v="Auction"/>
    <s v="VROLIJK BLOEMEN"/>
    <s v="VROLIJK BLOEMEN"/>
    <x v="11"/>
    <s v="Floribunda Roses"/>
    <s v="50CM"/>
    <n v="1"/>
    <n v="12"/>
    <n v="760"/>
    <n v="0.38"/>
    <n v="288.8"/>
    <s v="EUR"/>
    <m/>
    <m/>
    <x v="2"/>
    <n v="0"/>
    <x v="2"/>
    <x v="5"/>
    <n v="760"/>
    <n v="0.33999999999999997"/>
    <n v="258.39999999999998"/>
    <n v="-38.281481481481435"/>
    <n v="220.11851851851856"/>
    <x v="2"/>
    <n v="0"/>
    <m/>
    <s v="F080925"/>
    <n v="43.85"/>
    <m/>
    <n v="15.200000000000001"/>
    <m/>
    <n v="59.050000000000004"/>
    <n v="161.06851851851854"/>
    <m/>
    <n v="760"/>
  </r>
  <r>
    <n v="9"/>
    <n v="2024"/>
    <s v="Auction"/>
    <s v="VROLIJK BLOEMEN"/>
    <s v="VROLIJK BLOEMEN"/>
    <x v="11"/>
    <s v="Floribunda Roses"/>
    <s v="60CM"/>
    <n v="2"/>
    <n v="24"/>
    <n v="1040"/>
    <n v="0.47"/>
    <n v="488.8"/>
    <s v="EUR"/>
    <m/>
    <m/>
    <x v="2"/>
    <n v="0"/>
    <x v="2"/>
    <x v="0"/>
    <n v="1040"/>
    <n v="0.64576923076923076"/>
    <n v="671.6"/>
    <n v="-52.385185185185129"/>
    <n v="619.21481481481487"/>
    <x v="2"/>
    <n v="0"/>
    <m/>
    <s v="F080925"/>
    <n v="87.7"/>
    <m/>
    <n v="20.8"/>
    <m/>
    <n v="108.5"/>
    <n v="510.71481481481487"/>
    <m/>
    <n v="1040"/>
  </r>
  <r>
    <n v="9"/>
    <n v="2024"/>
    <s v="Auction"/>
    <s v="VROLIJK BLOEMEN"/>
    <s v="VROLIJK BLOEMEN"/>
    <x v="11"/>
    <s v="Floribunda Roses"/>
    <s v="70CM"/>
    <n v="1"/>
    <n v="12"/>
    <n v="400"/>
    <n v="0.52"/>
    <n v="208"/>
    <s v="EUR"/>
    <m/>
    <m/>
    <x v="2"/>
    <n v="-120"/>
    <x v="2"/>
    <x v="1"/>
    <n v="520"/>
    <n v="0.89307692307692299"/>
    <n v="464.4"/>
    <n v="-26.192592592592565"/>
    <n v="438.2074074074074"/>
    <x v="2"/>
    <n v="120"/>
    <m/>
    <s v="F080925"/>
    <n v="43.85"/>
    <m/>
    <n v="10.4"/>
    <m/>
    <n v="54.25"/>
    <n v="383.9574074074074"/>
    <m/>
    <n v="520"/>
  </r>
  <r>
    <n v="9"/>
    <n v="2024"/>
    <s v="Auction"/>
    <s v="VROLIJK BLOEMEN"/>
    <s v="VROLIJK BLOEMEN"/>
    <x v="11"/>
    <s v="Floribunda Roses"/>
    <s v="90CM"/>
    <n v="1"/>
    <n v="12"/>
    <n v="200"/>
    <n v="0.75"/>
    <n v="150"/>
    <s v="EUR"/>
    <m/>
    <m/>
    <x v="2"/>
    <n v="0"/>
    <x v="2"/>
    <x v="3"/>
    <n v="200"/>
    <n v="0.996"/>
    <n v="199.2"/>
    <n v="-10.074074074074062"/>
    <n v="189.12592592592591"/>
    <x v="2"/>
    <n v="0"/>
    <m/>
    <s v="F080925"/>
    <n v="43.85"/>
    <m/>
    <n v="4"/>
    <m/>
    <n v="47.85"/>
    <n v="141.27592592592592"/>
    <m/>
    <n v="200"/>
  </r>
  <r>
    <n v="9"/>
    <n v="2024"/>
    <s v="Auction"/>
    <s v="VROLIJK BLOEMEN"/>
    <s v="VROLIJK BLOEMEN"/>
    <x v="11"/>
    <s v="English Roses"/>
    <s v="70CM"/>
    <n v="1"/>
    <n v="12"/>
    <n v="400"/>
    <n v="0.52"/>
    <n v="208"/>
    <s v="EUR"/>
    <m/>
    <m/>
    <x v="2"/>
    <n v="-160"/>
    <x v="1"/>
    <x v="1"/>
    <n v="560"/>
    <n v="0.61071428571428577"/>
    <n v="342"/>
    <n v="-28.207407407407377"/>
    <n v="313.7925925925926"/>
    <x v="2"/>
    <n v="160"/>
    <m/>
    <s v="F080925"/>
    <n v="43.85"/>
    <m/>
    <n v="11.200000000000001"/>
    <m/>
    <n v="55.050000000000004"/>
    <n v="258.74259259259259"/>
    <m/>
    <n v="560"/>
  </r>
  <r>
    <n v="9"/>
    <n v="2024"/>
    <s v="Auction"/>
    <s v="VROLIJK BLOEMEN"/>
    <s v="VROLIJK BLOEMEN"/>
    <x v="11"/>
    <s v="English Roses"/>
    <s v="80CM"/>
    <n v="1"/>
    <n v="12"/>
    <n v="320"/>
    <n v="0.56999999999999995"/>
    <n v="182.4"/>
    <s v="EUR"/>
    <m/>
    <m/>
    <x v="2"/>
    <n v="-80"/>
    <x v="1"/>
    <x v="2"/>
    <n v="400"/>
    <n v="0.55899999999999994"/>
    <n v="223.59999999999997"/>
    <n v="-20.148148148148124"/>
    <n v="203.45185185185184"/>
    <x v="2"/>
    <n v="80"/>
    <m/>
    <s v="F080925"/>
    <n v="43.85"/>
    <m/>
    <n v="8"/>
    <m/>
    <n v="51.85"/>
    <n v="151.60185185185185"/>
    <m/>
    <n v="400"/>
  </r>
  <r>
    <n v="9"/>
    <n v="2024"/>
    <s v="Auction"/>
    <s v="VROLIJK BLOEMEN"/>
    <s v="VROLIJK BLOEMEN"/>
    <x v="11"/>
    <s v="English Roses"/>
    <s v="90CM"/>
    <n v="1"/>
    <n v="12"/>
    <n v="240"/>
    <n v="0.75"/>
    <n v="180"/>
    <s v="EUR"/>
    <m/>
    <m/>
    <x v="2"/>
    <n v="-40"/>
    <x v="1"/>
    <x v="3"/>
    <n v="280"/>
    <n v="0.55142857142857149"/>
    <n v="154.4"/>
    <n v="-14.103703703703689"/>
    <n v="140.2962962962963"/>
    <x v="2"/>
    <n v="40"/>
    <m/>
    <s v="F080925"/>
    <n v="43.85"/>
    <m/>
    <n v="5.6000000000000005"/>
    <m/>
    <n v="49.45"/>
    <n v="90.846296296296302"/>
    <m/>
    <n v="280"/>
  </r>
  <r>
    <n v="9"/>
    <n v="2024"/>
    <s v="Auction"/>
    <s v="VROLIJK BLOEMEN"/>
    <s v="VROLIJK BLOEMEN"/>
    <x v="11"/>
    <s v="Polyantha Roses"/>
    <s v="80CM"/>
    <n v="1"/>
    <n v="12"/>
    <n v="360"/>
    <n v="0.66"/>
    <n v="237.6"/>
    <s v="EUR"/>
    <m/>
    <m/>
    <x v="2"/>
    <n v="0"/>
    <x v="3"/>
    <x v="2"/>
    <n v="360"/>
    <n v="0.84888888888888892"/>
    <n v="305.60000000000002"/>
    <n v="-18.133333333333312"/>
    <n v="287.4666666666667"/>
    <x v="2"/>
    <n v="0"/>
    <m/>
    <s v="F080925"/>
    <n v="43.85"/>
    <m/>
    <n v="7.2"/>
    <m/>
    <n v="51.050000000000004"/>
    <n v="236.41666666666669"/>
    <m/>
    <n v="360"/>
  </r>
  <r>
    <n v="9"/>
    <n v="2024"/>
    <s v="Auction"/>
    <s v="VROLIJK BLOEMEN"/>
    <s v="VROLIJK BLOEMEN"/>
    <x v="11"/>
    <s v="Grandiflora Roses"/>
    <s v="50CM"/>
    <n v="1"/>
    <n v="3.75"/>
    <n v="200"/>
    <n v="0.14000000000000001"/>
    <n v="28"/>
    <s v="EUR"/>
    <m/>
    <m/>
    <x v="2"/>
    <n v="0"/>
    <x v="0"/>
    <x v="5"/>
    <n v="200"/>
    <n v="0.38400000000000001"/>
    <n v="76.8"/>
    <n v="-10.074074074074062"/>
    <n v="66.725925925925935"/>
    <x v="2"/>
    <n v="0"/>
    <m/>
    <s v="F080925"/>
    <n v="13.703125"/>
    <m/>
    <n v="4"/>
    <m/>
    <n v="17.703125"/>
    <n v="49.022800925925935"/>
    <m/>
    <n v="200"/>
  </r>
  <r>
    <n v="9"/>
    <n v="2024"/>
    <s v="Auction"/>
    <s v="VROLIJK BLOEMEN"/>
    <s v="VROLIJK BLOEMEN"/>
    <x v="11"/>
    <s v="Grandiflora Roses"/>
    <s v="60CM"/>
    <m/>
    <n v="8.25"/>
    <n v="440"/>
    <n v="0.24"/>
    <n v="105.6"/>
    <s v="EUR"/>
    <m/>
    <m/>
    <x v="2"/>
    <n v="0"/>
    <x v="0"/>
    <x v="0"/>
    <n v="440"/>
    <n v="0.59818181818181815"/>
    <n v="263.2"/>
    <n v="-22.162962962962936"/>
    <n v="241.03703703703707"/>
    <x v="2"/>
    <n v="0"/>
    <m/>
    <s v="F080925"/>
    <n v="30.146874999999998"/>
    <m/>
    <n v="8.8000000000000007"/>
    <m/>
    <n v="38.946874999999999"/>
    <n v="202.09016203703706"/>
    <m/>
    <n v="440"/>
  </r>
  <r>
    <n v="9"/>
    <n v="2024"/>
    <s v="Auction"/>
    <s v="VROLIJK BLOEMEN"/>
    <s v="VROLIJK BLOEMEN"/>
    <x v="11"/>
    <s v="Grandiflora Roses"/>
    <s v="70CM"/>
    <n v="1"/>
    <n v="6.4615384615384617"/>
    <n v="280"/>
    <n v="0.28000000000000003"/>
    <n v="78.400000000000006"/>
    <s v="EUR"/>
    <m/>
    <m/>
    <x v="2"/>
    <n v="0"/>
    <x v="0"/>
    <x v="1"/>
    <n v="280"/>
    <n v="0.70571428571428574"/>
    <n v="197.6"/>
    <n v="-14.103703703703689"/>
    <n v="183.49629629629629"/>
    <x v="2"/>
    <n v="0"/>
    <m/>
    <s v="F080925"/>
    <n v="23.611538461538458"/>
    <m/>
    <n v="5.6000000000000005"/>
    <m/>
    <n v="29.21153846153846"/>
    <n v="154.28475783475784"/>
    <m/>
    <n v="280"/>
  </r>
  <r>
    <n v="9"/>
    <n v="2024"/>
    <s v="Auction"/>
    <s v="VROLIJK BLOEMEN"/>
    <s v="VROLIJK BLOEMEN"/>
    <x v="11"/>
    <s v="Grandiflora Roses"/>
    <s v="80CM"/>
    <m/>
    <n v="5.5384615384615383"/>
    <n v="240"/>
    <n v="0.33"/>
    <n v="79.2"/>
    <s v="EUR"/>
    <m/>
    <m/>
    <x v="2"/>
    <n v="0"/>
    <x v="0"/>
    <x v="2"/>
    <n v="240"/>
    <n v="0.72000000000000008"/>
    <n v="172.8"/>
    <n v="-12.088888888888876"/>
    <n v="160.71111111111114"/>
    <x v="2"/>
    <n v="0"/>
    <m/>
    <s v="F080925"/>
    <n v="20.238461538461536"/>
    <m/>
    <n v="4.8"/>
    <m/>
    <n v="25.038461538461537"/>
    <n v="135.67264957264959"/>
    <m/>
    <n v="240"/>
  </r>
  <r>
    <n v="9"/>
    <n v="2024"/>
    <s v="Auction"/>
    <s v="VROLIJK BLOEMEN"/>
    <s v="VROLIJK BLOEMEN"/>
    <x v="11"/>
    <s v="Grandiflora Roses"/>
    <s v="90CM"/>
    <n v="1"/>
    <n v="6.666666666666667"/>
    <n v="200"/>
    <n v="0.38"/>
    <n v="76"/>
    <s v="EUR"/>
    <m/>
    <m/>
    <x v="2"/>
    <n v="0"/>
    <x v="0"/>
    <x v="3"/>
    <n v="200"/>
    <n v="0.78400000000000003"/>
    <n v="156.80000000000001"/>
    <n v="-10.074074074074062"/>
    <n v="146.72592592592594"/>
    <x v="2"/>
    <n v="0"/>
    <m/>
    <s v="F080925"/>
    <n v="24.361111111111114"/>
    <m/>
    <n v="4"/>
    <m/>
    <n v="28.361111111111114"/>
    <n v="118.36481481481482"/>
    <m/>
    <n v="200"/>
  </r>
  <r>
    <n v="9"/>
    <n v="2024"/>
    <s v="Auction"/>
    <s v="VROLIJK BLOEMEN"/>
    <s v="VROLIJK BLOEMEN"/>
    <x v="11"/>
    <s v="Grandiflora Roses"/>
    <s v="100CM"/>
    <m/>
    <n v="5.333333333333333"/>
    <n v="160"/>
    <n v="0.47"/>
    <n v="75.2"/>
    <s v="EUR"/>
    <m/>
    <m/>
    <x v="2"/>
    <n v="0"/>
    <x v="0"/>
    <x v="4"/>
    <n v="160"/>
    <n v="0.8125"/>
    <n v="130"/>
    <n v="-8.0592592592592496"/>
    <n v="121.94074074074075"/>
    <x v="2"/>
    <n v="0"/>
    <m/>
    <s v="F080925"/>
    <n v="19.488888888888887"/>
    <m/>
    <n v="3.2"/>
    <m/>
    <n v="22.688888888888886"/>
    <n v="99.251851851851868"/>
    <m/>
    <n v="160"/>
  </r>
  <r>
    <n v="9"/>
    <n v="2024"/>
    <s v="Auction"/>
    <s v="VROLIJK BLOEMEN"/>
    <s v="VROLIJK BLOEMEN"/>
    <x v="11"/>
    <s v="English Roses"/>
    <s v="50CM"/>
    <n v="1"/>
    <n v="4"/>
    <n v="200"/>
    <n v="0.38"/>
    <n v="76"/>
    <s v="EUR"/>
    <m/>
    <m/>
    <x v="2"/>
    <n v="0"/>
    <x v="1"/>
    <x v="5"/>
    <n v="200"/>
    <n v="0.33799999999999997"/>
    <n v="67.599999999999994"/>
    <n v="-10.074074074074062"/>
    <n v="57.525925925925932"/>
    <x v="2"/>
    <n v="0"/>
    <m/>
    <s v="F080925"/>
    <n v="14.616666666666667"/>
    <m/>
    <n v="4"/>
    <m/>
    <n v="18.616666666666667"/>
    <n v="38.909259259259265"/>
    <m/>
    <n v="200"/>
  </r>
  <r>
    <n v="9"/>
    <n v="2024"/>
    <s v="Auction"/>
    <s v="VROLIJK BLOEMEN"/>
    <s v="VROLIJK BLOEMEN"/>
    <x v="11"/>
    <s v="English Roses"/>
    <s v="60CM"/>
    <m/>
    <n v="8"/>
    <n v="400"/>
    <n v="0.47"/>
    <n v="188"/>
    <s v="EUR"/>
    <m/>
    <m/>
    <x v="2"/>
    <n v="-40"/>
    <x v="1"/>
    <x v="0"/>
    <n v="440"/>
    <n v="0.56636363636363629"/>
    <n v="249.19999999999996"/>
    <n v="-22.162962962962936"/>
    <n v="227.03703703703701"/>
    <x v="2"/>
    <n v="40"/>
    <m/>
    <s v="F080925"/>
    <n v="29.233333333333334"/>
    <m/>
    <n v="8.8000000000000007"/>
    <m/>
    <n v="38.033333333333331"/>
    <n v="189.00370370370368"/>
    <m/>
    <n v="440"/>
  </r>
  <r>
    <n v="9"/>
    <n v="2024"/>
    <s v="Auction"/>
    <s v="VROLIJK BLOEMEN"/>
    <s v="VROLIJK BLOEMEN"/>
    <x v="11"/>
    <s v="Floribunda Roses"/>
    <s v="70CM"/>
    <n v="1"/>
    <n v="4.5"/>
    <n v="120"/>
    <n v="0.52"/>
    <n v="62.4"/>
    <s v="EUR"/>
    <m/>
    <m/>
    <x v="2"/>
    <n v="120"/>
    <x v="2"/>
    <x v="1"/>
    <m/>
    <m/>
    <n v="0"/>
    <n v="0"/>
    <n v="0"/>
    <x v="2"/>
    <n v="-120"/>
    <m/>
    <s v="F080925"/>
    <n v="16.443750000000001"/>
    <m/>
    <n v="0"/>
    <m/>
    <n v="16.443750000000001"/>
    <n v="-16.443750000000001"/>
    <m/>
    <n v="0"/>
  </r>
  <r>
    <n v="9"/>
    <n v="2024"/>
    <s v="Auction"/>
    <s v="VROLIJK BLOEMEN"/>
    <s v="VROLIJK BLOEMEN"/>
    <x v="11"/>
    <s v="Floribunda Roses"/>
    <s v="80CM"/>
    <m/>
    <n v="6"/>
    <n v="160"/>
    <n v="0.56999999999999995"/>
    <n v="91.2"/>
    <s v="EUR"/>
    <m/>
    <m/>
    <x v="2"/>
    <n v="0"/>
    <x v="2"/>
    <x v="2"/>
    <n v="160"/>
    <n v="0.95"/>
    <n v="152"/>
    <n v="-8.0592592592592496"/>
    <n v="143.94074074074075"/>
    <x v="2"/>
    <n v="0"/>
    <m/>
    <s v="F080925"/>
    <n v="21.925000000000001"/>
    <m/>
    <n v="3.2"/>
    <m/>
    <n v="25.125"/>
    <n v="118.81574074074075"/>
    <m/>
    <n v="160"/>
  </r>
  <r>
    <n v="9"/>
    <n v="2024"/>
    <s v="Auction"/>
    <s v="VROLIJK BLOEMEN"/>
    <s v="VROLIJK BLOEMEN"/>
    <x v="11"/>
    <s v="Floribunda Roses"/>
    <s v="100CM"/>
    <m/>
    <n v="1.5"/>
    <n v="40"/>
    <n v="0.94"/>
    <n v="37.6"/>
    <s v="EUR"/>
    <m/>
    <m/>
    <x v="2"/>
    <n v="0"/>
    <x v="2"/>
    <x v="4"/>
    <n v="40"/>
    <n v="1"/>
    <n v="40"/>
    <n v="-2.0148148148148124"/>
    <n v="37.985185185185188"/>
    <x v="2"/>
    <n v="0"/>
    <m/>
    <s v="F080925"/>
    <n v="5.4812500000000002"/>
    <m/>
    <n v="0.8"/>
    <m/>
    <n v="6.28125"/>
    <n v="31.703935185185188"/>
    <m/>
    <n v="40"/>
  </r>
  <r>
    <n v="9"/>
    <n v="2024"/>
    <s v="Auction"/>
    <s v="VROLIJK BLOEMEN"/>
    <s v="VROLIJK BLOEMEN"/>
    <x v="11"/>
    <s v="English Roses"/>
    <s v="60CM"/>
    <n v="1"/>
    <n v="1.5"/>
    <n v="40"/>
    <n v="0.47"/>
    <n v="18.8"/>
    <s v="EUR"/>
    <m/>
    <m/>
    <x v="2"/>
    <n v="40"/>
    <x v="1"/>
    <x v="0"/>
    <m/>
    <m/>
    <n v="0"/>
    <n v="0"/>
    <n v="0"/>
    <x v="2"/>
    <n v="-40"/>
    <m/>
    <s v="F080925"/>
    <n v="5.4812500000000002"/>
    <m/>
    <n v="0"/>
    <m/>
    <n v="5.4812500000000002"/>
    <n v="-5.4812500000000002"/>
    <m/>
    <n v="0"/>
  </r>
  <r>
    <n v="9"/>
    <n v="2024"/>
    <s v="Auction"/>
    <s v="VROLIJK BLOEMEN"/>
    <s v="VROLIJK BLOEMEN"/>
    <x v="11"/>
    <s v="English Roses"/>
    <s v="70CM"/>
    <m/>
    <n v="6"/>
    <n v="160"/>
    <n v="0.52"/>
    <n v="83.2"/>
    <s v="EUR"/>
    <m/>
    <m/>
    <x v="2"/>
    <n v="160"/>
    <x v="1"/>
    <x v="1"/>
    <m/>
    <m/>
    <n v="0"/>
    <n v="0"/>
    <n v="0"/>
    <x v="2"/>
    <n v="-160"/>
    <m/>
    <s v="F080925"/>
    <n v="21.925000000000001"/>
    <m/>
    <n v="0"/>
    <m/>
    <n v="21.925000000000001"/>
    <n v="-21.925000000000001"/>
    <m/>
    <n v="0"/>
  </r>
  <r>
    <n v="9"/>
    <n v="2024"/>
    <s v="Auction"/>
    <s v="VROLIJK BLOEMEN"/>
    <s v="VROLIJK BLOEMEN"/>
    <x v="11"/>
    <s v="English Roses"/>
    <s v="80CM"/>
    <m/>
    <n v="3"/>
    <n v="80"/>
    <n v="0.56999999999999995"/>
    <n v="45.6"/>
    <s v="EUR"/>
    <m/>
    <m/>
    <x v="2"/>
    <n v="80"/>
    <x v="1"/>
    <x v="2"/>
    <m/>
    <m/>
    <n v="0"/>
    <n v="0"/>
    <n v="0"/>
    <x v="2"/>
    <n v="-80"/>
    <m/>
    <s v="F080925"/>
    <n v="10.9625"/>
    <m/>
    <n v="0"/>
    <m/>
    <n v="10.9625"/>
    <n v="-10.9625"/>
    <m/>
    <n v="0"/>
  </r>
  <r>
    <n v="9"/>
    <n v="2024"/>
    <s v="Auction"/>
    <s v="VROLIJK BLOEMEN"/>
    <s v="VROLIJK BLOEMEN"/>
    <x v="11"/>
    <s v="English Roses"/>
    <s v="90CM"/>
    <m/>
    <n v="1.5"/>
    <n v="40"/>
    <n v="0.75"/>
    <n v="30"/>
    <s v="EUR"/>
    <m/>
    <m/>
    <x v="2"/>
    <n v="40"/>
    <x v="1"/>
    <x v="3"/>
    <m/>
    <m/>
    <n v="0"/>
    <n v="0"/>
    <n v="0"/>
    <x v="2"/>
    <n v="-40"/>
    <m/>
    <s v="F080925"/>
    <n v="5.4812500000000002"/>
    <m/>
    <n v="0"/>
    <m/>
    <n v="5.4812500000000002"/>
    <n v="-5.4812500000000002"/>
    <m/>
    <n v="0"/>
  </r>
  <r>
    <n v="9"/>
    <n v="2024"/>
    <s v="Auction"/>
    <s v="VROLIJK BLOEMEN"/>
    <s v="VROLIJK BLOEMEN"/>
    <x v="12"/>
    <s v="Grandiflora Roses"/>
    <s v="60CM"/>
    <n v="1"/>
    <n v="12"/>
    <n v="800"/>
    <n v="0.24"/>
    <n v="192"/>
    <s v="EUR"/>
    <m/>
    <m/>
    <x v="0"/>
    <n v="-120"/>
    <x v="0"/>
    <x v="0"/>
    <n v="920"/>
    <n v="0.57782608695652171"/>
    <n v="531.6"/>
    <n v="-45.610677083333336"/>
    <n v="485.98932291666671"/>
    <x v="0"/>
    <n v="120"/>
    <m/>
    <n v="431347"/>
    <n v="41.383000000000003"/>
    <m/>
    <n v="18.400000000000002"/>
    <m/>
    <n v="59.783000000000001"/>
    <n v="426.20632291666669"/>
    <m/>
    <n v="920"/>
  </r>
  <r>
    <n v="9"/>
    <n v="2024"/>
    <s v="Auction"/>
    <s v="VROLIJK BLOEMEN"/>
    <s v="VROLIJK BLOEMEN"/>
    <x v="12"/>
    <s v="Grandiflora Roses"/>
    <s v="70CM"/>
    <n v="1"/>
    <n v="12"/>
    <n v="520"/>
    <n v="0.28000000000000003"/>
    <n v="145.6"/>
    <s v="EUR"/>
    <m/>
    <m/>
    <x v="0"/>
    <n v="520"/>
    <x v="0"/>
    <x v="1"/>
    <m/>
    <m/>
    <n v="0"/>
    <n v="0"/>
    <n v="0"/>
    <x v="0"/>
    <n v="-520"/>
    <m/>
    <n v="431347"/>
    <n v="41.383000000000003"/>
    <m/>
    <n v="0"/>
    <m/>
    <n v="41.383000000000003"/>
    <n v="-41.383000000000003"/>
    <m/>
    <n v="0"/>
  </r>
  <r>
    <n v="9"/>
    <n v="2024"/>
    <s v="Auction"/>
    <s v="VROLIJK BLOEMEN"/>
    <s v="VROLIJK BLOEMEN"/>
    <x v="12"/>
    <s v="Grandiflora Roses"/>
    <s v="80CM"/>
    <n v="1"/>
    <n v="12"/>
    <n v="320"/>
    <n v="0.33"/>
    <n v="105.6"/>
    <s v="EUR"/>
    <m/>
    <m/>
    <x v="0"/>
    <n v="-320"/>
    <x v="0"/>
    <x v="2"/>
    <n v="640"/>
    <n v="0.65062500000000001"/>
    <n v="416.4"/>
    <n v="-31.729166666666668"/>
    <n v="384.67083333333329"/>
    <x v="0"/>
    <n v="320"/>
    <m/>
    <n v="431347"/>
    <n v="41.383000000000003"/>
    <m/>
    <n v="12.8"/>
    <m/>
    <n v="54.183000000000007"/>
    <n v="330.4878333333333"/>
    <m/>
    <n v="640"/>
  </r>
  <r>
    <n v="9"/>
    <n v="2024"/>
    <s v="Auction"/>
    <s v="VROLIJK BLOEMEN"/>
    <s v="VROLIJK BLOEMEN"/>
    <x v="12"/>
    <s v="Grandiflora Roses"/>
    <s v="90CM"/>
    <n v="1"/>
    <n v="12"/>
    <n v="360"/>
    <n v="0.38"/>
    <n v="136.80000000000001"/>
    <s v="EUR"/>
    <m/>
    <m/>
    <x v="0"/>
    <n v="40"/>
    <x v="0"/>
    <x v="3"/>
    <n v="320"/>
    <n v="0.76"/>
    <n v="243.2"/>
    <n v="-15.864583333333334"/>
    <n v="227.33541666666665"/>
    <x v="0"/>
    <n v="-40"/>
    <m/>
    <n v="431347"/>
    <n v="41.383000000000003"/>
    <m/>
    <n v="6.4"/>
    <m/>
    <n v="47.783000000000001"/>
    <n v="179.55241666666666"/>
    <m/>
    <n v="320"/>
  </r>
  <r>
    <n v="9"/>
    <n v="2024"/>
    <s v="Auction"/>
    <s v="VROLIJK BLOEMEN"/>
    <s v="VROLIJK BLOEMEN"/>
    <x v="12"/>
    <s v="Grandiflora Roses"/>
    <s v="100CM"/>
    <n v="1"/>
    <n v="12"/>
    <n v="320"/>
    <n v="0.47"/>
    <n v="150.4"/>
    <s v="EUR"/>
    <m/>
    <m/>
    <x v="0"/>
    <n v="0"/>
    <x v="0"/>
    <x v="4"/>
    <n v="320"/>
    <n v="0.74249999999999994"/>
    <n v="237.59999999999997"/>
    <n v="-15.864583333333334"/>
    <n v="221.73541666666662"/>
    <x v="0"/>
    <n v="0"/>
    <m/>
    <n v="431347"/>
    <n v="41.383000000000003"/>
    <m/>
    <n v="6.4"/>
    <m/>
    <n v="47.783000000000001"/>
    <n v="173.95241666666664"/>
    <m/>
    <n v="320"/>
  </r>
  <r>
    <n v="9"/>
    <n v="2024"/>
    <s v="Auction"/>
    <s v="VROLIJK BLOEMEN"/>
    <s v="VROLIJK BLOEMEN"/>
    <x v="12"/>
    <s v="English Roses"/>
    <s v="50CM"/>
    <n v="1"/>
    <n v="12"/>
    <n v="520"/>
    <n v="0.38"/>
    <n v="197.6"/>
    <s v="EUR"/>
    <m/>
    <m/>
    <x v="0"/>
    <n v="0"/>
    <x v="1"/>
    <x v="5"/>
    <n v="520"/>
    <n v="0.32923076923076922"/>
    <n v="171.2"/>
    <n v="-25.779947916666668"/>
    <n v="145.42005208333333"/>
    <x v="0"/>
    <n v="0"/>
    <m/>
    <n v="431347"/>
    <n v="41.383000000000003"/>
    <m/>
    <n v="10.4"/>
    <m/>
    <n v="51.783000000000001"/>
    <n v="93.63705208333333"/>
    <m/>
    <n v="520"/>
  </r>
  <r>
    <n v="9"/>
    <n v="2024"/>
    <s v="Auction"/>
    <s v="VROLIJK BLOEMEN"/>
    <s v="VROLIJK BLOEMEN"/>
    <x v="12"/>
    <s v="English Roses"/>
    <s v="60CM"/>
    <n v="2"/>
    <n v="24"/>
    <n v="960"/>
    <n v="0.47"/>
    <n v="451.2"/>
    <s v="EUR"/>
    <m/>
    <m/>
    <x v="0"/>
    <n v="0"/>
    <x v="1"/>
    <x v="0"/>
    <n v="960"/>
    <n v="0.40125"/>
    <n v="385.2"/>
    <n v="-47.59375"/>
    <n v="337.60624999999999"/>
    <x v="0"/>
    <n v="0"/>
    <m/>
    <n v="431347"/>
    <n v="82.766000000000005"/>
    <m/>
    <n v="19.2"/>
    <m/>
    <n v="101.96600000000001"/>
    <n v="235.64024999999998"/>
    <m/>
    <n v="960"/>
  </r>
  <r>
    <n v="9"/>
    <n v="2024"/>
    <s v="Auction"/>
    <s v="VROLIJK BLOEMEN"/>
    <s v="VROLIJK BLOEMEN"/>
    <x v="12"/>
    <s v="English Roses"/>
    <s v="70CM"/>
    <n v="1"/>
    <n v="12"/>
    <n v="400"/>
    <n v="0.52"/>
    <n v="208"/>
    <s v="EUR"/>
    <m/>
    <m/>
    <x v="0"/>
    <n v="-200"/>
    <x v="1"/>
    <x v="1"/>
    <n v="600"/>
    <n v="0.61333333333333329"/>
    <n v="368"/>
    <n v="-29.74609375"/>
    <n v="338.25390625"/>
    <x v="0"/>
    <n v="200"/>
    <m/>
    <n v="431347"/>
    <n v="41.383000000000003"/>
    <m/>
    <n v="12"/>
    <m/>
    <n v="53.383000000000003"/>
    <n v="284.87090625000002"/>
    <m/>
    <n v="600"/>
  </r>
  <r>
    <n v="9"/>
    <n v="2024"/>
    <s v="Auction"/>
    <s v="VROLIJK BLOEMEN"/>
    <s v="VROLIJK BLOEMEN"/>
    <x v="12"/>
    <s v="English Roses"/>
    <s v="90CM"/>
    <n v="2"/>
    <n v="24"/>
    <n v="480"/>
    <n v="0.75"/>
    <n v="360"/>
    <s v="EUR"/>
    <m/>
    <m/>
    <x v="0"/>
    <n v="-360"/>
    <x v="1"/>
    <x v="3"/>
    <n v="840"/>
    <n v="0.75142857142857145"/>
    <n v="631.20000000000005"/>
    <n v="-41.64453125"/>
    <n v="589.55546875000005"/>
    <x v="0"/>
    <n v="360"/>
    <m/>
    <n v="431347"/>
    <n v="82.766000000000005"/>
    <m/>
    <n v="16.8"/>
    <m/>
    <n v="99.566000000000003"/>
    <n v="489.98946875000001"/>
    <m/>
    <n v="840"/>
  </r>
  <r>
    <n v="9"/>
    <n v="2024"/>
    <s v="Auction"/>
    <s v="VROLIJK BLOEMEN"/>
    <s v="VROLIJK BLOEMEN"/>
    <x v="12"/>
    <s v="English Roses"/>
    <s v="100CM"/>
    <n v="3"/>
    <n v="36"/>
    <n v="600"/>
    <n v="0.94"/>
    <n v="564"/>
    <s v="EUR"/>
    <m/>
    <m/>
    <x v="0"/>
    <n v="200"/>
    <x v="1"/>
    <x v="4"/>
    <n v="400"/>
    <n v="0.60899999999999999"/>
    <n v="243.6"/>
    <n v="-19.830729166666668"/>
    <n v="223.76927083333334"/>
    <x v="0"/>
    <n v="-200"/>
    <m/>
    <n v="431347"/>
    <n v="124.14899999999999"/>
    <m/>
    <n v="8"/>
    <m/>
    <n v="132.149"/>
    <n v="91.620270833333336"/>
    <m/>
    <n v="400"/>
  </r>
  <r>
    <n v="9"/>
    <n v="2024"/>
    <s v="Auction"/>
    <s v="VROLIJK BLOEMEN"/>
    <s v="VROLIJK BLOEMEN"/>
    <x v="12"/>
    <s v="Floribunda Roses"/>
    <s v="70CM"/>
    <n v="2"/>
    <n v="24"/>
    <n v="800"/>
    <n v="0.52"/>
    <n v="416"/>
    <s v="EUR"/>
    <m/>
    <m/>
    <x v="0"/>
    <n v="-40"/>
    <x v="2"/>
    <x v="1"/>
    <n v="840"/>
    <n v="0.9447619047619048"/>
    <n v="793.6"/>
    <n v="-41.64453125"/>
    <n v="751.95546875000002"/>
    <x v="0"/>
    <n v="40"/>
    <m/>
    <n v="431347"/>
    <n v="82.766000000000005"/>
    <m/>
    <n v="16.8"/>
    <m/>
    <n v="99.566000000000003"/>
    <n v="652.38946874999999"/>
    <m/>
    <n v="840"/>
  </r>
  <r>
    <n v="9"/>
    <n v="2024"/>
    <s v="Auction"/>
    <s v="VROLIJK BLOEMEN"/>
    <s v="VROLIJK BLOEMEN"/>
    <x v="12"/>
    <s v="Floribunda Roses"/>
    <s v="80CM"/>
    <n v="1"/>
    <n v="12"/>
    <n v="320"/>
    <n v="0.56999999999999995"/>
    <n v="182.4"/>
    <s v="EUR"/>
    <m/>
    <m/>
    <x v="0"/>
    <n v="0"/>
    <x v="2"/>
    <x v="2"/>
    <n v="320"/>
    <n v="0.92125000000000001"/>
    <n v="294.8"/>
    <n v="-15.864583333333334"/>
    <n v="278.9354166666667"/>
    <x v="0"/>
    <n v="0"/>
    <m/>
    <n v="431347"/>
    <n v="41.383000000000003"/>
    <m/>
    <n v="6.4"/>
    <m/>
    <n v="47.783000000000001"/>
    <n v="231.15241666666668"/>
    <m/>
    <n v="320"/>
  </r>
  <r>
    <n v="9"/>
    <n v="2024"/>
    <s v="Auction"/>
    <s v="VROLIJK BLOEMEN"/>
    <s v="VROLIJK BLOEMEN"/>
    <x v="12"/>
    <s v="Floribunda Roses"/>
    <s v="90CM"/>
    <n v="1"/>
    <n v="8"/>
    <n v="160"/>
    <n v="0.75"/>
    <n v="120"/>
    <s v="EUR"/>
    <m/>
    <m/>
    <x v="0"/>
    <n v="40"/>
    <x v="2"/>
    <x v="3"/>
    <n v="120"/>
    <n v="0.79333333333333333"/>
    <n v="95.2"/>
    <n v="-5.94921875"/>
    <n v="89.250781250000003"/>
    <x v="0"/>
    <n v="-40"/>
    <m/>
    <n v="431347"/>
    <n v="27.588666666666665"/>
    <m/>
    <n v="2.4"/>
    <m/>
    <n v="29.988666666666663"/>
    <n v="59.262114583333343"/>
    <m/>
    <n v="120"/>
  </r>
  <r>
    <n v="9"/>
    <n v="2024"/>
    <s v="Auction"/>
    <s v="VROLIJK BLOEMEN"/>
    <s v="VROLIJK BLOEMEN"/>
    <x v="12"/>
    <s v="Floribunda Roses"/>
    <s v="100CM"/>
    <m/>
    <n v="4"/>
    <n v="80"/>
    <n v="0.94"/>
    <n v="75.2"/>
    <s v="EUR"/>
    <m/>
    <m/>
    <x v="0"/>
    <n v="0"/>
    <x v="2"/>
    <x v="4"/>
    <n v="80"/>
    <n v="0.85500000000000009"/>
    <n v="68.400000000000006"/>
    <n v="-3.9661458333333335"/>
    <n v="64.433854166666677"/>
    <x v="0"/>
    <n v="0"/>
    <m/>
    <n v="431347"/>
    <n v="13.794333333333332"/>
    <m/>
    <n v="1.6"/>
    <m/>
    <n v="15.394333333333332"/>
    <n v="49.039520833333341"/>
    <m/>
    <n v="80"/>
  </r>
  <r>
    <n v="9"/>
    <n v="2024"/>
    <s v="Auction"/>
    <s v="VROLIJK BLOEMEN"/>
    <s v="VROLIJK BLOEMEN"/>
    <x v="12"/>
    <s v="Grandiflora Roses"/>
    <s v="70CM"/>
    <n v="1"/>
    <n v="4"/>
    <n v="120"/>
    <n v="0.28000000000000003"/>
    <n v="33.6"/>
    <s v="EUR"/>
    <m/>
    <m/>
    <x v="0"/>
    <n v="-520"/>
    <x v="0"/>
    <x v="1"/>
    <n v="640"/>
    <n v="0.62312500000000004"/>
    <n v="398.8"/>
    <n v="-31.729166666666668"/>
    <n v="367.07083333333333"/>
    <x v="0"/>
    <n v="520"/>
    <m/>
    <n v="431347"/>
    <n v="13.794333333333332"/>
    <m/>
    <n v="12.8"/>
    <m/>
    <n v="26.594333333333331"/>
    <n v="340.47649999999999"/>
    <m/>
    <n v="640"/>
  </r>
  <r>
    <n v="9"/>
    <n v="2024"/>
    <s v="Auction"/>
    <s v="VROLIJK BLOEMEN"/>
    <s v="VROLIJK BLOEMEN"/>
    <x v="12"/>
    <s v="Grandiflora Roses"/>
    <s v="80CM"/>
    <m/>
    <n v="8"/>
    <n v="240"/>
    <n v="0.33"/>
    <n v="79.2"/>
    <s v="EUR"/>
    <m/>
    <m/>
    <x v="0"/>
    <n v="240"/>
    <x v="0"/>
    <x v="2"/>
    <m/>
    <m/>
    <n v="0"/>
    <n v="0"/>
    <n v="0"/>
    <x v="0"/>
    <n v="-240"/>
    <m/>
    <n v="431347"/>
    <n v="27.588666666666665"/>
    <m/>
    <n v="0"/>
    <m/>
    <n v="27.588666666666665"/>
    <n v="-27.588666666666665"/>
    <m/>
    <n v="0"/>
  </r>
  <r>
    <n v="9"/>
    <n v="2024"/>
    <s v="Auction"/>
    <s v="VROLIJK BLOEMEN"/>
    <s v="VROLIJK BLOEMEN"/>
    <x v="12"/>
    <s v="English Roses"/>
    <s v="70CM"/>
    <n v="1"/>
    <n v="4.5"/>
    <n v="120"/>
    <n v="0.52"/>
    <n v="62.4"/>
    <s v="EUR"/>
    <m/>
    <m/>
    <x v="0"/>
    <n v="120"/>
    <x v="1"/>
    <x v="1"/>
    <m/>
    <m/>
    <n v="0"/>
    <n v="0"/>
    <n v="0"/>
    <x v="0"/>
    <n v="-120"/>
    <m/>
    <n v="431347"/>
    <n v="15.518624999999998"/>
    <m/>
    <n v="0"/>
    <m/>
    <n v="15.518624999999998"/>
    <n v="-15.518624999999998"/>
    <m/>
    <n v="0"/>
  </r>
  <r>
    <n v="9"/>
    <n v="2024"/>
    <s v="Auction"/>
    <s v="VROLIJK BLOEMEN"/>
    <s v="VROLIJK BLOEMEN"/>
    <x v="12"/>
    <s v="English Roses"/>
    <s v="80CM"/>
    <m/>
    <n v="7.5"/>
    <n v="200"/>
    <n v="0.56999999999999995"/>
    <n v="114"/>
    <s v="EUR"/>
    <m/>
    <m/>
    <x v="0"/>
    <n v="40"/>
    <x v="1"/>
    <x v="2"/>
    <n v="160"/>
    <n v="0.77"/>
    <n v="123.2"/>
    <n v="-7.932291666666667"/>
    <n v="115.26770833333333"/>
    <x v="0"/>
    <n v="-40"/>
    <m/>
    <n v="431347"/>
    <n v="25.864374999999999"/>
    <m/>
    <n v="3.2"/>
    <m/>
    <n v="29.064374999999998"/>
    <n v="86.203333333333333"/>
    <m/>
    <n v="160"/>
  </r>
  <r>
    <n v="8"/>
    <n v="2024"/>
    <s v="Auction"/>
    <s v="VROLIJK BLOEMEN"/>
    <s v="VROLIJK BLOEMEN"/>
    <x v="13"/>
    <s v="Grandiflora Roses"/>
    <s v="60CM"/>
    <n v="1"/>
    <n v="12"/>
    <n v="720"/>
    <n v="0.24"/>
    <n v="172.8"/>
    <s v="EUR"/>
    <m/>
    <m/>
    <x v="3"/>
    <n v="-520"/>
    <x v="0"/>
    <x v="0"/>
    <n v="1240"/>
    <n v="0.46612903225806451"/>
    <n v="578"/>
    <n v="-50.572575107296096"/>
    <n v="527.42742489270393"/>
    <x v="3"/>
    <n v="520"/>
    <m/>
    <s v="F080201"/>
    <n v="39.929473684210521"/>
    <m/>
    <n v="24.8"/>
    <m/>
    <n v="64.729473684210518"/>
    <n v="462.69795120849341"/>
    <m/>
    <n v="1240"/>
  </r>
  <r>
    <n v="8"/>
    <n v="2024"/>
    <s v="Auction"/>
    <s v="VROLIJK BLOEMEN"/>
    <s v="VROLIJK BLOEMEN"/>
    <x v="13"/>
    <s v="Grandiflora Roses"/>
    <s v="70CM"/>
    <n v="1"/>
    <n v="12"/>
    <n v="520"/>
    <n v="0.28000000000000003"/>
    <n v="145.6"/>
    <s v="EUR"/>
    <m/>
    <m/>
    <x v="3"/>
    <n v="-280"/>
    <x v="0"/>
    <x v="1"/>
    <n v="800"/>
    <n v="0.36"/>
    <n v="288"/>
    <n v="-32.627467811158773"/>
    <n v="255.37253218884123"/>
    <x v="3"/>
    <n v="280"/>
    <m/>
    <s v="F080201"/>
    <n v="39.929473684210521"/>
    <m/>
    <n v="16"/>
    <m/>
    <n v="55.929473684210521"/>
    <n v="199.4430585046307"/>
    <m/>
    <n v="800"/>
  </r>
  <r>
    <n v="8"/>
    <n v="2024"/>
    <s v="Auction"/>
    <s v="VROLIJK BLOEMEN"/>
    <s v="VROLIJK BLOEMEN"/>
    <x v="13"/>
    <s v="Grandiflora Roses"/>
    <s v="80CM"/>
    <n v="1"/>
    <n v="12"/>
    <n v="480"/>
    <n v="0.33"/>
    <n v="158.4"/>
    <s v="EUR"/>
    <m/>
    <m/>
    <x v="3"/>
    <n v="-80"/>
    <x v="0"/>
    <x v="2"/>
    <n v="560"/>
    <n v="0.45928571428571424"/>
    <n v="257.2"/>
    <n v="-22.839227467811138"/>
    <n v="234.36077253218886"/>
    <x v="3"/>
    <n v="80"/>
    <m/>
    <s v="F080201"/>
    <n v="39.929473684210521"/>
    <m/>
    <n v="11.200000000000001"/>
    <m/>
    <n v="51.129473684210524"/>
    <n v="183.23129884797834"/>
    <m/>
    <n v="560"/>
  </r>
  <r>
    <n v="8"/>
    <n v="2024"/>
    <s v="Auction"/>
    <s v="VROLIJK BLOEMEN"/>
    <s v="VROLIJK BLOEMEN"/>
    <x v="13"/>
    <s v="Grandiflora Roses"/>
    <s v="90CM"/>
    <n v="1"/>
    <n v="12"/>
    <n v="320"/>
    <n v="0.38"/>
    <n v="121.6"/>
    <s v="EUR"/>
    <m/>
    <m/>
    <x v="3"/>
    <n v="0"/>
    <x v="0"/>
    <x v="3"/>
    <n v="320"/>
    <n v="0.58499999999999996"/>
    <n v="187.2"/>
    <n v="-13.050987124463509"/>
    <n v="174.14901287553647"/>
    <x v="3"/>
    <n v="0"/>
    <m/>
    <s v="F080201"/>
    <n v="39.929473684210521"/>
    <m/>
    <n v="6.4"/>
    <m/>
    <n v="46.329473684210519"/>
    <n v="127.81953919132596"/>
    <m/>
    <n v="320"/>
  </r>
  <r>
    <n v="8"/>
    <n v="2024"/>
    <s v="Auction"/>
    <s v="VROLIJK BLOEMEN"/>
    <s v="VROLIJK BLOEMEN"/>
    <x v="13"/>
    <s v="Grandiflora Roses"/>
    <s v="100CM"/>
    <n v="1"/>
    <n v="12"/>
    <n v="280"/>
    <n v="0.47"/>
    <n v="131.6"/>
    <s v="EUR"/>
    <m/>
    <m/>
    <x v="3"/>
    <n v="0"/>
    <x v="0"/>
    <x v="4"/>
    <n v="280"/>
    <n v="0.72714285714285709"/>
    <n v="203.6"/>
    <n v="-11.419613733905569"/>
    <n v="192.18038626609442"/>
    <x v="3"/>
    <n v="0"/>
    <m/>
    <s v="F080201"/>
    <n v="39.929473684210521"/>
    <m/>
    <n v="5.6000000000000005"/>
    <m/>
    <n v="45.529473684210522"/>
    <n v="146.65091258188389"/>
    <m/>
    <n v="280"/>
  </r>
  <r>
    <n v="8"/>
    <n v="2024"/>
    <s v="Auction"/>
    <s v="VROLIJK BLOEMEN"/>
    <s v="VROLIJK BLOEMEN"/>
    <x v="13"/>
    <s v="English Roses"/>
    <s v="70CM"/>
    <n v="1"/>
    <n v="12"/>
    <n v="400"/>
    <n v="0.52"/>
    <n v="208"/>
    <s v="EUR"/>
    <m/>
    <m/>
    <x v="3"/>
    <n v="-320"/>
    <x v="1"/>
    <x v="1"/>
    <n v="720"/>
    <n v="0.65"/>
    <n v="468"/>
    <n v="-29.364721030042894"/>
    <n v="438.63527896995708"/>
    <x v="3"/>
    <n v="320"/>
    <m/>
    <s v="F080201"/>
    <n v="39.929473684210521"/>
    <m/>
    <n v="14.4"/>
    <m/>
    <n v="54.329473684210519"/>
    <n v="384.30580528574654"/>
    <m/>
    <n v="720"/>
  </r>
  <r>
    <n v="8"/>
    <n v="2024"/>
    <s v="Auction"/>
    <s v="VROLIJK BLOEMEN"/>
    <s v="VROLIJK BLOEMEN"/>
    <x v="13"/>
    <s v="English Roses"/>
    <s v="80CM"/>
    <n v="1"/>
    <n v="12"/>
    <n v="320"/>
    <n v="0.56999999999999995"/>
    <n v="182.4"/>
    <s v="EUR"/>
    <m/>
    <m/>
    <x v="3"/>
    <n v="-80"/>
    <x v="1"/>
    <x v="2"/>
    <n v="400"/>
    <n v="0.40100000000000002"/>
    <n v="160.4"/>
    <n v="-16.313733905579387"/>
    <n v="144.08626609442061"/>
    <x v="3"/>
    <n v="80"/>
    <m/>
    <s v="F080201"/>
    <n v="39.929473684210521"/>
    <m/>
    <n v="8"/>
    <m/>
    <n v="47.929473684210521"/>
    <n v="96.156792410210087"/>
    <m/>
    <n v="400"/>
  </r>
  <r>
    <n v="8"/>
    <n v="2024"/>
    <s v="Auction"/>
    <s v="VROLIJK BLOEMEN"/>
    <s v="VROLIJK BLOEMEN"/>
    <x v="13"/>
    <s v="Floribunda Roses"/>
    <s v="50CM"/>
    <n v="3"/>
    <n v="36"/>
    <n v="1800"/>
    <n v="0.38"/>
    <n v="684"/>
    <s v="EUR"/>
    <m/>
    <m/>
    <x v="3"/>
    <n v="0"/>
    <x v="2"/>
    <x v="5"/>
    <n v="1800"/>
    <n v="0.40133333333333332"/>
    <n v="722.4"/>
    <n v="-73.411802575107231"/>
    <n v="648.98819742489275"/>
    <x v="3"/>
    <n v="0"/>
    <m/>
    <s v="F080201"/>
    <n v="119.78842105263156"/>
    <m/>
    <n v="36"/>
    <m/>
    <n v="155.78842105263158"/>
    <n v="493.19977637226117"/>
    <m/>
    <n v="1800"/>
  </r>
  <r>
    <n v="8"/>
    <n v="2024"/>
    <s v="Auction"/>
    <s v="VROLIJK BLOEMEN"/>
    <s v="VROLIJK BLOEMEN"/>
    <x v="13"/>
    <s v="Floribunda Roses"/>
    <s v="60CM"/>
    <n v="2"/>
    <n v="24"/>
    <n v="1040"/>
    <n v="0.47"/>
    <n v="488.8"/>
    <s v="EUR"/>
    <m/>
    <m/>
    <x v="3"/>
    <n v="0"/>
    <x v="2"/>
    <x v="0"/>
    <n v="1040"/>
    <n v="0.60923076923076924"/>
    <n v="633.6"/>
    <n v="-42.415708154506405"/>
    <n v="591.18429184549359"/>
    <x v="3"/>
    <n v="0"/>
    <m/>
    <s v="F080201"/>
    <n v="79.858947368421042"/>
    <m/>
    <n v="20.8"/>
    <m/>
    <n v="100.65894736842104"/>
    <n v="490.52534447707257"/>
    <m/>
    <n v="1040"/>
  </r>
  <r>
    <n v="8"/>
    <n v="2024"/>
    <s v="Auction"/>
    <s v="VROLIJK BLOEMEN"/>
    <s v="VROLIJK BLOEMEN"/>
    <x v="13"/>
    <s v="English Roses"/>
    <s v="70CM"/>
    <n v="1"/>
    <n v="12"/>
    <n v="320"/>
    <n v="0.52"/>
    <n v="166.4"/>
    <s v="EUR"/>
    <m/>
    <m/>
    <x v="3"/>
    <n v="320"/>
    <x v="1"/>
    <x v="1"/>
    <m/>
    <m/>
    <n v="0"/>
    <n v="0"/>
    <n v="0"/>
    <x v="3"/>
    <n v="-320"/>
    <m/>
    <s v="F080201"/>
    <n v="39.929473684210521"/>
    <m/>
    <n v="0"/>
    <m/>
    <n v="39.929473684210521"/>
    <n v="-39.929473684210521"/>
    <m/>
    <n v="0"/>
  </r>
  <r>
    <n v="8"/>
    <n v="2024"/>
    <s v="Auction"/>
    <s v="VROLIJK BLOEMEN"/>
    <s v="VROLIJK BLOEMEN"/>
    <x v="13"/>
    <s v="Floribunda Roses"/>
    <s v="80CM"/>
    <n v="1"/>
    <n v="12"/>
    <n v="320"/>
    <n v="0.56999999999999995"/>
    <n v="182.4"/>
    <s v="EUR"/>
    <m/>
    <m/>
    <x v="3"/>
    <n v="0"/>
    <x v="2"/>
    <x v="2"/>
    <n v="320"/>
    <n v="0.63"/>
    <n v="201.6"/>
    <n v="-13.050987124463509"/>
    <n v="188.54901287553648"/>
    <x v="3"/>
    <n v="0"/>
    <m/>
    <s v="F080201"/>
    <n v="39.929473684210521"/>
    <m/>
    <n v="6.4"/>
    <m/>
    <n v="46.329473684210519"/>
    <n v="142.21953919132596"/>
    <m/>
    <n v="320"/>
  </r>
  <r>
    <n v="8"/>
    <n v="2024"/>
    <s v="Auction"/>
    <s v="VROLIJK BLOEMEN"/>
    <s v="VROLIJK BLOEMEN"/>
    <x v="13"/>
    <s v="English Roses"/>
    <s v="100CM"/>
    <n v="1"/>
    <n v="7.1999999999999993"/>
    <n v="120"/>
    <n v="0.94"/>
    <n v="112.8"/>
    <s v="EUR"/>
    <m/>
    <m/>
    <x v="3"/>
    <n v="0"/>
    <x v="1"/>
    <x v="4"/>
    <n v="120"/>
    <n v="0.49333333333333335"/>
    <n v="59.2"/>
    <n v="-4.8941201716738156"/>
    <n v="54.305879828326184"/>
    <x v="3"/>
    <n v="0"/>
    <m/>
    <s v="F080201"/>
    <n v="23.95768421052631"/>
    <m/>
    <n v="2.4"/>
    <m/>
    <n v="26.357684210526308"/>
    <n v="27.948195617799875"/>
    <m/>
    <n v="120"/>
  </r>
  <r>
    <n v="8"/>
    <n v="2024"/>
    <s v="Auction"/>
    <s v="VROLIJK BLOEMEN"/>
    <s v="VROLIJK BLOEMEN"/>
    <x v="13"/>
    <s v="English Roses"/>
    <s v="80CM"/>
    <m/>
    <n v="4.8000000000000007"/>
    <n v="80"/>
    <n v="0.56999999999999995"/>
    <n v="45.6"/>
    <s v="EUR"/>
    <m/>
    <m/>
    <x v="3"/>
    <n v="80"/>
    <x v="1"/>
    <x v="2"/>
    <m/>
    <m/>
    <n v="0"/>
    <n v="0"/>
    <n v="0"/>
    <x v="3"/>
    <n v="-80"/>
    <m/>
    <s v="F080201"/>
    <n v="15.971789473684213"/>
    <m/>
    <n v="0"/>
    <m/>
    <n v="15.971789473684213"/>
    <n v="-15.971789473684213"/>
    <m/>
    <n v="0"/>
  </r>
  <r>
    <n v="8"/>
    <n v="2024"/>
    <s v="Auction"/>
    <s v="VROLIJK BLOEMEN"/>
    <s v="VROLIJK BLOEMEN"/>
    <x v="13"/>
    <s v="English Roses"/>
    <s v="50CM"/>
    <n v="1"/>
    <n v="5.6"/>
    <n v="280"/>
    <n v="0.38"/>
    <n v="106.4"/>
    <s v="EUR"/>
    <m/>
    <m/>
    <x v="3"/>
    <n v="0"/>
    <x v="1"/>
    <x v="5"/>
    <n v="280"/>
    <n v="0.37"/>
    <n v="103.6"/>
    <n v="-11.419613733905569"/>
    <n v="92.18038626609443"/>
    <x v="3"/>
    <n v="0"/>
    <m/>
    <s v="F080201"/>
    <n v="18.633754385964913"/>
    <m/>
    <n v="5.6000000000000005"/>
    <m/>
    <n v="24.233754385964914"/>
    <n v="67.946631880129516"/>
    <m/>
    <n v="280"/>
  </r>
  <r>
    <n v="8"/>
    <n v="2024"/>
    <s v="Auction"/>
    <s v="VROLIJK BLOEMEN"/>
    <s v="VROLIJK BLOEMEN"/>
    <x v="13"/>
    <s v="English Roses"/>
    <s v="60CM"/>
    <m/>
    <n v="6.4"/>
    <n v="320"/>
    <n v="0.47"/>
    <n v="150.4"/>
    <s v="EUR"/>
    <m/>
    <m/>
    <x v="3"/>
    <n v="0"/>
    <x v="1"/>
    <x v="0"/>
    <n v="320"/>
    <n v="0.61124999999999996"/>
    <n v="195.6"/>
    <n v="-13.050987124463509"/>
    <n v="182.54901287553648"/>
    <x v="3"/>
    <n v="0"/>
    <m/>
    <s v="F080201"/>
    <n v="21.295719298245615"/>
    <m/>
    <n v="6.4"/>
    <m/>
    <n v="27.695719298245614"/>
    <n v="154.85329357729086"/>
    <m/>
    <n v="320"/>
  </r>
  <r>
    <n v="8"/>
    <n v="2024"/>
    <s v="Auction"/>
    <s v="VROLIJK BLOEMEN"/>
    <s v="VROLIJK BLOEMEN"/>
    <x v="13"/>
    <s v="Grandiflora Roses"/>
    <s v="50CM"/>
    <n v="1"/>
    <n v="10.666666666666666"/>
    <n v="640"/>
    <n v="0.14000000000000001"/>
    <n v="89.6"/>
    <s v="EUR"/>
    <m/>
    <m/>
    <x v="3"/>
    <n v="0"/>
    <x v="0"/>
    <x v="5"/>
    <n v="640"/>
    <n v="0.28187499999999999"/>
    <n v="180.39999999999998"/>
    <n v="-26.101974248927018"/>
    <n v="154.29802575107297"/>
    <x v="3"/>
    <n v="0"/>
    <m/>
    <s v="F080201"/>
    <n v="35.492865497076018"/>
    <m/>
    <n v="12.8"/>
    <m/>
    <n v="48.292865497076022"/>
    <n v="106.00516025399695"/>
    <m/>
    <n v="640"/>
  </r>
  <r>
    <n v="8"/>
    <n v="2024"/>
    <s v="Auction"/>
    <s v="VROLIJK BLOEMEN"/>
    <s v="VROLIJK BLOEMEN"/>
    <x v="13"/>
    <s v="Grandiflora Roses"/>
    <s v="80CM"/>
    <m/>
    <n v="1.3333333333333333"/>
    <n v="80"/>
    <n v="0.33"/>
    <n v="26.4"/>
    <s v="EUR"/>
    <m/>
    <m/>
    <x v="3"/>
    <n v="80"/>
    <x v="0"/>
    <x v="2"/>
    <m/>
    <m/>
    <n v="0"/>
    <n v="0"/>
    <n v="0"/>
    <x v="3"/>
    <n v="-80"/>
    <m/>
    <s v="F080201"/>
    <n v="4.4366081871345022"/>
    <m/>
    <n v="0"/>
    <m/>
    <n v="4.4366081871345022"/>
    <n v="-4.4366081871345022"/>
    <m/>
    <n v="0"/>
  </r>
  <r>
    <n v="8"/>
    <n v="2024"/>
    <s v="Auction"/>
    <s v="VROLIJK BLOEMEN"/>
    <s v="VROLIJK BLOEMEN"/>
    <x v="13"/>
    <s v="Grandiflora Roses"/>
    <s v="60CM"/>
    <n v="1"/>
    <n v="7.8000000000000007"/>
    <n v="520"/>
    <n v="0.24"/>
    <n v="124.8"/>
    <s v="EUR"/>
    <m/>
    <m/>
    <x v="3"/>
    <n v="520"/>
    <x v="0"/>
    <x v="0"/>
    <m/>
    <m/>
    <n v="0"/>
    <n v="0"/>
    <n v="0"/>
    <x v="3"/>
    <n v="-520"/>
    <m/>
    <s v="F080201"/>
    <n v="25.954157894736841"/>
    <m/>
    <n v="0"/>
    <m/>
    <n v="25.954157894736841"/>
    <n v="-25.954157894736841"/>
    <m/>
    <n v="0"/>
  </r>
  <r>
    <n v="8"/>
    <n v="2024"/>
    <s v="Auction"/>
    <s v="VROLIJK BLOEMEN"/>
    <s v="VROLIJK BLOEMEN"/>
    <x v="13"/>
    <s v="Grandiflora Roses"/>
    <s v="70CM"/>
    <m/>
    <n v="4.1999999999999993"/>
    <n v="280"/>
    <n v="0.28000000000000003"/>
    <n v="78.400000000000006"/>
    <s v="EUR"/>
    <m/>
    <m/>
    <x v="3"/>
    <n v="280"/>
    <x v="0"/>
    <x v="1"/>
    <m/>
    <m/>
    <n v="0"/>
    <n v="0"/>
    <n v="0"/>
    <x v="3"/>
    <n v="-280"/>
    <m/>
    <s v="F080201"/>
    <n v="13.975315789473683"/>
    <m/>
    <n v="0"/>
    <m/>
    <n v="13.975315789473683"/>
    <n v="-13.975315789473683"/>
    <m/>
    <n v="0"/>
  </r>
  <r>
    <n v="8"/>
    <n v="2024"/>
    <s v="Auction"/>
    <s v="VROLIJK BLOEMEN"/>
    <s v="VROLIJK BLOEMEN"/>
    <x v="13"/>
    <s v="Polyantha Roses"/>
    <s v="60CM"/>
    <n v="1"/>
    <n v="9"/>
    <n v="360"/>
    <n v="0.52"/>
    <n v="187.2"/>
    <s v="EUR"/>
    <m/>
    <m/>
    <x v="3"/>
    <n v="0"/>
    <x v="3"/>
    <x v="0"/>
    <n v="360"/>
    <n v="0.7566666666666666"/>
    <n v="272.39999999999998"/>
    <n v="-14.682360515021447"/>
    <n v="257.71763948497852"/>
    <x v="3"/>
    <n v="0"/>
    <m/>
    <s v="F080201"/>
    <n v="29.947105263157891"/>
    <m/>
    <n v="7.2"/>
    <m/>
    <n v="37.14710526315789"/>
    <n v="220.57053422182062"/>
    <m/>
    <n v="360"/>
  </r>
  <r>
    <n v="8"/>
    <n v="2024"/>
    <s v="Auction"/>
    <s v="VROLIJK BLOEMEN"/>
    <s v="VROLIJK BLOEMEN"/>
    <x v="13"/>
    <s v="Polyantha Roses"/>
    <s v="70CM"/>
    <m/>
    <n v="2"/>
    <n v="80"/>
    <n v="0.61"/>
    <n v="48.8"/>
    <s v="EUR"/>
    <m/>
    <m/>
    <x v="3"/>
    <n v="0"/>
    <x v="3"/>
    <x v="1"/>
    <n v="80"/>
    <n v="0.86999999999999988"/>
    <n v="69.599999999999994"/>
    <n v="-3.2627467811158772"/>
    <n v="66.337253218884115"/>
    <x v="3"/>
    <n v="0"/>
    <m/>
    <s v="F080201"/>
    <n v="6.6549122807017538"/>
    <m/>
    <n v="1.6"/>
    <m/>
    <n v="8.2549122807017543"/>
    <n v="58.082340938182362"/>
    <m/>
    <n v="80"/>
  </r>
  <r>
    <n v="8"/>
    <n v="2024"/>
    <s v="Auction"/>
    <s v="VROLIJK BLOEMEN"/>
    <s v="VROLIJK BLOEMEN"/>
    <x v="13"/>
    <s v="Polyantha Roses"/>
    <s v="50CM"/>
    <m/>
    <n v="1"/>
    <n v="40"/>
    <n v="0.42"/>
    <n v="16.8"/>
    <s v="EUR"/>
    <m/>
    <m/>
    <x v="3"/>
    <n v="0"/>
    <x v="3"/>
    <x v="5"/>
    <n v="40"/>
    <n v="0.45999999999999996"/>
    <n v="18.399999999999999"/>
    <n v="-1.6313733905579386"/>
    <n v="16.768626609442059"/>
    <x v="3"/>
    <n v="0"/>
    <m/>
    <s v="F080201"/>
    <n v="3.3274561403508769"/>
    <m/>
    <n v="0.8"/>
    <m/>
    <n v="4.1274561403508772"/>
    <n v="12.641170469091183"/>
    <m/>
    <n v="40"/>
  </r>
  <r>
    <m/>
    <m/>
    <m/>
    <m/>
    <m/>
    <x v="9"/>
    <s v="Floribunda Roses"/>
    <s v="70CM"/>
    <m/>
    <m/>
    <m/>
    <m/>
    <m/>
    <s v="EUR"/>
    <m/>
    <m/>
    <x v="3"/>
    <n v="0"/>
    <x v="2"/>
    <x v="1"/>
    <n v="0"/>
    <n v="-0.63"/>
    <n v="-226.8"/>
    <n v="0"/>
    <n v="-226.8"/>
    <x v="3"/>
    <n v="0"/>
    <m/>
    <s v="F080201"/>
    <n v="0"/>
    <m/>
    <n v="0"/>
    <m/>
    <n v="0"/>
    <n v="-226.8"/>
    <m/>
    <n v="0"/>
  </r>
  <r>
    <m/>
    <m/>
    <m/>
    <m/>
    <m/>
    <x v="9"/>
    <s v="Floribunda Roses"/>
    <s v="50CM"/>
    <m/>
    <m/>
    <m/>
    <m/>
    <m/>
    <s v="EUR"/>
    <m/>
    <m/>
    <x v="3"/>
    <n v="0"/>
    <x v="2"/>
    <x v="5"/>
    <n v="0"/>
    <n v="-0.27999999999999997"/>
    <n v="-246.39999999999998"/>
    <n v="-3.4899999999999807"/>
    <n v="-249.88999999999996"/>
    <x v="3"/>
    <n v="0"/>
    <m/>
    <s v="F080201"/>
    <n v="0"/>
    <m/>
    <n v="0"/>
    <m/>
    <n v="0"/>
    <n v="-249.88999999999996"/>
    <m/>
    <n v="0"/>
  </r>
  <r>
    <n v="8"/>
    <n v="2024"/>
    <s v="Auction"/>
    <s v="VROLIJK BLOEMEN"/>
    <s v="VROLIJK BLOEMEN"/>
    <x v="14"/>
    <s v="Grandiflora Roses"/>
    <s v="60CM"/>
    <n v="1"/>
    <n v="12"/>
    <n v="720"/>
    <n v="0.24"/>
    <n v="172.8"/>
    <s v="EUR"/>
    <m/>
    <m/>
    <x v="3"/>
    <n v="-520"/>
    <x v="0"/>
    <x v="0"/>
    <n v="1240"/>
    <n v="0.31193548387096776"/>
    <n v="386.8"/>
    <n v="-52.067641196013234"/>
    <n v="334.73235880398676"/>
    <x v="3"/>
    <n v="520"/>
    <m/>
    <s v="F080280"/>
    <n v="38.898888888888884"/>
    <m/>
    <n v="24.8"/>
    <m/>
    <n v="63.698888888888888"/>
    <n v="271.03346991509784"/>
    <m/>
    <n v="1240"/>
  </r>
  <r>
    <n v="8"/>
    <n v="2024"/>
    <s v="Auction"/>
    <s v="VROLIJK BLOEMEN"/>
    <s v="VROLIJK BLOEMEN"/>
    <x v="14"/>
    <s v="Grandiflora Roses"/>
    <s v="70CM"/>
    <n v="1"/>
    <n v="12"/>
    <n v="520"/>
    <n v="0.28000000000000003"/>
    <n v="145.6"/>
    <s v="EUR"/>
    <m/>
    <m/>
    <x v="3"/>
    <n v="-240"/>
    <x v="0"/>
    <x v="1"/>
    <n v="760"/>
    <n v="0.43842105263157893"/>
    <n v="333.2"/>
    <n v="-31.912425249169406"/>
    <n v="301.28757475083057"/>
    <x v="3"/>
    <n v="240"/>
    <m/>
    <s v="F080280"/>
    <n v="38.898888888888884"/>
    <m/>
    <n v="15.200000000000001"/>
    <m/>
    <n v="54.098888888888887"/>
    <n v="247.18868586194168"/>
    <m/>
    <n v="760"/>
  </r>
  <r>
    <n v="8"/>
    <n v="2024"/>
    <s v="Auction"/>
    <s v="VROLIJK BLOEMEN"/>
    <s v="VROLIJK BLOEMEN"/>
    <x v="14"/>
    <s v="Grandiflora Roses"/>
    <s v="80CM"/>
    <n v="1"/>
    <n v="12"/>
    <n v="480"/>
    <n v="0.33"/>
    <n v="158.4"/>
    <s v="EUR"/>
    <m/>
    <m/>
    <x v="3"/>
    <n v="-40"/>
    <x v="0"/>
    <x v="2"/>
    <n v="520"/>
    <n v="0.57692307692307687"/>
    <n v="300"/>
    <n v="-21.834817275747486"/>
    <n v="278.16518272425253"/>
    <x v="3"/>
    <n v="40"/>
    <m/>
    <s v="F080280"/>
    <n v="38.898888888888884"/>
    <m/>
    <n v="10.4"/>
    <m/>
    <n v="49.298888888888882"/>
    <n v="228.86629383536365"/>
    <m/>
    <n v="520"/>
  </r>
  <r>
    <n v="8"/>
    <n v="2024"/>
    <s v="Auction"/>
    <s v="VROLIJK BLOEMEN"/>
    <s v="VROLIJK BLOEMEN"/>
    <x v="14"/>
    <s v="Grandiflora Roses"/>
    <s v="90CM"/>
    <n v="1"/>
    <n v="12"/>
    <n v="320"/>
    <n v="0.38"/>
    <n v="121.6"/>
    <s v="EUR"/>
    <m/>
    <m/>
    <x v="3"/>
    <n v="0"/>
    <x v="0"/>
    <x v="3"/>
    <n v="320"/>
    <n v="0.72625000000000006"/>
    <n v="232.40000000000003"/>
    <n v="-13.436810631229223"/>
    <n v="218.9631893687708"/>
    <x v="3"/>
    <n v="0"/>
    <m/>
    <s v="F080280"/>
    <n v="38.898888888888884"/>
    <m/>
    <n v="6.4"/>
    <m/>
    <n v="45.298888888888882"/>
    <n v="173.66430047988192"/>
    <m/>
    <n v="320"/>
  </r>
  <r>
    <n v="8"/>
    <n v="2024"/>
    <s v="Auction"/>
    <s v="VROLIJK BLOEMEN"/>
    <s v="VROLIJK BLOEMEN"/>
    <x v="14"/>
    <s v="Grandiflora Roses"/>
    <s v="100CM"/>
    <n v="1"/>
    <n v="12"/>
    <n v="240"/>
    <n v="0.47"/>
    <n v="112.8"/>
    <s v="EUR"/>
    <m/>
    <m/>
    <x v="3"/>
    <n v="0"/>
    <x v="0"/>
    <x v="4"/>
    <n v="240"/>
    <n v="0.77833333333333343"/>
    <n v="186.8"/>
    <n v="-10.077607973421916"/>
    <n v="176.72239202657809"/>
    <x v="3"/>
    <n v="0"/>
    <m/>
    <s v="F080280"/>
    <n v="38.898888888888884"/>
    <m/>
    <n v="4.8"/>
    <m/>
    <n v="43.698888888888881"/>
    <n v="133.0235031376892"/>
    <m/>
    <n v="240"/>
  </r>
  <r>
    <n v="8"/>
    <n v="2024"/>
    <s v="Auction"/>
    <s v="VROLIJK BLOEMEN"/>
    <s v="VROLIJK BLOEMEN"/>
    <x v="14"/>
    <s v="English Roses"/>
    <s v="50CM"/>
    <n v="1"/>
    <n v="12"/>
    <n v="520"/>
    <n v="0.38"/>
    <n v="197.6"/>
    <s v="EUR"/>
    <m/>
    <m/>
    <x v="3"/>
    <n v="0"/>
    <x v="1"/>
    <x v="5"/>
    <n v="520"/>
    <n v="0.26923076923076922"/>
    <n v="140"/>
    <n v="-21.834817275747486"/>
    <n v="118.16518272425252"/>
    <x v="3"/>
    <n v="0"/>
    <m/>
    <s v="F080280"/>
    <n v="38.898888888888884"/>
    <m/>
    <n v="10.4"/>
    <m/>
    <n v="49.298888888888882"/>
    <n v="68.866293835363635"/>
    <m/>
    <n v="520"/>
  </r>
  <r>
    <n v="8"/>
    <n v="2024"/>
    <s v="Auction"/>
    <s v="VROLIJK BLOEMEN"/>
    <s v="VROLIJK BLOEMEN"/>
    <x v="14"/>
    <s v="English Roses"/>
    <s v="60CM"/>
    <n v="1"/>
    <n v="12"/>
    <n v="440"/>
    <n v="0.47"/>
    <n v="206.8"/>
    <s v="EUR"/>
    <m/>
    <m/>
    <x v="3"/>
    <n v="440"/>
    <x v="1"/>
    <x v="0"/>
    <m/>
    <m/>
    <n v="0"/>
    <n v="0"/>
    <n v="0"/>
    <x v="3"/>
    <n v="-440"/>
    <m/>
    <s v="F080280"/>
    <n v="38.898888888888884"/>
    <m/>
    <n v="0"/>
    <m/>
    <n v="38.898888888888884"/>
    <n v="-38.898888888888884"/>
    <m/>
    <n v="0"/>
  </r>
  <r>
    <n v="8"/>
    <n v="2024"/>
    <s v="Auction"/>
    <s v="VROLIJK BLOEMEN"/>
    <s v="VROLIJK BLOEMEN"/>
    <x v="14"/>
    <s v="English Roses"/>
    <s v="60CM"/>
    <n v="1"/>
    <n v="12"/>
    <n v="480"/>
    <n v="0.47"/>
    <n v="225.6"/>
    <s v="EUR"/>
    <m/>
    <m/>
    <x v="3"/>
    <n v="-440"/>
    <x v="1"/>
    <x v="0"/>
    <n v="920"/>
    <n v="0.44521739130434784"/>
    <n v="409.6"/>
    <n v="-38.630830564784013"/>
    <n v="370.96916943521603"/>
    <x v="3"/>
    <n v="440"/>
    <m/>
    <s v="F080280"/>
    <n v="38.898888888888884"/>
    <m/>
    <n v="18.400000000000002"/>
    <m/>
    <n v="57.298888888888882"/>
    <n v="313.67028054632715"/>
    <m/>
    <n v="920"/>
  </r>
  <r>
    <n v="8"/>
    <n v="2024"/>
    <s v="Auction"/>
    <s v="VROLIJK BLOEMEN"/>
    <s v="VROLIJK BLOEMEN"/>
    <x v="14"/>
    <s v="English Roses"/>
    <s v="70CM"/>
    <n v="2"/>
    <n v="24"/>
    <n v="800"/>
    <n v="0.52"/>
    <n v="416"/>
    <s v="EUR"/>
    <m/>
    <m/>
    <x v="3"/>
    <n v="0"/>
    <x v="1"/>
    <x v="1"/>
    <n v="800"/>
    <n v="0.55200000000000005"/>
    <n v="441.6"/>
    <n v="-33.592026578073053"/>
    <n v="408.00797342192698"/>
    <x v="3"/>
    <n v="0"/>
    <m/>
    <s v="F080280"/>
    <n v="77.797777777777767"/>
    <m/>
    <n v="16"/>
    <m/>
    <n v="93.797777777777767"/>
    <n v="314.21019564414922"/>
    <m/>
    <n v="800"/>
  </r>
  <r>
    <n v="8"/>
    <n v="2024"/>
    <s v="Auction"/>
    <s v="VROLIJK BLOEMEN"/>
    <s v="VROLIJK BLOEMEN"/>
    <x v="14"/>
    <s v="English Roses"/>
    <s v="80CM"/>
    <n v="1"/>
    <n v="12"/>
    <n v="280"/>
    <n v="0.56999999999999995"/>
    <n v="159.6"/>
    <s v="EUR"/>
    <m/>
    <m/>
    <x v="3"/>
    <n v="280"/>
    <x v="1"/>
    <x v="2"/>
    <m/>
    <m/>
    <n v="0"/>
    <n v="0"/>
    <n v="0"/>
    <x v="3"/>
    <n v="-280"/>
    <m/>
    <s v="F080280"/>
    <n v="38.898888888888884"/>
    <m/>
    <n v="0"/>
    <m/>
    <n v="38.898888888888884"/>
    <n v="-38.898888888888884"/>
    <m/>
    <n v="0"/>
  </r>
  <r>
    <n v="8"/>
    <n v="2024"/>
    <s v="Auction"/>
    <s v="VROLIJK BLOEMEN"/>
    <s v="VROLIJK BLOEMEN"/>
    <x v="14"/>
    <s v="English Roses"/>
    <s v="80CM"/>
    <n v="1"/>
    <n v="12"/>
    <n v="320"/>
    <n v="0.56999999999999995"/>
    <n v="182.4"/>
    <s v="EUR"/>
    <m/>
    <m/>
    <x v="3"/>
    <n v="-280"/>
    <x v="1"/>
    <x v="2"/>
    <n v="600"/>
    <n v="0.6"/>
    <n v="360"/>
    <n v="-25.194019933554792"/>
    <n v="334.80598006644522"/>
    <x v="3"/>
    <n v="280"/>
    <m/>
    <s v="F080280"/>
    <n v="38.898888888888884"/>
    <m/>
    <n v="12"/>
    <m/>
    <n v="50.898888888888884"/>
    <n v="283.90709117755631"/>
    <m/>
    <n v="600"/>
  </r>
  <r>
    <n v="8"/>
    <n v="2024"/>
    <s v="Auction"/>
    <s v="VROLIJK BLOEMEN"/>
    <s v="VROLIJK BLOEMEN"/>
    <x v="14"/>
    <s v="English Roses"/>
    <s v="90CM"/>
    <n v="1"/>
    <n v="12"/>
    <n v="200"/>
    <n v="0.75"/>
    <n v="150"/>
    <s v="EUR"/>
    <m/>
    <m/>
    <x v="3"/>
    <n v="-240"/>
    <x v="1"/>
    <x v="3"/>
    <n v="440"/>
    <n v="0.62"/>
    <n v="272.8"/>
    <n v="-18.475614617940181"/>
    <n v="254.32438538205983"/>
    <x v="3"/>
    <n v="240"/>
    <m/>
    <s v="F080280"/>
    <n v="38.898888888888884"/>
    <m/>
    <n v="8.8000000000000007"/>
    <m/>
    <n v="47.698888888888888"/>
    <n v="206.62549649317094"/>
    <m/>
    <n v="440"/>
  </r>
  <r>
    <n v="8"/>
    <n v="2024"/>
    <s v="Auction"/>
    <s v="VROLIJK BLOEMEN"/>
    <s v="VROLIJK BLOEMEN"/>
    <x v="14"/>
    <s v="English Roses"/>
    <s v="90CM"/>
    <n v="1"/>
    <n v="12"/>
    <n v="240"/>
    <n v="0.75"/>
    <n v="180"/>
    <s v="EUR"/>
    <m/>
    <m/>
    <x v="3"/>
    <n v="240"/>
    <x v="1"/>
    <x v="3"/>
    <m/>
    <m/>
    <n v="0"/>
    <n v="0"/>
    <n v="0"/>
    <x v="3"/>
    <n v="-240"/>
    <m/>
    <s v="F080280"/>
    <n v="38.898888888888884"/>
    <m/>
    <n v="0"/>
    <m/>
    <n v="38.898888888888884"/>
    <n v="-38.898888888888884"/>
    <m/>
    <n v="0"/>
  </r>
  <r>
    <n v="8"/>
    <n v="2024"/>
    <s v="Auction"/>
    <s v="VROLIJK BLOEMEN"/>
    <s v="VROLIJK BLOEMEN"/>
    <x v="14"/>
    <s v="English Roses"/>
    <s v="100CM"/>
    <n v="1"/>
    <n v="12"/>
    <n v="200"/>
    <n v="0.94"/>
    <n v="188"/>
    <s v="EUR"/>
    <m/>
    <m/>
    <x v="3"/>
    <n v="0"/>
    <x v="1"/>
    <x v="4"/>
    <n v="200"/>
    <n v="0.80799999999999994"/>
    <n v="161.6"/>
    <n v="-8.3980066445182633"/>
    <n v="153.20199335548173"/>
    <x v="3"/>
    <n v="0"/>
    <m/>
    <s v="F080280"/>
    <n v="38.898888888888884"/>
    <m/>
    <n v="4"/>
    <m/>
    <n v="42.898888888888884"/>
    <n v="110.30310446659286"/>
    <m/>
    <n v="200"/>
  </r>
  <r>
    <n v="8"/>
    <n v="2024"/>
    <s v="Auction"/>
    <s v="VROLIJK BLOEMEN"/>
    <s v="VROLIJK BLOEMEN"/>
    <x v="14"/>
    <s v="Floribunda Roses"/>
    <s v="50CM"/>
    <n v="2"/>
    <n v="24"/>
    <n v="1200"/>
    <n v="0.38"/>
    <n v="456"/>
    <s v="EUR"/>
    <m/>
    <m/>
    <x v="3"/>
    <n v="-480"/>
    <x v="2"/>
    <x v="5"/>
    <n v="1680"/>
    <n v="0.25166666666666665"/>
    <n v="422.79999999999995"/>
    <n v="-70.543255813953408"/>
    <n v="352.25674418604655"/>
    <x v="3"/>
    <n v="480"/>
    <m/>
    <s v="F080280"/>
    <n v="77.797777777777767"/>
    <m/>
    <n v="33.6"/>
    <m/>
    <n v="111.39777777777778"/>
    <n v="240.85896640826877"/>
    <m/>
    <n v="1680"/>
  </r>
  <r>
    <n v="8"/>
    <n v="2024"/>
    <s v="Auction"/>
    <s v="VROLIJK BLOEMEN"/>
    <s v="VROLIJK BLOEMEN"/>
    <x v="14"/>
    <s v="Floribunda Roses"/>
    <s v="60CM"/>
    <n v="3"/>
    <n v="36"/>
    <n v="1560"/>
    <n v="0.47"/>
    <n v="733.2"/>
    <s v="EUR"/>
    <m/>
    <m/>
    <x v="3"/>
    <n v="-120"/>
    <x v="2"/>
    <x v="0"/>
    <n v="1680"/>
    <n v="0.54619047619047623"/>
    <n v="917.6"/>
    <n v="-70.543255813953408"/>
    <n v="847.05674418604667"/>
    <x v="3"/>
    <n v="120"/>
    <m/>
    <s v="F080280"/>
    <n v="116.69666666666666"/>
    <m/>
    <n v="33.6"/>
    <m/>
    <n v="150.29666666666665"/>
    <n v="696.76007751938005"/>
    <m/>
    <n v="1680"/>
  </r>
  <r>
    <n v="8"/>
    <n v="2024"/>
    <s v="Auction"/>
    <s v="VROLIJK BLOEMEN"/>
    <s v="VROLIJK BLOEMEN"/>
    <x v="14"/>
    <s v="Floribunda Roses"/>
    <s v="70CM"/>
    <n v="2"/>
    <n v="24"/>
    <n v="800"/>
    <n v="0.52"/>
    <n v="416"/>
    <s v="EUR"/>
    <m/>
    <m/>
    <x v="3"/>
    <n v="-160"/>
    <x v="2"/>
    <x v="1"/>
    <n v="960"/>
    <n v="0.75541666666666674"/>
    <n v="725.2"/>
    <n v="-40.310431893687664"/>
    <n v="684.88956810631237"/>
    <x v="3"/>
    <n v="160"/>
    <m/>
    <s v="F080280"/>
    <n v="77.797777777777767"/>
    <m/>
    <n v="19.2"/>
    <m/>
    <n v="96.99777777777777"/>
    <n v="587.89179032853463"/>
    <m/>
    <n v="960"/>
  </r>
  <r>
    <n v="8"/>
    <n v="2024"/>
    <s v="Auction"/>
    <s v="VROLIJK BLOEMEN"/>
    <s v="VROLIJK BLOEMEN"/>
    <x v="14"/>
    <s v="Floribunda Roses"/>
    <s v="50CM"/>
    <n v="1"/>
    <n v="9.6000000000000014"/>
    <n v="480"/>
    <n v="0.38"/>
    <n v="182.4"/>
    <s v="EUR"/>
    <m/>
    <m/>
    <x v="3"/>
    <n v="480"/>
    <x v="2"/>
    <x v="5"/>
    <m/>
    <m/>
    <n v="0"/>
    <n v="0"/>
    <n v="0"/>
    <x v="3"/>
    <n v="-480"/>
    <m/>
    <s v="F080280"/>
    <n v="31.119111111111117"/>
    <m/>
    <n v="0"/>
    <m/>
    <n v="31.119111111111117"/>
    <n v="-31.119111111111117"/>
    <m/>
    <n v="0"/>
  </r>
  <r>
    <n v="8"/>
    <n v="2024"/>
    <s v="Auction"/>
    <s v="VROLIJK BLOEMEN"/>
    <s v="VROLIJK BLOEMEN"/>
    <x v="14"/>
    <s v="Floribunda Roses"/>
    <s v="60CM"/>
    <m/>
    <n v="2.4000000000000004"/>
    <n v="120"/>
    <n v="0.47"/>
    <n v="56.4"/>
    <s v="EUR"/>
    <m/>
    <m/>
    <x v="3"/>
    <n v="120"/>
    <x v="2"/>
    <x v="0"/>
    <m/>
    <m/>
    <n v="0"/>
    <n v="0"/>
    <n v="0"/>
    <x v="3"/>
    <n v="-120"/>
    <m/>
    <s v="F080280"/>
    <n v="7.7797777777777792"/>
    <m/>
    <n v="0"/>
    <m/>
    <n v="7.7797777777777792"/>
    <n v="-7.7797777777777792"/>
    <m/>
    <n v="0"/>
  </r>
  <r>
    <n v="8"/>
    <n v="2024"/>
    <s v="Auction"/>
    <s v="VROLIJK BLOEMEN"/>
    <s v="VROLIJK BLOEMEN"/>
    <x v="14"/>
    <s v="Floribunda Roses"/>
    <s v="70CM"/>
    <n v="1"/>
    <n v="4.8000000000000007"/>
    <n v="160"/>
    <n v="0.52"/>
    <n v="83.2"/>
    <s v="EUR"/>
    <m/>
    <m/>
    <x v="3"/>
    <n v="160"/>
    <x v="2"/>
    <x v="1"/>
    <m/>
    <m/>
    <n v="0"/>
    <n v="0"/>
    <n v="0"/>
    <x v="3"/>
    <n v="-160"/>
    <m/>
    <s v="F080280"/>
    <n v="15.559555555555558"/>
    <m/>
    <n v="0"/>
    <m/>
    <n v="15.559555555555558"/>
    <n v="-15.559555555555558"/>
    <m/>
    <n v="0"/>
  </r>
  <r>
    <n v="8"/>
    <n v="2024"/>
    <s v="Auction"/>
    <s v="VROLIJK BLOEMEN"/>
    <s v="VROLIJK BLOEMEN"/>
    <x v="14"/>
    <s v="Floribunda Roses"/>
    <s v="80CM"/>
    <m/>
    <n v="3.5999999999999996"/>
    <n v="120"/>
    <n v="0.56999999999999995"/>
    <n v="68.400000000000006"/>
    <s v="EUR"/>
    <m/>
    <m/>
    <x v="3"/>
    <n v="0"/>
    <x v="2"/>
    <x v="2"/>
    <n v="120"/>
    <n v="0.81"/>
    <n v="97.2"/>
    <n v="-5.038803986710958"/>
    <n v="92.161196013289043"/>
    <x v="3"/>
    <n v="0"/>
    <m/>
    <s v="F080280"/>
    <n v="11.669666666666664"/>
    <m/>
    <n v="2.4"/>
    <m/>
    <n v="14.069666666666665"/>
    <n v="78.09152934662238"/>
    <m/>
    <n v="120"/>
  </r>
  <r>
    <n v="8"/>
    <n v="2024"/>
    <s v="Auction"/>
    <s v="VROLIJK BLOEMEN"/>
    <s v="VROLIJK BLOEMEN"/>
    <x v="14"/>
    <s v="Floribunda Roses"/>
    <s v="90CM"/>
    <m/>
    <n v="3.5999999999999996"/>
    <n v="120"/>
    <n v="0.75"/>
    <n v="90"/>
    <s v="EUR"/>
    <m/>
    <m/>
    <x v="3"/>
    <n v="0"/>
    <x v="2"/>
    <x v="3"/>
    <n v="120"/>
    <n v="0.88"/>
    <n v="105.6"/>
    <n v="-5.038803986710958"/>
    <n v="100.56119601328903"/>
    <x v="3"/>
    <n v="0"/>
    <m/>
    <s v="F080280"/>
    <n v="11.669666666666664"/>
    <m/>
    <n v="2.4"/>
    <m/>
    <n v="14.069666666666665"/>
    <n v="86.491529346622372"/>
    <m/>
    <n v="120"/>
  </r>
  <r>
    <n v="8"/>
    <n v="2024"/>
    <s v="Auction"/>
    <s v="VROLIJK BLOEMEN"/>
    <s v="VROLIJK BLOEMEN"/>
    <x v="14"/>
    <s v="Grandiflora Roses"/>
    <s v="60CM"/>
    <n v="1"/>
    <n v="9.75"/>
    <n v="520"/>
    <n v="0.24"/>
    <n v="124.8"/>
    <s v="EUR"/>
    <m/>
    <m/>
    <x v="3"/>
    <n v="520"/>
    <x v="0"/>
    <x v="0"/>
    <m/>
    <m/>
    <n v="0"/>
    <n v="0"/>
    <n v="0"/>
    <x v="3"/>
    <n v="-520"/>
    <m/>
    <s v="F080280"/>
    <n v="31.605347222222221"/>
    <m/>
    <n v="0"/>
    <m/>
    <n v="31.605347222222221"/>
    <n v="-31.605347222222221"/>
    <m/>
    <n v="0"/>
  </r>
  <r>
    <n v="8"/>
    <n v="2024"/>
    <s v="Auction"/>
    <s v="VROLIJK BLOEMEN"/>
    <s v="VROLIJK BLOEMEN"/>
    <x v="14"/>
    <s v="Grandiflora Roses"/>
    <s v="80CM"/>
    <m/>
    <n v="2.25"/>
    <n v="120"/>
    <n v="0.33"/>
    <n v="39.6"/>
    <s v="EUR"/>
    <m/>
    <m/>
    <x v="3"/>
    <n v="120"/>
    <x v="0"/>
    <x v="2"/>
    <m/>
    <m/>
    <n v="0"/>
    <n v="0"/>
    <n v="0"/>
    <x v="3"/>
    <n v="-120"/>
    <m/>
    <s v="F080280"/>
    <n v="7.2935416666666661"/>
    <m/>
    <n v="0"/>
    <m/>
    <n v="7.2935416666666661"/>
    <n v="-7.2935416666666661"/>
    <m/>
    <n v="0"/>
  </r>
  <r>
    <n v="8"/>
    <n v="2024"/>
    <s v="Auction"/>
    <s v="VROLIJK BLOEMEN"/>
    <s v="VROLIJK BLOEMEN"/>
    <x v="14"/>
    <s v="Grandiflora Roses"/>
    <s v="50CM"/>
    <n v="1"/>
    <n v="9"/>
    <n v="480"/>
    <n v="0.14000000000000001"/>
    <n v="67.2"/>
    <s v="EUR"/>
    <m/>
    <m/>
    <x v="3"/>
    <n v="0"/>
    <x v="0"/>
    <x v="5"/>
    <n v="480"/>
    <n v="0.22"/>
    <n v="105.6"/>
    <n v="-20.155215946843832"/>
    <n v="85.444784053156155"/>
    <x v="3"/>
    <n v="0"/>
    <m/>
    <s v="F080280"/>
    <n v="29.174166666666665"/>
    <m/>
    <n v="9.6"/>
    <m/>
    <n v="38.774166666666666"/>
    <n v="46.670617386489489"/>
    <m/>
    <n v="480"/>
  </r>
  <r>
    <n v="8"/>
    <n v="2024"/>
    <s v="Auction"/>
    <s v="VROLIJK BLOEMEN"/>
    <s v="VROLIJK BLOEMEN"/>
    <x v="14"/>
    <s v="Grandiflora Roses"/>
    <s v="70CM"/>
    <m/>
    <n v="3"/>
    <n v="160"/>
    <n v="0.28000000000000003"/>
    <n v="44.8"/>
    <s v="EUR"/>
    <m/>
    <m/>
    <x v="3"/>
    <n v="160"/>
    <x v="0"/>
    <x v="1"/>
    <m/>
    <m/>
    <n v="0"/>
    <n v="0"/>
    <n v="0"/>
    <x v="3"/>
    <n v="-160"/>
    <m/>
    <s v="F080280"/>
    <n v="9.7247222222222209"/>
    <m/>
    <n v="0"/>
    <m/>
    <n v="9.7247222222222209"/>
    <n v="-9.7247222222222209"/>
    <m/>
    <n v="0"/>
  </r>
  <r>
    <n v="8"/>
    <n v="2024"/>
    <s v="Auction"/>
    <s v="VROLIJK BLOEMEN"/>
    <s v="VROLIJK BLOEMEN"/>
    <x v="14"/>
    <s v="Moss Roses"/>
    <s v="50CM"/>
    <n v="1"/>
    <n v="1.0909090909090908"/>
    <n v="40"/>
    <n v="0.14000000000000001"/>
    <n v="5.6"/>
    <s v="EUR"/>
    <m/>
    <m/>
    <x v="3"/>
    <n v="0"/>
    <x v="4"/>
    <x v="5"/>
    <n v="40"/>
    <n v="0.57999999999999996"/>
    <n v="23.2"/>
    <n v="-1.6796013289036529"/>
    <n v="21.520398671096345"/>
    <x v="3"/>
    <n v="0"/>
    <m/>
    <s v="F080280"/>
    <n v="3.536262626262626"/>
    <m/>
    <n v="0.8"/>
    <m/>
    <n v="4.3362626262626263"/>
    <n v="17.184136044833718"/>
    <m/>
    <n v="40"/>
  </r>
  <r>
    <n v="8"/>
    <n v="2024"/>
    <s v="Auction"/>
    <s v="VROLIJK BLOEMEN"/>
    <s v="VROLIJK BLOEMEN"/>
    <x v="14"/>
    <s v="Moss Roses"/>
    <s v="60CM"/>
    <m/>
    <n v="5.4545454545454541"/>
    <n v="200"/>
    <n v="0.24"/>
    <n v="48"/>
    <s v="EUR"/>
    <m/>
    <m/>
    <x v="3"/>
    <n v="0"/>
    <x v="4"/>
    <x v="0"/>
    <n v="200"/>
    <n v="0.79"/>
    <n v="158"/>
    <n v="-8.3980066445182633"/>
    <n v="149.60199335548174"/>
    <x v="3"/>
    <n v="0"/>
    <m/>
    <s v="F080280"/>
    <n v="17.681313131313132"/>
    <m/>
    <n v="4"/>
    <m/>
    <n v="21.681313131313132"/>
    <n v="127.92068022416861"/>
    <m/>
    <n v="200"/>
  </r>
  <r>
    <n v="8"/>
    <n v="2024"/>
    <s v="Auction"/>
    <s v="VROLIJK BLOEMEN"/>
    <s v="VROLIJK BLOEMEN"/>
    <x v="14"/>
    <s v="Moss Roses"/>
    <s v="70CM"/>
    <m/>
    <n v="4.3636363636363633"/>
    <n v="160"/>
    <n v="0.28000000000000003"/>
    <n v="44.8"/>
    <s v="EUR"/>
    <m/>
    <m/>
    <x v="3"/>
    <n v="0"/>
    <x v="4"/>
    <x v="1"/>
    <n v="160"/>
    <n v="0.79"/>
    <n v="126.4"/>
    <n v="-6.7184053156146115"/>
    <n v="119.68159468438539"/>
    <x v="3"/>
    <n v="0"/>
    <m/>
    <s v="F080280"/>
    <n v="14.145050505050504"/>
    <m/>
    <n v="3.2"/>
    <m/>
    <n v="17.345050505050505"/>
    <n v="102.33654417933488"/>
    <m/>
    <n v="160"/>
  </r>
  <r>
    <n v="8"/>
    <n v="2024"/>
    <s v="Auction"/>
    <s v="VROLIJK BLOEMEN"/>
    <s v="VROLIJK BLOEMEN"/>
    <x v="14"/>
    <s v="Moss Roses"/>
    <s v="90CM"/>
    <m/>
    <n v="1.0909090909090908"/>
    <n v="40"/>
    <n v="0.38"/>
    <n v="15.2"/>
    <s v="EUR"/>
    <m/>
    <m/>
    <x v="3"/>
    <n v="0"/>
    <x v="4"/>
    <x v="3"/>
    <n v="40"/>
    <n v="0.85"/>
    <n v="34"/>
    <n v="-1.6796013289036529"/>
    <n v="32.320398671096349"/>
    <x v="3"/>
    <n v="0"/>
    <m/>
    <s v="F080280"/>
    <n v="3.536262626262626"/>
    <m/>
    <n v="0.8"/>
    <m/>
    <n v="4.3362626262626263"/>
    <n v="27.984136044833722"/>
    <m/>
    <n v="40"/>
  </r>
  <r>
    <n v="8"/>
    <n v="2024"/>
    <s v="Auction"/>
    <s v="VROLIJK BLOEMEN"/>
    <s v="VROLIJK BLOEMEN"/>
    <x v="15"/>
    <s v="Floribunda Roses"/>
    <s v="50CM"/>
    <n v="1"/>
    <n v="12"/>
    <n v="600"/>
    <n v="0.38"/>
    <n v="228"/>
    <s v="EUR"/>
    <m/>
    <m/>
    <x v="3"/>
    <n v="-440"/>
    <x v="2"/>
    <x v="5"/>
    <n v="1040"/>
    <n v="0.56999999999999995"/>
    <n v="592.79999999999995"/>
    <n v="-46.660823529411715"/>
    <n v="546.13917647058827"/>
    <x v="3"/>
    <n v="440"/>
    <m/>
    <s v="F080329"/>
    <n v="43.1"/>
    <m/>
    <n v="20.8"/>
    <m/>
    <n v="63.900000000000006"/>
    <n v="482.23917647058829"/>
    <m/>
    <n v="1040"/>
  </r>
  <r>
    <n v="8"/>
    <n v="2024"/>
    <s v="Auction"/>
    <s v="VROLIJK BLOEMEN"/>
    <s v="VROLIJK BLOEMEN"/>
    <x v="15"/>
    <s v="Floribunda Roses"/>
    <s v="60CM"/>
    <n v="1"/>
    <n v="12"/>
    <n v="520"/>
    <n v="0.47"/>
    <n v="244.4"/>
    <s v="EUR"/>
    <m/>
    <m/>
    <x v="3"/>
    <n v="-360"/>
    <x v="2"/>
    <x v="0"/>
    <n v="880"/>
    <n v="0.75136363636363646"/>
    <n v="661.2"/>
    <n v="-39.482235294117608"/>
    <n v="621.71776470588247"/>
    <x v="3"/>
    <n v="360"/>
    <m/>
    <s v="F080329"/>
    <n v="43.1"/>
    <m/>
    <n v="17.600000000000001"/>
    <m/>
    <n v="60.7"/>
    <n v="561.01776470588243"/>
    <m/>
    <n v="880"/>
  </r>
  <r>
    <n v="8"/>
    <n v="2024"/>
    <s v="Auction"/>
    <s v="VROLIJK BLOEMEN"/>
    <s v="VROLIJK BLOEMEN"/>
    <x v="15"/>
    <s v="English Roses"/>
    <s v="50CM"/>
    <n v="1"/>
    <n v="12"/>
    <n v="520"/>
    <n v="0.38"/>
    <n v="197.6"/>
    <s v="EUR"/>
    <m/>
    <m/>
    <x v="3"/>
    <n v="-40"/>
    <x v="1"/>
    <x v="5"/>
    <n v="560"/>
    <n v="0.29642857142857143"/>
    <n v="166"/>
    <n v="-25.125058823529386"/>
    <n v="140.8749411764706"/>
    <x v="3"/>
    <n v="40"/>
    <m/>
    <s v="F080329"/>
    <n v="43.1"/>
    <m/>
    <n v="11.200000000000001"/>
    <m/>
    <n v="54.300000000000004"/>
    <n v="86.574941176470588"/>
    <m/>
    <n v="560"/>
  </r>
  <r>
    <n v="8"/>
    <n v="2024"/>
    <s v="Auction"/>
    <s v="VROLIJK BLOEMEN"/>
    <s v="VROLIJK BLOEMEN"/>
    <x v="15"/>
    <s v="English Roses"/>
    <s v="60CM"/>
    <n v="1"/>
    <n v="12"/>
    <n v="480"/>
    <n v="0.47"/>
    <n v="225.6"/>
    <s v="EUR"/>
    <m/>
    <m/>
    <x v="3"/>
    <n v="-320"/>
    <x v="1"/>
    <x v="0"/>
    <n v="800"/>
    <n v="0.38900000000000001"/>
    <n v="311.2"/>
    <n v="-35.892941176470551"/>
    <n v="275.30705882352942"/>
    <x v="3"/>
    <n v="320"/>
    <m/>
    <s v="F080329"/>
    <n v="43.1"/>
    <m/>
    <n v="16"/>
    <m/>
    <n v="59.1"/>
    <n v="216.20705882352942"/>
    <m/>
    <n v="800"/>
  </r>
  <r>
    <n v="8"/>
    <n v="2024"/>
    <s v="Auction"/>
    <s v="VROLIJK BLOEMEN"/>
    <s v="VROLIJK BLOEMEN"/>
    <x v="15"/>
    <s v="English Roses"/>
    <s v="70CM"/>
    <n v="1"/>
    <n v="12"/>
    <n v="400"/>
    <n v="0.52"/>
    <n v="208"/>
    <s v="EUR"/>
    <m/>
    <m/>
    <x v="3"/>
    <n v="-80"/>
    <x v="1"/>
    <x v="1"/>
    <n v="480"/>
    <n v="0.53"/>
    <n v="254.4"/>
    <n v="-21.535764705882329"/>
    <n v="232.86423529411769"/>
    <x v="3"/>
    <n v="80"/>
    <m/>
    <s v="F080329"/>
    <n v="43.1"/>
    <m/>
    <n v="9.6"/>
    <m/>
    <n v="52.7"/>
    <n v="180.1642352941177"/>
    <m/>
    <n v="480"/>
  </r>
  <r>
    <n v="8"/>
    <n v="2024"/>
    <s v="Auction"/>
    <s v="VROLIJK BLOEMEN"/>
    <s v="VROLIJK BLOEMEN"/>
    <x v="15"/>
    <s v="English Roses"/>
    <s v="90CM"/>
    <n v="1"/>
    <n v="12"/>
    <n v="240"/>
    <n v="0.75"/>
    <n v="180"/>
    <s v="EUR"/>
    <m/>
    <m/>
    <x v="3"/>
    <n v="-80"/>
    <x v="1"/>
    <x v="3"/>
    <n v="320"/>
    <n v="0.45"/>
    <n v="144"/>
    <n v="-14.35717647058822"/>
    <n v="129.64282352941177"/>
    <x v="3"/>
    <n v="80"/>
    <m/>
    <s v="F080329"/>
    <n v="43.1"/>
    <m/>
    <n v="6.4"/>
    <m/>
    <n v="49.5"/>
    <n v="80.142823529411771"/>
    <m/>
    <n v="320"/>
  </r>
  <r>
    <n v="8"/>
    <n v="2024"/>
    <s v="Auction"/>
    <s v="VROLIJK BLOEMEN"/>
    <s v="VROLIJK BLOEMEN"/>
    <x v="15"/>
    <s v="English Roses"/>
    <s v="100CM"/>
    <n v="1"/>
    <n v="12"/>
    <n v="200"/>
    <n v="0.94"/>
    <n v="188"/>
    <s v="EUR"/>
    <m/>
    <m/>
    <x v="3"/>
    <n v="-120"/>
    <x v="1"/>
    <x v="4"/>
    <n v="320"/>
    <n v="0.42374999999999996"/>
    <n v="135.6"/>
    <n v="-14.35717647058822"/>
    <n v="121.24282352941178"/>
    <x v="3"/>
    <n v="120"/>
    <m/>
    <s v="F080329"/>
    <n v="43.1"/>
    <m/>
    <n v="6.4"/>
    <m/>
    <n v="49.5"/>
    <n v="71.74282352941178"/>
    <m/>
    <n v="320"/>
  </r>
  <r>
    <n v="8"/>
    <n v="2024"/>
    <s v="Auction"/>
    <s v="VROLIJK BLOEMEN"/>
    <s v="VROLIJK BLOEMEN"/>
    <x v="15"/>
    <s v="English Roses"/>
    <s v="100CM"/>
    <n v="1"/>
    <n v="12"/>
    <n v="160"/>
    <n v="0.94"/>
    <n v="150.4"/>
    <s v="EUR"/>
    <m/>
    <m/>
    <x v="3"/>
    <n v="160"/>
    <x v="1"/>
    <x v="4"/>
    <m/>
    <m/>
    <n v="0"/>
    <n v="0"/>
    <n v="0"/>
    <x v="3"/>
    <n v="-160"/>
    <m/>
    <s v="F080329"/>
    <n v="43.1"/>
    <m/>
    <n v="0"/>
    <m/>
    <n v="43.1"/>
    <n v="-43.1"/>
    <m/>
    <n v="0"/>
  </r>
  <r>
    <n v="8"/>
    <n v="2024"/>
    <s v="Auction"/>
    <s v="VROLIJK BLOEMEN"/>
    <s v="VROLIJK BLOEMEN"/>
    <x v="15"/>
    <s v="Floribunda Roses"/>
    <s v="50CM"/>
    <n v="1"/>
    <n v="6.3157894736842106"/>
    <n v="400"/>
    <n v="0.38"/>
    <n v="152"/>
    <s v="EUR"/>
    <m/>
    <m/>
    <x v="3"/>
    <n v="400"/>
    <x v="2"/>
    <x v="5"/>
    <m/>
    <m/>
    <n v="0"/>
    <n v="0"/>
    <n v="0"/>
    <x v="3"/>
    <n v="-400"/>
    <m/>
    <s v="F080329"/>
    <n v="22.684210526315788"/>
    <m/>
    <n v="0"/>
    <m/>
    <n v="22.684210526315788"/>
    <n v="-22.684210526315788"/>
    <m/>
    <n v="0"/>
  </r>
  <r>
    <n v="8"/>
    <n v="2024"/>
    <s v="Auction"/>
    <s v="VROLIJK BLOEMEN"/>
    <s v="VROLIJK BLOEMEN"/>
    <x v="15"/>
    <s v="Floribunda Roses"/>
    <s v="60CM"/>
    <m/>
    <n v="5.6842105263157894"/>
    <n v="360"/>
    <n v="0.47"/>
    <n v="169.2"/>
    <s v="EUR"/>
    <m/>
    <m/>
    <x v="3"/>
    <n v="360"/>
    <x v="2"/>
    <x v="0"/>
    <m/>
    <m/>
    <n v="0"/>
    <n v="0"/>
    <n v="0"/>
    <x v="3"/>
    <n v="-360"/>
    <m/>
    <s v="F080329"/>
    <n v="20.41578947368421"/>
    <m/>
    <n v="0"/>
    <m/>
    <n v="20.41578947368421"/>
    <n v="-20.41578947368421"/>
    <m/>
    <n v="0"/>
  </r>
  <r>
    <n v="8"/>
    <n v="2024"/>
    <s v="Auction"/>
    <s v="VROLIJK BLOEMEN"/>
    <s v="VROLIJK BLOEMEN"/>
    <x v="15"/>
    <s v="Floribunda Roses"/>
    <s v="70CM"/>
    <n v="1"/>
    <n v="7.5"/>
    <n v="200"/>
    <n v="0.52"/>
    <n v="104"/>
    <s v="EUR"/>
    <m/>
    <m/>
    <x v="3"/>
    <n v="0"/>
    <x v="2"/>
    <x v="1"/>
    <n v="200"/>
    <n v="0.59399999999999997"/>
    <n v="118.8"/>
    <n v="-8.9732352941176377"/>
    <n v="109.82676470588235"/>
    <x v="3"/>
    <n v="0"/>
    <m/>
    <s v="F080329"/>
    <n v="26.9375"/>
    <m/>
    <n v="4"/>
    <m/>
    <n v="30.9375"/>
    <n v="78.889264705882354"/>
    <m/>
    <n v="200"/>
  </r>
  <r>
    <n v="8"/>
    <n v="2024"/>
    <s v="Auction"/>
    <s v="VROLIJK BLOEMEN"/>
    <s v="VROLIJK BLOEMEN"/>
    <x v="15"/>
    <s v="Floribunda Roses"/>
    <s v="90CM"/>
    <m/>
    <n v="4.5"/>
    <n v="120"/>
    <n v="0.75"/>
    <n v="90"/>
    <s v="EUR"/>
    <m/>
    <m/>
    <x v="3"/>
    <n v="0"/>
    <x v="2"/>
    <x v="3"/>
    <n v="120"/>
    <n v="0.69"/>
    <n v="82.8"/>
    <n v="-5.3839411764705822"/>
    <n v="77.416058823529411"/>
    <x v="3"/>
    <n v="0"/>
    <m/>
    <s v="F080329"/>
    <n v="16.162500000000001"/>
    <m/>
    <n v="2.4"/>
    <m/>
    <n v="18.5625"/>
    <n v="58.853558823529411"/>
    <m/>
    <n v="120"/>
  </r>
  <r>
    <n v="8"/>
    <n v="2024"/>
    <s v="Auction"/>
    <s v="VROLIJK BLOEMEN"/>
    <s v="VROLIJK BLOEMEN"/>
    <x v="15"/>
    <s v="Grandiflora Roses"/>
    <s v="50CM"/>
    <n v="1"/>
    <n v="3.3333333333333335"/>
    <n v="200"/>
    <n v="0.14000000000000001"/>
    <n v="28"/>
    <s v="EUR"/>
    <m/>
    <m/>
    <x v="3"/>
    <n v="0"/>
    <x v="0"/>
    <x v="5"/>
    <n v="200"/>
    <n v="0.23199999999999998"/>
    <n v="46.4"/>
    <n v="-8.9732352941176377"/>
    <n v="37.426764705882363"/>
    <x v="3"/>
    <n v="0"/>
    <m/>
    <s v="F080329"/>
    <n v="11.972222222222223"/>
    <m/>
    <n v="4"/>
    <m/>
    <n v="15.972222222222223"/>
    <n v="21.454542483660141"/>
    <m/>
    <n v="200"/>
  </r>
  <r>
    <n v="8"/>
    <n v="2024"/>
    <s v="Auction"/>
    <s v="VROLIJK BLOEMEN"/>
    <s v="VROLIJK BLOEMEN"/>
    <x v="15"/>
    <s v="Grandiflora Roses"/>
    <s v="60CM"/>
    <m/>
    <n v="8.6666666666666661"/>
    <n v="520"/>
    <n v="0.24"/>
    <n v="124.8"/>
    <s v="EUR"/>
    <m/>
    <m/>
    <x v="3"/>
    <n v="0"/>
    <x v="0"/>
    <x v="0"/>
    <n v="520"/>
    <n v="0.41230769230769232"/>
    <n v="214.4"/>
    <n v="-23.330411764705858"/>
    <n v="191.06958823529413"/>
    <x v="3"/>
    <n v="0"/>
    <m/>
    <s v="F080329"/>
    <n v="31.127777777777776"/>
    <m/>
    <n v="10.4"/>
    <m/>
    <n v="41.527777777777779"/>
    <n v="149.54181045751636"/>
    <m/>
    <n v="520"/>
  </r>
  <r>
    <n v="8"/>
    <n v="2024"/>
    <s v="Auction"/>
    <s v="VROLIJK BLOEMEN"/>
    <s v="VROLIJK BLOEMEN"/>
    <x v="15"/>
    <s v="Grandiflora Roses"/>
    <s v="70CM"/>
    <n v="1"/>
    <n v="8"/>
    <n v="400"/>
    <n v="0.28000000000000003"/>
    <n v="112"/>
    <s v="EUR"/>
    <m/>
    <m/>
    <x v="3"/>
    <n v="0"/>
    <x v="0"/>
    <x v="1"/>
    <n v="400"/>
    <n v="0.56600000000000006"/>
    <n v="226.40000000000003"/>
    <n v="-17.946470588235275"/>
    <n v="208.45352941176475"/>
    <x v="3"/>
    <n v="0"/>
    <m/>
    <s v="F080329"/>
    <n v="28.733333333333334"/>
    <m/>
    <n v="8"/>
    <m/>
    <n v="36.733333333333334"/>
    <n v="171.7201960784314"/>
    <m/>
    <n v="400"/>
  </r>
  <r>
    <n v="8"/>
    <n v="2024"/>
    <s v="Auction"/>
    <s v="VROLIJK BLOEMEN"/>
    <s v="VROLIJK BLOEMEN"/>
    <x v="15"/>
    <s v="Grandiflora Roses"/>
    <s v="80CM"/>
    <m/>
    <n v="4"/>
    <n v="200"/>
    <n v="0.33"/>
    <n v="66"/>
    <s v="EUR"/>
    <m/>
    <m/>
    <x v="3"/>
    <n v="0"/>
    <x v="0"/>
    <x v="2"/>
    <n v="200"/>
    <n v="0.54400000000000004"/>
    <n v="108.80000000000001"/>
    <n v="-8.9732352941176377"/>
    <n v="99.826764705882368"/>
    <x v="3"/>
    <n v="0"/>
    <m/>
    <s v="F080329"/>
    <n v="14.366666666666667"/>
    <m/>
    <n v="4"/>
    <m/>
    <n v="18.366666666666667"/>
    <n v="81.460098039215694"/>
    <m/>
    <n v="200"/>
  </r>
  <r>
    <n v="8"/>
    <n v="2024"/>
    <s v="Auction"/>
    <s v="VROLIJK BLOEMEN"/>
    <s v="VROLIJK BLOEMEN"/>
    <x v="15"/>
    <s v="Grandiflora Roses"/>
    <s v="90CM"/>
    <n v="1"/>
    <n v="7.5"/>
    <n v="200"/>
    <n v="0.38"/>
    <n v="76"/>
    <s v="EUR"/>
    <m/>
    <m/>
    <x v="3"/>
    <n v="0"/>
    <x v="0"/>
    <x v="3"/>
    <n v="200"/>
    <n v="0.80200000000000005"/>
    <n v="160.4"/>
    <n v="-8.9732352941176377"/>
    <n v="151.42676470588236"/>
    <x v="3"/>
    <n v="0"/>
    <m/>
    <s v="F080329"/>
    <n v="26.9375"/>
    <m/>
    <n v="4"/>
    <m/>
    <n v="30.9375"/>
    <n v="120.48926470588236"/>
    <m/>
    <n v="200"/>
  </r>
  <r>
    <n v="8"/>
    <n v="2024"/>
    <s v="Auction"/>
    <s v="VROLIJK BLOEMEN"/>
    <s v="VROLIJK BLOEMEN"/>
    <x v="15"/>
    <s v="Grandiflora Roses"/>
    <s v="100CM"/>
    <m/>
    <n v="4.5"/>
    <n v="120"/>
    <n v="0.47"/>
    <n v="56.4"/>
    <s v="EUR"/>
    <m/>
    <m/>
    <x v="3"/>
    <n v="0"/>
    <x v="0"/>
    <x v="4"/>
    <n v="120"/>
    <n v="0.88"/>
    <n v="105.6"/>
    <n v="-5.3839411764705822"/>
    <n v="100.21605882352941"/>
    <x v="3"/>
    <n v="0"/>
    <m/>
    <s v="F080329"/>
    <n v="16.162500000000001"/>
    <m/>
    <n v="2.4"/>
    <m/>
    <n v="18.5625"/>
    <n v="81.653558823529409"/>
    <m/>
    <n v="120"/>
  </r>
  <r>
    <n v="8"/>
    <n v="2024"/>
    <s v="Auction"/>
    <s v="VROLIJK BLOEMEN"/>
    <s v="VROLIJK BLOEMEN"/>
    <x v="15"/>
    <s v="English Roses"/>
    <s v="60CM"/>
    <n v="1"/>
    <n v="9"/>
    <n v="360"/>
    <n v="0.47"/>
    <n v="169.2"/>
    <s v="EUR"/>
    <m/>
    <m/>
    <x v="3"/>
    <n v="360"/>
    <x v="1"/>
    <x v="0"/>
    <m/>
    <m/>
    <n v="0"/>
    <n v="0"/>
    <n v="0"/>
    <x v="3"/>
    <n v="-360"/>
    <m/>
    <s v="F080329"/>
    <n v="32.325000000000003"/>
    <m/>
    <n v="0"/>
    <m/>
    <n v="32.325000000000003"/>
    <n v="-32.325000000000003"/>
    <m/>
    <n v="0"/>
  </r>
  <r>
    <n v="8"/>
    <n v="2024"/>
    <s v="Auction"/>
    <s v="VROLIJK BLOEMEN"/>
    <s v="VROLIJK BLOEMEN"/>
    <x v="15"/>
    <s v="English Roses"/>
    <s v="90CM"/>
    <m/>
    <n v="3"/>
    <n v="120"/>
    <n v="0.75"/>
    <n v="90"/>
    <s v="EUR"/>
    <m/>
    <m/>
    <x v="3"/>
    <n v="120"/>
    <x v="1"/>
    <x v="3"/>
    <m/>
    <m/>
    <n v="0"/>
    <n v="0"/>
    <n v="0"/>
    <x v="3"/>
    <n v="-120"/>
    <m/>
    <s v="F080329"/>
    <n v="10.775"/>
    <m/>
    <n v="0"/>
    <m/>
    <n v="10.775"/>
    <n v="-10.775"/>
    <m/>
    <n v="0"/>
  </r>
  <r>
    <n v="8"/>
    <n v="2024"/>
    <s v="Auction"/>
    <s v="VROLIJK BLOEMEN"/>
    <s v="VROLIJK BLOEMEN"/>
    <x v="15"/>
    <s v="Polyantha Roses"/>
    <s v="50CM"/>
    <n v="1"/>
    <n v="2.1818181818181817"/>
    <n v="80"/>
    <n v="0.42"/>
    <n v="33.6"/>
    <s v="EUR"/>
    <m/>
    <m/>
    <x v="3"/>
    <n v="0"/>
    <x v="3"/>
    <x v="5"/>
    <n v="80"/>
    <n v="0.45"/>
    <n v="36"/>
    <n v="-3.589294117647055"/>
    <n v="32.410705882352943"/>
    <x v="3"/>
    <n v="0"/>
    <m/>
    <s v="F080329"/>
    <n v="7.8363636363636351"/>
    <m/>
    <n v="1.6"/>
    <m/>
    <n v="9.4363636363636356"/>
    <n v="22.974342245989305"/>
    <m/>
    <n v="80"/>
  </r>
  <r>
    <n v="8"/>
    <n v="2024"/>
    <s v="Auction"/>
    <s v="VROLIJK BLOEMEN"/>
    <s v="VROLIJK BLOEMEN"/>
    <x v="15"/>
    <s v="Polyantha Roses"/>
    <s v="60CM"/>
    <m/>
    <n v="9.8181818181818183"/>
    <n v="360"/>
    <n v="0.52"/>
    <n v="187.2"/>
    <s v="EUR"/>
    <m/>
    <m/>
    <x v="3"/>
    <n v="0"/>
    <x v="3"/>
    <x v="0"/>
    <n v="360"/>
    <n v="0.77333333333333332"/>
    <n v="278.39999999999998"/>
    <n v="-16.15182352941175"/>
    <n v="262.24817647058825"/>
    <x v="3"/>
    <n v="0"/>
    <m/>
    <s v="F080329"/>
    <n v="35.263636363636365"/>
    <m/>
    <n v="7.2"/>
    <m/>
    <n v="42.463636363636368"/>
    <n v="219.78454010695188"/>
    <m/>
    <n v="360"/>
  </r>
  <r>
    <n v="8"/>
    <n v="2024"/>
    <s v="Auction"/>
    <s v="VROLIJK BLOEMEN"/>
    <s v="VROLIJK BLOEMEN"/>
    <x v="16"/>
    <s v="Grandiflora Roses"/>
    <s v="60CM"/>
    <n v="1"/>
    <n v="12"/>
    <n v="720"/>
    <n v="0.24"/>
    <n v="172.8"/>
    <s v="EUR"/>
    <m/>
    <m/>
    <x v="2"/>
    <n v="-120"/>
    <x v="0"/>
    <x v="0"/>
    <n v="840"/>
    <n v="0.46142857142857147"/>
    <n v="387.6"/>
    <n v="-36.172313167259823"/>
    <n v="351.42768683274022"/>
    <x v="2"/>
    <n v="120"/>
    <m/>
    <n v="430498"/>
    <n v="39.825555555555553"/>
    <m/>
    <n v="16.8"/>
    <m/>
    <n v="56.62555555555555"/>
    <n v="294.80213127718469"/>
    <m/>
    <n v="840"/>
  </r>
  <r>
    <n v="8"/>
    <n v="2024"/>
    <s v="Auction"/>
    <s v="VROLIJK BLOEMEN"/>
    <s v="VROLIJK BLOEMEN"/>
    <x v="16"/>
    <s v="Grandiflora Roses"/>
    <s v="70CM"/>
    <n v="1"/>
    <n v="12"/>
    <n v="520"/>
    <n v="0.28000000000000003"/>
    <n v="145.6"/>
    <s v="EUR"/>
    <m/>
    <m/>
    <x v="2"/>
    <n v="-120"/>
    <x v="0"/>
    <x v="1"/>
    <n v="640"/>
    <n v="0.484375"/>
    <n v="310"/>
    <n v="-27.559857651245576"/>
    <n v="282.44014234875442"/>
    <x v="2"/>
    <n v="120"/>
    <m/>
    <n v="430498"/>
    <n v="39.825555555555553"/>
    <m/>
    <n v="12.8"/>
    <m/>
    <n v="52.62555555555555"/>
    <n v="229.81458679319888"/>
    <m/>
    <n v="640"/>
  </r>
  <r>
    <n v="8"/>
    <n v="2024"/>
    <s v="Auction"/>
    <s v="VROLIJK BLOEMEN"/>
    <s v="VROLIJK BLOEMEN"/>
    <x v="16"/>
    <s v="Grandiflora Roses"/>
    <s v="80CM"/>
    <n v="1"/>
    <n v="12"/>
    <n v="480"/>
    <n v="0.33"/>
    <n v="158.4"/>
    <s v="EUR"/>
    <m/>
    <m/>
    <x v="2"/>
    <n v="-160"/>
    <x v="0"/>
    <x v="2"/>
    <n v="640"/>
    <n v="0.61749999999999994"/>
    <n v="395.19999999999993"/>
    <n v="-27.559857651245576"/>
    <n v="367.64014234875435"/>
    <x v="2"/>
    <n v="160"/>
    <m/>
    <n v="430498"/>
    <n v="39.825555555555553"/>
    <m/>
    <n v="12.8"/>
    <m/>
    <n v="52.62555555555555"/>
    <n v="315.01458679319882"/>
    <m/>
    <n v="640"/>
  </r>
  <r>
    <n v="8"/>
    <n v="2024"/>
    <s v="Auction"/>
    <s v="VROLIJK BLOEMEN"/>
    <s v="VROLIJK BLOEMEN"/>
    <x v="16"/>
    <s v="Grandiflora Roses"/>
    <s v="90CM"/>
    <n v="1"/>
    <n v="12"/>
    <n v="360"/>
    <n v="0.38"/>
    <n v="136.80000000000001"/>
    <s v="EUR"/>
    <m/>
    <m/>
    <x v="2"/>
    <n v="-120"/>
    <x v="0"/>
    <x v="3"/>
    <n v="480"/>
    <n v="0.62666666666666671"/>
    <n v="300.8"/>
    <n v="-20.669893238434181"/>
    <n v="280.13010676156586"/>
    <x v="2"/>
    <n v="120"/>
    <m/>
    <n v="430498"/>
    <n v="39.825555555555553"/>
    <m/>
    <n v="9.6"/>
    <m/>
    <n v="49.425555555555555"/>
    <n v="230.70455120601031"/>
    <m/>
    <n v="480"/>
  </r>
  <r>
    <n v="8"/>
    <n v="2024"/>
    <s v="Auction"/>
    <s v="VROLIJK BLOEMEN"/>
    <s v="VROLIJK BLOEMEN"/>
    <x v="16"/>
    <s v="Grandiflora Roses"/>
    <s v="100CM"/>
    <n v="1"/>
    <n v="12"/>
    <n v="320"/>
    <n v="0.47"/>
    <n v="150.4"/>
    <s v="EUR"/>
    <m/>
    <m/>
    <x v="2"/>
    <n v="-200"/>
    <x v="0"/>
    <x v="4"/>
    <n v="520"/>
    <n v="0.71307692307692305"/>
    <n v="370.8"/>
    <n v="-22.39238434163703"/>
    <n v="348.407615658363"/>
    <x v="2"/>
    <n v="200"/>
    <m/>
    <n v="430498"/>
    <n v="39.825555555555553"/>
    <m/>
    <n v="10.4"/>
    <m/>
    <n v="50.225555555555552"/>
    <n v="298.18206010280744"/>
    <m/>
    <n v="520"/>
  </r>
  <r>
    <n v="8"/>
    <n v="2024"/>
    <s v="Auction"/>
    <s v="VROLIJK BLOEMEN"/>
    <s v="VROLIJK BLOEMEN"/>
    <x v="16"/>
    <s v="English Roses"/>
    <s v="50CM"/>
    <n v="1"/>
    <n v="12"/>
    <n v="520"/>
    <n v="0.38"/>
    <n v="197.6"/>
    <s v="EUR"/>
    <m/>
    <m/>
    <x v="2"/>
    <n v="0"/>
    <x v="1"/>
    <x v="5"/>
    <n v="520"/>
    <n v="0.29846153846153844"/>
    <n v="155.19999999999999"/>
    <n v="-22.39238434163703"/>
    <n v="132.80761565836295"/>
    <x v="2"/>
    <n v="0"/>
    <m/>
    <n v="430498"/>
    <n v="39.825555555555553"/>
    <m/>
    <n v="10.4"/>
    <m/>
    <n v="50.225555555555552"/>
    <n v="82.58206010280739"/>
    <m/>
    <n v="520"/>
  </r>
  <r>
    <n v="8"/>
    <n v="2024"/>
    <s v="Auction"/>
    <s v="VROLIJK BLOEMEN"/>
    <s v="VROLIJK BLOEMEN"/>
    <x v="16"/>
    <s v="English Roses"/>
    <s v="60CM"/>
    <n v="1"/>
    <n v="12"/>
    <n v="480"/>
    <n v="0.47"/>
    <n v="225.6"/>
    <s v="EUR"/>
    <m/>
    <m/>
    <x v="2"/>
    <n v="-440"/>
    <x v="1"/>
    <x v="0"/>
    <n v="920"/>
    <n v="0.39478260869565218"/>
    <n v="363.2"/>
    <n v="-39.617295373665513"/>
    <n v="323.58270462633448"/>
    <x v="2"/>
    <n v="440"/>
    <m/>
    <n v="430498"/>
    <n v="39.825555555555553"/>
    <m/>
    <n v="18.400000000000002"/>
    <m/>
    <n v="58.225555555555559"/>
    <n v="265.35714907077892"/>
    <m/>
    <n v="920"/>
  </r>
  <r>
    <n v="8"/>
    <n v="2024"/>
    <s v="Auction"/>
    <s v="VROLIJK BLOEMEN"/>
    <s v="VROLIJK BLOEMEN"/>
    <x v="16"/>
    <s v="English Roses"/>
    <s v="60CM"/>
    <n v="1"/>
    <n v="12"/>
    <n v="440"/>
    <n v="0.47"/>
    <n v="206.8"/>
    <s v="EUR"/>
    <m/>
    <m/>
    <x v="2"/>
    <n v="440"/>
    <x v="1"/>
    <x v="0"/>
    <m/>
    <m/>
    <n v="0"/>
    <n v="0"/>
    <n v="0"/>
    <x v="2"/>
    <n v="-440"/>
    <m/>
    <n v="430498"/>
    <n v="39.825555555555553"/>
    <m/>
    <n v="0"/>
    <m/>
    <n v="39.825555555555553"/>
    <n v="-39.825555555555553"/>
    <m/>
    <n v="0"/>
  </r>
  <r>
    <n v="8"/>
    <n v="2024"/>
    <s v="Auction"/>
    <s v="VROLIJK BLOEMEN"/>
    <s v="VROLIJK BLOEMEN"/>
    <x v="16"/>
    <s v="English Roses"/>
    <s v="70CM"/>
    <n v="1"/>
    <n v="12"/>
    <n v="320"/>
    <n v="0.52"/>
    <n v="166.4"/>
    <s v="EUR"/>
    <m/>
    <m/>
    <x v="2"/>
    <n v="320"/>
    <x v="1"/>
    <x v="1"/>
    <m/>
    <m/>
    <n v="0"/>
    <n v="0"/>
    <n v="0"/>
    <x v="2"/>
    <n v="-320"/>
    <m/>
    <n v="430498"/>
    <n v="39.825555555555553"/>
    <m/>
    <n v="0"/>
    <m/>
    <n v="39.825555555555553"/>
    <n v="-39.825555555555553"/>
    <m/>
    <n v="0"/>
  </r>
  <r>
    <n v="8"/>
    <n v="2024"/>
    <s v="Auction"/>
    <s v="VROLIJK BLOEMEN"/>
    <s v="VROLIJK BLOEMEN"/>
    <x v="16"/>
    <s v="English Roses"/>
    <s v="70CM"/>
    <n v="1"/>
    <n v="12"/>
    <n v="400"/>
    <n v="0.52"/>
    <n v="208"/>
    <s v="EUR"/>
    <m/>
    <m/>
    <x v="2"/>
    <n v="-320"/>
    <x v="1"/>
    <x v="1"/>
    <n v="720"/>
    <n v="0.55111111111111111"/>
    <n v="396.8"/>
    <n v="-31.004839857651273"/>
    <n v="365.79516014234872"/>
    <x v="2"/>
    <n v="320"/>
    <m/>
    <n v="430498"/>
    <n v="39.825555555555553"/>
    <m/>
    <n v="14.4"/>
    <m/>
    <n v="54.225555555555552"/>
    <n v="311.56960458679316"/>
    <m/>
    <n v="720"/>
  </r>
  <r>
    <n v="8"/>
    <n v="2024"/>
    <s v="Auction"/>
    <s v="VROLIJK BLOEMEN"/>
    <s v="VROLIJK BLOEMEN"/>
    <x v="16"/>
    <s v="English Roses"/>
    <s v="80CM"/>
    <n v="1"/>
    <n v="12"/>
    <n v="320"/>
    <n v="0.56999999999999995"/>
    <n v="182.4"/>
    <s v="EUR"/>
    <m/>
    <m/>
    <x v="2"/>
    <n v="0"/>
    <x v="1"/>
    <x v="2"/>
    <n v="320"/>
    <n v="0.61375000000000002"/>
    <n v="196.4"/>
    <n v="-13.779928825622788"/>
    <n v="182.62007117437722"/>
    <x v="2"/>
    <n v="0"/>
    <m/>
    <n v="430498"/>
    <n v="39.825555555555553"/>
    <m/>
    <n v="6.4"/>
    <m/>
    <n v="46.225555555555552"/>
    <n v="136.39451561882166"/>
    <m/>
    <n v="320"/>
  </r>
  <r>
    <n v="8"/>
    <n v="2024"/>
    <s v="Auction"/>
    <s v="VROLIJK BLOEMEN"/>
    <s v="VROLIJK BLOEMEN"/>
    <x v="16"/>
    <s v="English Roses"/>
    <s v="90CM"/>
    <n v="2"/>
    <n v="24"/>
    <n v="480"/>
    <n v="0.75"/>
    <n v="360"/>
    <s v="EUR"/>
    <m/>
    <m/>
    <x v="2"/>
    <n v="0"/>
    <x v="1"/>
    <x v="3"/>
    <n v="480"/>
    <n v="0.47916666666666669"/>
    <n v="230"/>
    <n v="-20.669893238434181"/>
    <n v="209.33010676156582"/>
    <x v="2"/>
    <n v="0"/>
    <m/>
    <n v="430498"/>
    <n v="79.651111111111106"/>
    <m/>
    <n v="9.6"/>
    <m/>
    <n v="89.251111111111101"/>
    <n v="120.07899565045471"/>
    <m/>
    <n v="480"/>
  </r>
  <r>
    <n v="8"/>
    <n v="2024"/>
    <s v="Auction"/>
    <s v="VROLIJK BLOEMEN"/>
    <s v="VROLIJK BLOEMEN"/>
    <x v="16"/>
    <s v="English Roses"/>
    <s v="100CM"/>
    <n v="3"/>
    <n v="36"/>
    <n v="600"/>
    <n v="0.94"/>
    <n v="564"/>
    <s v="EUR"/>
    <m/>
    <m/>
    <x v="2"/>
    <n v="0"/>
    <x v="1"/>
    <x v="4"/>
    <n v="600"/>
    <n v="0.61399999999999999"/>
    <n v="368.4"/>
    <n v="-25.837366548042727"/>
    <n v="342.56263345195725"/>
    <x v="2"/>
    <n v="0"/>
    <m/>
    <n v="430498"/>
    <n v="119.47666666666666"/>
    <m/>
    <n v="12"/>
    <m/>
    <n v="131.47666666666666"/>
    <n v="211.08596678529059"/>
    <m/>
    <n v="600"/>
  </r>
  <r>
    <n v="8"/>
    <n v="2024"/>
    <s v="Auction"/>
    <s v="VROLIJK BLOEMEN"/>
    <s v="VROLIJK BLOEMEN"/>
    <x v="16"/>
    <s v="Floribunda Roses"/>
    <s v="50CM"/>
    <n v="2"/>
    <n v="24"/>
    <n v="1200"/>
    <n v="0.38"/>
    <n v="456"/>
    <s v="EUR"/>
    <m/>
    <m/>
    <x v="2"/>
    <n v="-240"/>
    <x v="2"/>
    <x v="5"/>
    <n v="1440"/>
    <n v="0.34805555555555556"/>
    <n v="501.2"/>
    <n v="-62.009679715302546"/>
    <n v="439.19032028469746"/>
    <x v="2"/>
    <n v="240"/>
    <m/>
    <n v="430498"/>
    <n v="79.651111111111106"/>
    <m/>
    <n v="28.8"/>
    <m/>
    <n v="108.4511111111111"/>
    <n v="330.73920917358635"/>
    <m/>
    <n v="1440"/>
  </r>
  <r>
    <n v="8"/>
    <n v="2024"/>
    <s v="Auction"/>
    <s v="VROLIJK BLOEMEN"/>
    <s v="VROLIJK BLOEMEN"/>
    <x v="16"/>
    <s v="Floribunda Roses"/>
    <s v="60CM"/>
    <n v="2"/>
    <n v="31.200000000000003"/>
    <n v="1040"/>
    <n v="0.47"/>
    <n v="488.8"/>
    <s v="EUR"/>
    <m/>
    <m/>
    <x v="2"/>
    <n v="-400"/>
    <x v="2"/>
    <x v="0"/>
    <n v="1440"/>
    <n v="0.66722222222222216"/>
    <n v="960.8"/>
    <n v="-62.009679715302546"/>
    <n v="898.79032028469737"/>
    <x v="2"/>
    <n v="400"/>
    <m/>
    <n v="430498"/>
    <n v="103.54644444444446"/>
    <m/>
    <n v="28.8"/>
    <m/>
    <n v="132.34644444444447"/>
    <n v="766.44387584025287"/>
    <m/>
    <n v="1440"/>
  </r>
  <r>
    <n v="8"/>
    <n v="2024"/>
    <s v="Auction"/>
    <s v="VROLIJK BLOEMEN"/>
    <s v="VROLIJK BLOEMEN"/>
    <x v="16"/>
    <s v="Floribunda Roses"/>
    <s v="70CM"/>
    <n v="1"/>
    <n v="12"/>
    <n v="400"/>
    <n v="0.52"/>
    <n v="208"/>
    <s v="EUR"/>
    <m/>
    <m/>
    <x v="2"/>
    <n v="-360"/>
    <x v="2"/>
    <x v="1"/>
    <n v="760"/>
    <n v="0.70789473684210524"/>
    <n v="538"/>
    <n v="-32.727330960854118"/>
    <n v="505.27266903914585"/>
    <x v="2"/>
    <n v="360"/>
    <m/>
    <n v="430498"/>
    <n v="39.825555555555553"/>
    <m/>
    <n v="15.200000000000001"/>
    <m/>
    <n v="55.025555555555556"/>
    <n v="450.24711348359028"/>
    <m/>
    <n v="760"/>
  </r>
  <r>
    <n v="8"/>
    <n v="2024"/>
    <s v="Auction"/>
    <s v="VROLIJK BLOEMEN"/>
    <s v="VROLIJK BLOEMEN"/>
    <x v="16"/>
    <s v="Floribunda Roses"/>
    <s v="70CM"/>
    <n v="1"/>
    <n v="10.8"/>
    <n v="360"/>
    <n v="0.52"/>
    <n v="187.2"/>
    <s v="EUR"/>
    <m/>
    <m/>
    <x v="2"/>
    <n v="360"/>
    <x v="2"/>
    <x v="1"/>
    <m/>
    <m/>
    <n v="0"/>
    <n v="0"/>
    <n v="0"/>
    <x v="2"/>
    <n v="-360"/>
    <m/>
    <n v="430498"/>
    <n v="35.842999999999996"/>
    <m/>
    <n v="0"/>
    <m/>
    <n v="35.842999999999996"/>
    <n v="-35.842999999999996"/>
    <m/>
    <n v="0"/>
  </r>
  <r>
    <n v="8"/>
    <n v="2024"/>
    <s v="Auction"/>
    <s v="VROLIJK BLOEMEN"/>
    <s v="VROLIJK BLOEMEN"/>
    <x v="16"/>
    <s v="Floribunda Roses"/>
    <s v="90CM"/>
    <n v="1"/>
    <n v="4.2857142857142856"/>
    <n v="200"/>
    <n v="0.75"/>
    <n v="150"/>
    <s v="EUR"/>
    <m/>
    <m/>
    <x v="2"/>
    <n v="0"/>
    <x v="2"/>
    <x v="3"/>
    <n v="200"/>
    <n v="1.0900000000000001"/>
    <n v="218.00000000000003"/>
    <n v="-8.6124555160142435"/>
    <n v="209.38754448398578"/>
    <x v="2"/>
    <n v="0"/>
    <m/>
    <n v="430498"/>
    <n v="14.223412698412696"/>
    <m/>
    <n v="4"/>
    <m/>
    <n v="18.223412698412695"/>
    <n v="191.16413178557309"/>
    <m/>
    <n v="200"/>
  </r>
  <r>
    <n v="8"/>
    <n v="2024"/>
    <s v="Auction"/>
    <s v="VROLIJK BLOEMEN"/>
    <s v="VROLIJK BLOEMEN"/>
    <x v="16"/>
    <s v="Floribunda Roses"/>
    <s v="100CM"/>
    <n v="1"/>
    <n v="3.4285714285714284"/>
    <n v="160"/>
    <n v="0.94"/>
    <n v="150.4"/>
    <s v="EUR"/>
    <m/>
    <m/>
    <x v="2"/>
    <n v="0"/>
    <x v="2"/>
    <x v="4"/>
    <n v="160"/>
    <n v="1.05"/>
    <n v="168"/>
    <n v="-6.8899644128113939"/>
    <n v="161.11003558718861"/>
    <x v="2"/>
    <n v="0"/>
    <m/>
    <n v="430498"/>
    <n v="11.378730158730157"/>
    <m/>
    <n v="3.2"/>
    <m/>
    <n v="14.578730158730156"/>
    <n v="146.53130542845844"/>
    <m/>
    <n v="160"/>
  </r>
  <r>
    <n v="8"/>
    <n v="2024"/>
    <s v="Auction"/>
    <s v="VROLIJK BLOEMEN"/>
    <s v="VROLIJK BLOEMEN"/>
    <x v="16"/>
    <s v="Floribunda Roses"/>
    <s v="50CM"/>
    <n v="1"/>
    <n v="3.7894736842105261"/>
    <n v="240"/>
    <n v="0.38"/>
    <n v="91.2"/>
    <s v="EUR"/>
    <m/>
    <m/>
    <x v="2"/>
    <n v="240"/>
    <x v="2"/>
    <x v="5"/>
    <m/>
    <m/>
    <n v="0"/>
    <n v="0"/>
    <n v="0"/>
    <x v="2"/>
    <n v="-240"/>
    <m/>
    <n v="430498"/>
    <n v="12.576491228070175"/>
    <m/>
    <n v="0"/>
    <m/>
    <n v="12.576491228070175"/>
    <n v="-12.576491228070175"/>
    <m/>
    <n v="0"/>
  </r>
  <r>
    <n v="8"/>
    <n v="2024"/>
    <s v="Auction"/>
    <s v="VROLIJK BLOEMEN"/>
    <s v="VROLIJK BLOEMEN"/>
    <x v="16"/>
    <s v="Floribunda Roses"/>
    <s v="60CM"/>
    <m/>
    <n v="6.3157894736842106"/>
    <n v="400"/>
    <n v="0.47"/>
    <n v="188"/>
    <s v="EUR"/>
    <m/>
    <m/>
    <x v="2"/>
    <n v="400"/>
    <x v="2"/>
    <x v="0"/>
    <m/>
    <m/>
    <n v="0"/>
    <n v="0"/>
    <n v="0"/>
    <x v="2"/>
    <n v="-400"/>
    <m/>
    <n v="430498"/>
    <n v="20.960818713450291"/>
    <m/>
    <n v="0"/>
    <m/>
    <n v="20.960818713450291"/>
    <n v="-20.960818713450291"/>
    <m/>
    <n v="0"/>
  </r>
  <r>
    <n v="8"/>
    <n v="2024"/>
    <s v="Auction"/>
    <s v="VROLIJK BLOEMEN"/>
    <s v="VROLIJK BLOEMEN"/>
    <x v="16"/>
    <s v="Grandiflora Roses"/>
    <s v="100CM"/>
    <n v="1"/>
    <n v="6.666666666666667"/>
    <n v="200"/>
    <n v="0.47"/>
    <n v="94"/>
    <s v="EUR"/>
    <m/>
    <m/>
    <x v="2"/>
    <n v="200"/>
    <x v="0"/>
    <x v="4"/>
    <m/>
    <m/>
    <n v="0"/>
    <n v="0"/>
    <n v="0"/>
    <x v="2"/>
    <n v="-200"/>
    <m/>
    <n v="430498"/>
    <n v="22.125308641975309"/>
    <m/>
    <n v="0"/>
    <m/>
    <n v="22.125308641975309"/>
    <n v="-22.125308641975309"/>
    <m/>
    <n v="0"/>
  </r>
  <r>
    <n v="8"/>
    <n v="2024"/>
    <s v="Auction"/>
    <s v="VROLIJK BLOEMEN"/>
    <s v="VROLIJK BLOEMEN"/>
    <x v="16"/>
    <s v="Grandiflora Roses"/>
    <s v="90CM"/>
    <m/>
    <n v="4"/>
    <n v="120"/>
    <n v="0.38"/>
    <n v="45.6"/>
    <s v="EUR"/>
    <m/>
    <m/>
    <x v="2"/>
    <n v="120"/>
    <x v="0"/>
    <x v="3"/>
    <m/>
    <m/>
    <n v="0"/>
    <n v="0"/>
    <n v="0"/>
    <x v="2"/>
    <n v="-120"/>
    <m/>
    <n v="430498"/>
    <n v="13.275185185185183"/>
    <m/>
    <n v="0"/>
    <m/>
    <n v="13.275185185185183"/>
    <n v="-13.275185185185183"/>
    <m/>
    <n v="0"/>
  </r>
  <r>
    <n v="8"/>
    <n v="2024"/>
    <s v="Auction"/>
    <s v="VROLIJK BLOEMEN"/>
    <s v="VROLIJK BLOEMEN"/>
    <x v="16"/>
    <s v="Grandiflora Roses"/>
    <s v="50CM"/>
    <n v="1"/>
    <m/>
    <n v="560"/>
    <n v="0.14000000000000001"/>
    <n v="78.400000000000006"/>
    <s v="EUR"/>
    <m/>
    <m/>
    <x v="2"/>
    <n v="0"/>
    <x v="0"/>
    <x v="5"/>
    <n v="560"/>
    <n v="0.28499999999999998"/>
    <n v="159.6"/>
    <n v="-24.114875444839878"/>
    <n v="135.48512455516013"/>
    <x v="2"/>
    <n v="0"/>
    <m/>
    <n v="430498"/>
    <n v="0"/>
    <m/>
    <n v="11.200000000000001"/>
    <m/>
    <n v="11.200000000000001"/>
    <n v="124.28512455516012"/>
    <m/>
    <n v="560"/>
  </r>
  <r>
    <n v="8"/>
    <n v="2024"/>
    <s v="Auction"/>
    <s v="VROLIJK BLOEMEN"/>
    <s v="VROLIJK BLOEMEN"/>
    <x v="16"/>
    <s v="Grandiflora Roses"/>
    <s v="80CM"/>
    <m/>
    <m/>
    <n v="160"/>
    <n v="0.33"/>
    <n v="52.8"/>
    <s v="EUR"/>
    <m/>
    <m/>
    <x v="2"/>
    <n v="160"/>
    <x v="0"/>
    <x v="2"/>
    <m/>
    <m/>
    <n v="0"/>
    <n v="0"/>
    <n v="0"/>
    <x v="2"/>
    <n v="-160"/>
    <m/>
    <n v="430498"/>
    <n v="0"/>
    <m/>
    <n v="0"/>
    <m/>
    <n v="0"/>
    <n v="0"/>
    <m/>
    <n v="0"/>
  </r>
  <r>
    <n v="8"/>
    <n v="2024"/>
    <s v="Auction"/>
    <s v="VROLIJK BLOEMEN"/>
    <s v="VROLIJK BLOEMEN"/>
    <x v="16"/>
    <s v="Grandiflora Roses"/>
    <s v="60CM"/>
    <m/>
    <m/>
    <n v="120"/>
    <n v="0.24"/>
    <n v="28.8"/>
    <s v="EUR"/>
    <m/>
    <m/>
    <x v="2"/>
    <n v="120"/>
    <x v="0"/>
    <x v="0"/>
    <m/>
    <m/>
    <n v="0"/>
    <n v="0"/>
    <n v="0"/>
    <x v="2"/>
    <n v="-120"/>
    <m/>
    <n v="430498"/>
    <n v="0"/>
    <m/>
    <n v="0"/>
    <m/>
    <n v="0"/>
    <n v="0"/>
    <m/>
    <n v="0"/>
  </r>
  <r>
    <n v="8"/>
    <n v="2024"/>
    <s v="Auction"/>
    <s v="VROLIJK BLOEMEN"/>
    <s v="VROLIJK BLOEMEN"/>
    <x v="16"/>
    <s v="Grandiflora Roses"/>
    <s v="70CM"/>
    <m/>
    <m/>
    <n v="120"/>
    <n v="0.28000000000000003"/>
    <n v="33.6"/>
    <s v="EUR"/>
    <m/>
    <m/>
    <x v="2"/>
    <n v="120"/>
    <x v="0"/>
    <x v="1"/>
    <m/>
    <m/>
    <n v="0"/>
    <n v="0"/>
    <n v="0"/>
    <x v="2"/>
    <n v="-120"/>
    <m/>
    <n v="430498"/>
    <n v="0"/>
    <m/>
    <n v="0"/>
    <m/>
    <n v="0"/>
    <n v="0"/>
    <m/>
    <n v="0"/>
  </r>
  <r>
    <n v="7"/>
    <n v="2024"/>
    <s v="Auction"/>
    <s v="VROLIJK BLOEMEN"/>
    <s v="VROLIJK BLOEMEN"/>
    <x v="17"/>
    <s v="English Roses"/>
    <s v="50CM"/>
    <n v="1"/>
    <n v="12"/>
    <n v="440"/>
    <n v="0.38"/>
    <n v="167.2"/>
    <s v="EUR"/>
    <m/>
    <m/>
    <x v="4"/>
    <n v="0"/>
    <x v="1"/>
    <x v="5"/>
    <n v="440"/>
    <n v="0.2290909090909091"/>
    <n v="100.8"/>
    <n v="-18.276569037656923"/>
    <n v="82.52343096234307"/>
    <x v="4"/>
    <n v="0"/>
    <m/>
    <n v="428849"/>
    <n v="38.43"/>
    <m/>
    <n v="8.8000000000000007"/>
    <m/>
    <n v="47.230000000000004"/>
    <n v="35.293430962343066"/>
    <m/>
    <n v="440"/>
  </r>
  <r>
    <n v="7"/>
    <n v="2024"/>
    <s v="Auction"/>
    <s v="VROLIJK BLOEMEN"/>
    <s v="VROLIJK BLOEMEN"/>
    <x v="17"/>
    <s v="English Roses"/>
    <s v="60CM"/>
    <n v="1"/>
    <n v="12"/>
    <n v="480"/>
    <n v="0.47"/>
    <n v="225.6"/>
    <s v="EUR"/>
    <m/>
    <m/>
    <x v="4"/>
    <n v="0"/>
    <x v="1"/>
    <x v="0"/>
    <n v="480"/>
    <n v="0.47166666666666668"/>
    <n v="226.4"/>
    <n v="-19.938075313807548"/>
    <n v="206.46192468619245"/>
    <x v="4"/>
    <n v="0"/>
    <m/>
    <n v="428849"/>
    <n v="38.43"/>
    <m/>
    <n v="9.6"/>
    <m/>
    <n v="48.03"/>
    <n v="158.43192468619245"/>
    <m/>
    <n v="480"/>
  </r>
  <r>
    <n v="7"/>
    <n v="2024"/>
    <s v="Auction"/>
    <s v="VROLIJK BLOEMEN"/>
    <s v="VROLIJK BLOEMEN"/>
    <x v="17"/>
    <s v="English Roses"/>
    <s v="70CM"/>
    <n v="1"/>
    <n v="12"/>
    <n v="400"/>
    <n v="0.52"/>
    <n v="208"/>
    <s v="EUR"/>
    <m/>
    <m/>
    <x v="4"/>
    <n v="80"/>
    <x v="1"/>
    <x v="1"/>
    <n v="320"/>
    <n v="0.42000000000000004"/>
    <n v="134.4"/>
    <n v="-13.292050209205033"/>
    <n v="121.10794979079498"/>
    <x v="4"/>
    <n v="-80"/>
    <m/>
    <n v="428849"/>
    <n v="38.43"/>
    <m/>
    <n v="6.4"/>
    <m/>
    <n v="44.83"/>
    <n v="76.277949790794978"/>
    <m/>
    <n v="320"/>
  </r>
  <r>
    <n v="7"/>
    <n v="2024"/>
    <s v="Auction"/>
    <s v="VROLIJK BLOEMEN"/>
    <s v="VROLIJK BLOEMEN"/>
    <x v="17"/>
    <s v="English Roses"/>
    <s v="80CM"/>
    <n v="1"/>
    <n v="12"/>
    <n v="320"/>
    <n v="0.56999999999999995"/>
    <n v="182.4"/>
    <s v="EUR"/>
    <m/>
    <m/>
    <x v="4"/>
    <n v="-160"/>
    <x v="1"/>
    <x v="2"/>
    <n v="480"/>
    <n v="0.5033333333333333"/>
    <n v="241.6"/>
    <n v="-19.938075313807548"/>
    <n v="221.66192468619244"/>
    <x v="4"/>
    <n v="160"/>
    <m/>
    <n v="428849"/>
    <n v="38.43"/>
    <m/>
    <n v="9.6"/>
    <m/>
    <n v="48.03"/>
    <n v="173.63192468619243"/>
    <m/>
    <n v="480"/>
  </r>
  <r>
    <n v="7"/>
    <n v="2024"/>
    <s v="Auction"/>
    <s v="VROLIJK BLOEMEN"/>
    <s v="VROLIJK BLOEMEN"/>
    <x v="17"/>
    <s v="English Roses"/>
    <s v="90CM"/>
    <n v="1"/>
    <n v="12"/>
    <n v="200"/>
    <n v="0.75"/>
    <n v="150"/>
    <s v="EUR"/>
    <m/>
    <m/>
    <x v="4"/>
    <n v="0"/>
    <x v="1"/>
    <x v="3"/>
    <n v="200"/>
    <n v="0.48799999999999999"/>
    <n v="97.6"/>
    <n v="-8.3075313807531455"/>
    <n v="89.292468619246847"/>
    <x v="4"/>
    <n v="0"/>
    <m/>
    <n v="428849"/>
    <n v="38.43"/>
    <m/>
    <n v="4"/>
    <m/>
    <n v="42.43"/>
    <n v="46.862468619246847"/>
    <m/>
    <n v="200"/>
  </r>
  <r>
    <n v="7"/>
    <n v="2024"/>
    <s v="Auction"/>
    <s v="VROLIJK BLOEMEN"/>
    <s v="VROLIJK BLOEMEN"/>
    <x v="17"/>
    <s v="Floribunda Roses"/>
    <s v="50CM"/>
    <n v="2"/>
    <n v="24"/>
    <n v="1200"/>
    <n v="0.38"/>
    <n v="456"/>
    <s v="EUR"/>
    <m/>
    <m/>
    <x v="4"/>
    <n v="-40"/>
    <x v="2"/>
    <x v="5"/>
    <n v="1240"/>
    <n v="0.29000000000000004"/>
    <n v="359.6"/>
    <n v="-51.506694560669501"/>
    <n v="308.09330543933049"/>
    <x v="4"/>
    <n v="40"/>
    <m/>
    <n v="428849"/>
    <n v="76.86"/>
    <m/>
    <n v="24.8"/>
    <m/>
    <n v="101.66"/>
    <n v="206.4333054393305"/>
    <m/>
    <n v="1240"/>
  </r>
  <r>
    <n v="7"/>
    <n v="2024"/>
    <s v="Auction"/>
    <s v="VROLIJK BLOEMEN"/>
    <s v="VROLIJK BLOEMEN"/>
    <x v="17"/>
    <s v="Floribunda Roses"/>
    <s v="60CM"/>
    <n v="3"/>
    <n v="36"/>
    <n v="1560"/>
    <n v="0.47"/>
    <n v="733.2"/>
    <s v="EUR"/>
    <m/>
    <m/>
    <x v="4"/>
    <n v="40"/>
    <x v="2"/>
    <x v="0"/>
    <n v="1520"/>
    <n v="0.44526315789473681"/>
    <n v="676.8"/>
    <n v="-63.137238493723913"/>
    <n v="613.66276150627607"/>
    <x v="4"/>
    <n v="-40"/>
    <m/>
    <n v="428849"/>
    <n v="115.28999999999999"/>
    <m/>
    <n v="30.400000000000002"/>
    <m/>
    <n v="145.69"/>
    <n v="467.97276150627607"/>
    <m/>
    <n v="1520"/>
  </r>
  <r>
    <n v="7"/>
    <n v="2024"/>
    <s v="Auction"/>
    <s v="VROLIJK BLOEMEN"/>
    <s v="VROLIJK BLOEMEN"/>
    <x v="17"/>
    <s v="Floribunda Roses"/>
    <s v="70CM"/>
    <n v="2"/>
    <n v="24"/>
    <n v="800"/>
    <n v="0.52"/>
    <n v="416"/>
    <s v="EUR"/>
    <m/>
    <m/>
    <x v="4"/>
    <n v="0"/>
    <x v="2"/>
    <x v="1"/>
    <n v="800"/>
    <n v="0.60299999999999998"/>
    <n v="482.4"/>
    <n v="-33.230125523012582"/>
    <n v="449.16987447698739"/>
    <x v="4"/>
    <n v="0"/>
    <m/>
    <n v="428849"/>
    <n v="76.86"/>
    <m/>
    <n v="16"/>
    <m/>
    <n v="92.86"/>
    <n v="356.30987447698737"/>
    <m/>
    <n v="800"/>
  </r>
  <r>
    <n v="7"/>
    <n v="2024"/>
    <s v="Auction"/>
    <s v="VROLIJK BLOEMEN"/>
    <s v="VROLIJK BLOEMEN"/>
    <x v="17"/>
    <s v="Floribunda Roses"/>
    <s v="80CM"/>
    <n v="1"/>
    <n v="12"/>
    <n v="320"/>
    <n v="0.56999999999999995"/>
    <n v="182.4"/>
    <s v="EUR"/>
    <m/>
    <m/>
    <x v="4"/>
    <n v="0"/>
    <x v="2"/>
    <x v="2"/>
    <n v="320"/>
    <n v="0.80374999999999996"/>
    <n v="257.2"/>
    <n v="-13.292050209205033"/>
    <n v="243.90794979079496"/>
    <x v="4"/>
    <n v="0"/>
    <m/>
    <n v="428849"/>
    <n v="38.43"/>
    <m/>
    <n v="6.4"/>
    <m/>
    <n v="44.83"/>
    <n v="199.07794979079495"/>
    <m/>
    <n v="320"/>
  </r>
  <r>
    <n v="7"/>
    <n v="2024"/>
    <s v="Auction"/>
    <s v="VROLIJK BLOEMEN"/>
    <s v="VROLIJK BLOEMEN"/>
    <x v="17"/>
    <s v="Floribunda Roses"/>
    <s v="90CM"/>
    <n v="1"/>
    <n v="12"/>
    <n v="200"/>
    <n v="0.75"/>
    <n v="150"/>
    <s v="EUR"/>
    <m/>
    <m/>
    <x v="4"/>
    <n v="0"/>
    <x v="2"/>
    <x v="3"/>
    <n v="200"/>
    <n v="0.84400000000000008"/>
    <n v="168.8"/>
    <n v="-8.3075313807531455"/>
    <n v="160.49246861924686"/>
    <x v="4"/>
    <n v="0"/>
    <m/>
    <n v="428849"/>
    <n v="38.43"/>
    <m/>
    <n v="4"/>
    <m/>
    <n v="42.43"/>
    <n v="118.06246861924686"/>
    <m/>
    <n v="200"/>
  </r>
  <r>
    <n v="7"/>
    <n v="2024"/>
    <s v="Auction"/>
    <s v="VROLIJK BLOEMEN"/>
    <s v="VROLIJK BLOEMEN"/>
    <x v="17"/>
    <s v="Grandiflora Roses"/>
    <s v="60CM"/>
    <n v="1"/>
    <n v="12"/>
    <n v="720"/>
    <n v="0.24"/>
    <n v="172.8"/>
    <s v="EUR"/>
    <m/>
    <m/>
    <x v="4"/>
    <n v="280"/>
    <x v="0"/>
    <x v="0"/>
    <n v="440"/>
    <n v="0.35"/>
    <n v="154"/>
    <n v="-18.276569037656923"/>
    <n v="135.72343096234309"/>
    <x v="4"/>
    <n v="-280"/>
    <m/>
    <n v="428849"/>
    <n v="38.43"/>
    <m/>
    <n v="8.8000000000000007"/>
    <m/>
    <n v="47.230000000000004"/>
    <n v="88.493430962343083"/>
    <m/>
    <n v="440"/>
  </r>
  <r>
    <n v="7"/>
    <n v="2024"/>
    <s v="Auction"/>
    <s v="VROLIJK BLOEMEN"/>
    <s v="VROLIJK BLOEMEN"/>
    <x v="17"/>
    <s v="Grandiflora Roses"/>
    <s v="70CM"/>
    <n v="1"/>
    <n v="12"/>
    <n v="640"/>
    <n v="0.28000000000000003"/>
    <n v="179.2"/>
    <s v="EUR"/>
    <m/>
    <m/>
    <x v="4"/>
    <n v="0"/>
    <x v="0"/>
    <x v="1"/>
    <n v="640"/>
    <n v="0.44374999999999998"/>
    <n v="284"/>
    <n v="-26.584100418410067"/>
    <n v="257.41589958158994"/>
    <x v="4"/>
    <n v="0"/>
    <m/>
    <n v="428849"/>
    <n v="38.43"/>
    <m/>
    <n v="12.8"/>
    <m/>
    <n v="51.230000000000004"/>
    <n v="206.18589958158992"/>
    <m/>
    <n v="640"/>
  </r>
  <r>
    <n v="7"/>
    <n v="2024"/>
    <s v="Auction"/>
    <s v="VROLIJK BLOEMEN"/>
    <s v="VROLIJK BLOEMEN"/>
    <x v="17"/>
    <s v="Grandiflora Roses"/>
    <s v="80CM"/>
    <n v="1"/>
    <n v="12"/>
    <n v="360"/>
    <n v="0.33"/>
    <n v="118.8"/>
    <s v="EUR"/>
    <m/>
    <m/>
    <x v="4"/>
    <n v="0"/>
    <x v="0"/>
    <x v="2"/>
    <n v="360"/>
    <n v="0.5444444444444444"/>
    <n v="195.99999999999997"/>
    <n v="-14.95355648535566"/>
    <n v="181.04644351464432"/>
    <x v="4"/>
    <n v="0"/>
    <m/>
    <n v="428849"/>
    <n v="38.43"/>
    <m/>
    <n v="7.2"/>
    <m/>
    <n v="45.63"/>
    <n v="135.41644351464433"/>
    <m/>
    <n v="360"/>
  </r>
  <r>
    <n v="7"/>
    <n v="2024"/>
    <s v="Auction"/>
    <s v="VROLIJK BLOEMEN"/>
    <s v="VROLIJK BLOEMEN"/>
    <x v="17"/>
    <s v="Grandiflora Roses"/>
    <s v="90CM"/>
    <n v="1"/>
    <n v="12"/>
    <n v="320"/>
    <n v="0.38"/>
    <n v="121.6"/>
    <s v="EUR"/>
    <m/>
    <m/>
    <x v="4"/>
    <n v="0"/>
    <x v="0"/>
    <x v="3"/>
    <n v="320"/>
    <n v="0.69000000000000006"/>
    <n v="220.8"/>
    <n v="-13.292050209205033"/>
    <n v="207.50794979079498"/>
    <x v="4"/>
    <n v="0"/>
    <m/>
    <n v="428849"/>
    <n v="38.43"/>
    <m/>
    <n v="6.4"/>
    <m/>
    <n v="44.83"/>
    <n v="162.67794979079497"/>
    <m/>
    <n v="320"/>
  </r>
  <r>
    <n v="7"/>
    <n v="2024"/>
    <s v="Auction"/>
    <s v="VROLIJK BLOEMEN"/>
    <s v="VROLIJK BLOEMEN"/>
    <x v="17"/>
    <s v="Grandiflora Roses"/>
    <s v="100CM"/>
    <n v="1"/>
    <n v="12"/>
    <n v="320"/>
    <n v="0.47"/>
    <n v="150.4"/>
    <s v="EUR"/>
    <m/>
    <m/>
    <x v="4"/>
    <n v="0"/>
    <x v="0"/>
    <x v="4"/>
    <n v="320"/>
    <n v="0.66749999999999998"/>
    <n v="213.6"/>
    <n v="-13.292050209205033"/>
    <n v="200.30794979079496"/>
    <x v="4"/>
    <n v="0"/>
    <m/>
    <n v="428849"/>
    <n v="38.43"/>
    <m/>
    <n v="6.4"/>
    <m/>
    <n v="44.83"/>
    <n v="155.47794979079498"/>
    <m/>
    <n v="320"/>
  </r>
  <r>
    <n v="7"/>
    <n v="2024"/>
    <s v="Auction"/>
    <s v="VROLIJK BLOEMEN"/>
    <s v="VROLIJK BLOEMEN"/>
    <x v="17"/>
    <s v="English Roses"/>
    <s v="70CM"/>
    <n v="1"/>
    <n v="6"/>
    <n v="200"/>
    <n v="0.52"/>
    <n v="104"/>
    <s v="EUR"/>
    <m/>
    <m/>
    <x v="4"/>
    <n v="-120"/>
    <x v="1"/>
    <x v="1"/>
    <n v="320"/>
    <n v="0.57000000000000006"/>
    <n v="182.40000000000003"/>
    <n v="-13.292050209205033"/>
    <n v="169.107949790795"/>
    <x v="4"/>
    <n v="120"/>
    <m/>
    <n v="428849"/>
    <n v="19.215"/>
    <m/>
    <n v="6.4"/>
    <m/>
    <n v="25.615000000000002"/>
    <n v="143.492949790795"/>
    <m/>
    <n v="320"/>
  </r>
  <r>
    <n v="7"/>
    <n v="2024"/>
    <s v="Auction"/>
    <s v="VROLIJK BLOEMEN"/>
    <s v="VROLIJK BLOEMEN"/>
    <x v="17"/>
    <s v="English Roses"/>
    <s v="80CM"/>
    <m/>
    <n v="6"/>
    <n v="200"/>
    <n v="0.56999999999999995"/>
    <n v="114"/>
    <s v="EUR"/>
    <m/>
    <m/>
    <x v="4"/>
    <n v="200"/>
    <x v="1"/>
    <x v="2"/>
    <m/>
    <m/>
    <n v="0"/>
    <n v="0"/>
    <n v="0"/>
    <x v="4"/>
    <n v="-200"/>
    <m/>
    <n v="428849"/>
    <n v="19.215"/>
    <m/>
    <n v="0"/>
    <m/>
    <n v="19.215"/>
    <n v="-19.215"/>
    <m/>
    <n v="0"/>
  </r>
  <r>
    <n v="7"/>
    <n v="2024"/>
    <s v="Auction"/>
    <s v="VROLIJK BLOEMEN"/>
    <s v="VROLIJK BLOEMEN"/>
    <x v="17"/>
    <s v="Grandiflora Roses"/>
    <s v="50CM"/>
    <n v="1"/>
    <n v="9.2727272727272734"/>
    <n v="680"/>
    <n v="0.14000000000000001"/>
    <n v="95.2"/>
    <s v="EUR"/>
    <m/>
    <m/>
    <x v="4"/>
    <n v="-40"/>
    <x v="0"/>
    <x v="5"/>
    <n v="720"/>
    <n v="0.22777777777777777"/>
    <n v="164"/>
    <n v="-29.907112970711321"/>
    <n v="134.09288702928868"/>
    <x v="4"/>
    <n v="40"/>
    <m/>
    <n v="428849"/>
    <n v="29.695909090909094"/>
    <m/>
    <n v="14.4"/>
    <m/>
    <n v="44.095909090909096"/>
    <n v="89.996977938379587"/>
    <m/>
    <n v="720"/>
  </r>
  <r>
    <n v="7"/>
    <n v="2024"/>
    <s v="Auction"/>
    <s v="VROLIJK BLOEMEN"/>
    <s v="VROLIJK BLOEMEN"/>
    <x v="17"/>
    <s v="Grandiflora Roses"/>
    <s v="60CM"/>
    <m/>
    <n v="2.7272727272727271"/>
    <n v="200"/>
    <n v="0.24"/>
    <n v="48"/>
    <s v="EUR"/>
    <m/>
    <m/>
    <x v="4"/>
    <n v="-240"/>
    <x v="0"/>
    <x v="0"/>
    <n v="440"/>
    <n v="0.43"/>
    <n v="189.2"/>
    <n v="-18.276569037656923"/>
    <n v="170.92343096234308"/>
    <x v="4"/>
    <n v="240"/>
    <m/>
    <n v="428849"/>
    <n v="8.7340909090909076"/>
    <m/>
    <n v="8.8000000000000007"/>
    <m/>
    <n v="17.534090909090907"/>
    <n v="153.38934005325217"/>
    <m/>
    <n v="440"/>
  </r>
  <r>
    <n v="7"/>
    <n v="2024"/>
    <s v="Auction"/>
    <s v="VROLIJK BLOEMEN"/>
    <s v="VROLIJK BLOEMEN"/>
    <x v="18"/>
    <s v="English Roses"/>
    <s v="50CM"/>
    <n v="1"/>
    <n v="12"/>
    <n v="520"/>
    <n v="0.38"/>
    <n v="197.6"/>
    <s v="EUR"/>
    <m/>
    <m/>
    <x v="4"/>
    <n v="0"/>
    <x v="1"/>
    <x v="5"/>
    <n v="520"/>
    <n v="0.25999999999999995"/>
    <n v="135.19999999999999"/>
    <n v="-21.984908256880736"/>
    <n v="113.21509174311925"/>
    <x v="4"/>
    <n v="0"/>
    <m/>
    <s v="F079881"/>
    <n v="40.924000000000007"/>
    <m/>
    <n v="10.4"/>
    <m/>
    <n v="51.324000000000005"/>
    <n v="61.89109174311924"/>
    <m/>
    <n v="520"/>
  </r>
  <r>
    <n v="7"/>
    <n v="2024"/>
    <s v="Auction"/>
    <s v="VROLIJK BLOEMEN"/>
    <s v="VROLIJK BLOEMEN"/>
    <x v="18"/>
    <s v="English Roses"/>
    <s v="60CM"/>
    <n v="2"/>
    <n v="24"/>
    <n v="960"/>
    <n v="0.47"/>
    <n v="451.2"/>
    <s v="EUR"/>
    <m/>
    <m/>
    <x v="4"/>
    <n v="0"/>
    <x v="1"/>
    <x v="0"/>
    <n v="960"/>
    <n v="0.3841666666666666"/>
    <n v="368.79999999999995"/>
    <n v="-40.587522935779823"/>
    <n v="328.21247706422014"/>
    <x v="4"/>
    <n v="0"/>
    <m/>
    <s v="F079881"/>
    <n v="81.848000000000013"/>
    <m/>
    <n v="19.2"/>
    <m/>
    <n v="101.04800000000002"/>
    <n v="227.16447706422014"/>
    <m/>
    <n v="960"/>
  </r>
  <r>
    <n v="7"/>
    <n v="2024"/>
    <s v="Auction"/>
    <s v="VROLIJK BLOEMEN"/>
    <s v="VROLIJK BLOEMEN"/>
    <x v="18"/>
    <s v="English Roses"/>
    <s v="70CM"/>
    <n v="2"/>
    <n v="24"/>
    <n v="800"/>
    <n v="0.52"/>
    <n v="416"/>
    <s v="EUR"/>
    <m/>
    <m/>
    <x v="4"/>
    <n v="0"/>
    <x v="1"/>
    <x v="1"/>
    <n v="800"/>
    <n v="0.46250000000000002"/>
    <n v="370"/>
    <n v="-33.822935779816518"/>
    <n v="336.17706422018347"/>
    <x v="4"/>
    <n v="0"/>
    <m/>
    <s v="F079881"/>
    <n v="81.848000000000013"/>
    <m/>
    <n v="16"/>
    <m/>
    <n v="97.848000000000013"/>
    <n v="238.32906422018345"/>
    <m/>
    <n v="800"/>
  </r>
  <r>
    <n v="7"/>
    <n v="2024"/>
    <s v="Auction"/>
    <s v="VROLIJK BLOEMEN"/>
    <s v="VROLIJK BLOEMEN"/>
    <x v="18"/>
    <s v="English Roses"/>
    <s v="80CM"/>
    <n v="2"/>
    <n v="24"/>
    <n v="640"/>
    <n v="0.56999999999999995"/>
    <n v="364.8"/>
    <s v="EUR"/>
    <m/>
    <m/>
    <x v="4"/>
    <n v="0"/>
    <x v="1"/>
    <x v="2"/>
    <n v="640"/>
    <n v="0.49375000000000002"/>
    <n v="316"/>
    <n v="-27.058348623853217"/>
    <n v="288.94165137614681"/>
    <x v="4"/>
    <n v="0"/>
    <m/>
    <s v="F079881"/>
    <n v="81.848000000000013"/>
    <m/>
    <n v="12.8"/>
    <m/>
    <n v="94.64800000000001"/>
    <n v="194.29365137614678"/>
    <m/>
    <n v="640"/>
  </r>
  <r>
    <n v="7"/>
    <n v="2024"/>
    <s v="Auction"/>
    <s v="VROLIJK BLOEMEN"/>
    <s v="VROLIJK BLOEMEN"/>
    <x v="18"/>
    <s v="English Roses"/>
    <s v="90CM"/>
    <n v="1"/>
    <n v="12"/>
    <n v="240"/>
    <n v="0.75"/>
    <n v="180"/>
    <s v="EUR"/>
    <m/>
    <m/>
    <x v="4"/>
    <n v="0"/>
    <x v="1"/>
    <x v="3"/>
    <n v="240"/>
    <n v="0.43666666666666665"/>
    <n v="104.8"/>
    <n v="-10.146880733944956"/>
    <n v="94.653119266055043"/>
    <x v="4"/>
    <n v="0"/>
    <m/>
    <s v="F079881"/>
    <n v="40.924000000000007"/>
    <m/>
    <n v="4.8"/>
    <m/>
    <n v="45.724000000000004"/>
    <n v="48.929119266055039"/>
    <m/>
    <n v="240"/>
  </r>
  <r>
    <n v="7"/>
    <n v="2024"/>
    <s v="Auction"/>
    <s v="VROLIJK BLOEMEN"/>
    <s v="VROLIJK BLOEMEN"/>
    <x v="18"/>
    <s v="English Roses"/>
    <s v="100CM"/>
    <n v="1"/>
    <n v="12"/>
    <n v="200"/>
    <n v="0.94"/>
    <n v="188"/>
    <s v="EUR"/>
    <m/>
    <m/>
    <x v="4"/>
    <n v="0"/>
    <x v="1"/>
    <x v="4"/>
    <n v="200"/>
    <n v="0.52200000000000002"/>
    <n v="104.4"/>
    <n v="-8.4557339449541296"/>
    <n v="95.944266055045873"/>
    <x v="4"/>
    <n v="0"/>
    <m/>
    <s v="F079881"/>
    <n v="40.924000000000007"/>
    <m/>
    <n v="4"/>
    <m/>
    <n v="44.924000000000007"/>
    <n v="51.020266055045866"/>
    <m/>
    <n v="200"/>
  </r>
  <r>
    <n v="7"/>
    <n v="2024"/>
    <s v="Auction"/>
    <s v="VROLIJK BLOEMEN"/>
    <s v="VROLIJK BLOEMEN"/>
    <x v="18"/>
    <s v="Floribunda Roses"/>
    <s v="50CM"/>
    <n v="2"/>
    <n v="24"/>
    <n v="1200"/>
    <n v="0.38"/>
    <n v="456"/>
    <s v="EUR"/>
    <m/>
    <m/>
    <x v="4"/>
    <n v="0"/>
    <x v="2"/>
    <x v="5"/>
    <n v="1200"/>
    <n v="0.31466666666666671"/>
    <n v="377.6"/>
    <n v="-50.734403669724784"/>
    <n v="326.86559633027525"/>
    <x v="4"/>
    <n v="0"/>
    <m/>
    <s v="F079881"/>
    <n v="81.848000000000013"/>
    <m/>
    <n v="24"/>
    <m/>
    <n v="105.84800000000001"/>
    <n v="221.01759633027524"/>
    <m/>
    <n v="1200"/>
  </r>
  <r>
    <n v="7"/>
    <n v="2024"/>
    <s v="Auction"/>
    <s v="VROLIJK BLOEMEN"/>
    <s v="VROLIJK BLOEMEN"/>
    <x v="18"/>
    <s v="Floribunda Roses"/>
    <s v="80CM"/>
    <n v="1"/>
    <n v="12"/>
    <n v="360"/>
    <n v="0.56999999999999995"/>
    <n v="205.2"/>
    <s v="EUR"/>
    <m/>
    <m/>
    <x v="4"/>
    <n v="80"/>
    <x v="2"/>
    <x v="2"/>
    <n v="280"/>
    <n v="0.76571428571428568"/>
    <n v="214.39999999999998"/>
    <n v="-11.838027522935782"/>
    <n v="202.56197247706419"/>
    <x v="4"/>
    <n v="-80"/>
    <m/>
    <s v="F079881"/>
    <n v="40.924000000000007"/>
    <m/>
    <n v="5.6000000000000005"/>
    <m/>
    <n v="46.524000000000008"/>
    <n v="156.03797247706419"/>
    <m/>
    <n v="280"/>
  </r>
  <r>
    <n v="7"/>
    <n v="2024"/>
    <s v="Auction"/>
    <s v="VROLIJK BLOEMEN"/>
    <s v="VROLIJK BLOEMEN"/>
    <x v="18"/>
    <s v="Floribunda Roses"/>
    <s v="60CM"/>
    <n v="2"/>
    <n v="24"/>
    <n v="1040"/>
    <n v="0.47"/>
    <n v="488.8"/>
    <s v="EUR"/>
    <m/>
    <m/>
    <x v="4"/>
    <n v="0"/>
    <x v="2"/>
    <x v="0"/>
    <n v="1040"/>
    <n v="0.5757692307692307"/>
    <n v="598.79999999999995"/>
    <n v="-43.969816513761472"/>
    <n v="554.83018348623852"/>
    <x v="4"/>
    <n v="0"/>
    <m/>
    <s v="F079881"/>
    <n v="81.848000000000013"/>
    <m/>
    <n v="20.8"/>
    <m/>
    <n v="102.64800000000001"/>
    <n v="452.1821834862385"/>
    <m/>
    <n v="1040"/>
  </r>
  <r>
    <n v="7"/>
    <n v="2024"/>
    <s v="Auction"/>
    <s v="VROLIJK BLOEMEN"/>
    <s v="VROLIJK BLOEMEN"/>
    <x v="18"/>
    <s v="Floribunda Roses"/>
    <s v="70CM"/>
    <n v="1"/>
    <n v="12"/>
    <n v="400"/>
    <n v="0.52"/>
    <n v="208"/>
    <s v="EUR"/>
    <m/>
    <m/>
    <x v="4"/>
    <n v="-80"/>
    <x v="2"/>
    <x v="1"/>
    <n v="480"/>
    <n v="0.71166666666666667"/>
    <n v="341.6"/>
    <n v="-20.293761467889912"/>
    <n v="321.30623853211011"/>
    <x v="4"/>
    <n v="80"/>
    <m/>
    <s v="F079881"/>
    <n v="40.924000000000007"/>
    <m/>
    <n v="9.6"/>
    <m/>
    <n v="50.524000000000008"/>
    <n v="270.78223853211011"/>
    <m/>
    <n v="480"/>
  </r>
  <r>
    <n v="7"/>
    <n v="2024"/>
    <s v="Auction"/>
    <s v="VROLIJK BLOEMEN"/>
    <s v="VROLIJK BLOEMEN"/>
    <x v="18"/>
    <s v="Grandiflora Roses"/>
    <s v="80CM"/>
    <n v="1"/>
    <n v="12"/>
    <n v="480"/>
    <n v="0.33"/>
    <n v="158.4"/>
    <s v="EUR"/>
    <m/>
    <m/>
    <x v="4"/>
    <n v="0"/>
    <x v="0"/>
    <x v="2"/>
    <n v="480"/>
    <n v="0.76166666666666671"/>
    <n v="365.6"/>
    <n v="-20.293761467889912"/>
    <n v="345.30623853211011"/>
    <x v="4"/>
    <n v="0"/>
    <m/>
    <s v="F079881"/>
    <n v="40.924000000000007"/>
    <m/>
    <n v="9.6"/>
    <m/>
    <n v="50.524000000000008"/>
    <n v="294.78223853211011"/>
    <m/>
    <n v="480"/>
  </r>
  <r>
    <n v="7"/>
    <n v="2024"/>
    <s v="Auction"/>
    <s v="VROLIJK BLOEMEN"/>
    <s v="VROLIJK BLOEMEN"/>
    <x v="18"/>
    <s v="Grandiflora Roses"/>
    <s v="100CM"/>
    <n v="1"/>
    <n v="12"/>
    <n v="240"/>
    <n v="0.47"/>
    <n v="112.8"/>
    <s v="EUR"/>
    <m/>
    <m/>
    <x v="4"/>
    <n v="0"/>
    <x v="0"/>
    <x v="4"/>
    <n v="240"/>
    <n v="0.86"/>
    <n v="206.4"/>
    <n v="-10.146880733944956"/>
    <n v="196.25311926605505"/>
    <x v="4"/>
    <n v="0"/>
    <m/>
    <s v="F079881"/>
    <n v="40.924000000000007"/>
    <m/>
    <n v="4.8"/>
    <m/>
    <n v="45.724000000000004"/>
    <n v="150.52911926605503"/>
    <m/>
    <n v="240"/>
  </r>
  <r>
    <n v="7"/>
    <n v="2024"/>
    <s v="Auction"/>
    <s v="VROLIJK BLOEMEN"/>
    <s v="VROLIJK BLOEMEN"/>
    <x v="18"/>
    <s v="Grandiflora Roses"/>
    <s v="60CM"/>
    <n v="1"/>
    <n v="12"/>
    <n v="680"/>
    <n v="0.24"/>
    <n v="163.19999999999999"/>
    <s v="EUR"/>
    <m/>
    <m/>
    <x v="4"/>
    <n v="0"/>
    <x v="0"/>
    <x v="0"/>
    <n v="680"/>
    <n v="0.40352941176470586"/>
    <n v="274.39999999999998"/>
    <n v="-28.749495412844041"/>
    <n v="245.65050458715592"/>
    <x v="4"/>
    <n v="0"/>
    <m/>
    <s v="F079881"/>
    <n v="40.924000000000007"/>
    <m/>
    <n v="13.6"/>
    <m/>
    <n v="54.524000000000008"/>
    <n v="191.12650458715592"/>
    <m/>
    <n v="680"/>
  </r>
  <r>
    <n v="7"/>
    <n v="2024"/>
    <s v="Auction"/>
    <s v="VROLIJK BLOEMEN"/>
    <s v="VROLIJK BLOEMEN"/>
    <x v="18"/>
    <s v="Grandiflora Roses"/>
    <s v="70CM"/>
    <n v="1"/>
    <n v="12"/>
    <n v="520"/>
    <n v="0.28000000000000003"/>
    <n v="145.6"/>
    <s v="EUR"/>
    <m/>
    <m/>
    <x v="4"/>
    <n v="0"/>
    <x v="0"/>
    <x v="1"/>
    <n v="520"/>
    <n v="0.6892307692307692"/>
    <n v="358.4"/>
    <n v="-21.984908256880736"/>
    <n v="336.41509174311926"/>
    <x v="4"/>
    <n v="0"/>
    <m/>
    <s v="F079881"/>
    <n v="40.924000000000007"/>
    <m/>
    <n v="10.4"/>
    <m/>
    <n v="51.324000000000005"/>
    <n v="285.09109174311925"/>
    <m/>
    <n v="520"/>
  </r>
  <r>
    <n v="7"/>
    <n v="2024"/>
    <s v="Auction"/>
    <s v="VROLIJK BLOEMEN"/>
    <s v="VROLIJK BLOEMEN"/>
    <x v="18"/>
    <s v="Grandiflora Roses"/>
    <s v="90CM"/>
    <n v="1"/>
    <n v="4.3636363636363633"/>
    <n v="160"/>
    <n v="0.38"/>
    <n v="60.8"/>
    <s v="EUR"/>
    <m/>
    <m/>
    <x v="4"/>
    <n v="0"/>
    <x v="0"/>
    <x v="3"/>
    <n v="160"/>
    <n v="0.82"/>
    <n v="131.19999999999999"/>
    <n v="-6.7645871559633042"/>
    <n v="124.43541284403669"/>
    <x v="4"/>
    <n v="0"/>
    <m/>
    <s v="F079881"/>
    <n v="14.881454545454545"/>
    <m/>
    <n v="3.2"/>
    <m/>
    <n v="18.081454545454545"/>
    <n v="106.35395829858214"/>
    <m/>
    <n v="160"/>
  </r>
  <r>
    <n v="7"/>
    <n v="2024"/>
    <s v="Auction"/>
    <s v="VROLIJK BLOEMEN"/>
    <s v="VROLIJK BLOEMEN"/>
    <x v="18"/>
    <s v="Grandiflora Roses"/>
    <s v="50CM"/>
    <m/>
    <n v="7.6363636363636367"/>
    <n v="280"/>
    <n v="0.14000000000000001"/>
    <n v="39.200000000000003"/>
    <s v="EUR"/>
    <m/>
    <m/>
    <x v="4"/>
    <n v="0"/>
    <x v="0"/>
    <x v="5"/>
    <n v="280"/>
    <n v="0.20428571428571429"/>
    <n v="57.2"/>
    <n v="-11.838027522935782"/>
    <n v="45.361972477064221"/>
    <x v="4"/>
    <n v="0"/>
    <m/>
    <s v="F079881"/>
    <n v="26.042545454545458"/>
    <m/>
    <n v="5.6000000000000005"/>
    <m/>
    <n v="31.642545454545459"/>
    <n v="13.719427022518762"/>
    <m/>
    <n v="280"/>
  </r>
  <r>
    <n v="7"/>
    <n v="2024"/>
    <s v="Auction"/>
    <s v="VROLIJK BLOEMEN"/>
    <s v="VROLIJK BLOEMEN"/>
    <x v="19"/>
    <s v="Grandiflora Roses"/>
    <s v="70CM"/>
    <n v="1"/>
    <n v="12"/>
    <n v="520"/>
    <n v="0.28000000000000003"/>
    <n v="145.6"/>
    <s v="EUR"/>
    <m/>
    <m/>
    <x v="4"/>
    <n v="0"/>
    <x v="0"/>
    <x v="1"/>
    <n v="520"/>
    <n v="0.58000000000000007"/>
    <n v="301.60000000000002"/>
    <n v="-26.42691358024689"/>
    <n v="275.17308641975313"/>
    <x v="4"/>
    <n v="0"/>
    <m/>
    <s v="F080014"/>
    <n v="42.796428571428571"/>
    <m/>
    <n v="10.4"/>
    <m/>
    <n v="53.196428571428569"/>
    <n v="221.97665784832458"/>
    <m/>
    <n v="520"/>
  </r>
  <r>
    <n v="7"/>
    <n v="2024"/>
    <s v="Auction"/>
    <s v="VROLIJK BLOEMEN"/>
    <s v="VROLIJK BLOEMEN"/>
    <x v="19"/>
    <s v="Grandiflora Roses"/>
    <s v="80CM"/>
    <n v="1"/>
    <n v="12"/>
    <n v="440"/>
    <n v="0.33"/>
    <n v="145.19999999999999"/>
    <s v="EUR"/>
    <m/>
    <m/>
    <x v="4"/>
    <n v="0"/>
    <x v="0"/>
    <x v="2"/>
    <n v="440"/>
    <n v="0.70454545454545459"/>
    <n v="310"/>
    <n v="-22.361234567901214"/>
    <n v="287.63876543209881"/>
    <x v="4"/>
    <n v="0"/>
    <m/>
    <s v="F080014"/>
    <n v="42.796428571428571"/>
    <m/>
    <n v="8.8000000000000007"/>
    <m/>
    <n v="51.596428571428575"/>
    <n v="236.04233686067022"/>
    <m/>
    <n v="440"/>
  </r>
  <r>
    <n v="7"/>
    <n v="2024"/>
    <s v="Auction"/>
    <s v="VROLIJK BLOEMEN"/>
    <s v="VROLIJK BLOEMEN"/>
    <x v="19"/>
    <s v="Floribunda Roses"/>
    <s v="50CM"/>
    <n v="1"/>
    <n v="12"/>
    <n v="600"/>
    <n v="0.38"/>
    <n v="228"/>
    <s v="EUR"/>
    <m/>
    <m/>
    <x v="4"/>
    <n v="0"/>
    <x v="2"/>
    <x v="5"/>
    <n v="600"/>
    <n v="0.71799999999999997"/>
    <n v="430.79999999999995"/>
    <n v="-30.492592592592565"/>
    <n v="400.30740740740737"/>
    <x v="4"/>
    <n v="0"/>
    <m/>
    <s v="F080014"/>
    <n v="42.796428571428571"/>
    <m/>
    <n v="12"/>
    <m/>
    <n v="54.796428571428571"/>
    <n v="345.51097883597879"/>
    <m/>
    <n v="600"/>
  </r>
  <r>
    <n v="7"/>
    <n v="2024"/>
    <s v="Auction"/>
    <s v="VROLIJK BLOEMEN"/>
    <s v="VROLIJK BLOEMEN"/>
    <x v="19"/>
    <s v="Floribunda Roses"/>
    <s v="60CM"/>
    <n v="1"/>
    <n v="12"/>
    <n v="520"/>
    <n v="0.47"/>
    <n v="244.4"/>
    <s v="EUR"/>
    <m/>
    <m/>
    <x v="4"/>
    <n v="-400"/>
    <x v="2"/>
    <x v="0"/>
    <n v="920"/>
    <n v="0.74869565217391298"/>
    <n v="688.8"/>
    <n v="-46.755308641975269"/>
    <n v="642.04469135802469"/>
    <x v="4"/>
    <n v="400"/>
    <m/>
    <s v="F080014"/>
    <n v="42.796428571428571"/>
    <m/>
    <n v="18.400000000000002"/>
    <m/>
    <n v="61.196428571428569"/>
    <n v="580.84826278659614"/>
    <m/>
    <n v="920"/>
  </r>
  <r>
    <n v="7"/>
    <n v="2024"/>
    <s v="Auction"/>
    <s v="VROLIJK BLOEMEN"/>
    <s v="VROLIJK BLOEMEN"/>
    <x v="19"/>
    <s v="English Roses"/>
    <s v="90CM"/>
    <n v="1"/>
    <n v="12"/>
    <n v="240"/>
    <n v="0.75"/>
    <n v="180"/>
    <s v="EUR"/>
    <m/>
    <m/>
    <x v="4"/>
    <n v="0"/>
    <x v="1"/>
    <x v="3"/>
    <n v="240"/>
    <n v="0.45666666666666667"/>
    <n v="109.6"/>
    <n v="-12.197037037037026"/>
    <n v="97.402962962962974"/>
    <x v="4"/>
    <n v="0"/>
    <m/>
    <s v="F080014"/>
    <n v="42.796428571428571"/>
    <m/>
    <n v="4.8"/>
    <m/>
    <n v="47.596428571428568"/>
    <n v="49.806534391534406"/>
    <m/>
    <n v="240"/>
  </r>
  <r>
    <n v="7"/>
    <n v="2024"/>
    <s v="Auction"/>
    <s v="VROLIJK BLOEMEN"/>
    <s v="VROLIJK BLOEMEN"/>
    <x v="19"/>
    <s v="English Roses"/>
    <s v="100CM"/>
    <n v="2"/>
    <n v="24"/>
    <n v="400"/>
    <n v="0.94"/>
    <n v="376"/>
    <s v="EUR"/>
    <m/>
    <m/>
    <x v="4"/>
    <n v="0"/>
    <x v="1"/>
    <x v="4"/>
    <n v="400"/>
    <n v="0.4"/>
    <n v="160"/>
    <n v="-20.328395061728376"/>
    <n v="139.67160493827163"/>
    <x v="4"/>
    <n v="0"/>
    <m/>
    <s v="F080014"/>
    <n v="85.592857142857142"/>
    <m/>
    <n v="8"/>
    <m/>
    <n v="93.592857142857142"/>
    <n v="46.078747795414486"/>
    <m/>
    <n v="400"/>
  </r>
  <r>
    <n v="7"/>
    <n v="2024"/>
    <s v="Auction"/>
    <s v="VROLIJK BLOEMEN"/>
    <s v="VROLIJK BLOEMEN"/>
    <x v="19"/>
    <s v="English Roses"/>
    <s v="50CM"/>
    <n v="1"/>
    <n v="5.4545454545454541"/>
    <n v="200"/>
    <n v="0.38"/>
    <n v="76"/>
    <s v="EUR"/>
    <m/>
    <m/>
    <x v="4"/>
    <n v="0"/>
    <x v="1"/>
    <x v="5"/>
    <n v="200"/>
    <n v="0.63"/>
    <n v="126"/>
    <n v="-10.164197530864188"/>
    <n v="115.83580246913581"/>
    <x v="4"/>
    <n v="0"/>
    <m/>
    <s v="F080014"/>
    <n v="19.452922077922075"/>
    <m/>
    <n v="4"/>
    <m/>
    <n v="23.452922077922075"/>
    <n v="92.382880391213746"/>
    <m/>
    <n v="200"/>
  </r>
  <r>
    <n v="7"/>
    <n v="2024"/>
    <s v="Auction"/>
    <s v="VROLIJK BLOEMEN"/>
    <s v="VROLIJK BLOEMEN"/>
    <x v="19"/>
    <s v="English Roses"/>
    <s v="60CM"/>
    <m/>
    <n v="6.545454545454545"/>
    <n v="240"/>
    <n v="0.47"/>
    <n v="112.8"/>
    <s v="EUR"/>
    <m/>
    <m/>
    <x v="4"/>
    <n v="0"/>
    <x v="1"/>
    <x v="0"/>
    <n v="240"/>
    <n v="0.80333333333333334"/>
    <n v="192.8"/>
    <n v="-12.197037037037026"/>
    <n v="180.60296296296298"/>
    <x v="4"/>
    <n v="0"/>
    <m/>
    <s v="F080014"/>
    <n v="23.343506493506492"/>
    <m/>
    <n v="4.8"/>
    <m/>
    <n v="28.143506493506493"/>
    <n v="152.45945646945648"/>
    <m/>
    <n v="240"/>
  </r>
  <r>
    <n v="7"/>
    <n v="2024"/>
    <s v="Auction"/>
    <s v="VROLIJK BLOEMEN"/>
    <s v="VROLIJK BLOEMEN"/>
    <x v="19"/>
    <s v="English Roses"/>
    <s v="70CM"/>
    <n v="1"/>
    <n v="5.4545454545454541"/>
    <n v="200"/>
    <n v="0.52"/>
    <n v="104"/>
    <s v="EUR"/>
    <m/>
    <m/>
    <x v="4"/>
    <n v="0"/>
    <x v="1"/>
    <x v="1"/>
    <n v="200"/>
    <n v="0.84"/>
    <n v="168"/>
    <n v="-10.164197530864188"/>
    <n v="157.83580246913581"/>
    <x v="4"/>
    <n v="0"/>
    <m/>
    <s v="F080014"/>
    <n v="19.452922077922075"/>
    <m/>
    <n v="4"/>
    <m/>
    <n v="23.452922077922075"/>
    <n v="134.38288039121375"/>
    <m/>
    <n v="200"/>
  </r>
  <r>
    <n v="7"/>
    <n v="2024"/>
    <s v="Auction"/>
    <s v="VROLIJK BLOEMEN"/>
    <s v="VROLIJK BLOEMEN"/>
    <x v="19"/>
    <s v="English Roses"/>
    <s v="80CM"/>
    <m/>
    <n v="6.545454545454545"/>
    <n v="240"/>
    <n v="0.56999999999999995"/>
    <n v="136.80000000000001"/>
    <s v="EUR"/>
    <m/>
    <m/>
    <x v="4"/>
    <n v="0"/>
    <x v="1"/>
    <x v="2"/>
    <n v="240"/>
    <n v="0.81166666666666676"/>
    <n v="194.8"/>
    <n v="-12.197037037037026"/>
    <n v="182.60296296296298"/>
    <x v="4"/>
    <n v="0"/>
    <m/>
    <s v="F080014"/>
    <n v="23.343506493506492"/>
    <m/>
    <n v="4.8"/>
    <m/>
    <n v="28.143506493506493"/>
    <n v="154.45945646945648"/>
    <m/>
    <n v="240"/>
  </r>
  <r>
    <n v="7"/>
    <n v="2024"/>
    <s v="Auction"/>
    <s v="VROLIJK BLOEMEN"/>
    <s v="VROLIJK BLOEMEN"/>
    <x v="19"/>
    <s v="Floribunda Roses"/>
    <s v="70CM"/>
    <n v="1"/>
    <n v="2.7692307692307692"/>
    <n v="120"/>
    <n v="0.52"/>
    <n v="62.4"/>
    <s v="EUR"/>
    <m/>
    <m/>
    <x v="4"/>
    <n v="0"/>
    <x v="2"/>
    <x v="1"/>
    <n v="120"/>
    <n v="0.8"/>
    <n v="96"/>
    <n v="-6.0985185185185129"/>
    <n v="89.901481481481483"/>
    <x v="4"/>
    <n v="0"/>
    <m/>
    <s v="F080014"/>
    <n v="9.8760989010989011"/>
    <m/>
    <n v="2.4"/>
    <m/>
    <n v="12.276098901098901"/>
    <n v="77.625382580382578"/>
    <m/>
    <n v="120"/>
  </r>
  <r>
    <n v="7"/>
    <n v="2024"/>
    <s v="Auction"/>
    <s v="VROLIJK BLOEMEN"/>
    <s v="VROLIJK BLOEMEN"/>
    <x v="19"/>
    <s v="Floribunda Roses"/>
    <s v="60CM"/>
    <m/>
    <n v="9.2307692307692317"/>
    <n v="400"/>
    <n v="0.47"/>
    <n v="188"/>
    <s v="EUR"/>
    <m/>
    <m/>
    <x v="4"/>
    <n v="400"/>
    <x v="2"/>
    <x v="0"/>
    <m/>
    <m/>
    <n v="0"/>
    <n v="0"/>
    <n v="0"/>
    <x v="4"/>
    <n v="-400"/>
    <m/>
    <s v="F080014"/>
    <n v="32.920329670329672"/>
    <m/>
    <n v="0"/>
    <m/>
    <n v="32.920329670329672"/>
    <n v="-32.920329670329672"/>
    <m/>
    <n v="0"/>
  </r>
  <r>
    <n v="7"/>
    <n v="2024"/>
    <s v="Auction"/>
    <s v="VROLIJK BLOEMEN"/>
    <s v="VROLIJK BLOEMEN"/>
    <x v="19"/>
    <s v="Polyantha Roses"/>
    <s v="50CM"/>
    <n v="1"/>
    <n v="3.2"/>
    <n v="160"/>
    <n v="0.42"/>
    <n v="67.2"/>
    <s v="EUR"/>
    <m/>
    <m/>
    <x v="4"/>
    <n v="0"/>
    <x v="3"/>
    <x v="5"/>
    <n v="160"/>
    <n v="0.45999999999999996"/>
    <n v="73.599999999999994"/>
    <n v="-8.1313580246913517"/>
    <n v="65.468641975308643"/>
    <x v="4"/>
    <n v="0"/>
    <m/>
    <s v="F080014"/>
    <n v="11.412380952380953"/>
    <m/>
    <n v="3.2"/>
    <m/>
    <n v="14.612380952380953"/>
    <n v="50.85626102292769"/>
    <m/>
    <n v="160"/>
  </r>
  <r>
    <n v="7"/>
    <n v="2024"/>
    <s v="Auction"/>
    <s v="VROLIJK BLOEMEN"/>
    <s v="VROLIJK BLOEMEN"/>
    <x v="19"/>
    <s v="Polyantha Roses"/>
    <s v="60CM"/>
    <m/>
    <n v="8.7999999999999989"/>
    <n v="440"/>
    <n v="0.52"/>
    <n v="228.8"/>
    <s v="EUR"/>
    <m/>
    <m/>
    <x v="4"/>
    <n v="0"/>
    <x v="3"/>
    <x v="0"/>
    <n v="440"/>
    <n v="0.61"/>
    <n v="268.39999999999998"/>
    <n v="-22.361234567901214"/>
    <n v="246.03876543209876"/>
    <x v="4"/>
    <n v="0"/>
    <m/>
    <s v="F080014"/>
    <n v="31.384047619047614"/>
    <m/>
    <n v="8.8000000000000007"/>
    <m/>
    <n v="40.184047619047618"/>
    <n v="205.85471781305114"/>
    <m/>
    <n v="440"/>
  </r>
  <r>
    <n v="7"/>
    <n v="2024"/>
    <s v="Auction"/>
    <s v="VROLIJK BLOEMEN"/>
    <s v="VROLIJK BLOEMEN"/>
    <x v="19"/>
    <s v="Grandiflora Roses"/>
    <s v="50CM"/>
    <n v="1"/>
    <n v="6"/>
    <n v="400"/>
    <n v="0.14000000000000001"/>
    <n v="56"/>
    <s v="EUR"/>
    <m/>
    <m/>
    <x v="4"/>
    <n v="0"/>
    <x v="0"/>
    <x v="5"/>
    <n v="400"/>
    <n v="0.34"/>
    <n v="136"/>
    <n v="-20.328395061728376"/>
    <n v="115.67160493827163"/>
    <x v="4"/>
    <n v="0"/>
    <m/>
    <s v="F080014"/>
    <n v="21.398214285714285"/>
    <m/>
    <n v="8"/>
    <m/>
    <n v="29.398214285714285"/>
    <n v="86.273390652557339"/>
    <m/>
    <n v="400"/>
  </r>
  <r>
    <n v="7"/>
    <n v="2024"/>
    <s v="Auction"/>
    <s v="VROLIJK BLOEMEN"/>
    <s v="VROLIJK BLOEMEN"/>
    <x v="19"/>
    <s v="Grandiflora Roses"/>
    <s v="60CM"/>
    <m/>
    <n v="6"/>
    <n v="400"/>
    <n v="0.24"/>
    <n v="96"/>
    <s v="EUR"/>
    <m/>
    <m/>
    <x v="4"/>
    <n v="0"/>
    <x v="0"/>
    <x v="0"/>
    <n v="400"/>
    <n v="0.51700000000000002"/>
    <n v="206.8"/>
    <n v="-20.328395061728376"/>
    <n v="186.47160493827164"/>
    <x v="4"/>
    <n v="0"/>
    <m/>
    <s v="F080014"/>
    <n v="21.398214285714285"/>
    <m/>
    <n v="8"/>
    <m/>
    <n v="29.398214285714285"/>
    <n v="157.07339065255735"/>
    <m/>
    <n v="400"/>
  </r>
  <r>
    <n v="7"/>
    <n v="2024"/>
    <s v="Auction"/>
    <s v="VROLIJK BLOEMEN"/>
    <s v="VROLIJK BLOEMEN"/>
    <x v="19"/>
    <s v="Grandiflora Roses"/>
    <s v="90CM"/>
    <n v="1"/>
    <n v="6"/>
    <n v="200"/>
    <n v="0.38"/>
    <n v="76"/>
    <s v="EUR"/>
    <m/>
    <m/>
    <x v="4"/>
    <n v="0"/>
    <x v="0"/>
    <x v="3"/>
    <n v="200"/>
    <n v="0.73599999999999999"/>
    <n v="147.19999999999999"/>
    <n v="-10.164197530864188"/>
    <n v="137.0358024691358"/>
    <x v="4"/>
    <n v="0"/>
    <m/>
    <s v="F080014"/>
    <n v="21.398214285714285"/>
    <m/>
    <n v="4"/>
    <m/>
    <n v="25.398214285714285"/>
    <n v="111.63758818342151"/>
    <m/>
    <n v="200"/>
  </r>
  <r>
    <n v="7"/>
    <n v="2024"/>
    <s v="Auction"/>
    <s v="VROLIJK BLOEMEN"/>
    <s v="VROLIJK BLOEMEN"/>
    <x v="19"/>
    <s v="Grandiflora Roses"/>
    <s v="100CM"/>
    <m/>
    <n v="6"/>
    <n v="200"/>
    <n v="0.47"/>
    <n v="94"/>
    <s v="EUR"/>
    <m/>
    <m/>
    <x v="4"/>
    <n v="0"/>
    <x v="0"/>
    <x v="4"/>
    <n v="200"/>
    <n v="0.75"/>
    <n v="150"/>
    <n v="-10.164197530864188"/>
    <n v="139.83580246913581"/>
    <x v="4"/>
    <n v="0"/>
    <m/>
    <s v="F080014"/>
    <n v="21.398214285714285"/>
    <m/>
    <n v="4"/>
    <m/>
    <n v="25.398214285714285"/>
    <n v="114.43758818342152"/>
    <m/>
    <n v="200"/>
  </r>
  <r>
    <n v="7"/>
    <n v="2024"/>
    <s v="Auction"/>
    <s v="VROLIJK BLOEMEN"/>
    <s v="VROLIJK BLOEMEN"/>
    <x v="19"/>
    <s v="Moss Roses"/>
    <s v="50CM"/>
    <n v="1"/>
    <n v="4.2857142857142856"/>
    <n v="200"/>
    <n v="0.14000000000000001"/>
    <n v="28"/>
    <s v="EUR"/>
    <m/>
    <m/>
    <x v="4"/>
    <n v="0"/>
    <x v="4"/>
    <x v="5"/>
    <n v="200"/>
    <n v="0.42"/>
    <n v="84"/>
    <n v="-10.164197530864188"/>
    <n v="73.835802469135814"/>
    <x v="4"/>
    <n v="0"/>
    <m/>
    <s v="F080014"/>
    <n v="15.284438775510203"/>
    <m/>
    <n v="4"/>
    <m/>
    <n v="19.284438775510203"/>
    <n v="54.551363693625611"/>
    <m/>
    <n v="200"/>
  </r>
  <r>
    <n v="7"/>
    <n v="2024"/>
    <s v="Auction"/>
    <s v="VROLIJK BLOEMEN"/>
    <s v="VROLIJK BLOEMEN"/>
    <x v="19"/>
    <s v="Moss Roses"/>
    <s v="60CM"/>
    <m/>
    <n v="4.2857142857142856"/>
    <n v="200"/>
    <n v="0.24"/>
    <n v="48"/>
    <s v="EUR"/>
    <m/>
    <m/>
    <x v="4"/>
    <n v="0"/>
    <x v="4"/>
    <x v="0"/>
    <n v="200"/>
    <n v="0.56000000000000005"/>
    <n v="112.00000000000001"/>
    <n v="-10.164197530864188"/>
    <n v="101.83580246913583"/>
    <x v="4"/>
    <n v="0"/>
    <m/>
    <s v="F080014"/>
    <n v="15.284438775510203"/>
    <m/>
    <n v="4"/>
    <m/>
    <n v="19.284438775510203"/>
    <n v="82.551363693625632"/>
    <m/>
    <n v="200"/>
  </r>
  <r>
    <n v="7"/>
    <n v="2024"/>
    <s v="Auction"/>
    <s v="VROLIJK BLOEMEN"/>
    <s v="VROLIJK BLOEMEN"/>
    <x v="19"/>
    <s v="Moss Roses"/>
    <s v="70CM"/>
    <m/>
    <n v="1.7142857142857142"/>
    <n v="80"/>
    <n v="0.28000000000000003"/>
    <n v="22.4"/>
    <s v="EUR"/>
    <m/>
    <m/>
    <x v="4"/>
    <n v="0"/>
    <x v="4"/>
    <x v="1"/>
    <n v="80"/>
    <n v="0.67999999999999994"/>
    <n v="54.399999999999991"/>
    <n v="-4.0656790123456759"/>
    <n v="50.334320987654316"/>
    <x v="4"/>
    <n v="0"/>
    <m/>
    <s v="F080014"/>
    <n v="6.1137755102040812"/>
    <m/>
    <n v="1.6"/>
    <m/>
    <n v="7.7137755102040817"/>
    <n v="42.620545477450236"/>
    <m/>
    <n v="80"/>
  </r>
  <r>
    <n v="7"/>
    <n v="2024"/>
    <s v="Auction"/>
    <s v="VROLIJK BLOEMEN"/>
    <s v="VROLIJK BLOEMEN"/>
    <x v="19"/>
    <s v="Moss Roses"/>
    <s v="80CM"/>
    <m/>
    <n v="1.7142857142857142"/>
    <n v="80"/>
    <n v="0.33"/>
    <n v="26.4"/>
    <s v="EUR"/>
    <m/>
    <m/>
    <x v="4"/>
    <n v="0"/>
    <x v="4"/>
    <x v="2"/>
    <n v="80"/>
    <n v="0.68499999999999994"/>
    <n v="54.8"/>
    <n v="-4.0656790123456759"/>
    <n v="50.734320987654321"/>
    <x v="4"/>
    <n v="0"/>
    <m/>
    <s v="F080014"/>
    <n v="6.1137755102040812"/>
    <m/>
    <n v="1.6"/>
    <m/>
    <n v="7.7137755102040817"/>
    <n v="43.020545477450241"/>
    <m/>
    <n v="80"/>
  </r>
  <r>
    <n v="7"/>
    <n v="2024"/>
    <s v="Auction"/>
    <s v="VROLIJK BLOEMEN"/>
    <s v="VROLIJK BLOEMEN"/>
    <x v="20"/>
    <s v="English Roses"/>
    <s v="50CM"/>
    <n v="1"/>
    <n v="12"/>
    <n v="520"/>
    <n v="0.38"/>
    <n v="197.6"/>
    <s v="EUR"/>
    <m/>
    <m/>
    <x v="3"/>
    <n v="-80"/>
    <x v="1"/>
    <x v="5"/>
    <n v="600"/>
    <n v="0.28266666666666668"/>
    <n v="169.6"/>
    <n v="-26.513176895306891"/>
    <n v="143.08682310469311"/>
    <x v="3"/>
    <n v="80"/>
    <m/>
    <n v="429311"/>
    <n v="38.934166666666663"/>
    <m/>
    <n v="12"/>
    <m/>
    <n v="50.934166666666663"/>
    <n v="92.15265643802644"/>
    <m/>
    <n v="600"/>
  </r>
  <r>
    <n v="7"/>
    <n v="2024"/>
    <s v="Auction"/>
    <s v="VROLIJK BLOEMEN"/>
    <s v="VROLIJK BLOEMEN"/>
    <x v="20"/>
    <s v="English Roses"/>
    <s v="60CM"/>
    <n v="2"/>
    <n v="24"/>
    <n v="960"/>
    <n v="0.47"/>
    <n v="451.2"/>
    <s v="EUR"/>
    <m/>
    <m/>
    <x v="3"/>
    <n v="-160"/>
    <x v="1"/>
    <x v="0"/>
    <n v="1120"/>
    <n v="0.46642857142857153"/>
    <n v="522.40000000000009"/>
    <n v="-49.491263537906192"/>
    <n v="472.90873646209388"/>
    <x v="3"/>
    <n v="160"/>
    <m/>
    <n v="429311"/>
    <n v="77.868333333333325"/>
    <m/>
    <n v="22.400000000000002"/>
    <m/>
    <n v="100.26833333333333"/>
    <n v="372.64040312876057"/>
    <m/>
    <n v="1120"/>
  </r>
  <r>
    <n v="7"/>
    <n v="2024"/>
    <s v="Auction"/>
    <s v="VROLIJK BLOEMEN"/>
    <s v="VROLIJK BLOEMEN"/>
    <x v="20"/>
    <s v="English Roses"/>
    <s v="70CM"/>
    <n v="2"/>
    <n v="24"/>
    <n v="800"/>
    <n v="0.52"/>
    <n v="416"/>
    <s v="EUR"/>
    <m/>
    <m/>
    <x v="3"/>
    <n v="0"/>
    <x v="1"/>
    <x v="1"/>
    <n v="800"/>
    <n v="0.59250000000000003"/>
    <n v="474"/>
    <n v="-35.350902527075853"/>
    <n v="438.64909747292415"/>
    <x v="3"/>
    <n v="0"/>
    <m/>
    <n v="429311"/>
    <n v="77.868333333333325"/>
    <m/>
    <n v="16"/>
    <m/>
    <n v="93.868333333333325"/>
    <n v="344.78076413959081"/>
    <m/>
    <n v="800"/>
  </r>
  <r>
    <n v="7"/>
    <n v="2024"/>
    <s v="Auction"/>
    <s v="VROLIJK BLOEMEN"/>
    <s v="VROLIJK BLOEMEN"/>
    <x v="20"/>
    <s v="English Roses"/>
    <s v="80CM"/>
    <n v="1"/>
    <n v="12"/>
    <n v="320"/>
    <n v="0.56999999999999995"/>
    <n v="182.4"/>
    <s v="EUR"/>
    <m/>
    <m/>
    <x v="3"/>
    <n v="80"/>
    <x v="1"/>
    <x v="2"/>
    <n v="240"/>
    <n v="0.76666666666666672"/>
    <n v="184"/>
    <n v="-10.605270758122757"/>
    <n v="173.39472924187726"/>
    <x v="3"/>
    <n v="-80"/>
    <m/>
    <n v="429311"/>
    <n v="38.934166666666663"/>
    <m/>
    <n v="4.8"/>
    <m/>
    <n v="43.73416666666666"/>
    <n v="129.66056257521061"/>
    <m/>
    <n v="240"/>
  </r>
  <r>
    <n v="7"/>
    <n v="2024"/>
    <s v="Auction"/>
    <s v="VROLIJK BLOEMEN"/>
    <s v="VROLIJK BLOEMEN"/>
    <x v="20"/>
    <s v="English Roses"/>
    <s v="90CM"/>
    <n v="2"/>
    <n v="24"/>
    <n v="480"/>
    <n v="0.75"/>
    <n v="360"/>
    <s v="EUR"/>
    <m/>
    <m/>
    <x v="3"/>
    <n v="0"/>
    <x v="1"/>
    <x v="3"/>
    <n v="480"/>
    <n v="0.59916666666666674"/>
    <n v="287.60000000000002"/>
    <n v="-21.210541516245513"/>
    <n v="266.38945848375454"/>
    <x v="3"/>
    <n v="0"/>
    <m/>
    <n v="429311"/>
    <n v="77.868333333333325"/>
    <m/>
    <n v="9.6"/>
    <m/>
    <n v="87.46833333333332"/>
    <n v="178.92112515042123"/>
    <m/>
    <n v="480"/>
  </r>
  <r>
    <n v="7"/>
    <n v="2024"/>
    <s v="Auction"/>
    <s v="VROLIJK BLOEMEN"/>
    <s v="VROLIJK BLOEMEN"/>
    <x v="20"/>
    <s v="English Roses"/>
    <s v="100CM"/>
    <n v="2"/>
    <n v="24"/>
    <n v="400"/>
    <n v="0.94"/>
    <n v="376"/>
    <s v="EUR"/>
    <m/>
    <m/>
    <x v="3"/>
    <n v="0"/>
    <x v="1"/>
    <x v="4"/>
    <n v="400"/>
    <n v="0.82900000000000007"/>
    <n v="331.6"/>
    <n v="-17.675451263537926"/>
    <n v="313.9245487364621"/>
    <x v="3"/>
    <n v="0"/>
    <m/>
    <n v="429311"/>
    <n v="77.868333333333325"/>
    <m/>
    <n v="8"/>
    <m/>
    <n v="85.868333333333325"/>
    <n v="228.05621540312876"/>
    <m/>
    <n v="400"/>
  </r>
  <r>
    <n v="7"/>
    <n v="2024"/>
    <s v="Auction"/>
    <s v="VROLIJK BLOEMEN"/>
    <s v="VROLIJK BLOEMEN"/>
    <x v="20"/>
    <s v="Floribunda Roses"/>
    <s v="50CM"/>
    <n v="2"/>
    <n v="24"/>
    <n v="1200"/>
    <n v="0.38"/>
    <n v="456"/>
    <s v="EUR"/>
    <m/>
    <m/>
    <x v="3"/>
    <n v="0"/>
    <x v="2"/>
    <x v="5"/>
    <n v="1200"/>
    <n v="0.37033333333333329"/>
    <n v="444.4"/>
    <n v="-53.026353790613783"/>
    <n v="391.37364620938621"/>
    <x v="3"/>
    <n v="0"/>
    <m/>
    <n v="429311"/>
    <n v="77.868333333333325"/>
    <m/>
    <n v="24"/>
    <m/>
    <n v="101.86833333333333"/>
    <n v="289.50531287605287"/>
    <m/>
    <n v="1200"/>
  </r>
  <r>
    <n v="7"/>
    <n v="2024"/>
    <s v="Auction"/>
    <s v="VROLIJK BLOEMEN"/>
    <s v="VROLIJK BLOEMEN"/>
    <x v="20"/>
    <s v="Floribunda Roses"/>
    <s v="60CM"/>
    <n v="2"/>
    <n v="24"/>
    <n v="1040"/>
    <n v="0.47"/>
    <n v="488.8"/>
    <s v="EUR"/>
    <m/>
    <m/>
    <x v="3"/>
    <n v="40"/>
    <x v="2"/>
    <x v="0"/>
    <n v="1000"/>
    <n v="0.71240000000000014"/>
    <n v="712.40000000000009"/>
    <n v="-44.188628158844821"/>
    <n v="668.21137184115526"/>
    <x v="3"/>
    <n v="-40"/>
    <m/>
    <n v="429311"/>
    <n v="77.868333333333325"/>
    <m/>
    <n v="20"/>
    <m/>
    <n v="97.868333333333325"/>
    <n v="570.34303850782192"/>
    <m/>
    <n v="1000"/>
  </r>
  <r>
    <n v="7"/>
    <n v="2024"/>
    <s v="Auction"/>
    <s v="VROLIJK BLOEMEN"/>
    <s v="VROLIJK BLOEMEN"/>
    <x v="20"/>
    <s v="Floribunda Roses"/>
    <s v="70CM"/>
    <n v="1"/>
    <n v="12"/>
    <n v="400"/>
    <n v="0.52"/>
    <n v="208"/>
    <s v="EUR"/>
    <m/>
    <m/>
    <x v="3"/>
    <n v="40"/>
    <x v="2"/>
    <x v="1"/>
    <n v="360"/>
    <n v="0.81"/>
    <n v="291.60000000000002"/>
    <n v="-15.907906137184135"/>
    <n v="275.69209386281591"/>
    <x v="3"/>
    <n v="-40"/>
    <m/>
    <n v="429311"/>
    <n v="38.934166666666663"/>
    <m/>
    <n v="7.2"/>
    <m/>
    <n v="46.134166666666665"/>
    <n v="229.55792719614925"/>
    <m/>
    <n v="360"/>
  </r>
  <r>
    <n v="7"/>
    <n v="2024"/>
    <s v="Auction"/>
    <s v="VROLIJK BLOEMEN"/>
    <s v="VROLIJK BLOEMEN"/>
    <x v="20"/>
    <s v="Floribunda Roses"/>
    <s v="90CM"/>
    <n v="1"/>
    <n v="12"/>
    <n v="240"/>
    <n v="0.75"/>
    <n v="180"/>
    <s v="EUR"/>
    <m/>
    <m/>
    <x v="3"/>
    <n v="-40"/>
    <x v="2"/>
    <x v="3"/>
    <n v="280"/>
    <n v="0.90714285714285714"/>
    <n v="254"/>
    <n v="-12.372815884476548"/>
    <n v="241.62718411552345"/>
    <x v="3"/>
    <n v="40"/>
    <m/>
    <n v="429311"/>
    <n v="38.934166666666663"/>
    <m/>
    <n v="5.6000000000000005"/>
    <m/>
    <n v="44.534166666666664"/>
    <n v="197.09301744885678"/>
    <m/>
    <n v="280"/>
  </r>
  <r>
    <n v="7"/>
    <n v="2024"/>
    <s v="Auction"/>
    <s v="VROLIJK BLOEMEN"/>
    <s v="VROLIJK BLOEMEN"/>
    <x v="20"/>
    <s v="Floribunda Roses"/>
    <s v="60CM"/>
    <n v="1"/>
    <n v="12"/>
    <n v="480"/>
    <n v="0.47"/>
    <n v="225.6"/>
    <s v="EUR"/>
    <m/>
    <m/>
    <x v="3"/>
    <n v="-40"/>
    <x v="2"/>
    <x v="0"/>
    <n v="520"/>
    <n v="0.62"/>
    <n v="322.39999999999998"/>
    <n v="-22.978086642599305"/>
    <n v="299.42191335740068"/>
    <x v="3"/>
    <n v="40"/>
    <m/>
    <n v="429311"/>
    <n v="38.934166666666663"/>
    <m/>
    <n v="10.4"/>
    <m/>
    <n v="49.334166666666661"/>
    <n v="250.08774669073404"/>
    <m/>
    <n v="520"/>
  </r>
  <r>
    <n v="7"/>
    <n v="2024"/>
    <s v="Auction"/>
    <s v="VROLIJK BLOEMEN"/>
    <s v="VROLIJK BLOEMEN"/>
    <x v="20"/>
    <s v="Grandiflora Roses"/>
    <s v="50CM"/>
    <n v="1"/>
    <n v="12"/>
    <n v="880"/>
    <n v="0.14000000000000001"/>
    <n v="123.2"/>
    <s v="EUR"/>
    <m/>
    <m/>
    <x v="3"/>
    <n v="-40"/>
    <x v="0"/>
    <x v="5"/>
    <n v="920"/>
    <n v="0.30652173913043479"/>
    <n v="282"/>
    <n v="-40.653537906137231"/>
    <n v="241.34646209386278"/>
    <x v="3"/>
    <n v="40"/>
    <m/>
    <n v="429311"/>
    <n v="38.934166666666663"/>
    <m/>
    <n v="18.400000000000002"/>
    <m/>
    <n v="57.334166666666661"/>
    <n v="184.01229542719614"/>
    <m/>
    <n v="920"/>
  </r>
  <r>
    <n v="7"/>
    <n v="2024"/>
    <s v="Auction"/>
    <s v="VROLIJK BLOEMEN"/>
    <s v="VROLIJK BLOEMEN"/>
    <x v="20"/>
    <s v="Grandiflora Roses"/>
    <s v="60CM"/>
    <n v="1"/>
    <n v="12"/>
    <n v="720"/>
    <n v="0.24"/>
    <n v="172.8"/>
    <s v="EUR"/>
    <m/>
    <m/>
    <x v="3"/>
    <n v="720"/>
    <x v="0"/>
    <x v="0"/>
    <m/>
    <m/>
    <n v="0"/>
    <n v="0"/>
    <n v="0"/>
    <x v="3"/>
    <n v="-720"/>
    <m/>
    <n v="429311"/>
    <n v="38.934166666666663"/>
    <m/>
    <n v="0"/>
    <m/>
    <n v="38.934166666666663"/>
    <n v="-38.934166666666663"/>
    <m/>
    <n v="0"/>
  </r>
  <r>
    <n v="7"/>
    <n v="2024"/>
    <s v="Auction"/>
    <s v="VROLIJK BLOEMEN"/>
    <s v="VROLIJK BLOEMEN"/>
    <x v="20"/>
    <s v="Grandiflora Roses"/>
    <s v="70CM"/>
    <n v="1"/>
    <n v="12"/>
    <n v="520"/>
    <n v="0.28000000000000003"/>
    <n v="145.6"/>
    <s v="EUR"/>
    <m/>
    <m/>
    <x v="3"/>
    <n v="-80"/>
    <x v="0"/>
    <x v="1"/>
    <n v="600"/>
    <n v="0.61199999999999999"/>
    <n v="367.2"/>
    <n v="-26.513176895306891"/>
    <n v="340.68682310469308"/>
    <x v="3"/>
    <n v="80"/>
    <m/>
    <n v="429311"/>
    <n v="38.934166666666663"/>
    <m/>
    <n v="12"/>
    <m/>
    <n v="50.934166666666663"/>
    <n v="289.75265643802641"/>
    <m/>
    <n v="600"/>
  </r>
  <r>
    <n v="7"/>
    <n v="2024"/>
    <s v="Auction"/>
    <s v="VROLIJK BLOEMEN"/>
    <s v="VROLIJK BLOEMEN"/>
    <x v="20"/>
    <s v="English Roses"/>
    <s v="50CM"/>
    <n v="1"/>
    <n v="2.4000000000000004"/>
    <n v="80"/>
    <n v="0.38"/>
    <n v="30.4"/>
    <s v="EUR"/>
    <m/>
    <m/>
    <x v="3"/>
    <n v="80"/>
    <x v="1"/>
    <x v="5"/>
    <m/>
    <m/>
    <n v="0"/>
    <n v="0"/>
    <n v="0"/>
    <x v="3"/>
    <n v="-80"/>
    <m/>
    <n v="429311"/>
    <n v="7.7868333333333348"/>
    <m/>
    <n v="0"/>
    <m/>
    <n v="7.7868333333333348"/>
    <n v="-7.7868333333333348"/>
    <m/>
    <n v="0"/>
  </r>
  <r>
    <n v="7"/>
    <n v="2024"/>
    <s v="Auction"/>
    <s v="VROLIJK BLOEMEN"/>
    <s v="VROLIJK BLOEMEN"/>
    <x v="20"/>
    <s v="English Roses"/>
    <s v="60CM"/>
    <m/>
    <n v="4.8000000000000007"/>
    <n v="160"/>
    <n v="0.47"/>
    <n v="75.2"/>
    <s v="EUR"/>
    <m/>
    <m/>
    <x v="3"/>
    <n v="160"/>
    <x v="1"/>
    <x v="0"/>
    <m/>
    <m/>
    <n v="0"/>
    <n v="0"/>
    <n v="0"/>
    <x v="3"/>
    <n v="-160"/>
    <m/>
    <n v="429311"/>
    <n v="15.57366666666667"/>
    <m/>
    <n v="0"/>
    <m/>
    <n v="15.57366666666667"/>
    <n v="-15.57366666666667"/>
    <m/>
    <n v="0"/>
  </r>
  <r>
    <n v="7"/>
    <n v="2024"/>
    <s v="Auction"/>
    <s v="VROLIJK BLOEMEN"/>
    <s v="VROLIJK BLOEMEN"/>
    <x v="20"/>
    <s v="English Roses"/>
    <s v="80CM"/>
    <m/>
    <n v="4.8000000000000007"/>
    <n v="160"/>
    <n v="0.56999999999999995"/>
    <n v="91.2"/>
    <s v="EUR"/>
    <m/>
    <m/>
    <x v="3"/>
    <n v="-80"/>
    <x v="1"/>
    <x v="2"/>
    <n v="240"/>
    <n v="0.5033333333333333"/>
    <n v="120.8"/>
    <n v="-10.605270758122757"/>
    <n v="110.19472924187724"/>
    <x v="3"/>
    <n v="80"/>
    <m/>
    <n v="429311"/>
    <n v="15.57366666666667"/>
    <m/>
    <n v="4.8"/>
    <m/>
    <n v="20.373666666666669"/>
    <n v="89.821062575210576"/>
    <m/>
    <n v="240"/>
  </r>
  <r>
    <n v="7"/>
    <n v="2024"/>
    <s v="Auction"/>
    <s v="VROLIJK BLOEMEN"/>
    <s v="VROLIJK BLOEMEN"/>
    <x v="20"/>
    <s v="Grandiflora Roses"/>
    <s v="90CM"/>
    <n v="1"/>
    <n v="4.2857142857142856"/>
    <n v="200"/>
    <n v="0.38"/>
    <n v="76"/>
    <s v="EUR"/>
    <m/>
    <m/>
    <x v="3"/>
    <n v="0"/>
    <x v="0"/>
    <x v="3"/>
    <n v="200"/>
    <n v="0.64800000000000002"/>
    <n v="129.6"/>
    <n v="-8.8377256317689632"/>
    <n v="120.76227436823103"/>
    <x v="3"/>
    <n v="0"/>
    <m/>
    <n v="429311"/>
    <n v="13.905059523809522"/>
    <m/>
    <n v="4"/>
    <m/>
    <n v="17.90505952380952"/>
    <n v="102.85721484442152"/>
    <m/>
    <n v="200"/>
  </r>
  <r>
    <n v="7"/>
    <n v="2024"/>
    <s v="Auction"/>
    <s v="VROLIJK BLOEMEN"/>
    <s v="VROLIJK BLOEMEN"/>
    <x v="20"/>
    <s v="Grandiflora Roses"/>
    <s v="80CM"/>
    <m/>
    <n v="7.7142857142857153"/>
    <n v="360"/>
    <n v="0.33"/>
    <n v="118.8"/>
    <s v="EUR"/>
    <m/>
    <m/>
    <x v="3"/>
    <n v="0"/>
    <x v="0"/>
    <x v="2"/>
    <n v="360"/>
    <n v="0.69222222222222218"/>
    <n v="249.2"/>
    <n v="-15.907906137184135"/>
    <n v="233.29209386281585"/>
    <x v="3"/>
    <n v="0"/>
    <m/>
    <n v="429311"/>
    <n v="25.029107142857143"/>
    <m/>
    <n v="7.2"/>
    <m/>
    <n v="32.229107142857146"/>
    <n v="201.0629867199587"/>
    <m/>
    <n v="360"/>
  </r>
  <r>
    <n v="7"/>
    <n v="2024"/>
    <s v="Auction"/>
    <s v="VROLIJK BLOEMEN"/>
    <s v="VROLIJK BLOEMEN"/>
    <x v="20"/>
    <s v="Grandiflora Roses"/>
    <s v="60CM"/>
    <n v="1"/>
    <n v="10.736842105263158"/>
    <n v="680"/>
    <n v="0.24"/>
    <n v="163.19999999999999"/>
    <s v="EUR"/>
    <m/>
    <m/>
    <x v="3"/>
    <n v="-720"/>
    <x v="0"/>
    <x v="0"/>
    <n v="1400"/>
    <n v="0.42685714285714288"/>
    <n v="597.6"/>
    <n v="-61.864079422382744"/>
    <n v="535.73592057761732"/>
    <x v="3"/>
    <n v="720"/>
    <m/>
    <n v="429311"/>
    <n v="34.835833333333326"/>
    <m/>
    <n v="28"/>
    <m/>
    <n v="62.835833333333326"/>
    <n v="472.90008724428401"/>
    <m/>
    <n v="1400"/>
  </r>
  <r>
    <n v="7"/>
    <n v="2024"/>
    <s v="Auction"/>
    <s v="VROLIJK BLOEMEN"/>
    <s v="VROLIJK BLOEMEN"/>
    <x v="20"/>
    <s v="Grandiflora Roses"/>
    <s v="70CM"/>
    <m/>
    <n v="1.263157894736842"/>
    <n v="80"/>
    <n v="0.28000000000000003"/>
    <n v="22.4"/>
    <s v="EUR"/>
    <m/>
    <m/>
    <x v="3"/>
    <n v="80"/>
    <x v="0"/>
    <x v="1"/>
    <m/>
    <m/>
    <n v="0"/>
    <n v="0"/>
    <n v="0"/>
    <x v="3"/>
    <n v="-80"/>
    <m/>
    <n v="429311"/>
    <n v="4.0983333333333327"/>
    <m/>
    <n v="0"/>
    <m/>
    <n v="4.0983333333333327"/>
    <n v="-4.0983333333333327"/>
    <m/>
    <n v="0"/>
  </r>
  <r>
    <n v="7"/>
    <n v="2024"/>
    <s v="Auction"/>
    <s v="VROLIJK BLOEMEN"/>
    <s v="VROLIJK BLOEMEN"/>
    <x v="20"/>
    <s v="Floribunda Roses"/>
    <s v="90CM"/>
    <n v="1"/>
    <n v="1.3333333333333333"/>
    <n v="40"/>
    <n v="0.75"/>
    <n v="30"/>
    <s v="EUR"/>
    <m/>
    <m/>
    <x v="3"/>
    <n v="40"/>
    <x v="2"/>
    <x v="3"/>
    <m/>
    <m/>
    <n v="0"/>
    <n v="0"/>
    <n v="0"/>
    <x v="3"/>
    <n v="-40"/>
    <m/>
    <n v="429311"/>
    <n v="4.3260185185185183"/>
    <m/>
    <n v="0"/>
    <m/>
    <n v="4.3260185185185183"/>
    <n v="-4.3260185185185183"/>
    <m/>
    <n v="0"/>
  </r>
  <r>
    <n v="7"/>
    <n v="2024"/>
    <s v="Auction"/>
    <s v="VROLIJK BLOEMEN"/>
    <s v="VROLIJK BLOEMEN"/>
    <x v="20"/>
    <s v="Floribunda Roses"/>
    <s v="70CM"/>
    <m/>
    <n v="10.666666666666666"/>
    <n v="320"/>
    <n v="0.52"/>
    <n v="166.4"/>
    <s v="EUR"/>
    <m/>
    <m/>
    <x v="3"/>
    <n v="-40"/>
    <x v="2"/>
    <x v="1"/>
    <n v="360"/>
    <n v="0.7122222222222222"/>
    <n v="256.39999999999998"/>
    <n v="-15.907906137184135"/>
    <n v="240.49209386281584"/>
    <x v="3"/>
    <n v="40"/>
    <m/>
    <n v="429311"/>
    <n v="34.608148148148146"/>
    <m/>
    <n v="7.2"/>
    <m/>
    <n v="41.808148148148149"/>
    <n v="198.68394571466769"/>
    <m/>
    <n v="360"/>
  </r>
  <r>
    <n v="6"/>
    <n v="2024"/>
    <s v="Auction"/>
    <s v="VROLIJK BLOEMEN"/>
    <s v="VROLIJK BLOEMEN"/>
    <x v="21"/>
    <s v="English Roses"/>
    <s v="50CM"/>
    <n v="1"/>
    <n v="12"/>
    <n v="520"/>
    <n v="0.38"/>
    <n v="197.6"/>
    <s v="EUR"/>
    <m/>
    <m/>
    <x v="5"/>
    <n v="-120"/>
    <x v="1"/>
    <x v="5"/>
    <n v="640"/>
    <n v="0.24"/>
    <n v="153.6"/>
    <n v="-28.654482758620674"/>
    <n v="124.94551724137932"/>
    <x v="5"/>
    <n v="120"/>
    <m/>
    <n v="427448"/>
    <n v="39.24666666666667"/>
    <m/>
    <n v="12.8"/>
    <m/>
    <n v="52.046666666666667"/>
    <n v="72.898850574712654"/>
    <m/>
    <n v="640"/>
  </r>
  <r>
    <n v="6"/>
    <n v="2024"/>
    <s v="Auction"/>
    <s v="VROLIJK BLOEMEN"/>
    <s v="VROLIJK BLOEMEN"/>
    <x v="21"/>
    <s v="English Roses"/>
    <s v="60CM"/>
    <n v="1"/>
    <n v="12"/>
    <n v="480"/>
    <n v="0.47"/>
    <n v="225.6"/>
    <s v="EUR"/>
    <m/>
    <m/>
    <x v="5"/>
    <n v="-80"/>
    <x v="1"/>
    <x v="0"/>
    <n v="560"/>
    <n v="0.56999999999999995"/>
    <n v="319.2"/>
    <n v="-25.072672413793089"/>
    <n v="294.12732758620689"/>
    <x v="5"/>
    <n v="80"/>
    <m/>
    <n v="427448"/>
    <n v="39.24666666666667"/>
    <m/>
    <n v="11.200000000000001"/>
    <m/>
    <n v="50.446666666666673"/>
    <n v="243.68066091954023"/>
    <m/>
    <n v="560"/>
  </r>
  <r>
    <n v="6"/>
    <n v="2024"/>
    <s v="Auction"/>
    <s v="VROLIJK BLOEMEN"/>
    <s v="VROLIJK BLOEMEN"/>
    <x v="21"/>
    <s v="English Roses"/>
    <s v="70CM"/>
    <n v="1"/>
    <n v="12"/>
    <n v="360"/>
    <n v="0.52"/>
    <n v="187.2"/>
    <s v="EUR"/>
    <m/>
    <m/>
    <x v="5"/>
    <n v="40"/>
    <x v="1"/>
    <x v="1"/>
    <n v="320"/>
    <n v="0.71250000000000002"/>
    <n v="228"/>
    <n v="-14.327241379310337"/>
    <n v="213.67275862068965"/>
    <x v="5"/>
    <n v="-40"/>
    <m/>
    <n v="427448"/>
    <n v="39.24666666666667"/>
    <m/>
    <n v="6.4"/>
    <m/>
    <n v="45.646666666666668"/>
    <n v="168.02609195402297"/>
    <m/>
    <n v="320"/>
  </r>
  <r>
    <n v="6"/>
    <n v="2024"/>
    <s v="Auction"/>
    <s v="VROLIJK BLOEMEN"/>
    <s v="VROLIJK BLOEMEN"/>
    <x v="21"/>
    <s v="English Roses"/>
    <s v="90CM"/>
    <n v="1"/>
    <n v="12"/>
    <n v="280"/>
    <n v="0.75"/>
    <n v="210"/>
    <s v="EUR"/>
    <m/>
    <m/>
    <x v="5"/>
    <n v="0"/>
    <x v="1"/>
    <x v="3"/>
    <n v="280"/>
    <n v="0.6042857142857142"/>
    <n v="169.2"/>
    <n v="-12.536336206896545"/>
    <n v="156.66366379310344"/>
    <x v="5"/>
    <n v="0"/>
    <m/>
    <n v="427448"/>
    <n v="39.24666666666667"/>
    <m/>
    <n v="5.6000000000000005"/>
    <m/>
    <n v="44.846666666666671"/>
    <n v="111.81699712643677"/>
    <m/>
    <n v="280"/>
  </r>
  <r>
    <n v="6"/>
    <n v="2024"/>
    <s v="Auction"/>
    <s v="VROLIJK BLOEMEN"/>
    <s v="VROLIJK BLOEMEN"/>
    <x v="21"/>
    <s v="Floribunda Roses"/>
    <s v="50CM"/>
    <n v="2"/>
    <n v="24"/>
    <n v="1200"/>
    <n v="0.38"/>
    <n v="456"/>
    <s v="EUR"/>
    <m/>
    <m/>
    <x v="5"/>
    <n v="-480"/>
    <x v="2"/>
    <x v="5"/>
    <n v="1680"/>
    <n v="0.46309523809523812"/>
    <n v="778"/>
    <n v="-75.218017241379272"/>
    <n v="702.78198275862076"/>
    <x v="5"/>
    <n v="480"/>
    <m/>
    <n v="427448"/>
    <n v="78.493333333333339"/>
    <m/>
    <n v="33.6"/>
    <m/>
    <n v="112.09333333333333"/>
    <n v="590.68864942528739"/>
    <m/>
    <n v="1680"/>
  </r>
  <r>
    <n v="6"/>
    <n v="2024"/>
    <s v="Auction"/>
    <s v="VROLIJK BLOEMEN"/>
    <s v="VROLIJK BLOEMEN"/>
    <x v="21"/>
    <s v="Floribunda Roses"/>
    <s v="60CM"/>
    <n v="2"/>
    <n v="24"/>
    <n v="1040"/>
    <n v="0.47"/>
    <n v="488.8"/>
    <s v="EUR"/>
    <m/>
    <m/>
    <x v="5"/>
    <n v="-240"/>
    <x v="2"/>
    <x v="0"/>
    <n v="1280"/>
    <n v="0.64781250000000001"/>
    <n v="829.2"/>
    <n v="-57.308965517241347"/>
    <n v="771.89103448275864"/>
    <x v="5"/>
    <n v="240"/>
    <m/>
    <n v="427448"/>
    <n v="78.493333333333339"/>
    <m/>
    <n v="25.6"/>
    <m/>
    <n v="104.09333333333333"/>
    <n v="667.79770114942528"/>
    <m/>
    <n v="1280"/>
  </r>
  <r>
    <n v="6"/>
    <n v="2024"/>
    <s v="Auction"/>
    <s v="VROLIJK BLOEMEN"/>
    <s v="VROLIJK BLOEMEN"/>
    <x v="21"/>
    <s v="Grandiflora Roses"/>
    <s v="50CM"/>
    <n v="1"/>
    <n v="12"/>
    <n v="800"/>
    <n v="0.14000000000000001"/>
    <n v="112"/>
    <s v="EUR"/>
    <m/>
    <m/>
    <x v="5"/>
    <n v="-560"/>
    <x v="0"/>
    <x v="5"/>
    <n v="1360"/>
    <n v="0.37999999999999995"/>
    <n v="516.79999999999995"/>
    <n v="-60.890775862068928"/>
    <n v="455.90922413793101"/>
    <x v="5"/>
    <n v="560"/>
    <m/>
    <n v="427448"/>
    <n v="39.24666666666667"/>
    <m/>
    <n v="27.2"/>
    <m/>
    <n v="66.446666666666673"/>
    <n v="389.46255747126435"/>
    <m/>
    <n v="1360"/>
  </r>
  <r>
    <n v="6"/>
    <n v="2024"/>
    <s v="Auction"/>
    <s v="VROLIJK BLOEMEN"/>
    <s v="VROLIJK BLOEMEN"/>
    <x v="21"/>
    <s v="Grandiflora Roses"/>
    <s v="60CM"/>
    <n v="1"/>
    <n v="12"/>
    <n v="720"/>
    <n v="0.24"/>
    <n v="172.8"/>
    <s v="EUR"/>
    <m/>
    <m/>
    <x v="5"/>
    <n v="-160"/>
    <x v="0"/>
    <x v="0"/>
    <n v="880"/>
    <n v="0.58909090909090922"/>
    <n v="518.40000000000009"/>
    <n v="-39.39991379310343"/>
    <n v="479.00008620689664"/>
    <x v="5"/>
    <n v="160"/>
    <m/>
    <n v="427448"/>
    <n v="39.24666666666667"/>
    <m/>
    <n v="17.600000000000001"/>
    <m/>
    <n v="56.846666666666671"/>
    <n v="422.15341954022995"/>
    <m/>
    <n v="880"/>
  </r>
  <r>
    <n v="6"/>
    <n v="2024"/>
    <s v="Auction"/>
    <s v="VROLIJK BLOEMEN"/>
    <s v="VROLIJK BLOEMEN"/>
    <x v="21"/>
    <s v="Grandiflora Roses"/>
    <s v="70CM"/>
    <n v="1"/>
    <n v="12"/>
    <n v="600"/>
    <n v="0.28000000000000003"/>
    <n v="168"/>
    <s v="EUR"/>
    <m/>
    <m/>
    <x v="5"/>
    <n v="0"/>
    <x v="0"/>
    <x v="1"/>
    <n v="600"/>
    <n v="0.6186666666666667"/>
    <n v="371.20000000000005"/>
    <n v="-26.863577586206883"/>
    <n v="344.33642241379317"/>
    <x v="5"/>
    <n v="0"/>
    <m/>
    <n v="427448"/>
    <n v="39.24666666666667"/>
    <m/>
    <n v="12"/>
    <m/>
    <n v="51.24666666666667"/>
    <n v="293.0897557471265"/>
    <m/>
    <n v="600"/>
  </r>
  <r>
    <n v="6"/>
    <n v="2024"/>
    <s v="Auction"/>
    <s v="VROLIJK BLOEMEN"/>
    <s v="VROLIJK BLOEMEN"/>
    <x v="21"/>
    <s v="Grandiflora Roses"/>
    <s v="80CM"/>
    <n v="1"/>
    <n v="12"/>
    <n v="360"/>
    <n v="0.33"/>
    <n v="118.8"/>
    <s v="EUR"/>
    <m/>
    <m/>
    <x v="5"/>
    <n v="0"/>
    <x v="0"/>
    <x v="2"/>
    <n v="360"/>
    <n v="0.67333333333333334"/>
    <n v="242.4"/>
    <n v="-16.118146551724127"/>
    <n v="226.28185344827588"/>
    <x v="5"/>
    <n v="0"/>
    <m/>
    <n v="427448"/>
    <n v="39.24666666666667"/>
    <m/>
    <n v="7.2"/>
    <m/>
    <n v="46.446666666666673"/>
    <n v="179.8351867816092"/>
    <m/>
    <n v="360"/>
  </r>
  <r>
    <n v="6"/>
    <n v="2024"/>
    <s v="Auction"/>
    <s v="VROLIJK BLOEMEN"/>
    <s v="VROLIJK BLOEMEN"/>
    <x v="21"/>
    <s v="Floribunda Roses"/>
    <s v="60CM"/>
    <n v="1"/>
    <n v="4.666666666666667"/>
    <n v="280"/>
    <n v="0.47"/>
    <n v="131.6"/>
    <s v="EUR"/>
    <m/>
    <m/>
    <x v="5"/>
    <n v="280"/>
    <x v="2"/>
    <x v="0"/>
    <m/>
    <m/>
    <n v="0"/>
    <n v="0"/>
    <n v="0"/>
    <x v="5"/>
    <n v="-280"/>
    <m/>
    <n v="427448"/>
    <n v="15.262592592592595"/>
    <m/>
    <n v="0"/>
    <m/>
    <n v="15.262592592592595"/>
    <n v="-15.262592592592595"/>
    <m/>
    <n v="0"/>
  </r>
  <r>
    <n v="6"/>
    <n v="2024"/>
    <s v="Auction"/>
    <s v="VROLIJK BLOEMEN"/>
    <s v="VROLIJK BLOEMEN"/>
    <x v="21"/>
    <s v="Floribunda Roses"/>
    <s v="50CM"/>
    <m/>
    <n v="7.3333333333333339"/>
    <n v="440"/>
    <n v="0.38"/>
    <n v="167.2"/>
    <s v="EUR"/>
    <m/>
    <m/>
    <x v="5"/>
    <n v="440"/>
    <x v="2"/>
    <x v="5"/>
    <m/>
    <m/>
    <n v="0"/>
    <n v="0"/>
    <n v="0"/>
    <x v="5"/>
    <n v="-440"/>
    <m/>
    <n v="427448"/>
    <n v="23.98407407407408"/>
    <m/>
    <n v="0"/>
    <m/>
    <n v="23.98407407407408"/>
    <n v="-23.98407407407408"/>
    <m/>
    <n v="0"/>
  </r>
  <r>
    <n v="6"/>
    <n v="2024"/>
    <s v="Auction"/>
    <s v="VROLIJK BLOEMEN"/>
    <s v="VROLIJK BLOEMEN"/>
    <x v="21"/>
    <s v="Grandiflora Roses"/>
    <s v="90CM"/>
    <n v="1"/>
    <n v="4.3636363636363633"/>
    <n v="160"/>
    <n v="0.38"/>
    <n v="60.8"/>
    <s v="EUR"/>
    <m/>
    <m/>
    <x v="5"/>
    <n v="-120"/>
    <x v="0"/>
    <x v="3"/>
    <n v="280"/>
    <n v="0.69142857142857139"/>
    <n v="193.6"/>
    <n v="-12.536336206896545"/>
    <n v="181.06366379310344"/>
    <x v="5"/>
    <n v="120"/>
    <m/>
    <n v="427448"/>
    <n v="14.271515151515151"/>
    <m/>
    <n v="5.6000000000000005"/>
    <m/>
    <n v="19.871515151515151"/>
    <n v="161.19214864158829"/>
    <m/>
    <n v="280"/>
  </r>
  <r>
    <n v="6"/>
    <n v="2024"/>
    <s v="Auction"/>
    <s v="VROLIJK BLOEMEN"/>
    <s v="VROLIJK BLOEMEN"/>
    <x v="21"/>
    <s v="Grandiflora Roses"/>
    <s v="100CM"/>
    <m/>
    <n v="7.6363636363636367"/>
    <n v="280"/>
    <n v="0.47"/>
    <n v="131.6"/>
    <s v="EUR"/>
    <m/>
    <m/>
    <x v="5"/>
    <n v="120"/>
    <x v="0"/>
    <x v="4"/>
    <n v="160"/>
    <n v="0.8125"/>
    <n v="130"/>
    <n v="-7.1636206896551684"/>
    <n v="122.83637931034482"/>
    <x v="5"/>
    <n v="-120"/>
    <m/>
    <n v="427448"/>
    <n v="24.975151515151516"/>
    <m/>
    <n v="3.2"/>
    <m/>
    <n v="28.175151515151516"/>
    <n v="94.661227795193312"/>
    <m/>
    <n v="160"/>
  </r>
  <r>
    <n v="6"/>
    <n v="2024"/>
    <s v="Auction"/>
    <s v="VROLIJK BLOEMEN"/>
    <s v="VROLIJK BLOEMEN"/>
    <x v="21"/>
    <s v="Grandiflora Roses"/>
    <s v="60CM"/>
    <n v="1"/>
    <n v="3.3333333333333335"/>
    <n v="200"/>
    <n v="0.24"/>
    <n v="48"/>
    <s v="EUR"/>
    <m/>
    <m/>
    <x v="5"/>
    <n v="200"/>
    <x v="0"/>
    <x v="0"/>
    <m/>
    <m/>
    <n v="0"/>
    <n v="0"/>
    <n v="0"/>
    <x v="5"/>
    <n v="-200"/>
    <m/>
    <n v="427448"/>
    <n v="10.901851851851854"/>
    <m/>
    <n v="0"/>
    <m/>
    <n v="10.901851851851854"/>
    <n v="-10.901851851851854"/>
    <m/>
    <n v="0"/>
  </r>
  <r>
    <n v="6"/>
    <n v="2024"/>
    <s v="Auction"/>
    <s v="VROLIJK BLOEMEN"/>
    <s v="VROLIJK BLOEMEN"/>
    <x v="21"/>
    <s v="Grandiflora Roses"/>
    <s v="50CM"/>
    <m/>
    <n v="8.6666666666666661"/>
    <n v="520"/>
    <n v="0.14000000000000001"/>
    <n v="72.8"/>
    <s v="EUR"/>
    <m/>
    <m/>
    <x v="5"/>
    <n v="520"/>
    <x v="0"/>
    <x v="5"/>
    <m/>
    <m/>
    <n v="0"/>
    <n v="0"/>
    <n v="0"/>
    <x v="5"/>
    <n v="-520"/>
    <m/>
    <n v="427448"/>
    <n v="28.344814814814814"/>
    <m/>
    <n v="0"/>
    <m/>
    <n v="28.344814814814814"/>
    <n v="-28.344814814814814"/>
    <m/>
    <n v="0"/>
  </r>
  <r>
    <n v="6"/>
    <n v="2024"/>
    <s v="Auction"/>
    <s v="VROLIJK BLOEMEN"/>
    <s v="VROLIJK BLOEMEN"/>
    <x v="21"/>
    <s v="English Roses"/>
    <s v="60CM"/>
    <n v="1"/>
    <n v="1.3333333333333333"/>
    <n v="40"/>
    <n v="0.47"/>
    <n v="18.8"/>
    <s v="EUR"/>
    <m/>
    <m/>
    <x v="5"/>
    <n v="40"/>
    <x v="1"/>
    <x v="0"/>
    <m/>
    <m/>
    <n v="0"/>
    <n v="0"/>
    <n v="0"/>
    <x v="5"/>
    <n v="-40"/>
    <m/>
    <n v="427448"/>
    <n v="4.3607407407407406"/>
    <m/>
    <n v="0"/>
    <m/>
    <n v="4.3607407407407406"/>
    <n v="-4.3607407407407406"/>
    <m/>
    <n v="0"/>
  </r>
  <r>
    <n v="6"/>
    <n v="2024"/>
    <s v="Auction"/>
    <s v="VROLIJK BLOEMEN"/>
    <s v="VROLIJK BLOEMEN"/>
    <x v="21"/>
    <s v="English Roses"/>
    <s v="80CM"/>
    <m/>
    <n v="6.666666666666667"/>
    <n v="200"/>
    <n v="0.56999999999999995"/>
    <n v="114"/>
    <s v="EUR"/>
    <m/>
    <m/>
    <x v="5"/>
    <n v="0"/>
    <x v="1"/>
    <x v="2"/>
    <n v="200"/>
    <n v="0.55799999999999994"/>
    <n v="111.6"/>
    <n v="-8.9545258620689605"/>
    <n v="102.64547413793103"/>
    <x v="5"/>
    <n v="0"/>
    <m/>
    <n v="427448"/>
    <n v="21.803703703703707"/>
    <m/>
    <n v="4"/>
    <m/>
    <n v="25.803703703703707"/>
    <n v="76.841770434227328"/>
    <m/>
    <n v="200"/>
  </r>
  <r>
    <n v="6"/>
    <n v="2024"/>
    <s v="Auction"/>
    <s v="VROLIJK BLOEMEN"/>
    <s v="VROLIJK BLOEMEN"/>
    <x v="21"/>
    <s v="English Roses"/>
    <s v="50CM"/>
    <m/>
    <n v="4"/>
    <n v="120"/>
    <n v="0.38"/>
    <n v="45.6"/>
    <s v="EUR"/>
    <m/>
    <m/>
    <x v="5"/>
    <n v="120"/>
    <x v="1"/>
    <x v="5"/>
    <m/>
    <m/>
    <n v="0"/>
    <n v="0"/>
    <n v="0"/>
    <x v="5"/>
    <n v="-120"/>
    <m/>
    <n v="427448"/>
    <n v="13.082222222222223"/>
    <m/>
    <n v="0"/>
    <m/>
    <n v="13.082222222222223"/>
    <n v="-13.082222222222223"/>
    <m/>
    <n v="0"/>
  </r>
  <r>
    <n v="6"/>
    <n v="2024"/>
    <s v="Auction"/>
    <s v="VROLIJK BLOEMEN"/>
    <s v="VROLIJK BLOEMEN"/>
    <x v="21"/>
    <s v="Polyantha Roses"/>
    <s v="60CM"/>
    <n v="1"/>
    <n v="8"/>
    <n v="240"/>
    <n v="0.52"/>
    <n v="124.8"/>
    <s v="EUR"/>
    <m/>
    <m/>
    <x v="5"/>
    <n v="0"/>
    <x v="3"/>
    <x v="0"/>
    <n v="240"/>
    <n v="0.73166666666666669"/>
    <n v="175.6"/>
    <n v="-10.745431034482753"/>
    <n v="164.85456896551725"/>
    <x v="5"/>
    <n v="0"/>
    <m/>
    <n v="427448"/>
    <n v="26.164444444444445"/>
    <m/>
    <n v="4.8"/>
    <m/>
    <n v="30.964444444444446"/>
    <n v="133.89012452107281"/>
    <m/>
    <n v="240"/>
  </r>
  <r>
    <n v="6"/>
    <n v="2024"/>
    <s v="Auction"/>
    <s v="VROLIJK BLOEMEN"/>
    <s v="VROLIJK BLOEMEN"/>
    <x v="21"/>
    <s v="Polyantha Roses"/>
    <s v="50CM"/>
    <m/>
    <n v="4"/>
    <n v="120"/>
    <n v="0.42"/>
    <n v="50.4"/>
    <s v="EUR"/>
    <m/>
    <m/>
    <x v="5"/>
    <n v="0"/>
    <x v="3"/>
    <x v="5"/>
    <n v="120"/>
    <n v="0.53999999999999992"/>
    <n v="64.8"/>
    <n v="-5.3727155172413763"/>
    <n v="59.427284482758623"/>
    <x v="5"/>
    <n v="0"/>
    <m/>
    <n v="427448"/>
    <n v="13.082222222222223"/>
    <m/>
    <n v="2.4"/>
    <m/>
    <n v="15.482222222222223"/>
    <n v="43.945062260536403"/>
    <m/>
    <n v="120"/>
  </r>
  <r>
    <n v="6"/>
    <n v="2024"/>
    <s v="Auction"/>
    <s v="VROLIJK BLOEMEN"/>
    <s v="VROLIJK BLOEMEN"/>
    <x v="21"/>
    <s v="Floribunda Roses"/>
    <s v="70CM"/>
    <n v="1"/>
    <n v="4.5"/>
    <n v="120"/>
    <n v="0.52"/>
    <n v="62.4"/>
    <s v="EUR"/>
    <m/>
    <m/>
    <x v="5"/>
    <n v="0"/>
    <x v="2"/>
    <x v="1"/>
    <n v="120"/>
    <n v="0.74666666666666659"/>
    <n v="89.6"/>
    <n v="-5.3727155172413763"/>
    <n v="84.22728448275862"/>
    <x v="5"/>
    <n v="0"/>
    <m/>
    <n v="427448"/>
    <n v="14.717500000000001"/>
    <m/>
    <n v="2.4"/>
    <m/>
    <n v="17.1175"/>
    <n v="67.109784482758613"/>
    <m/>
    <n v="120"/>
  </r>
  <r>
    <n v="6"/>
    <n v="2024"/>
    <s v="Auction"/>
    <s v="VROLIJK BLOEMEN"/>
    <s v="VROLIJK BLOEMEN"/>
    <x v="21"/>
    <s v="Floribunda Roses"/>
    <s v="80CM"/>
    <m/>
    <n v="6"/>
    <n v="160"/>
    <n v="0.56999999999999995"/>
    <n v="91.2"/>
    <s v="EUR"/>
    <m/>
    <m/>
    <x v="5"/>
    <n v="0"/>
    <x v="2"/>
    <x v="2"/>
    <n v="160"/>
    <n v="0.97499999999999998"/>
    <n v="156"/>
    <n v="-7.1636206896551684"/>
    <n v="148.83637931034482"/>
    <x v="5"/>
    <n v="0"/>
    <m/>
    <n v="427448"/>
    <n v="19.623333333333335"/>
    <m/>
    <n v="3.2"/>
    <m/>
    <n v="22.823333333333334"/>
    <n v="126.01304597701149"/>
    <m/>
    <n v="160"/>
  </r>
  <r>
    <n v="6"/>
    <n v="2024"/>
    <s v="Auction"/>
    <s v="VROLIJK BLOEMEN"/>
    <s v="VROLIJK BLOEMEN"/>
    <x v="21"/>
    <s v="Floribunda Roses"/>
    <s v="90CM"/>
    <m/>
    <n v="1.5"/>
    <n v="40"/>
    <n v="0.75"/>
    <n v="30"/>
    <s v="EUR"/>
    <m/>
    <m/>
    <x v="5"/>
    <n v="0"/>
    <x v="2"/>
    <x v="3"/>
    <n v="40"/>
    <n v="1.03"/>
    <n v="41.2"/>
    <n v="-1.7909051724137921"/>
    <n v="39.409094827586209"/>
    <x v="5"/>
    <n v="0"/>
    <m/>
    <n v="427448"/>
    <n v="4.9058333333333337"/>
    <m/>
    <n v="0.8"/>
    <m/>
    <n v="5.7058333333333335"/>
    <n v="33.703261494252878"/>
    <m/>
    <n v="40"/>
  </r>
  <r>
    <m/>
    <m/>
    <m/>
    <m/>
    <m/>
    <x v="9"/>
    <s v="English Roses"/>
    <s v="90CM"/>
    <m/>
    <m/>
    <m/>
    <m/>
    <m/>
    <m/>
    <m/>
    <m/>
    <x v="5"/>
    <n v="0"/>
    <x v="1"/>
    <x v="3"/>
    <m/>
    <m/>
    <n v="-5.6"/>
    <n v="-13.85"/>
    <n v="-19.45"/>
    <x v="5"/>
    <n v="0"/>
    <m/>
    <m/>
    <m/>
    <m/>
    <m/>
    <m/>
    <m/>
    <m/>
    <m/>
    <m/>
  </r>
  <r>
    <n v="6"/>
    <n v="2024"/>
    <s v="Auction"/>
    <s v="VROLIJK BLOEMEN"/>
    <s v="VROLIJK BLOEMEN"/>
    <x v="22"/>
    <s v="English Roses"/>
    <s v="50CM"/>
    <n v="1"/>
    <n v="12"/>
    <n v="440"/>
    <n v="0.38"/>
    <n v="167.2"/>
    <s v="EUR"/>
    <m/>
    <m/>
    <x v="5"/>
    <n v="440"/>
    <x v="1"/>
    <x v="5"/>
    <m/>
    <m/>
    <n v="0"/>
    <n v="0"/>
    <n v="0"/>
    <x v="5"/>
    <n v="-440"/>
    <m/>
    <s v="F079545"/>
    <n v="39.69590909090909"/>
    <m/>
    <n v="0"/>
    <m/>
    <n v="39.69590909090909"/>
    <n v="-39.69590909090909"/>
    <m/>
    <n v="0"/>
  </r>
  <r>
    <n v="6"/>
    <n v="2024"/>
    <s v="Auction"/>
    <s v="VROLIJK BLOEMEN"/>
    <s v="VROLIJK BLOEMEN"/>
    <x v="22"/>
    <s v="English Roses"/>
    <s v="50CM"/>
    <n v="1"/>
    <n v="12"/>
    <n v="520"/>
    <n v="0.38"/>
    <n v="197.6"/>
    <s v="EUR"/>
    <m/>
    <m/>
    <x v="5"/>
    <n v="-440"/>
    <x v="1"/>
    <x v="5"/>
    <n v="960"/>
    <n v="0.34583333333333333"/>
    <n v="332"/>
    <n v="-48.757752808988748"/>
    <n v="283.24224719101124"/>
    <x v="5"/>
    <n v="440"/>
    <m/>
    <s v="F079545"/>
    <n v="39.69590909090909"/>
    <m/>
    <n v="19.2"/>
    <m/>
    <n v="58.895909090909086"/>
    <n v="224.34633810010217"/>
    <m/>
    <n v="960"/>
  </r>
  <r>
    <n v="6"/>
    <n v="2024"/>
    <s v="Auction"/>
    <s v="VROLIJK BLOEMEN"/>
    <s v="VROLIJK BLOEMEN"/>
    <x v="22"/>
    <s v="English Roses"/>
    <s v="60CM"/>
    <n v="1"/>
    <n v="12"/>
    <n v="360"/>
    <n v="0.47"/>
    <n v="169.2"/>
    <s v="EUR"/>
    <m/>
    <m/>
    <x v="5"/>
    <n v="160"/>
    <x v="1"/>
    <x v="0"/>
    <n v="200"/>
    <n v="0.66"/>
    <n v="132"/>
    <n v="-10.157865168539322"/>
    <n v="121.84213483146068"/>
    <x v="5"/>
    <n v="-160"/>
    <m/>
    <s v="F079545"/>
    <n v="39.69590909090909"/>
    <m/>
    <n v="4"/>
    <m/>
    <n v="43.69590909090909"/>
    <n v="78.146225740551586"/>
    <m/>
    <n v="200"/>
  </r>
  <r>
    <n v="6"/>
    <n v="2024"/>
    <s v="Auction"/>
    <s v="VROLIJK BLOEMEN"/>
    <s v="VROLIJK BLOEMEN"/>
    <x v="22"/>
    <s v="English Roses"/>
    <s v="70CM"/>
    <n v="1"/>
    <n v="12"/>
    <n v="360"/>
    <n v="0.52"/>
    <n v="187.2"/>
    <s v="EUR"/>
    <m/>
    <m/>
    <x v="5"/>
    <n v="0"/>
    <x v="1"/>
    <x v="1"/>
    <n v="360"/>
    <n v="0.80444444444444452"/>
    <n v="289.60000000000002"/>
    <n v="-18.28415730337078"/>
    <n v="271.31584269662926"/>
    <x v="5"/>
    <n v="0"/>
    <m/>
    <s v="F079545"/>
    <n v="39.69590909090909"/>
    <m/>
    <n v="7.2"/>
    <m/>
    <n v="46.895909090909093"/>
    <n v="224.41993360572016"/>
    <m/>
    <n v="360"/>
  </r>
  <r>
    <n v="6"/>
    <n v="2024"/>
    <s v="Auction"/>
    <s v="VROLIJK BLOEMEN"/>
    <s v="VROLIJK BLOEMEN"/>
    <x v="22"/>
    <s v="English Roses"/>
    <s v="70CM"/>
    <n v="1"/>
    <n v="12"/>
    <n v="400"/>
    <n v="0.52"/>
    <n v="208"/>
    <s v="EUR"/>
    <m/>
    <m/>
    <x v="5"/>
    <n v="400"/>
    <x v="1"/>
    <x v="1"/>
    <m/>
    <m/>
    <n v="0"/>
    <n v="0"/>
    <n v="0"/>
    <x v="5"/>
    <n v="-400"/>
    <m/>
    <s v="F079545"/>
    <n v="39.69590909090909"/>
    <m/>
    <n v="0"/>
    <m/>
    <n v="39.69590909090909"/>
    <n v="-39.69590909090909"/>
    <m/>
    <n v="0"/>
  </r>
  <r>
    <n v="6"/>
    <n v="2024"/>
    <s v="Auction"/>
    <s v="VROLIJK BLOEMEN"/>
    <s v="VROLIJK BLOEMEN"/>
    <x v="22"/>
    <s v="English Roses"/>
    <s v="80CM"/>
    <n v="1"/>
    <n v="12"/>
    <n v="320"/>
    <n v="0.56999999999999995"/>
    <n v="182.4"/>
    <s v="EUR"/>
    <m/>
    <m/>
    <x v="5"/>
    <n v="0"/>
    <x v="1"/>
    <x v="2"/>
    <n v="320"/>
    <n v="0.97"/>
    <n v="310.39999999999998"/>
    <n v="-16.252584269662915"/>
    <n v="294.14741573033706"/>
    <x v="5"/>
    <n v="0"/>
    <m/>
    <s v="F079545"/>
    <n v="39.69590909090909"/>
    <m/>
    <n v="6.4"/>
    <m/>
    <n v="46.095909090909089"/>
    <n v="248.05150663942797"/>
    <m/>
    <n v="320"/>
  </r>
  <r>
    <n v="6"/>
    <n v="2024"/>
    <s v="Auction"/>
    <s v="VROLIJK BLOEMEN"/>
    <s v="VROLIJK BLOEMEN"/>
    <x v="22"/>
    <s v="English Roses"/>
    <s v="90CM"/>
    <n v="1"/>
    <n v="12"/>
    <n v="200"/>
    <n v="0.75"/>
    <n v="150"/>
    <s v="EUR"/>
    <m/>
    <m/>
    <x v="5"/>
    <n v="0"/>
    <x v="1"/>
    <x v="3"/>
    <n v="200"/>
    <n v="0.93200000000000005"/>
    <n v="186.4"/>
    <n v="-10.157865168539322"/>
    <n v="176.24213483146067"/>
    <x v="5"/>
    <n v="0"/>
    <m/>
    <s v="F079545"/>
    <n v="39.69590909090909"/>
    <m/>
    <n v="4"/>
    <m/>
    <n v="43.69590909090909"/>
    <n v="132.54622574055159"/>
    <m/>
    <n v="200"/>
  </r>
  <r>
    <n v="6"/>
    <n v="2024"/>
    <s v="Auction"/>
    <s v="VROLIJK BLOEMEN"/>
    <s v="VROLIJK BLOEMEN"/>
    <x v="22"/>
    <s v="Floribunda Roses"/>
    <s v="50CM"/>
    <n v="1"/>
    <n v="12"/>
    <n v="520"/>
    <n v="0.38"/>
    <n v="197.6"/>
    <s v="EUR"/>
    <m/>
    <m/>
    <x v="5"/>
    <n v="520"/>
    <x v="2"/>
    <x v="5"/>
    <m/>
    <m/>
    <n v="0"/>
    <n v="0"/>
    <n v="0"/>
    <x v="5"/>
    <n v="-520"/>
    <m/>
    <s v="F079545"/>
    <n v="39.69590909090909"/>
    <m/>
    <n v="0"/>
    <m/>
    <n v="39.69590909090909"/>
    <n v="-39.69590909090909"/>
    <m/>
    <n v="0"/>
  </r>
  <r>
    <n v="6"/>
    <n v="2024"/>
    <s v="Auction"/>
    <s v="VROLIJK BLOEMEN"/>
    <s v="VROLIJK BLOEMEN"/>
    <x v="22"/>
    <s v="Floribunda Roses"/>
    <s v="50CM"/>
    <n v="2"/>
    <n v="24"/>
    <n v="1200"/>
    <n v="0.38"/>
    <n v="456"/>
    <s v="EUR"/>
    <m/>
    <m/>
    <x v="5"/>
    <n v="-520"/>
    <x v="2"/>
    <x v="5"/>
    <n v="1720"/>
    <n v="0.283953488372093"/>
    <n v="488.4"/>
    <n v="-75.816948775055693"/>
    <n v="412.58305122494426"/>
    <x v="5"/>
    <n v="520"/>
    <m/>
    <s v="F079545"/>
    <n v="79.391818181818181"/>
    <m/>
    <n v="34.4"/>
    <m/>
    <n v="113.79181818181817"/>
    <n v="298.79123304312611"/>
    <m/>
    <n v="1720"/>
  </r>
  <r>
    <n v="6"/>
    <n v="2024"/>
    <s v="Auction"/>
    <s v="VROLIJK BLOEMEN"/>
    <s v="VROLIJK BLOEMEN"/>
    <x v="22"/>
    <s v="Floribunda Roses"/>
    <s v="60CM"/>
    <n v="1"/>
    <n v="12"/>
    <n v="520"/>
    <n v="0.47"/>
    <n v="244.4"/>
    <s v="EUR"/>
    <m/>
    <m/>
    <x v="5"/>
    <n v="120"/>
    <x v="2"/>
    <x v="0"/>
    <n v="400"/>
    <n v="0.63200000000000001"/>
    <n v="252.8"/>
    <n v="-20.315730337078644"/>
    <n v="232.48426966292138"/>
    <x v="5"/>
    <n v="-120"/>
    <m/>
    <s v="F079545"/>
    <n v="39.69590909090909"/>
    <m/>
    <n v="8"/>
    <m/>
    <n v="47.69590909090909"/>
    <n v="184.78836057201229"/>
    <m/>
    <n v="400"/>
  </r>
  <r>
    <n v="6"/>
    <n v="2024"/>
    <s v="Auction"/>
    <s v="VROLIJK BLOEMEN"/>
    <s v="VROLIJK BLOEMEN"/>
    <x v="22"/>
    <s v="Floribunda Roses"/>
    <s v="70CM"/>
    <n v="1"/>
    <n v="12"/>
    <n v="400"/>
    <n v="0.52"/>
    <n v="208"/>
    <s v="EUR"/>
    <m/>
    <m/>
    <x v="5"/>
    <n v="-160"/>
    <x v="2"/>
    <x v="1"/>
    <n v="560"/>
    <n v="0.9771428571428572"/>
    <n v="547.20000000000005"/>
    <n v="-24.684587973273945"/>
    <n v="522.51541202672615"/>
    <x v="5"/>
    <n v="160"/>
    <m/>
    <s v="F079545"/>
    <n v="39.69590909090909"/>
    <m/>
    <n v="11.200000000000001"/>
    <m/>
    <n v="50.895909090909093"/>
    <n v="471.61950293581708"/>
    <m/>
    <n v="560"/>
  </r>
  <r>
    <n v="6"/>
    <n v="2024"/>
    <s v="Auction"/>
    <s v="VROLIJK BLOEMEN"/>
    <s v="VROLIJK BLOEMEN"/>
    <x v="22"/>
    <s v="Grandiflora Roses"/>
    <s v="50CM"/>
    <n v="1"/>
    <n v="12"/>
    <n v="920"/>
    <n v="0.14000000000000001"/>
    <n v="128.80000000000001"/>
    <s v="EUR"/>
    <m/>
    <m/>
    <x v="5"/>
    <n v="-680"/>
    <x v="0"/>
    <x v="5"/>
    <n v="1600"/>
    <n v="0.21850000000000003"/>
    <n v="349.6"/>
    <n v="-70.527394209354114"/>
    <n v="279.07260579064592"/>
    <x v="5"/>
    <n v="680"/>
    <m/>
    <s v="F079545"/>
    <n v="39.69590909090909"/>
    <m/>
    <n v="32"/>
    <m/>
    <n v="71.695909090909083"/>
    <n v="207.37669669973684"/>
    <m/>
    <n v="1600"/>
  </r>
  <r>
    <n v="6"/>
    <n v="2024"/>
    <s v="Auction"/>
    <s v="VROLIJK BLOEMEN"/>
    <s v="VROLIJK BLOEMEN"/>
    <x v="22"/>
    <s v="Grandiflora Roses"/>
    <s v="60CM"/>
    <n v="2"/>
    <n v="24"/>
    <n v="1440"/>
    <n v="0.24"/>
    <n v="345.6"/>
    <s v="EUR"/>
    <m/>
    <m/>
    <x v="5"/>
    <n v="720"/>
    <x v="0"/>
    <x v="0"/>
    <n v="720"/>
    <n v="0.54"/>
    <n v="388.8"/>
    <n v="-36.568314606741559"/>
    <n v="352.23168539325843"/>
    <x v="5"/>
    <n v="-720"/>
    <m/>
    <s v="F079545"/>
    <n v="79.391818181818181"/>
    <m/>
    <n v="14.4"/>
    <m/>
    <n v="93.791818181818186"/>
    <n v="258.43986721144023"/>
    <m/>
    <n v="720"/>
  </r>
  <r>
    <n v="6"/>
    <n v="2024"/>
    <s v="Auction"/>
    <s v="VROLIJK BLOEMEN"/>
    <s v="VROLIJK BLOEMEN"/>
    <x v="22"/>
    <s v="Grandiflora Roses"/>
    <s v="70CM"/>
    <n v="1"/>
    <n v="12"/>
    <n v="520"/>
    <n v="0.28000000000000003"/>
    <n v="145.6"/>
    <s v="EUR"/>
    <m/>
    <m/>
    <x v="5"/>
    <n v="120"/>
    <x v="0"/>
    <x v="1"/>
    <n v="400"/>
    <n v="0.76"/>
    <n v="304"/>
    <n v="-20.315730337078644"/>
    <n v="283.68426966292134"/>
    <x v="5"/>
    <n v="-120"/>
    <m/>
    <s v="F079545"/>
    <n v="39.69590909090909"/>
    <m/>
    <n v="8"/>
    <m/>
    <n v="47.69590909090909"/>
    <n v="235.98836057201225"/>
    <m/>
    <n v="400"/>
  </r>
  <r>
    <n v="6"/>
    <n v="2024"/>
    <s v="Auction"/>
    <s v="VROLIJK BLOEMEN"/>
    <s v="VROLIJK BLOEMEN"/>
    <x v="22"/>
    <s v="Grandiflora Roses"/>
    <s v="80CM"/>
    <n v="1"/>
    <n v="12"/>
    <n v="440"/>
    <n v="0.33"/>
    <n v="145.19999999999999"/>
    <s v="EUR"/>
    <m/>
    <m/>
    <x v="5"/>
    <n v="-80"/>
    <x v="0"/>
    <x v="2"/>
    <n v="520"/>
    <n v="0.57384615384615378"/>
    <n v="298.39999999999998"/>
    <n v="-22.921403118040089"/>
    <n v="275.4785968819599"/>
    <x v="5"/>
    <n v="80"/>
    <m/>
    <s v="F079545"/>
    <n v="39.69590909090909"/>
    <m/>
    <n v="10.4"/>
    <m/>
    <n v="50.095909090909089"/>
    <n v="225.38268779105081"/>
    <m/>
    <n v="520"/>
  </r>
  <r>
    <n v="6"/>
    <n v="2024"/>
    <s v="Auction"/>
    <s v="VROLIJK BLOEMEN"/>
    <s v="VROLIJK BLOEMEN"/>
    <x v="22"/>
    <s v="Grandiflora Roses"/>
    <s v="90CM"/>
    <n v="1"/>
    <n v="12"/>
    <n v="400"/>
    <n v="0.38"/>
    <n v="152"/>
    <s v="EUR"/>
    <m/>
    <m/>
    <x v="5"/>
    <n v="0"/>
    <x v="0"/>
    <x v="3"/>
    <n v="400"/>
    <n v="0.623"/>
    <n v="249.2"/>
    <n v="-17.631848552338528"/>
    <n v="231.56815144766145"/>
    <x v="5"/>
    <n v="0"/>
    <m/>
    <s v="F079545"/>
    <n v="39.69590909090909"/>
    <m/>
    <n v="8"/>
    <m/>
    <n v="47.69590909090909"/>
    <n v="183.87224235675237"/>
    <m/>
    <n v="400"/>
  </r>
  <r>
    <n v="6"/>
    <n v="2024"/>
    <s v="Auction"/>
    <s v="VROLIJK BLOEMEN"/>
    <s v="VROLIJK BLOEMEN"/>
    <x v="22"/>
    <s v="Floribunda Roses"/>
    <s v="60CM"/>
    <n v="1"/>
    <n v="7.6363636363636367"/>
    <n v="280"/>
    <n v="0.47"/>
    <n v="131.6"/>
    <s v="EUR"/>
    <m/>
    <m/>
    <x v="5"/>
    <n v="-120"/>
    <x v="2"/>
    <x v="0"/>
    <n v="400"/>
    <n v="0.626"/>
    <n v="250.4"/>
    <n v="-17.631848552338528"/>
    <n v="232.76815144766147"/>
    <x v="5"/>
    <n v="120"/>
    <m/>
    <s v="F079545"/>
    <n v="25.26103305785124"/>
    <m/>
    <n v="8"/>
    <m/>
    <n v="33.261033057851236"/>
    <n v="199.50711838981022"/>
    <m/>
    <n v="400"/>
  </r>
  <r>
    <n v="6"/>
    <n v="2024"/>
    <s v="Auction"/>
    <s v="VROLIJK BLOEMEN"/>
    <s v="VROLIJK BLOEMEN"/>
    <x v="22"/>
    <s v="Floribunda Roses"/>
    <s v="70CM"/>
    <m/>
    <n v="4.3636363636363633"/>
    <n v="160"/>
    <n v="0.52"/>
    <n v="83.2"/>
    <s v="EUR"/>
    <m/>
    <m/>
    <x v="5"/>
    <n v="160"/>
    <x v="2"/>
    <x v="1"/>
    <m/>
    <m/>
    <n v="0"/>
    <n v="0"/>
    <n v="0"/>
    <x v="5"/>
    <n v="-160"/>
    <m/>
    <s v="F079545"/>
    <n v="14.434876033057851"/>
    <m/>
    <n v="0"/>
    <m/>
    <n v="14.434876033057851"/>
    <n v="-14.434876033057851"/>
    <m/>
    <n v="0"/>
  </r>
  <r>
    <n v="6"/>
    <n v="2024"/>
    <s v="Auction"/>
    <s v="VROLIJK BLOEMEN"/>
    <s v="VROLIJK BLOEMEN"/>
    <x v="22"/>
    <s v="Grandiflora Roses"/>
    <s v="50CM"/>
    <n v="1"/>
    <n v="10.5"/>
    <n v="560"/>
    <n v="0.14000000000000001"/>
    <n v="78.400000000000006"/>
    <s v="EUR"/>
    <m/>
    <m/>
    <x v="5"/>
    <n v="560"/>
    <x v="0"/>
    <x v="5"/>
    <m/>
    <m/>
    <n v="0"/>
    <n v="0"/>
    <n v="0"/>
    <x v="5"/>
    <n v="-560"/>
    <m/>
    <s v="F079545"/>
    <n v="34.733920454545455"/>
    <m/>
    <n v="0"/>
    <m/>
    <n v="34.733920454545455"/>
    <n v="-34.733920454545455"/>
    <m/>
    <n v="0"/>
  </r>
  <r>
    <n v="6"/>
    <n v="2024"/>
    <s v="Auction"/>
    <s v="VROLIJK BLOEMEN"/>
    <s v="VROLIJK BLOEMEN"/>
    <x v="22"/>
    <s v="Grandiflora Roses"/>
    <s v="100CM"/>
    <m/>
    <n v="1.5"/>
    <n v="80"/>
    <n v="0.47"/>
    <n v="37.6"/>
    <s v="EUR"/>
    <m/>
    <m/>
    <x v="5"/>
    <n v="0"/>
    <x v="0"/>
    <x v="4"/>
    <n v="80"/>
    <n v="0.71"/>
    <n v="56.8"/>
    <n v="-3.5263697104677063"/>
    <n v="53.273630289532292"/>
    <x v="5"/>
    <n v="0"/>
    <m/>
    <s v="F079545"/>
    <n v="4.9619886363636363"/>
    <m/>
    <n v="1.6"/>
    <m/>
    <n v="6.5619886363636368"/>
    <n v="46.711641653168655"/>
    <m/>
    <n v="80"/>
  </r>
  <r>
    <n v="6"/>
    <n v="2024"/>
    <s v="Auction"/>
    <s v="VROLIJK BLOEMEN"/>
    <s v="VROLIJK BLOEMEN"/>
    <x v="22"/>
    <s v="Grandiflora Roses"/>
    <s v="70CM"/>
    <n v="1"/>
    <n v="9.6000000000000014"/>
    <n v="320"/>
    <n v="0.28000000000000003"/>
    <n v="89.6"/>
    <s v="EUR"/>
    <m/>
    <m/>
    <x v="5"/>
    <n v="-320"/>
    <x v="0"/>
    <x v="1"/>
    <n v="640"/>
    <n v="0.52"/>
    <n v="332.8"/>
    <n v="-28.21095768374165"/>
    <n v="304.58904231625837"/>
    <x v="5"/>
    <n v="320"/>
    <m/>
    <s v="F079545"/>
    <n v="31.756727272727275"/>
    <m/>
    <n v="12.8"/>
    <m/>
    <n v="44.556727272727272"/>
    <n v="260.03231504353107"/>
    <m/>
    <n v="640"/>
  </r>
  <r>
    <n v="6"/>
    <n v="2024"/>
    <s v="Auction"/>
    <s v="VROLIJK BLOEMEN"/>
    <s v="VROLIJK BLOEMEN"/>
    <x v="22"/>
    <s v="Grandiflora Roses"/>
    <s v="80CM"/>
    <m/>
    <n v="2.4000000000000004"/>
    <n v="80"/>
    <n v="0.33"/>
    <n v="26.4"/>
    <s v="EUR"/>
    <m/>
    <m/>
    <x v="5"/>
    <n v="80"/>
    <x v="0"/>
    <x v="2"/>
    <m/>
    <m/>
    <n v="0"/>
    <n v="0"/>
    <n v="0"/>
    <x v="5"/>
    <n v="-80"/>
    <m/>
    <s v="F079545"/>
    <n v="7.9391818181818188"/>
    <m/>
    <n v="0"/>
    <m/>
    <n v="7.9391818181818188"/>
    <n v="-7.9391818181818188"/>
    <m/>
    <n v="0"/>
  </r>
  <r>
    <n v="6"/>
    <n v="2024"/>
    <s v="Auction"/>
    <s v="VROLIJK BLOEMEN"/>
    <s v="VROLIJK BLOEMEN"/>
    <x v="22"/>
    <s v="Floribunda Roses"/>
    <s v="90CM"/>
    <n v="1"/>
    <n v="4.8000000000000007"/>
    <n v="80"/>
    <n v="0.75"/>
    <n v="60"/>
    <s v="EUR"/>
    <m/>
    <m/>
    <x v="5"/>
    <n v="0"/>
    <x v="2"/>
    <x v="3"/>
    <n v="80"/>
    <n v="0.98000000000000009"/>
    <n v="78.400000000000006"/>
    <n v="-3.5263697104677063"/>
    <n v="74.873630289532301"/>
    <x v="5"/>
    <n v="0"/>
    <m/>
    <s v="F079545"/>
    <n v="15.878363636363638"/>
    <m/>
    <n v="1.6"/>
    <m/>
    <n v="17.478363636363639"/>
    <n v="57.395266653168662"/>
    <m/>
    <n v="80"/>
  </r>
  <r>
    <n v="6"/>
    <n v="2024"/>
    <s v="Auction"/>
    <s v="VROLIJK BLOEMEN"/>
    <s v="VROLIJK BLOEMEN"/>
    <x v="22"/>
    <s v="Floribunda Roses"/>
    <s v="80CM"/>
    <m/>
    <n v="7.1999999999999993"/>
    <n v="120"/>
    <n v="0.56999999999999995"/>
    <n v="68.400000000000006"/>
    <s v="EUR"/>
    <m/>
    <m/>
    <x v="5"/>
    <n v="0"/>
    <x v="2"/>
    <x v="2"/>
    <n v="120"/>
    <n v="1"/>
    <n v="120"/>
    <n v="-5.2895545657015592"/>
    <n v="114.71044543429844"/>
    <x v="5"/>
    <n v="0"/>
    <m/>
    <s v="F079545"/>
    <n v="23.817545454545453"/>
    <m/>
    <n v="2.4"/>
    <m/>
    <n v="26.217545454545451"/>
    <n v="88.492899979752991"/>
    <m/>
    <n v="120"/>
  </r>
  <r>
    <n v="6"/>
    <n v="2024"/>
    <s v="Auction"/>
    <s v="VROLIJK BLOEMEN"/>
    <s v="VROLIJK BLOEMEN"/>
    <x v="23"/>
    <s v="English Roses"/>
    <s v="50CM"/>
    <n v="2"/>
    <n v="24"/>
    <n v="1040"/>
    <n v="0.38"/>
    <n v="395.2"/>
    <s v="EUR"/>
    <m/>
    <m/>
    <x v="5"/>
    <n v="0"/>
    <x v="1"/>
    <x v="5"/>
    <n v="1040"/>
    <n v="0.49000000000000005"/>
    <n v="509.6"/>
    <n v="-45.842806236080179"/>
    <n v="463.75719376391987"/>
    <x v="5"/>
    <n v="0"/>
    <m/>
    <s v="F079616"/>
    <n v="79.407826086956518"/>
    <m/>
    <n v="20.8"/>
    <m/>
    <n v="100.20782608695652"/>
    <n v="363.54936767696336"/>
    <m/>
    <n v="1040"/>
  </r>
  <r>
    <n v="6"/>
    <n v="2024"/>
    <s v="Auction"/>
    <s v="VROLIJK BLOEMEN"/>
    <s v="VROLIJK BLOEMEN"/>
    <x v="23"/>
    <s v="English Roses"/>
    <s v="60CM"/>
    <n v="2"/>
    <n v="24"/>
    <n v="960"/>
    <n v="0.47"/>
    <n v="451.2"/>
    <s v="EUR"/>
    <m/>
    <m/>
    <x v="5"/>
    <n v="160"/>
    <x v="1"/>
    <x v="0"/>
    <n v="800"/>
    <n v="0.55349999999999999"/>
    <n v="442.8"/>
    <n v="-35.263697104677057"/>
    <n v="407.53630289532293"/>
    <x v="5"/>
    <n v="-160"/>
    <m/>
    <s v="F079616"/>
    <n v="79.407826086956518"/>
    <m/>
    <n v="16"/>
    <m/>
    <n v="95.407826086956518"/>
    <n v="312.12847680836643"/>
    <m/>
    <n v="800"/>
  </r>
  <r>
    <n v="6"/>
    <n v="2024"/>
    <s v="Auction"/>
    <s v="VROLIJK BLOEMEN"/>
    <s v="VROLIJK BLOEMEN"/>
    <x v="23"/>
    <s v="English Roses"/>
    <s v="70CM"/>
    <n v="2"/>
    <n v="24"/>
    <n v="800"/>
    <n v="0.52"/>
    <n v="416"/>
    <s v="EUR"/>
    <m/>
    <m/>
    <x v="5"/>
    <n v="-40"/>
    <x v="1"/>
    <x v="1"/>
    <n v="840"/>
    <n v="0.73000000000000009"/>
    <n v="613.20000000000005"/>
    <n v="-37.026881959910916"/>
    <n v="576.17311804008909"/>
    <x v="5"/>
    <n v="40"/>
    <m/>
    <s v="F079616"/>
    <n v="79.407826086956518"/>
    <m/>
    <n v="16.8"/>
    <m/>
    <n v="96.207826086956516"/>
    <n v="479.96529195313258"/>
    <m/>
    <n v="840"/>
  </r>
  <r>
    <n v="6"/>
    <n v="2024"/>
    <s v="Auction"/>
    <s v="VROLIJK BLOEMEN"/>
    <s v="VROLIJK BLOEMEN"/>
    <x v="23"/>
    <s v="English Roses"/>
    <s v="80CM"/>
    <n v="1"/>
    <n v="12"/>
    <n v="320"/>
    <n v="0.56999999999999995"/>
    <n v="182.4"/>
    <s v="EUR"/>
    <m/>
    <m/>
    <x v="5"/>
    <n v="-80"/>
    <x v="1"/>
    <x v="2"/>
    <n v="400"/>
    <n v="1.01"/>
    <n v="404"/>
    <n v="-17.631848552338528"/>
    <n v="386.36815144766149"/>
    <x v="5"/>
    <n v="80"/>
    <m/>
    <s v="F079616"/>
    <n v="39.703913043478259"/>
    <m/>
    <n v="8"/>
    <m/>
    <n v="47.703913043478259"/>
    <n v="338.66423840418321"/>
    <m/>
    <n v="400"/>
  </r>
  <r>
    <n v="6"/>
    <n v="2024"/>
    <s v="Auction"/>
    <s v="VROLIJK BLOEMEN"/>
    <s v="VROLIJK BLOEMEN"/>
    <x v="23"/>
    <s v="English Roses"/>
    <s v="90CM"/>
    <n v="1"/>
    <n v="12"/>
    <n v="200"/>
    <n v="0.75"/>
    <n v="150"/>
    <s v="EUR"/>
    <m/>
    <m/>
    <x v="5"/>
    <n v="-160"/>
    <x v="1"/>
    <x v="3"/>
    <n v="360"/>
    <n v="1.0088888888888889"/>
    <n v="363.20000000000005"/>
    <n v="-15.868663697104678"/>
    <n v="347.33133630289535"/>
    <x v="5"/>
    <n v="160"/>
    <m/>
    <s v="F079616"/>
    <n v="39.703913043478259"/>
    <m/>
    <n v="7.2"/>
    <m/>
    <n v="46.903913043478262"/>
    <n v="300.42742325941708"/>
    <m/>
    <n v="360"/>
  </r>
  <r>
    <n v="6"/>
    <n v="2024"/>
    <s v="Auction"/>
    <s v="VROLIJK BLOEMEN"/>
    <s v="VROLIJK BLOEMEN"/>
    <x v="23"/>
    <s v="Floribunda Roses"/>
    <s v="50CM"/>
    <n v="3"/>
    <n v="36"/>
    <n v="1800"/>
    <n v="0.38"/>
    <n v="684"/>
    <s v="EUR"/>
    <m/>
    <m/>
    <x v="5"/>
    <n v="-120"/>
    <x v="2"/>
    <x v="5"/>
    <n v="1920"/>
    <n v="0.41083333333333333"/>
    <n v="788.8"/>
    <n v="-84.632873051224948"/>
    <n v="704.16712694877504"/>
    <x v="5"/>
    <n v="120"/>
    <m/>
    <s v="F079616"/>
    <n v="119.11173913043478"/>
    <m/>
    <n v="38.4"/>
    <m/>
    <n v="157.51173913043479"/>
    <n v="546.65538781834027"/>
    <m/>
    <n v="1920"/>
  </r>
  <r>
    <n v="6"/>
    <n v="2024"/>
    <s v="Auction"/>
    <s v="VROLIJK BLOEMEN"/>
    <s v="VROLIJK BLOEMEN"/>
    <x v="23"/>
    <s v="Floribunda Roses"/>
    <s v="90CM"/>
    <n v="1"/>
    <n v="12"/>
    <n v="160"/>
    <n v="0.75"/>
    <n v="120"/>
    <s v="EUR"/>
    <m/>
    <m/>
    <x v="5"/>
    <n v="0"/>
    <x v="2"/>
    <x v="3"/>
    <n v="160"/>
    <n v="0.99"/>
    <n v="158.4"/>
    <n v="-7.0527394209354126"/>
    <n v="151.3472605790646"/>
    <x v="5"/>
    <n v="0"/>
    <m/>
    <s v="F079616"/>
    <n v="39.703913043478259"/>
    <m/>
    <n v="3.2"/>
    <m/>
    <n v="42.903913043478262"/>
    <n v="108.44334753558633"/>
    <m/>
    <n v="160"/>
  </r>
  <r>
    <n v="6"/>
    <n v="2024"/>
    <s v="Auction"/>
    <s v="VROLIJK BLOEMEN"/>
    <s v="VROLIJK BLOEMEN"/>
    <x v="23"/>
    <s v="Floribunda Roses"/>
    <s v="60CM"/>
    <n v="2"/>
    <n v="24"/>
    <n v="1040"/>
    <n v="0.47"/>
    <n v="488.8"/>
    <s v="EUR"/>
    <m/>
    <m/>
    <x v="5"/>
    <n v="360"/>
    <x v="2"/>
    <x v="0"/>
    <n v="680"/>
    <n v="0.71529411764705875"/>
    <n v="486.39999999999992"/>
    <n v="-29.974142538975507"/>
    <n v="456.42585746102441"/>
    <x v="5"/>
    <n v="-360"/>
    <m/>
    <s v="F079616"/>
    <n v="79.407826086956518"/>
    <m/>
    <n v="13.6"/>
    <m/>
    <n v="93.007826086956513"/>
    <n v="363.41803137406788"/>
    <m/>
    <n v="680"/>
  </r>
  <r>
    <n v="6"/>
    <n v="2024"/>
    <s v="Auction"/>
    <s v="VROLIJK BLOEMEN"/>
    <s v="VROLIJK BLOEMEN"/>
    <x v="23"/>
    <s v="Floribunda Roses"/>
    <s v="70CM"/>
    <n v="1"/>
    <n v="12"/>
    <n v="360"/>
    <n v="0.52"/>
    <n v="187.2"/>
    <s v="EUR"/>
    <m/>
    <m/>
    <x v="5"/>
    <n v="0"/>
    <x v="2"/>
    <x v="1"/>
    <n v="360"/>
    <n v="0.99"/>
    <n v="356.4"/>
    <n v="-15.868663697104678"/>
    <n v="340.53133630289528"/>
    <x v="5"/>
    <n v="0"/>
    <m/>
    <s v="F079616"/>
    <n v="39.703913043478259"/>
    <m/>
    <n v="7.2"/>
    <m/>
    <n v="46.903913043478262"/>
    <n v="293.62742325941701"/>
    <m/>
    <n v="360"/>
  </r>
  <r>
    <n v="6"/>
    <n v="2024"/>
    <s v="Auction"/>
    <s v="VROLIJK BLOEMEN"/>
    <s v="VROLIJK BLOEMEN"/>
    <x v="23"/>
    <s v="Grandiflora Roses"/>
    <s v="50CM"/>
    <n v="1"/>
    <n v="12"/>
    <n v="920"/>
    <n v="0.14000000000000001"/>
    <n v="128.80000000000001"/>
    <s v="EUR"/>
    <m/>
    <m/>
    <x v="5"/>
    <n v="80"/>
    <x v="0"/>
    <x v="5"/>
    <n v="840"/>
    <n v="0.31"/>
    <n v="260.39999999999998"/>
    <n v="-37.026881959910916"/>
    <n v="223.37311804008905"/>
    <x v="5"/>
    <n v="-80"/>
    <m/>
    <s v="F079616"/>
    <n v="39.703913043478259"/>
    <m/>
    <n v="16.8"/>
    <m/>
    <n v="56.503913043478263"/>
    <n v="166.86920499661079"/>
    <m/>
    <n v="840"/>
  </r>
  <r>
    <n v="6"/>
    <n v="2024"/>
    <s v="Auction"/>
    <s v="VROLIJK BLOEMEN"/>
    <s v="VROLIJK BLOEMEN"/>
    <x v="23"/>
    <s v="Grandiflora Roses"/>
    <s v="60CM"/>
    <n v="1"/>
    <n v="12"/>
    <n v="800"/>
    <n v="0.24"/>
    <n v="192"/>
    <s v="EUR"/>
    <m/>
    <m/>
    <x v="5"/>
    <n v="-840"/>
    <x v="0"/>
    <x v="0"/>
    <n v="1640"/>
    <n v="0.52"/>
    <n v="852.80000000000007"/>
    <n v="-72.290579064587973"/>
    <n v="780.50942093541209"/>
    <x v="5"/>
    <n v="840"/>
    <m/>
    <s v="F079616"/>
    <n v="39.703913043478259"/>
    <m/>
    <n v="32.799999999999997"/>
    <m/>
    <n v="72.503913043478263"/>
    <n v="708.0055078919338"/>
    <m/>
    <n v="1640"/>
  </r>
  <r>
    <n v="6"/>
    <n v="2024"/>
    <s v="Auction"/>
    <s v="VROLIJK BLOEMEN"/>
    <s v="VROLIJK BLOEMEN"/>
    <x v="23"/>
    <s v="Grandiflora Roses"/>
    <s v="70CM"/>
    <n v="1"/>
    <n v="12"/>
    <n v="520"/>
    <n v="0.28000000000000003"/>
    <n v="145.6"/>
    <s v="EUR"/>
    <m/>
    <m/>
    <x v="5"/>
    <n v="120"/>
    <x v="0"/>
    <x v="1"/>
    <n v="400"/>
    <n v="0.65500000000000003"/>
    <n v="262"/>
    <n v="-17.631848552338528"/>
    <n v="244.36815144766146"/>
    <x v="5"/>
    <n v="-120"/>
    <m/>
    <s v="F079616"/>
    <n v="39.703913043478259"/>
    <m/>
    <n v="8"/>
    <m/>
    <n v="47.703913043478259"/>
    <n v="196.66423840418321"/>
    <m/>
    <n v="400"/>
  </r>
  <r>
    <n v="6"/>
    <n v="2024"/>
    <s v="Auction"/>
    <s v="VROLIJK BLOEMEN"/>
    <s v="VROLIJK BLOEMEN"/>
    <x v="23"/>
    <s v="Floribunda Roses"/>
    <s v="60CM"/>
    <n v="1"/>
    <n v="9.8181818181818183"/>
    <n v="360"/>
    <n v="0.47"/>
    <n v="169.2"/>
    <s v="EUR"/>
    <m/>
    <m/>
    <x v="5"/>
    <n v="-320"/>
    <x v="2"/>
    <x v="0"/>
    <n v="680"/>
    <n v="0.58647058823529419"/>
    <n v="398.80000000000007"/>
    <n v="-29.974142538975507"/>
    <n v="368.82585746102455"/>
    <x v="5"/>
    <n v="320"/>
    <m/>
    <s v="F079616"/>
    <n v="32.485019762845852"/>
    <m/>
    <n v="13.6"/>
    <m/>
    <n v="46.085019762845853"/>
    <n v="322.74083769817872"/>
    <m/>
    <n v="680"/>
  </r>
  <r>
    <n v="6"/>
    <n v="2024"/>
    <s v="Auction"/>
    <s v="VROLIJK BLOEMEN"/>
    <s v="VROLIJK BLOEMEN"/>
    <x v="23"/>
    <s v="Floribunda Roses"/>
    <s v="50CM"/>
    <m/>
    <n v="2.1818181818181817"/>
    <n v="80"/>
    <n v="0.38"/>
    <n v="30.4"/>
    <s v="EUR"/>
    <m/>
    <m/>
    <x v="5"/>
    <n v="80"/>
    <x v="2"/>
    <x v="5"/>
    <m/>
    <m/>
    <n v="0"/>
    <n v="0"/>
    <n v="0"/>
    <x v="5"/>
    <n v="-80"/>
    <m/>
    <s v="F079616"/>
    <n v="7.2188932806324111"/>
    <m/>
    <n v="0"/>
    <m/>
    <n v="7.2188932806324111"/>
    <n v="-7.2188932806324111"/>
    <m/>
    <n v="0"/>
  </r>
  <r>
    <n v="6"/>
    <n v="2024"/>
    <s v="Auction"/>
    <s v="VROLIJK BLOEMEN"/>
    <s v="VROLIJK BLOEMEN"/>
    <x v="23"/>
    <s v="Grandiflora Roses"/>
    <s v="80CM"/>
    <n v="1"/>
    <n v="7.1999999999999993"/>
    <n v="240"/>
    <n v="0.33"/>
    <n v="79.2"/>
    <s v="EUR"/>
    <m/>
    <m/>
    <x v="5"/>
    <n v="0"/>
    <x v="0"/>
    <x v="2"/>
    <n v="240"/>
    <n v="0.65"/>
    <n v="156"/>
    <n v="-10.579109131403118"/>
    <n v="145.42089086859687"/>
    <x v="5"/>
    <n v="0"/>
    <m/>
    <s v="F079616"/>
    <n v="23.822347826086958"/>
    <m/>
    <n v="4.8"/>
    <m/>
    <n v="28.622347826086958"/>
    <n v="116.79854304250992"/>
    <m/>
    <n v="240"/>
  </r>
  <r>
    <n v="6"/>
    <n v="2024"/>
    <s v="Auction"/>
    <s v="VROLIJK BLOEMEN"/>
    <s v="VROLIJK BLOEMEN"/>
    <x v="23"/>
    <s v="Grandiflora Roses"/>
    <s v="100CM"/>
    <m/>
    <n v="4.8000000000000007"/>
    <n v="160"/>
    <n v="0.47"/>
    <n v="75.2"/>
    <s v="EUR"/>
    <m/>
    <m/>
    <x v="5"/>
    <n v="40"/>
    <x v="0"/>
    <x v="4"/>
    <n v="120"/>
    <n v="0.84"/>
    <n v="100.8"/>
    <n v="-5.2895545657015592"/>
    <n v="95.510445434298433"/>
    <x v="5"/>
    <n v="-40"/>
    <m/>
    <s v="F079616"/>
    <n v="15.881565217391309"/>
    <m/>
    <n v="2.4"/>
    <m/>
    <n v="18.281565217391307"/>
    <n v="77.228880216907129"/>
    <m/>
    <n v="120"/>
  </r>
  <r>
    <n v="6"/>
    <n v="2024"/>
    <s v="Auction"/>
    <s v="VROLIJK BLOEMEN"/>
    <s v="VROLIJK BLOEMEN"/>
    <x v="23"/>
    <s v="Grandiflora Roses"/>
    <s v="70CM"/>
    <n v="1"/>
    <n v="3.5999999999999996"/>
    <n v="120"/>
    <n v="0.28000000000000003"/>
    <n v="33.6"/>
    <s v="EUR"/>
    <m/>
    <m/>
    <x v="5"/>
    <n v="120"/>
    <x v="0"/>
    <x v="1"/>
    <m/>
    <m/>
    <n v="0"/>
    <n v="0"/>
    <n v="0"/>
    <x v="5"/>
    <n v="-120"/>
    <m/>
    <s v="F079616"/>
    <n v="11.911173913043479"/>
    <m/>
    <n v="0"/>
    <m/>
    <n v="11.911173913043479"/>
    <n v="-11.911173913043479"/>
    <m/>
    <n v="0"/>
  </r>
  <r>
    <n v="6"/>
    <n v="2024"/>
    <s v="Auction"/>
    <s v="VROLIJK BLOEMEN"/>
    <s v="VROLIJK BLOEMEN"/>
    <x v="23"/>
    <s v="Grandiflora Roses"/>
    <s v="90CM"/>
    <m/>
    <n v="8.3999999999999986"/>
    <n v="280"/>
    <n v="0.38"/>
    <n v="106.4"/>
    <s v="EUR"/>
    <m/>
    <m/>
    <x v="5"/>
    <n v="40"/>
    <x v="0"/>
    <x v="3"/>
    <n v="240"/>
    <n v="0.70666666666666667"/>
    <n v="169.6"/>
    <n v="-10.579109131403118"/>
    <n v="159.02089086859687"/>
    <x v="5"/>
    <n v="-40"/>
    <m/>
    <s v="F079616"/>
    <n v="27.792739130434779"/>
    <m/>
    <n v="4.8"/>
    <m/>
    <n v="32.592739130434779"/>
    <n v="126.42815173816209"/>
    <m/>
    <n v="240"/>
  </r>
  <r>
    <n v="6"/>
    <n v="2024"/>
    <s v="Auction"/>
    <s v="VROLIJK BLOEMEN"/>
    <s v="VROLIJK BLOEMEN"/>
    <x v="23"/>
    <s v="English Roses"/>
    <s v="60CM"/>
    <n v="1"/>
    <n v="7.1999999999999993"/>
    <n v="240"/>
    <n v="0.47"/>
    <n v="112.8"/>
    <s v="EUR"/>
    <m/>
    <m/>
    <x v="5"/>
    <n v="-360"/>
    <x v="1"/>
    <x v="0"/>
    <n v="600"/>
    <n v="0.56999999999999995"/>
    <n v="341.99999999999994"/>
    <n v="-26.447772828507798"/>
    <n v="315.55222717149212"/>
    <x v="5"/>
    <n v="360"/>
    <m/>
    <s v="F079616"/>
    <n v="23.822347826086958"/>
    <m/>
    <n v="12"/>
    <m/>
    <n v="35.822347826086954"/>
    <n v="279.72987934540515"/>
    <m/>
    <n v="600"/>
  </r>
  <r>
    <n v="6"/>
    <n v="2024"/>
    <s v="Auction"/>
    <s v="VROLIJK BLOEMEN"/>
    <s v="VROLIJK BLOEMEN"/>
    <x v="23"/>
    <s v="English Roses"/>
    <s v="70CM"/>
    <m/>
    <n v="4.8000000000000007"/>
    <n v="160"/>
    <n v="0.52"/>
    <n v="83.2"/>
    <s v="EUR"/>
    <m/>
    <m/>
    <x v="5"/>
    <n v="-320"/>
    <x v="1"/>
    <x v="1"/>
    <n v="480"/>
    <n v="0.77083333333333337"/>
    <n v="370"/>
    <n v="-21.158218262806237"/>
    <n v="348.84178173719374"/>
    <x v="5"/>
    <n v="320"/>
    <m/>
    <s v="F079616"/>
    <n v="15.881565217391309"/>
    <m/>
    <n v="9.6"/>
    <m/>
    <n v="25.481565217391307"/>
    <n v="323.36021651980241"/>
    <m/>
    <n v="480"/>
  </r>
  <r>
    <n v="6"/>
    <n v="2024"/>
    <s v="Auction"/>
    <s v="VROLIJK BLOEMEN"/>
    <s v="VROLIJK BLOEMEN"/>
    <x v="23"/>
    <s v="English Roses"/>
    <s v="80CM"/>
    <n v="1"/>
    <n v="3.4285714285714284"/>
    <n v="80"/>
    <n v="0.56999999999999995"/>
    <n v="45.6"/>
    <s v="EUR"/>
    <m/>
    <m/>
    <x v="5"/>
    <n v="80"/>
    <x v="1"/>
    <x v="2"/>
    <m/>
    <m/>
    <n v="0"/>
    <n v="0"/>
    <n v="0"/>
    <x v="5"/>
    <n v="-80"/>
    <m/>
    <s v="F079616"/>
    <n v="11.343975155279503"/>
    <m/>
    <n v="0"/>
    <m/>
    <n v="11.343975155279503"/>
    <n v="-11.343975155279503"/>
    <m/>
    <n v="0"/>
  </r>
  <r>
    <n v="6"/>
    <n v="2024"/>
    <s v="Auction"/>
    <s v="VROLIJK BLOEMEN"/>
    <s v="VROLIJK BLOEMEN"/>
    <x v="23"/>
    <s v="English Roses"/>
    <s v="90CM"/>
    <m/>
    <n v="6.8571428571428568"/>
    <n v="160"/>
    <n v="0.75"/>
    <n v="120"/>
    <s v="EUR"/>
    <m/>
    <m/>
    <x v="5"/>
    <n v="160"/>
    <x v="1"/>
    <x v="3"/>
    <m/>
    <m/>
    <n v="0"/>
    <n v="0"/>
    <n v="0"/>
    <x v="5"/>
    <n v="-160"/>
    <m/>
    <s v="F079616"/>
    <n v="22.687950310559007"/>
    <m/>
    <n v="0"/>
    <m/>
    <n v="22.687950310559007"/>
    <n v="-22.687950310559007"/>
    <m/>
    <n v="0"/>
  </r>
  <r>
    <n v="6"/>
    <n v="2024"/>
    <s v="Auction"/>
    <s v="VROLIJK BLOEMEN"/>
    <s v="VROLIJK BLOEMEN"/>
    <x v="23"/>
    <s v="English Roses"/>
    <s v="100CM"/>
    <m/>
    <n v="1.7142857142857142"/>
    <n v="40"/>
    <n v="0.94"/>
    <n v="37.6"/>
    <s v="EUR"/>
    <m/>
    <m/>
    <x v="5"/>
    <n v="0"/>
    <x v="1"/>
    <x v="4"/>
    <n v="40"/>
    <n v="0.93"/>
    <n v="37.200000000000003"/>
    <n v="-1.7631848552338532"/>
    <n v="35.43681514476615"/>
    <x v="5"/>
    <n v="0"/>
    <m/>
    <s v="F079616"/>
    <n v="5.6719875776397517"/>
    <m/>
    <n v="0.8"/>
    <m/>
    <n v="6.4719875776397515"/>
    <n v="28.964827567126399"/>
    <m/>
    <n v="40"/>
  </r>
  <r>
    <n v="6"/>
    <n v="2024"/>
    <s v="Auction"/>
    <s v="VROLIJK BLOEMEN"/>
    <s v="VROLIJK BLOEMEN"/>
    <x v="24"/>
    <s v="English Roses"/>
    <s v="50CM"/>
    <n v="1"/>
    <n v="12"/>
    <n v="520"/>
    <n v="0.38"/>
    <n v="197.6"/>
    <s v="EUR"/>
    <m/>
    <m/>
    <x v="4"/>
    <n v="-200"/>
    <x v="1"/>
    <x v="5"/>
    <n v="720"/>
    <n v="0.2388888888888889"/>
    <n v="172"/>
    <n v="-28.818352941176489"/>
    <n v="143.1816470588235"/>
    <x v="4"/>
    <n v="200"/>
    <m/>
    <n v="428475"/>
    <n v="38.910909090909094"/>
    <m/>
    <n v="14.4"/>
    <m/>
    <n v="53.310909090909092"/>
    <n v="89.870737967914408"/>
    <m/>
    <n v="720"/>
  </r>
  <r>
    <n v="6"/>
    <n v="2024"/>
    <s v="Auction"/>
    <s v="VROLIJK BLOEMEN"/>
    <s v="VROLIJK BLOEMEN"/>
    <x v="24"/>
    <s v="English Roses"/>
    <s v="60CM"/>
    <n v="1"/>
    <n v="12"/>
    <n v="520"/>
    <n v="0.47"/>
    <n v="244.4"/>
    <s v="EUR"/>
    <m/>
    <m/>
    <x v="4"/>
    <n v="-160"/>
    <x v="1"/>
    <x v="0"/>
    <n v="680"/>
    <n v="0.37294117647058822"/>
    <n v="253.6"/>
    <n v="-27.21733333333335"/>
    <n v="226.38266666666664"/>
    <x v="4"/>
    <n v="160"/>
    <m/>
    <n v="428475"/>
    <n v="38.910909090909094"/>
    <m/>
    <n v="13.6"/>
    <m/>
    <n v="52.510909090909095"/>
    <n v="173.87175757575756"/>
    <m/>
    <n v="680"/>
  </r>
  <r>
    <n v="6"/>
    <n v="2024"/>
    <s v="Auction"/>
    <s v="VROLIJK BLOEMEN"/>
    <s v="VROLIJK BLOEMEN"/>
    <x v="24"/>
    <s v="English Roses"/>
    <s v="70CM"/>
    <n v="1"/>
    <n v="12"/>
    <n v="400"/>
    <n v="0.52"/>
    <n v="208"/>
    <s v="EUR"/>
    <m/>
    <m/>
    <x v="4"/>
    <n v="0"/>
    <x v="1"/>
    <x v="1"/>
    <n v="400"/>
    <n v="0.55799999999999994"/>
    <n v="223.2"/>
    <n v="-16.010196078431381"/>
    <n v="207.1898039215686"/>
    <x v="4"/>
    <n v="0"/>
    <m/>
    <n v="428475"/>
    <n v="38.910909090909094"/>
    <m/>
    <n v="8"/>
    <m/>
    <n v="46.910909090909094"/>
    <n v="160.27889483065951"/>
    <m/>
    <n v="400"/>
  </r>
  <r>
    <n v="6"/>
    <n v="2024"/>
    <s v="Auction"/>
    <s v="VROLIJK BLOEMEN"/>
    <s v="VROLIJK BLOEMEN"/>
    <x v="24"/>
    <s v="English Roses"/>
    <s v="80CM"/>
    <n v="1"/>
    <n v="12"/>
    <n v="320"/>
    <n v="0.56999999999999995"/>
    <n v="182.4"/>
    <s v="EUR"/>
    <m/>
    <m/>
    <x v="4"/>
    <n v="0"/>
    <x v="1"/>
    <x v="2"/>
    <n v="320"/>
    <n v="0.63749999999999996"/>
    <n v="204"/>
    <n v="-12.808156862745104"/>
    <n v="191.19184313725489"/>
    <x v="4"/>
    <n v="0"/>
    <m/>
    <n v="428475"/>
    <n v="38.910909090909094"/>
    <m/>
    <n v="6.4"/>
    <m/>
    <n v="45.310909090909092"/>
    <n v="145.8809340463458"/>
    <m/>
    <n v="320"/>
  </r>
  <r>
    <n v="6"/>
    <n v="2024"/>
    <s v="Auction"/>
    <s v="VROLIJK BLOEMEN"/>
    <s v="VROLIJK BLOEMEN"/>
    <x v="24"/>
    <s v="English Roses"/>
    <s v="100CM"/>
    <n v="1"/>
    <n v="12"/>
    <n v="200"/>
    <n v="0.94"/>
    <n v="188"/>
    <s v="EUR"/>
    <m/>
    <m/>
    <x v="4"/>
    <n v="0"/>
    <x v="1"/>
    <x v="4"/>
    <n v="200"/>
    <n v="0.74199999999999999"/>
    <n v="148.4"/>
    <n v="-8.0050980392156905"/>
    <n v="140.39490196078432"/>
    <x v="4"/>
    <n v="0"/>
    <m/>
    <n v="428475"/>
    <n v="38.910909090909094"/>
    <m/>
    <n v="4"/>
    <m/>
    <n v="42.910909090909094"/>
    <n v="97.483992869875237"/>
    <m/>
    <n v="200"/>
  </r>
  <r>
    <n v="6"/>
    <n v="2024"/>
    <s v="Auction"/>
    <s v="VROLIJK BLOEMEN"/>
    <s v="VROLIJK BLOEMEN"/>
    <x v="24"/>
    <s v="Floribunda Roses"/>
    <s v="50CM"/>
    <n v="2"/>
    <n v="24"/>
    <n v="1200"/>
    <n v="0.38"/>
    <n v="456"/>
    <s v="EUR"/>
    <m/>
    <m/>
    <x v="4"/>
    <n v="80"/>
    <x v="2"/>
    <x v="5"/>
    <n v="1120"/>
    <n v="0.15464285714285714"/>
    <n v="173.2"/>
    <n v="-44.82854901960787"/>
    <n v="128.37145098039213"/>
    <x v="4"/>
    <n v="-80"/>
    <m/>
    <n v="428475"/>
    <n v="77.821818181818188"/>
    <m/>
    <n v="22.400000000000002"/>
    <m/>
    <n v="100.22181818181819"/>
    <n v="28.149632798573933"/>
    <m/>
    <n v="1120"/>
  </r>
  <r>
    <n v="6"/>
    <n v="2024"/>
    <s v="Auction"/>
    <s v="VROLIJK BLOEMEN"/>
    <s v="VROLIJK BLOEMEN"/>
    <x v="24"/>
    <s v="Floribunda Roses"/>
    <s v="50CM"/>
    <n v="2"/>
    <n v="24"/>
    <n v="1040"/>
    <n v="0.38"/>
    <n v="395.2"/>
    <s v="EUR"/>
    <m/>
    <m/>
    <x v="4"/>
    <n v="-120"/>
    <x v="2"/>
    <x v="5"/>
    <n v="1160"/>
    <n v="0.33827586206896548"/>
    <n v="392.4"/>
    <n v="-46.429568627451005"/>
    <n v="345.970431372549"/>
    <x v="4"/>
    <n v="120"/>
    <m/>
    <n v="428475"/>
    <n v="77.821818181818188"/>
    <m/>
    <n v="23.2"/>
    <m/>
    <n v="101.02181818181819"/>
    <n v="244.94861319073081"/>
    <m/>
    <n v="1160"/>
  </r>
  <r>
    <n v="6"/>
    <n v="2024"/>
    <s v="Auction"/>
    <s v="VROLIJK BLOEMEN"/>
    <s v="VROLIJK BLOEMEN"/>
    <x v="24"/>
    <s v="Floribunda Roses"/>
    <s v="60CM"/>
    <n v="2"/>
    <n v="24"/>
    <n v="1040"/>
    <n v="0.47"/>
    <n v="488.8"/>
    <s v="EUR"/>
    <m/>
    <m/>
    <x v="4"/>
    <n v="-240"/>
    <x v="2"/>
    <x v="0"/>
    <n v="1280"/>
    <n v="0.36125000000000002"/>
    <n v="462.40000000000003"/>
    <n v="-51.232627450980416"/>
    <n v="411.1673725490196"/>
    <x v="4"/>
    <n v="240"/>
    <m/>
    <n v="428475"/>
    <n v="77.821818181818188"/>
    <m/>
    <n v="25.6"/>
    <m/>
    <n v="103.4218181818182"/>
    <n v="307.74555436720141"/>
    <m/>
    <n v="1280"/>
  </r>
  <r>
    <n v="6"/>
    <n v="2024"/>
    <s v="Auction"/>
    <s v="VROLIJK BLOEMEN"/>
    <s v="VROLIJK BLOEMEN"/>
    <x v="24"/>
    <s v="Floribunda Roses"/>
    <s v="70CM"/>
    <n v="1"/>
    <n v="12"/>
    <n v="400"/>
    <n v="0.52"/>
    <n v="208"/>
    <s v="EUR"/>
    <m/>
    <m/>
    <x v="4"/>
    <n v="400"/>
    <x v="2"/>
    <x v="1"/>
    <m/>
    <m/>
    <n v="0"/>
    <n v="0"/>
    <n v="0"/>
    <x v="4"/>
    <n v="-400"/>
    <m/>
    <n v="428475"/>
    <n v="38.910909090909094"/>
    <m/>
    <n v="0"/>
    <m/>
    <n v="38.910909090909094"/>
    <n v="-38.910909090909094"/>
    <m/>
    <n v="0"/>
  </r>
  <r>
    <n v="6"/>
    <n v="2024"/>
    <s v="Auction"/>
    <s v="VROLIJK BLOEMEN"/>
    <s v="VROLIJK BLOEMEN"/>
    <x v="24"/>
    <s v="Grandiflora Roses"/>
    <s v="50CM"/>
    <n v="1"/>
    <n v="12"/>
    <n v="800"/>
    <n v="0.14000000000000001"/>
    <n v="112"/>
    <s v="EUR"/>
    <m/>
    <m/>
    <x v="4"/>
    <n v="-40"/>
    <x v="0"/>
    <x v="5"/>
    <n v="840"/>
    <n v="0.27238095238095239"/>
    <n v="228.8"/>
    <n v="-33.621411764705904"/>
    <n v="195.17858823529411"/>
    <x v="4"/>
    <n v="40"/>
    <m/>
    <n v="428475"/>
    <n v="38.910909090909094"/>
    <m/>
    <n v="16.8"/>
    <m/>
    <n v="55.710909090909098"/>
    <n v="139.46767914438502"/>
    <m/>
    <n v="840"/>
  </r>
  <r>
    <n v="6"/>
    <n v="2024"/>
    <s v="Auction"/>
    <s v="VROLIJK BLOEMEN"/>
    <s v="VROLIJK BLOEMEN"/>
    <x v="24"/>
    <s v="Grandiflora Roses"/>
    <s v="60CM"/>
    <n v="1"/>
    <n v="12"/>
    <n v="720"/>
    <n v="0.24"/>
    <n v="172.8"/>
    <s v="EUR"/>
    <m/>
    <m/>
    <x v="4"/>
    <n v="-240"/>
    <x v="0"/>
    <x v="0"/>
    <n v="960"/>
    <n v="0.41000000000000003"/>
    <n v="393.6"/>
    <n v="-38.424470588235316"/>
    <n v="355.17552941176473"/>
    <x v="4"/>
    <n v="240"/>
    <m/>
    <n v="428475"/>
    <n v="38.910909090909094"/>
    <m/>
    <n v="19.2"/>
    <m/>
    <n v="58.11090909090909"/>
    <n v="297.06462032085562"/>
    <m/>
    <n v="960"/>
  </r>
  <r>
    <n v="6"/>
    <n v="2024"/>
    <s v="Auction"/>
    <s v="VROLIJK BLOEMEN"/>
    <s v="VROLIJK BLOEMEN"/>
    <x v="24"/>
    <s v="Grandiflora Roses"/>
    <s v="80CM"/>
    <n v="1"/>
    <n v="12"/>
    <n v="320"/>
    <n v="0.33"/>
    <n v="105.6"/>
    <s v="EUR"/>
    <m/>
    <m/>
    <x v="4"/>
    <n v="0"/>
    <x v="0"/>
    <x v="2"/>
    <n v="320"/>
    <n v="0.75750000000000006"/>
    <n v="242.40000000000003"/>
    <n v="-12.808156862745104"/>
    <n v="229.59184313725493"/>
    <x v="4"/>
    <n v="0"/>
    <m/>
    <n v="428475"/>
    <n v="38.910909090909094"/>
    <m/>
    <n v="6.4"/>
    <m/>
    <n v="45.310909090909092"/>
    <n v="184.28093404634583"/>
    <m/>
    <n v="320"/>
  </r>
  <r>
    <n v="6"/>
    <n v="2024"/>
    <s v="Auction"/>
    <s v="VROLIJK BLOEMEN"/>
    <s v="VROLIJK BLOEMEN"/>
    <x v="24"/>
    <s v="Grandiflora Roses"/>
    <s v="90CM"/>
    <n v="1"/>
    <n v="12"/>
    <n v="320"/>
    <n v="0.38"/>
    <n v="121.6"/>
    <s v="EUR"/>
    <m/>
    <m/>
    <x v="4"/>
    <n v="0"/>
    <x v="0"/>
    <x v="3"/>
    <n v="320"/>
    <n v="0.74"/>
    <n v="236.8"/>
    <n v="-12.808156862745104"/>
    <n v="223.9918431372549"/>
    <x v="4"/>
    <n v="0"/>
    <m/>
    <n v="428475"/>
    <n v="38.910909090909094"/>
    <m/>
    <n v="6.4"/>
    <m/>
    <n v="45.310909090909092"/>
    <n v="178.68093404634581"/>
    <m/>
    <n v="320"/>
  </r>
  <r>
    <n v="6"/>
    <n v="2024"/>
    <s v="Auction"/>
    <s v="VROLIJK BLOEMEN"/>
    <s v="VROLIJK BLOEMEN"/>
    <x v="24"/>
    <s v="Grandiflora Roses"/>
    <s v="100CM"/>
    <n v="1"/>
    <n v="12"/>
    <n v="280"/>
    <n v="0.47"/>
    <n v="131.6"/>
    <s v="EUR"/>
    <m/>
    <m/>
    <x v="4"/>
    <n v="0"/>
    <x v="0"/>
    <x v="4"/>
    <n v="280"/>
    <n v="0.88571428571428568"/>
    <n v="248"/>
    <n v="-11.207137254901967"/>
    <n v="236.79286274509803"/>
    <x v="4"/>
    <n v="0"/>
    <m/>
    <n v="428475"/>
    <n v="38.910909090909094"/>
    <m/>
    <n v="5.6000000000000005"/>
    <m/>
    <n v="44.510909090909095"/>
    <n v="192.28195365418895"/>
    <m/>
    <n v="280"/>
  </r>
  <r>
    <n v="6"/>
    <n v="2024"/>
    <s v="Auction"/>
    <s v="VROLIJK BLOEMEN"/>
    <s v="VROLIJK BLOEMEN"/>
    <x v="24"/>
    <s v="English Roses"/>
    <s v="60CM"/>
    <n v="1"/>
    <n v="6"/>
    <n v="200"/>
    <n v="0.47"/>
    <n v="94"/>
    <s v="EUR"/>
    <m/>
    <m/>
    <x v="4"/>
    <n v="200"/>
    <x v="1"/>
    <x v="0"/>
    <m/>
    <m/>
    <n v="0"/>
    <n v="0"/>
    <n v="0"/>
    <x v="4"/>
    <n v="-200"/>
    <m/>
    <n v="428475"/>
    <n v="19.455454545454547"/>
    <m/>
    <n v="0"/>
    <m/>
    <n v="19.455454545454547"/>
    <n v="-19.455454545454547"/>
    <m/>
    <n v="0"/>
  </r>
  <r>
    <n v="6"/>
    <n v="2024"/>
    <s v="Auction"/>
    <s v="VROLIJK BLOEMEN"/>
    <s v="VROLIJK BLOEMEN"/>
    <x v="24"/>
    <s v="English Roses"/>
    <s v="50CM"/>
    <m/>
    <n v="6"/>
    <n v="200"/>
    <n v="0.38"/>
    <n v="76"/>
    <s v="EUR"/>
    <m/>
    <m/>
    <x v="4"/>
    <n v="200"/>
    <x v="1"/>
    <x v="5"/>
    <m/>
    <m/>
    <n v="0"/>
    <n v="0"/>
    <n v="0"/>
    <x v="4"/>
    <n v="-200"/>
    <m/>
    <n v="428475"/>
    <n v="19.455454545454547"/>
    <m/>
    <n v="0"/>
    <m/>
    <n v="19.455454545454547"/>
    <n v="-19.455454545454547"/>
    <m/>
    <n v="0"/>
  </r>
  <r>
    <n v="6"/>
    <n v="2024"/>
    <s v="Auction"/>
    <s v="VROLIJK BLOEMEN"/>
    <s v="VROLIJK BLOEMEN"/>
    <x v="24"/>
    <s v="Floribunda Roses"/>
    <s v="90CM"/>
    <n v="1"/>
    <n v="4.8000000000000007"/>
    <n v="80"/>
    <n v="0.75"/>
    <n v="60"/>
    <s v="EUR"/>
    <m/>
    <m/>
    <x v="4"/>
    <n v="0"/>
    <x v="2"/>
    <x v="3"/>
    <n v="80"/>
    <n v="0.91999999999999993"/>
    <n v="73.599999999999994"/>
    <n v="-3.202039215686276"/>
    <n v="70.397960784313725"/>
    <x v="4"/>
    <n v="0"/>
    <m/>
    <n v="428475"/>
    <n v="15.564363636363638"/>
    <m/>
    <n v="1.6"/>
    <m/>
    <n v="17.164363636363639"/>
    <n v="53.233597147950086"/>
    <m/>
    <n v="80"/>
  </r>
  <r>
    <n v="6"/>
    <n v="2024"/>
    <s v="Auction"/>
    <s v="VROLIJK BLOEMEN"/>
    <s v="VROLIJK BLOEMEN"/>
    <x v="24"/>
    <s v="Floribunda Roses"/>
    <s v="100CM"/>
    <m/>
    <n v="7.1999999999999993"/>
    <n v="120"/>
    <n v="0.94"/>
    <n v="112.8"/>
    <s v="EUR"/>
    <m/>
    <m/>
    <x v="4"/>
    <n v="0"/>
    <x v="2"/>
    <x v="4"/>
    <n v="120"/>
    <n v="0.95333333333333337"/>
    <n v="114.4"/>
    <n v="-4.8030588235294145"/>
    <n v="109.59694117647059"/>
    <x v="4"/>
    <n v="0"/>
    <m/>
    <n v="428475"/>
    <n v="23.346545454545453"/>
    <m/>
    <n v="2.4"/>
    <m/>
    <n v="25.746545454545451"/>
    <n v="83.850395721925139"/>
    <m/>
    <n v="120"/>
  </r>
  <r>
    <n v="6"/>
    <n v="2024"/>
    <s v="Auction"/>
    <s v="VROLIJK BLOEMEN"/>
    <s v="VROLIJK BLOEMEN"/>
    <x v="24"/>
    <s v="Floribunda Roses"/>
    <s v="60CM"/>
    <n v="1"/>
    <n v="7.6363636363636367"/>
    <n v="280"/>
    <n v="0.47"/>
    <n v="131.6"/>
    <s v="EUR"/>
    <m/>
    <m/>
    <x v="4"/>
    <n v="280"/>
    <x v="2"/>
    <x v="0"/>
    <m/>
    <m/>
    <n v="0"/>
    <n v="0"/>
    <n v="0"/>
    <x v="4"/>
    <n v="-280"/>
    <m/>
    <n v="428475"/>
    <n v="24.761487603305785"/>
    <m/>
    <n v="0"/>
    <m/>
    <n v="24.761487603305785"/>
    <n v="-24.761487603305785"/>
    <m/>
    <n v="0"/>
  </r>
  <r>
    <n v="6"/>
    <n v="2024"/>
    <s v="Auction"/>
    <s v="VROLIJK BLOEMEN"/>
    <s v="VROLIJK BLOEMEN"/>
    <x v="24"/>
    <s v="Floribunda Roses"/>
    <s v="70CM"/>
    <m/>
    <n v="4.3636363636363633"/>
    <n v="160"/>
    <n v="0.52"/>
    <n v="83.2"/>
    <s v="EUR"/>
    <m/>
    <m/>
    <x v="4"/>
    <n v="160"/>
    <x v="2"/>
    <x v="1"/>
    <m/>
    <m/>
    <n v="0"/>
    <n v="0"/>
    <n v="0"/>
    <x v="4"/>
    <n v="-160"/>
    <m/>
    <n v="428475"/>
    <n v="14.149421487603306"/>
    <m/>
    <n v="0"/>
    <m/>
    <n v="14.149421487603306"/>
    <n v="-14.149421487603306"/>
    <m/>
    <n v="0"/>
  </r>
  <r>
    <n v="6"/>
    <n v="2024"/>
    <s v="Auction"/>
    <s v="VROLIJK BLOEMEN"/>
    <s v="VROLIJK BLOEMEN"/>
    <x v="24"/>
    <s v="Polyantha Roses"/>
    <s v="60CM"/>
    <n v="1"/>
    <n v="1.8461538461538463"/>
    <n v="80"/>
    <n v="0.52"/>
    <n v="41.6"/>
    <s v="EUR"/>
    <m/>
    <m/>
    <x v="4"/>
    <n v="0"/>
    <x v="3"/>
    <x v="0"/>
    <n v="80"/>
    <n v="0.57999999999999996"/>
    <n v="46.4"/>
    <n v="-3.202039215686276"/>
    <n v="43.197960784313722"/>
    <x v="4"/>
    <n v="0"/>
    <m/>
    <n v="428475"/>
    <n v="5.9862937062937061"/>
    <m/>
    <n v="1.6"/>
    <m/>
    <n v="7.5862937062937057"/>
    <n v="35.61166707802002"/>
    <m/>
    <n v="80"/>
  </r>
  <r>
    <n v="6"/>
    <n v="2024"/>
    <s v="Auction"/>
    <s v="VROLIJK BLOEMEN"/>
    <s v="VROLIJK BLOEMEN"/>
    <x v="24"/>
    <s v="Polyantha Roses"/>
    <s v="50CM"/>
    <m/>
    <n v="10.153846153846153"/>
    <n v="440"/>
    <n v="0.42"/>
    <n v="184.8"/>
    <s v="EUR"/>
    <m/>
    <m/>
    <x v="4"/>
    <n v="0"/>
    <x v="3"/>
    <x v="5"/>
    <n v="440"/>
    <n v="0.33272727272727276"/>
    <n v="146.4"/>
    <n v="-17.611215686274519"/>
    <n v="128.7887843137255"/>
    <x v="4"/>
    <n v="0"/>
    <m/>
    <n v="428475"/>
    <n v="32.924615384615379"/>
    <m/>
    <n v="8.8000000000000007"/>
    <m/>
    <n v="41.724615384615376"/>
    <n v="87.064168929110124"/>
    <m/>
    <n v="440"/>
  </r>
  <r>
    <n v="6"/>
    <n v="2024"/>
    <s v="Auction"/>
    <s v="VROLIJK BLOEMEN"/>
    <s v="VROLIJK BLOEMEN"/>
    <x v="24"/>
    <s v="Grandiflora Roses"/>
    <s v="70CM"/>
    <n v="1"/>
    <n v="7.1999999999999993"/>
    <n v="360"/>
    <n v="0.28000000000000003"/>
    <n v="100.8"/>
    <s v="EUR"/>
    <m/>
    <m/>
    <x v="4"/>
    <n v="40"/>
    <x v="0"/>
    <x v="1"/>
    <n v="320"/>
    <n v="0.53625"/>
    <n v="171.6"/>
    <n v="-12.808156862745104"/>
    <n v="158.79184313725489"/>
    <x v="4"/>
    <n v="-40"/>
    <m/>
    <n v="428475"/>
    <n v="23.346545454545453"/>
    <m/>
    <n v="6.4"/>
    <m/>
    <n v="29.746545454545455"/>
    <n v="129.04529768270942"/>
    <m/>
    <n v="320"/>
  </r>
  <r>
    <n v="6"/>
    <n v="2024"/>
    <s v="Auction"/>
    <s v="VROLIJK BLOEMEN"/>
    <s v="VROLIJK BLOEMEN"/>
    <x v="24"/>
    <s v="Grandiflora Roses"/>
    <s v="60CM"/>
    <m/>
    <n v="4.8000000000000007"/>
    <n v="240"/>
    <n v="0.24"/>
    <n v="57.6"/>
    <s v="EUR"/>
    <m/>
    <m/>
    <x v="4"/>
    <n v="240"/>
    <x v="0"/>
    <x v="0"/>
    <m/>
    <m/>
    <n v="0"/>
    <n v="0"/>
    <n v="0"/>
    <x v="4"/>
    <n v="-240"/>
    <m/>
    <n v="428475"/>
    <n v="15.564363636363638"/>
    <m/>
    <n v="0"/>
    <m/>
    <n v="15.564363636363638"/>
    <n v="-15.564363636363638"/>
    <m/>
    <n v="0"/>
  </r>
  <r>
    <m/>
    <m/>
    <m/>
    <m/>
    <m/>
    <x v="9"/>
    <s v="Floribunda Roses"/>
    <s v="80CM"/>
    <m/>
    <m/>
    <m/>
    <m/>
    <m/>
    <m/>
    <m/>
    <m/>
    <x v="4"/>
    <n v="-560"/>
    <x v="2"/>
    <x v="2"/>
    <n v="560"/>
    <n v="0.78999999999999992"/>
    <n v="442.4"/>
    <n v="-22.414274509803935"/>
    <n v="419.98572549019605"/>
    <x v="4"/>
    <n v="560"/>
    <m/>
    <n v="428475"/>
    <n v="0"/>
    <m/>
    <n v="11.200000000000001"/>
    <m/>
    <n v="11.200000000000001"/>
    <n v="408.78572549019606"/>
    <m/>
    <n v="560"/>
  </r>
  <r>
    <n v="5"/>
    <n v="2024"/>
    <s v="Auction"/>
    <s v="VROLIJK BLOEMEN"/>
    <s v="VROLIJK BLOEMEN"/>
    <x v="25"/>
    <s v="Floribunda Roses"/>
    <s v="50CM"/>
    <n v="1"/>
    <n v="12"/>
    <n v="600"/>
    <n v="0.15"/>
    <n v="90"/>
    <s v="EUR"/>
    <m/>
    <m/>
    <x v="6"/>
    <n v="-320"/>
    <x v="2"/>
    <x v="5"/>
    <n v="920"/>
    <n v="0.35869565217391303"/>
    <n v="330"/>
    <n v="-48.32415000000006"/>
    <n v="281.67584999999997"/>
    <x v="6"/>
    <n v="320"/>
    <m/>
    <n v="425971"/>
    <n v="43.725882352941177"/>
    <m/>
    <n v="18.400000000000002"/>
    <m/>
    <n v="62.125882352941176"/>
    <n v="219.54996764705879"/>
    <m/>
    <n v="920"/>
  </r>
  <r>
    <n v="5"/>
    <n v="2024"/>
    <s v="Auction"/>
    <s v="VROLIJK BLOEMEN"/>
    <s v="VROLIJK BLOEMEN"/>
    <x v="25"/>
    <s v="Floribunda Roses"/>
    <s v="60CM"/>
    <n v="3"/>
    <n v="36"/>
    <n v="1560"/>
    <n v="0.15"/>
    <n v="234"/>
    <s v="EUR"/>
    <m/>
    <m/>
    <x v="6"/>
    <n v="0"/>
    <x v="2"/>
    <x v="0"/>
    <n v="1560"/>
    <n v="0.62307692307692308"/>
    <n v="972"/>
    <n v="-81.9409500000001"/>
    <n v="890.05904999999984"/>
    <x v="6"/>
    <n v="0"/>
    <m/>
    <n v="425971"/>
    <n v="131.17764705882354"/>
    <m/>
    <n v="31.2"/>
    <m/>
    <n v="162.37764705882353"/>
    <n v="727.68140294117632"/>
    <m/>
    <n v="1560"/>
  </r>
  <r>
    <n v="5"/>
    <n v="2024"/>
    <s v="Auction"/>
    <s v="VROLIJK BLOEMEN"/>
    <s v="VROLIJK BLOEMEN"/>
    <x v="25"/>
    <s v="Floribunda Roses"/>
    <s v="70CM"/>
    <n v="1"/>
    <n v="12"/>
    <n v="400"/>
    <n v="0.15"/>
    <n v="60"/>
    <s v="EUR"/>
    <m/>
    <m/>
    <x v="6"/>
    <n v="-240"/>
    <x v="2"/>
    <x v="1"/>
    <n v="640"/>
    <n v="0.73124999999999996"/>
    <n v="468"/>
    <n v="-33.61680000000004"/>
    <n v="434.38319999999999"/>
    <x v="6"/>
    <n v="240"/>
    <m/>
    <n v="425971"/>
    <n v="43.725882352941177"/>
    <m/>
    <n v="12.8"/>
    <m/>
    <n v="56.525882352941181"/>
    <n v="377.85731764705884"/>
    <m/>
    <n v="640"/>
  </r>
  <r>
    <n v="5"/>
    <n v="2024"/>
    <s v="Auction"/>
    <s v="VROLIJK BLOEMEN"/>
    <s v="VROLIJK BLOEMEN"/>
    <x v="25"/>
    <s v="Floribunda Roses"/>
    <s v="80CM"/>
    <n v="1"/>
    <n v="12"/>
    <n v="320"/>
    <n v="0.15"/>
    <n v="48"/>
    <s v="EUR"/>
    <m/>
    <m/>
    <x v="6"/>
    <n v="0"/>
    <x v="2"/>
    <x v="2"/>
    <n v="320"/>
    <n v="0.78125"/>
    <n v="250"/>
    <n v="-16.80840000000002"/>
    <n v="233.19159999999999"/>
    <x v="6"/>
    <n v="0"/>
    <m/>
    <n v="425971"/>
    <n v="43.725882352941177"/>
    <m/>
    <n v="6.4"/>
    <m/>
    <n v="50.125882352941176"/>
    <n v="183.06571764705882"/>
    <m/>
    <n v="320"/>
  </r>
  <r>
    <n v="5"/>
    <n v="2024"/>
    <s v="Auction"/>
    <s v="VROLIJK BLOEMEN"/>
    <s v="VROLIJK BLOEMEN"/>
    <x v="25"/>
    <s v="Floribunda Roses"/>
    <s v="90CM"/>
    <n v="1"/>
    <n v="12"/>
    <n v="280"/>
    <n v="0.15"/>
    <n v="42"/>
    <s v="EUR"/>
    <m/>
    <m/>
    <x v="6"/>
    <n v="0"/>
    <x v="2"/>
    <x v="3"/>
    <n v="280"/>
    <n v="0.83857142857142863"/>
    <n v="234.8"/>
    <n v="-14.707350000000016"/>
    <n v="220.09264999999999"/>
    <x v="6"/>
    <n v="0"/>
    <m/>
    <n v="425971"/>
    <n v="43.725882352941177"/>
    <m/>
    <n v="5.6000000000000005"/>
    <m/>
    <n v="49.325882352941179"/>
    <n v="170.76676764705883"/>
    <m/>
    <n v="280"/>
  </r>
  <r>
    <n v="5"/>
    <n v="2024"/>
    <s v="Auction"/>
    <s v="VROLIJK BLOEMEN"/>
    <s v="VROLIJK BLOEMEN"/>
    <x v="25"/>
    <s v="English Roses"/>
    <s v="50CM"/>
    <n v="1"/>
    <n v="12"/>
    <n v="560"/>
    <n v="0.15"/>
    <n v="84"/>
    <s v="EUR"/>
    <m/>
    <m/>
    <x v="6"/>
    <n v="0"/>
    <x v="1"/>
    <x v="5"/>
    <n v="560"/>
    <n v="0.33285714285714285"/>
    <n v="186.4"/>
    <n v="-29.414700000000032"/>
    <n v="156.98529999999997"/>
    <x v="6"/>
    <n v="0"/>
    <m/>
    <n v="425971"/>
    <n v="43.725882352941177"/>
    <m/>
    <n v="11.200000000000001"/>
    <m/>
    <n v="54.92588235294118"/>
    <n v="102.05941764705878"/>
    <m/>
    <n v="560"/>
  </r>
  <r>
    <n v="5"/>
    <n v="2024"/>
    <s v="Auction"/>
    <s v="VROLIJK BLOEMEN"/>
    <s v="VROLIJK BLOEMEN"/>
    <x v="25"/>
    <s v="English Roses"/>
    <s v="60CM"/>
    <n v="1"/>
    <n v="12"/>
    <n v="480"/>
    <n v="0.15"/>
    <n v="72"/>
    <s v="EUR"/>
    <m/>
    <m/>
    <x v="6"/>
    <n v="480"/>
    <x v="1"/>
    <x v="0"/>
    <m/>
    <m/>
    <n v="0"/>
    <n v="0"/>
    <n v="0"/>
    <x v="6"/>
    <n v="-480"/>
    <m/>
    <n v="425971"/>
    <n v="43.725882352941177"/>
    <m/>
    <n v="0"/>
    <m/>
    <n v="43.725882352941177"/>
    <n v="-43.725882352941177"/>
    <m/>
    <n v="0"/>
  </r>
  <r>
    <n v="5"/>
    <n v="2024"/>
    <s v="Auction"/>
    <s v="VROLIJK BLOEMEN"/>
    <s v="VROLIJK BLOEMEN"/>
    <x v="25"/>
    <s v="English Roses"/>
    <s v="90CM"/>
    <n v="1"/>
    <n v="12"/>
    <n v="280"/>
    <n v="0.15"/>
    <n v="42"/>
    <s v="EUR"/>
    <m/>
    <m/>
    <x v="6"/>
    <n v="-40"/>
    <x v="1"/>
    <x v="3"/>
    <n v="320"/>
    <n v="0.63250000000000006"/>
    <n v="202.40000000000003"/>
    <n v="-16.80840000000002"/>
    <n v="185.59160000000003"/>
    <x v="6"/>
    <n v="40"/>
    <m/>
    <n v="425971"/>
    <n v="43.725882352941177"/>
    <m/>
    <n v="6.4"/>
    <m/>
    <n v="50.125882352941176"/>
    <n v="135.46571764705885"/>
    <m/>
    <n v="320"/>
  </r>
  <r>
    <n v="5"/>
    <n v="2024"/>
    <s v="Auction"/>
    <s v="VROLIJK BLOEMEN"/>
    <s v="VROLIJK BLOEMEN"/>
    <x v="25"/>
    <s v="Grandiflora Roses"/>
    <s v="60CM"/>
    <n v="1"/>
    <n v="12"/>
    <n v="720"/>
    <n v="0.15"/>
    <n v="108"/>
    <s v="EUR"/>
    <m/>
    <m/>
    <x v="6"/>
    <n v="240"/>
    <x v="0"/>
    <x v="0"/>
    <n v="480"/>
    <n v="0.43"/>
    <n v="206.4"/>
    <n v="-25.212600000000027"/>
    <n v="181.18739999999997"/>
    <x v="6"/>
    <n v="-240"/>
    <m/>
    <n v="425971"/>
    <n v="43.725882352941177"/>
    <m/>
    <n v="9.6"/>
    <m/>
    <n v="53.325882352941179"/>
    <n v="127.86151764705879"/>
    <m/>
    <n v="480"/>
  </r>
  <r>
    <n v="5"/>
    <n v="2024"/>
    <s v="Auction"/>
    <s v="VROLIJK BLOEMEN"/>
    <s v="VROLIJK BLOEMEN"/>
    <x v="25"/>
    <s v="Grandiflora Roses"/>
    <s v="70CM"/>
    <n v="1"/>
    <n v="12"/>
    <n v="520"/>
    <n v="0.15"/>
    <n v="78"/>
    <s v="EUR"/>
    <m/>
    <m/>
    <x v="6"/>
    <n v="0"/>
    <x v="0"/>
    <x v="1"/>
    <n v="520"/>
    <n v="0.57384615384615378"/>
    <n v="298.39999999999998"/>
    <n v="-27.313650000000031"/>
    <n v="271.08634999999992"/>
    <x v="6"/>
    <n v="0"/>
    <m/>
    <n v="425971"/>
    <n v="43.725882352941177"/>
    <m/>
    <n v="10.4"/>
    <m/>
    <n v="54.125882352941176"/>
    <n v="216.96046764705875"/>
    <m/>
    <n v="520"/>
  </r>
  <r>
    <n v="5"/>
    <n v="2024"/>
    <s v="Auction"/>
    <s v="VROLIJK BLOEMEN"/>
    <s v="VROLIJK BLOEMEN"/>
    <x v="25"/>
    <s v="Floribunda Roses"/>
    <s v="50CM"/>
    <n v="1"/>
    <n v="6.8571428571428568"/>
    <n v="320"/>
    <n v="0.15"/>
    <n v="48"/>
    <s v="EUR"/>
    <m/>
    <m/>
    <x v="6"/>
    <n v="320"/>
    <x v="2"/>
    <x v="5"/>
    <m/>
    <m/>
    <n v="0"/>
    <n v="0"/>
    <n v="0"/>
    <x v="6"/>
    <n v="-320"/>
    <m/>
    <n v="425971"/>
    <n v="24.986218487394957"/>
    <m/>
    <n v="0"/>
    <m/>
    <n v="24.986218487394957"/>
    <n v="-24.986218487394957"/>
    <m/>
    <n v="0"/>
  </r>
  <r>
    <n v="5"/>
    <n v="2024"/>
    <s v="Auction"/>
    <s v="VROLIJK BLOEMEN"/>
    <s v="VROLIJK BLOEMEN"/>
    <x v="25"/>
    <s v="Floribunda Roses"/>
    <s v="70CM"/>
    <m/>
    <n v="5.1428571428571423"/>
    <n v="240"/>
    <n v="0.15"/>
    <n v="36"/>
    <s v="EUR"/>
    <m/>
    <m/>
    <x v="6"/>
    <n v="240"/>
    <x v="2"/>
    <x v="1"/>
    <m/>
    <m/>
    <n v="0"/>
    <n v="0"/>
    <n v="0"/>
    <x v="6"/>
    <n v="-240"/>
    <m/>
    <n v="425971"/>
    <n v="18.739663865546216"/>
    <m/>
    <n v="0"/>
    <m/>
    <n v="18.739663865546216"/>
    <n v="-18.739663865546216"/>
    <m/>
    <n v="0"/>
  </r>
  <r>
    <n v="5"/>
    <n v="2024"/>
    <s v="Auction"/>
    <s v="VROLIJK BLOEMEN"/>
    <s v="VROLIJK BLOEMEN"/>
    <x v="25"/>
    <s v="Grandiflora Roses"/>
    <s v="70CM"/>
    <n v="1"/>
    <n v="6.4"/>
    <n v="320"/>
    <n v="0.15"/>
    <n v="48"/>
    <s v="EUR"/>
    <m/>
    <m/>
    <x v="6"/>
    <n v="0"/>
    <x v="0"/>
    <x v="1"/>
    <n v="320"/>
    <n v="0.65999999999999992"/>
    <n v="211.2"/>
    <n v="-16.80840000000002"/>
    <n v="194.39159999999998"/>
    <x v="6"/>
    <n v="0"/>
    <m/>
    <n v="425971"/>
    <n v="23.320470588235295"/>
    <m/>
    <n v="6.4"/>
    <m/>
    <n v="29.720470588235294"/>
    <n v="164.6711294117647"/>
    <m/>
    <n v="320"/>
  </r>
  <r>
    <n v="5"/>
    <n v="2024"/>
    <s v="Auction"/>
    <s v="VROLIJK BLOEMEN"/>
    <s v="VROLIJK BLOEMEN"/>
    <x v="25"/>
    <s v="Grandiflora Roses"/>
    <s v="60CM"/>
    <m/>
    <n v="5.6"/>
    <n v="280"/>
    <n v="0.15"/>
    <n v="42"/>
    <s v="EUR"/>
    <m/>
    <m/>
    <x v="6"/>
    <n v="-240"/>
    <x v="0"/>
    <x v="0"/>
    <n v="520"/>
    <n v="0.59153846153846157"/>
    <n v="307.60000000000002"/>
    <n v="-27.313650000000031"/>
    <n v="280.28634999999997"/>
    <x v="6"/>
    <n v="240"/>
    <m/>
    <n v="425971"/>
    <n v="20.405411764705882"/>
    <m/>
    <n v="10.4"/>
    <m/>
    <n v="30.80541176470588"/>
    <n v="249.4809382352941"/>
    <m/>
    <n v="520"/>
  </r>
  <r>
    <n v="5"/>
    <n v="2024"/>
    <s v="Auction"/>
    <s v="VROLIJK BLOEMEN"/>
    <s v="VROLIJK BLOEMEN"/>
    <x v="25"/>
    <s v="English Roses"/>
    <s v="70CM"/>
    <n v="1"/>
    <n v="5.4545454545454541"/>
    <n v="200"/>
    <n v="0.15"/>
    <n v="30"/>
    <s v="EUR"/>
    <m/>
    <m/>
    <x v="6"/>
    <n v="0"/>
    <x v="1"/>
    <x v="1"/>
    <n v="200"/>
    <n v="0.46"/>
    <n v="92"/>
    <n v="-10.505250000000013"/>
    <n v="81.494749999999982"/>
    <x v="6"/>
    <n v="0"/>
    <m/>
    <n v="425971"/>
    <n v="19.875401069518716"/>
    <m/>
    <n v="4"/>
    <m/>
    <n v="23.875401069518716"/>
    <n v="57.619348930481266"/>
    <m/>
    <n v="200"/>
  </r>
  <r>
    <n v="5"/>
    <n v="2024"/>
    <s v="Auction"/>
    <s v="VROLIJK BLOEMEN"/>
    <s v="VROLIJK BLOEMEN"/>
    <x v="25"/>
    <s v="English Roses"/>
    <s v="60CM"/>
    <m/>
    <n v="6.545454545454545"/>
    <n v="240"/>
    <n v="0.15"/>
    <n v="36"/>
    <s v="EUR"/>
    <m/>
    <m/>
    <x v="6"/>
    <n v="-480"/>
    <x v="1"/>
    <x v="0"/>
    <n v="720"/>
    <n v="0.43055555555555558"/>
    <n v="310"/>
    <n v="-37.818900000000042"/>
    <n v="272.18109999999996"/>
    <x v="6"/>
    <n v="480"/>
    <m/>
    <n v="425971"/>
    <n v="23.850481283422457"/>
    <m/>
    <n v="14.4"/>
    <m/>
    <n v="38.250481283422459"/>
    <n v="233.9306187165775"/>
    <m/>
    <n v="720"/>
  </r>
  <r>
    <n v="5"/>
    <n v="2024"/>
    <s v="Auction"/>
    <s v="VROLIJK BLOEMEN"/>
    <s v="VROLIJK BLOEMEN"/>
    <x v="25"/>
    <s v="Grandiflora Roses"/>
    <s v="100CM"/>
    <n v="1"/>
    <n v="3.5999999999999996"/>
    <n v="120"/>
    <n v="0.15"/>
    <n v="18"/>
    <s v="EUR"/>
    <m/>
    <m/>
    <x v="6"/>
    <n v="0"/>
    <x v="0"/>
    <x v="4"/>
    <n v="120"/>
    <n v="0.73"/>
    <n v="87.6"/>
    <n v="-6.3031500000000067"/>
    <n v="81.296849999999992"/>
    <x v="6"/>
    <n v="0"/>
    <m/>
    <n v="425971"/>
    <n v="13.117764705882353"/>
    <m/>
    <n v="2.4"/>
    <m/>
    <n v="15.517764705882353"/>
    <n v="65.779085294117635"/>
    <m/>
    <n v="120"/>
  </r>
  <r>
    <n v="5"/>
    <n v="2024"/>
    <s v="Auction"/>
    <s v="VROLIJK BLOEMEN"/>
    <s v="VROLIJK BLOEMEN"/>
    <x v="25"/>
    <s v="Grandiflora Roses"/>
    <s v="90CM"/>
    <m/>
    <n v="6"/>
    <n v="200"/>
    <n v="0.15"/>
    <n v="30"/>
    <s v="EUR"/>
    <m/>
    <m/>
    <x v="6"/>
    <n v="0"/>
    <x v="0"/>
    <x v="3"/>
    <n v="200"/>
    <n v="0.71"/>
    <n v="142"/>
    <n v="-10.505250000000013"/>
    <n v="131.49474999999998"/>
    <x v="6"/>
    <n v="0"/>
    <m/>
    <n v="425971"/>
    <n v="21.862941176470589"/>
    <m/>
    <n v="4"/>
    <m/>
    <n v="25.862941176470589"/>
    <n v="105.6318088235294"/>
    <m/>
    <n v="200"/>
  </r>
  <r>
    <n v="5"/>
    <n v="2024"/>
    <s v="Auction"/>
    <s v="VROLIJK BLOEMEN"/>
    <s v="VROLIJK BLOEMEN"/>
    <x v="25"/>
    <s v="Grandiflora Roses"/>
    <s v="110CM"/>
    <m/>
    <n v="2.4000000000000004"/>
    <n v="80"/>
    <n v="0.15"/>
    <n v="12"/>
    <s v="EUR"/>
    <m/>
    <m/>
    <x v="6"/>
    <n v="0"/>
    <x v="0"/>
    <x v="6"/>
    <n v="80"/>
    <n v="0.74"/>
    <n v="59.2"/>
    <n v="-4.2021000000000051"/>
    <n v="54.997900000000001"/>
    <x v="6"/>
    <n v="0"/>
    <m/>
    <n v="425971"/>
    <n v="8.7451764705882375"/>
    <m/>
    <n v="1.6"/>
    <m/>
    <n v="10.345176470588237"/>
    <n v="44.652723529411766"/>
    <m/>
    <n v="80"/>
  </r>
  <r>
    <n v="5"/>
    <n v="2024"/>
    <s v="Auction"/>
    <s v="VROLIJK BLOEMEN"/>
    <s v="VROLIJK BLOEMEN"/>
    <x v="25"/>
    <s v="English Roses"/>
    <s v="90CM"/>
    <n v="1"/>
    <n v="1.7142857142857142"/>
    <n v="40"/>
    <n v="0.15"/>
    <n v="6"/>
    <s v="EUR"/>
    <m/>
    <m/>
    <x v="6"/>
    <n v="40"/>
    <x v="1"/>
    <x v="3"/>
    <m/>
    <m/>
    <n v="0"/>
    <n v="0"/>
    <n v="0"/>
    <x v="6"/>
    <n v="-40"/>
    <m/>
    <n v="425971"/>
    <n v="6.2465546218487393"/>
    <m/>
    <n v="0"/>
    <m/>
    <n v="6.2465546218487393"/>
    <n v="-6.2465546218487393"/>
    <m/>
    <n v="0"/>
  </r>
  <r>
    <n v="5"/>
    <n v="2024"/>
    <s v="Auction"/>
    <s v="VROLIJK BLOEMEN"/>
    <s v="VROLIJK BLOEMEN"/>
    <x v="25"/>
    <s v="English Roses"/>
    <s v="80CM"/>
    <m/>
    <n v="10.285714285714285"/>
    <n v="240"/>
    <n v="0.15"/>
    <n v="36"/>
    <s v="EUR"/>
    <m/>
    <m/>
    <x v="6"/>
    <n v="0"/>
    <x v="1"/>
    <x v="2"/>
    <n v="240"/>
    <n v="0.60833333333333328"/>
    <n v="146"/>
    <n v="-12.606300000000013"/>
    <n v="133.3937"/>
    <x v="6"/>
    <n v="0"/>
    <m/>
    <n v="425971"/>
    <n v="37.479327731092432"/>
    <m/>
    <n v="4.8"/>
    <m/>
    <n v="42.27932773109243"/>
    <n v="91.114372268907573"/>
    <m/>
    <n v="240"/>
  </r>
  <r>
    <m/>
    <m/>
    <m/>
    <m/>
    <m/>
    <x v="9"/>
    <s v="Climbing Roses"/>
    <s v="60CM"/>
    <m/>
    <m/>
    <m/>
    <m/>
    <m/>
    <m/>
    <m/>
    <m/>
    <x v="6"/>
    <n v="0"/>
    <x v="5"/>
    <x v="0"/>
    <m/>
    <n v="0.03"/>
    <n v="-27"/>
    <n v="0"/>
    <n v="-27"/>
    <x v="6"/>
    <n v="0"/>
    <m/>
    <n v="425971"/>
    <n v="0"/>
    <m/>
    <n v="0"/>
    <m/>
    <n v="0"/>
    <n v="-27"/>
    <m/>
    <n v="0"/>
  </r>
  <r>
    <m/>
    <m/>
    <m/>
    <m/>
    <m/>
    <x v="9"/>
    <s v="Climbing Roses"/>
    <s v="70CM"/>
    <m/>
    <m/>
    <m/>
    <m/>
    <m/>
    <m/>
    <m/>
    <m/>
    <x v="6"/>
    <n v="0"/>
    <x v="5"/>
    <x v="1"/>
    <m/>
    <n v="6.277777777777778E-2"/>
    <n v="-30.9"/>
    <n v="0"/>
    <n v="-30.9"/>
    <x v="6"/>
    <n v="0"/>
    <m/>
    <n v="425971"/>
    <n v="0"/>
    <m/>
    <n v="0"/>
    <m/>
    <n v="0"/>
    <n v="-30.9"/>
    <m/>
    <n v="0"/>
  </r>
  <r>
    <m/>
    <m/>
    <m/>
    <m/>
    <m/>
    <x v="9"/>
    <s v="English Roses"/>
    <s v="50CM"/>
    <m/>
    <m/>
    <m/>
    <m/>
    <m/>
    <m/>
    <m/>
    <m/>
    <x v="6"/>
    <n v="10"/>
    <x v="1"/>
    <x v="5"/>
    <n v="-10"/>
    <n v="0.4"/>
    <n v="-4"/>
    <n v="0.16999999999999993"/>
    <n v="-3.83"/>
    <x v="6"/>
    <n v="-10"/>
    <m/>
    <n v="425971"/>
    <n v="0"/>
    <m/>
    <n v="-0.2"/>
    <m/>
    <n v="-0.2"/>
    <n v="-3.63"/>
    <m/>
    <n v="-10"/>
  </r>
  <r>
    <n v="5"/>
    <n v="2024"/>
    <s v="Auction"/>
    <s v="VROLIJK BLOEMEN"/>
    <s v="VROLIJK BLOEMEN"/>
    <x v="26"/>
    <s v="Floribunda Roses"/>
    <s v="50CM"/>
    <n v="2"/>
    <n v="24"/>
    <n v="1040"/>
    <n v="0.15"/>
    <n v="156"/>
    <s v="EUR"/>
    <m/>
    <m/>
    <x v="6"/>
    <n v="-80"/>
    <x v="2"/>
    <x v="5"/>
    <n v="1120"/>
    <n v="0.38142857142857139"/>
    <n v="427.2"/>
    <n v="-56.27216284987275"/>
    <n v="370.92783715012723"/>
    <x v="6"/>
    <n v="80"/>
    <m/>
    <s v="F079061"/>
    <n v="86.781111111111102"/>
    <m/>
    <n v="22.400000000000002"/>
    <m/>
    <n v="109.18111111111111"/>
    <n v="261.74672603901615"/>
    <m/>
    <n v="1120"/>
  </r>
  <r>
    <n v="5"/>
    <n v="2024"/>
    <s v="Auction"/>
    <s v="VROLIJK BLOEMEN"/>
    <s v="VROLIJK BLOEMEN"/>
    <x v="26"/>
    <s v="Floribunda Roses"/>
    <s v="60CM"/>
    <n v="1"/>
    <n v="12"/>
    <n v="520"/>
    <n v="0.15"/>
    <n v="78"/>
    <s v="EUR"/>
    <m/>
    <m/>
    <x v="6"/>
    <n v="200"/>
    <x v="2"/>
    <x v="0"/>
    <n v="320"/>
    <n v="0.74"/>
    <n v="236.8"/>
    <n v="-16.077760814249359"/>
    <n v="220.72223918575065"/>
    <x v="6"/>
    <n v="-200"/>
    <m/>
    <s v="F079061"/>
    <n v="43.390555555555551"/>
    <m/>
    <n v="6.4"/>
    <m/>
    <n v="49.790555555555549"/>
    <n v="170.9316836301951"/>
    <m/>
    <n v="320"/>
  </r>
  <r>
    <n v="5"/>
    <n v="2024"/>
    <s v="Auction"/>
    <s v="VROLIJK BLOEMEN"/>
    <s v="VROLIJK BLOEMEN"/>
    <x v="26"/>
    <s v="Floribunda Roses"/>
    <s v="60CM"/>
    <n v="1"/>
    <n v="12"/>
    <n v="480"/>
    <n v="0.15"/>
    <n v="72"/>
    <s v="EUR"/>
    <m/>
    <m/>
    <x v="6"/>
    <n v="-240"/>
    <x v="2"/>
    <x v="0"/>
    <n v="720"/>
    <n v="0.62055555555555553"/>
    <n v="446.79999999999995"/>
    <n v="-36.174961832061058"/>
    <n v="410.6250381679389"/>
    <x v="6"/>
    <n v="240"/>
    <m/>
    <s v="F079061"/>
    <n v="43.390555555555551"/>
    <m/>
    <n v="14.4"/>
    <m/>
    <n v="57.790555555555549"/>
    <n v="352.83448261238334"/>
    <m/>
    <n v="720"/>
  </r>
  <r>
    <n v="5"/>
    <n v="2024"/>
    <s v="Auction"/>
    <s v="VROLIJK BLOEMEN"/>
    <s v="VROLIJK BLOEMEN"/>
    <x v="26"/>
    <s v="Floribunda Roses"/>
    <s v="70CM"/>
    <n v="1"/>
    <n v="12"/>
    <n v="440"/>
    <n v="0.15"/>
    <n v="66"/>
    <s v="EUR"/>
    <m/>
    <m/>
    <x v="6"/>
    <n v="-200"/>
    <x v="2"/>
    <x v="1"/>
    <n v="640"/>
    <n v="0.70874999999999999"/>
    <n v="453.6"/>
    <n v="-32.155521628498718"/>
    <n v="421.4444783715013"/>
    <x v="6"/>
    <n v="200"/>
    <m/>
    <s v="F079061"/>
    <n v="43.390555555555551"/>
    <m/>
    <n v="12.8"/>
    <m/>
    <n v="56.190555555555548"/>
    <n v="365.25392281594577"/>
    <m/>
    <n v="640"/>
  </r>
  <r>
    <n v="5"/>
    <n v="2024"/>
    <s v="Auction"/>
    <s v="VROLIJK BLOEMEN"/>
    <s v="VROLIJK BLOEMEN"/>
    <x v="26"/>
    <s v="Floribunda Roses"/>
    <s v="80CM"/>
    <n v="1"/>
    <n v="12"/>
    <n v="320"/>
    <n v="0.15"/>
    <n v="48"/>
    <s v="EUR"/>
    <m/>
    <m/>
    <x v="6"/>
    <n v="-80"/>
    <x v="2"/>
    <x v="2"/>
    <n v="400"/>
    <n v="0.8640000000000001"/>
    <n v="345.6"/>
    <n v="-20.097201017811699"/>
    <n v="325.50279898218832"/>
    <x v="6"/>
    <n v="80"/>
    <m/>
    <s v="F079061"/>
    <n v="43.390555555555551"/>
    <m/>
    <n v="8"/>
    <m/>
    <n v="51.390555555555551"/>
    <n v="274.11224342663274"/>
    <m/>
    <n v="400"/>
  </r>
  <r>
    <n v="5"/>
    <n v="2024"/>
    <s v="Auction"/>
    <s v="VROLIJK BLOEMEN"/>
    <s v="VROLIJK BLOEMEN"/>
    <x v="26"/>
    <s v="Floribunda Roses"/>
    <s v="100CM"/>
    <n v="1"/>
    <n v="12"/>
    <n v="160"/>
    <n v="0.15"/>
    <n v="24"/>
    <s v="EUR"/>
    <m/>
    <m/>
    <x v="6"/>
    <n v="0"/>
    <x v="2"/>
    <x v="4"/>
    <n v="160"/>
    <n v="0.85"/>
    <n v="136"/>
    <n v="-8.0388804071246796"/>
    <n v="127.96111959287532"/>
    <x v="6"/>
    <n v="0"/>
    <m/>
    <s v="F079061"/>
    <n v="43.390555555555551"/>
    <m/>
    <n v="3.2"/>
    <m/>
    <n v="46.590555555555554"/>
    <n v="81.370564037319767"/>
    <m/>
    <n v="160"/>
  </r>
  <r>
    <n v="5"/>
    <n v="2024"/>
    <s v="Auction"/>
    <s v="VROLIJK BLOEMEN"/>
    <s v="VROLIJK BLOEMEN"/>
    <x v="26"/>
    <s v="English Roses"/>
    <s v="50CM"/>
    <n v="1"/>
    <n v="12"/>
    <n v="520"/>
    <n v="0.15"/>
    <n v="78"/>
    <s v="EUR"/>
    <m/>
    <m/>
    <x v="6"/>
    <n v="0"/>
    <x v="1"/>
    <x v="5"/>
    <n v="520"/>
    <n v="0.35384615384615387"/>
    <n v="184"/>
    <n v="-26.126361323155205"/>
    <n v="157.87363867684479"/>
    <x v="6"/>
    <n v="0"/>
    <m/>
    <s v="F079061"/>
    <n v="43.390555555555551"/>
    <m/>
    <n v="10.4"/>
    <m/>
    <n v="53.790555555555549"/>
    <n v="104.08308312128923"/>
    <m/>
    <n v="520"/>
  </r>
  <r>
    <n v="5"/>
    <n v="2024"/>
    <s v="Auction"/>
    <s v="VROLIJK BLOEMEN"/>
    <s v="VROLIJK BLOEMEN"/>
    <x v="26"/>
    <s v="English Roses"/>
    <s v="60CM"/>
    <n v="1"/>
    <n v="12"/>
    <n v="480"/>
    <n v="0.15"/>
    <n v="72"/>
    <s v="EUR"/>
    <m/>
    <m/>
    <x v="6"/>
    <n v="0"/>
    <x v="1"/>
    <x v="0"/>
    <n v="480"/>
    <n v="0.47916666666666669"/>
    <n v="230"/>
    <n v="-24.116641221374039"/>
    <n v="205.88335877862596"/>
    <x v="6"/>
    <n v="0"/>
    <m/>
    <s v="F079061"/>
    <n v="43.390555555555551"/>
    <m/>
    <n v="9.6"/>
    <m/>
    <n v="52.990555555555552"/>
    <n v="152.89280322307042"/>
    <m/>
    <n v="480"/>
  </r>
  <r>
    <n v="5"/>
    <n v="2024"/>
    <s v="Auction"/>
    <s v="VROLIJK BLOEMEN"/>
    <s v="VROLIJK BLOEMEN"/>
    <x v="26"/>
    <s v="English Roses"/>
    <s v="70CM"/>
    <n v="1"/>
    <n v="12"/>
    <n v="400"/>
    <n v="0.15"/>
    <n v="60"/>
    <s v="EUR"/>
    <m/>
    <m/>
    <x v="6"/>
    <n v="0"/>
    <x v="1"/>
    <x v="1"/>
    <n v="400"/>
    <n v="0.56600000000000006"/>
    <n v="226.40000000000003"/>
    <n v="-20.097201017811699"/>
    <n v="206.30279898218834"/>
    <x v="6"/>
    <n v="0"/>
    <m/>
    <s v="F079061"/>
    <n v="43.390555555555551"/>
    <m/>
    <n v="8"/>
    <m/>
    <n v="51.390555555555551"/>
    <n v="154.91224342663278"/>
    <m/>
    <n v="400"/>
  </r>
  <r>
    <n v="5"/>
    <n v="2024"/>
    <s v="Auction"/>
    <s v="VROLIJK BLOEMEN"/>
    <s v="VROLIJK BLOEMEN"/>
    <x v="26"/>
    <s v="Grandiflora Roses"/>
    <s v="60CM"/>
    <n v="1"/>
    <n v="12"/>
    <n v="720"/>
    <n v="0.15"/>
    <n v="108"/>
    <s v="EUR"/>
    <m/>
    <m/>
    <x v="6"/>
    <n v="0"/>
    <x v="0"/>
    <x v="0"/>
    <n v="720"/>
    <n v="0.55277777777777781"/>
    <n v="398"/>
    <n v="-36.174961832061058"/>
    <n v="361.82503816793894"/>
    <x v="6"/>
    <n v="0"/>
    <m/>
    <s v="F079061"/>
    <n v="43.390555555555551"/>
    <m/>
    <n v="14.4"/>
    <m/>
    <n v="57.790555555555549"/>
    <n v="304.03448261238339"/>
    <m/>
    <n v="720"/>
  </r>
  <r>
    <n v="5"/>
    <n v="2024"/>
    <s v="Auction"/>
    <s v="VROLIJK BLOEMEN"/>
    <s v="VROLIJK BLOEMEN"/>
    <x v="26"/>
    <s v="Grandiflora Roses"/>
    <s v="70CM"/>
    <n v="1"/>
    <n v="12"/>
    <n v="520"/>
    <n v="0.15"/>
    <n v="78"/>
    <s v="EUR"/>
    <m/>
    <m/>
    <x v="6"/>
    <n v="120"/>
    <x v="0"/>
    <x v="1"/>
    <n v="400"/>
    <n v="0.64500000000000002"/>
    <n v="258"/>
    <n v="-20.097201017811699"/>
    <n v="237.9027989821883"/>
    <x v="6"/>
    <n v="-120"/>
    <m/>
    <s v="F079061"/>
    <n v="43.390555555555551"/>
    <m/>
    <n v="8"/>
    <m/>
    <n v="51.390555555555551"/>
    <n v="186.51224342663275"/>
    <m/>
    <n v="400"/>
  </r>
  <r>
    <n v="5"/>
    <n v="2024"/>
    <s v="Auction"/>
    <s v="VROLIJK BLOEMEN"/>
    <s v="VROLIJK BLOEMEN"/>
    <x v="26"/>
    <s v="Grandiflora Roses"/>
    <s v="80CM"/>
    <n v="1"/>
    <n v="12"/>
    <n v="400"/>
    <n v="0.15"/>
    <n v="60"/>
    <s v="EUR"/>
    <m/>
    <m/>
    <x v="6"/>
    <n v="0"/>
    <x v="0"/>
    <x v="2"/>
    <n v="400"/>
    <n v="0.73799999999999999"/>
    <n v="295.2"/>
    <n v="-20.097201017811699"/>
    <n v="275.10279898218829"/>
    <x v="6"/>
    <n v="0"/>
    <m/>
    <s v="F079061"/>
    <n v="43.390555555555551"/>
    <m/>
    <n v="8"/>
    <m/>
    <n v="51.390555555555551"/>
    <n v="223.71224342663274"/>
    <m/>
    <n v="400"/>
  </r>
  <r>
    <n v="5"/>
    <n v="2024"/>
    <s v="Auction"/>
    <s v="VROLIJK BLOEMEN"/>
    <s v="VROLIJK BLOEMEN"/>
    <x v="26"/>
    <s v="English Roses"/>
    <s v="100CM"/>
    <n v="1"/>
    <n v="6"/>
    <n v="80"/>
    <n v="0.15"/>
    <n v="12"/>
    <s v="EUR"/>
    <m/>
    <m/>
    <x v="6"/>
    <n v="0"/>
    <x v="1"/>
    <x v="4"/>
    <n v="80"/>
    <n v="0.71500000000000008"/>
    <n v="57.2"/>
    <n v="-4.0194402035623398"/>
    <n v="53.180559796437663"/>
    <x v="6"/>
    <n v="0"/>
    <m/>
    <s v="F079061"/>
    <n v="21.695277777777775"/>
    <m/>
    <n v="1.6"/>
    <m/>
    <n v="23.295277777777777"/>
    <n v="29.885282018659886"/>
    <m/>
    <n v="80"/>
  </r>
  <r>
    <n v="5"/>
    <n v="2024"/>
    <s v="Auction"/>
    <s v="VROLIJK BLOEMEN"/>
    <s v="VROLIJK BLOEMEN"/>
    <x v="26"/>
    <s v="English Roses"/>
    <s v="110CM"/>
    <m/>
    <n v="6"/>
    <n v="80"/>
    <n v="0.15"/>
    <n v="12"/>
    <s v="EUR"/>
    <m/>
    <m/>
    <x v="6"/>
    <n v="20"/>
    <x v="1"/>
    <x v="6"/>
    <n v="60"/>
    <n v="0.74"/>
    <n v="44.4"/>
    <n v="-3.0145801526717548"/>
    <n v="41.385419847328244"/>
    <x v="6"/>
    <n v="-20"/>
    <m/>
    <s v="F079061"/>
    <n v="21.695277777777775"/>
    <m/>
    <n v="1.2"/>
    <m/>
    <n v="22.895277777777775"/>
    <n v="18.490142069550469"/>
    <m/>
    <n v="60"/>
  </r>
  <r>
    <n v="5"/>
    <n v="2024"/>
    <s v="Auction"/>
    <s v="VROLIJK BLOEMEN"/>
    <s v="VROLIJK BLOEMEN"/>
    <x v="26"/>
    <s v="Grandiflora Roses"/>
    <s v="100CM"/>
    <n v="1"/>
    <n v="3.5999999999999996"/>
    <n v="120"/>
    <n v="0.15"/>
    <n v="18"/>
    <s v="EUR"/>
    <m/>
    <m/>
    <x v="6"/>
    <n v="0"/>
    <x v="0"/>
    <x v="4"/>
    <n v="120"/>
    <n v="0.74"/>
    <n v="88.8"/>
    <n v="-6.0291603053435097"/>
    <n v="82.770839694656487"/>
    <x v="6"/>
    <n v="0"/>
    <m/>
    <s v="F079061"/>
    <n v="13.017166666666666"/>
    <m/>
    <n v="2.4"/>
    <m/>
    <n v="15.417166666666667"/>
    <n v="67.353673027989828"/>
    <m/>
    <n v="120"/>
  </r>
  <r>
    <n v="5"/>
    <n v="2024"/>
    <s v="Auction"/>
    <s v="VROLIJK BLOEMEN"/>
    <s v="VROLIJK BLOEMEN"/>
    <x v="26"/>
    <s v="Grandiflora Roses"/>
    <s v="90CM"/>
    <m/>
    <n v="8.3999999999999986"/>
    <n v="280"/>
    <n v="0.15"/>
    <n v="42"/>
    <s v="EUR"/>
    <m/>
    <m/>
    <x v="6"/>
    <n v="0"/>
    <x v="0"/>
    <x v="3"/>
    <n v="280"/>
    <n v="0.76714285714285724"/>
    <n v="214.80000000000004"/>
    <n v="-14.068040712468187"/>
    <n v="200.73195928753185"/>
    <x v="6"/>
    <n v="0"/>
    <m/>
    <s v="F079061"/>
    <n v="30.373388888888883"/>
    <m/>
    <n v="5.6000000000000005"/>
    <m/>
    <n v="35.973388888888884"/>
    <n v="164.75857039864297"/>
    <m/>
    <n v="280"/>
  </r>
  <r>
    <n v="5"/>
    <n v="2024"/>
    <s v="Auction"/>
    <s v="VROLIJK BLOEMEN"/>
    <s v="VROLIJK BLOEMEN"/>
    <x v="26"/>
    <s v="Floribunda Roses"/>
    <s v="90CM"/>
    <n v="1"/>
    <n v="7.1999999999999993"/>
    <n v="120"/>
    <n v="0.15"/>
    <n v="18"/>
    <s v="EUR"/>
    <m/>
    <m/>
    <x v="6"/>
    <n v="0"/>
    <x v="2"/>
    <x v="3"/>
    <n v="120"/>
    <n v="0.85"/>
    <n v="102"/>
    <n v="-6.0291603053435097"/>
    <n v="95.97083969465649"/>
    <x v="6"/>
    <n v="0"/>
    <m/>
    <s v="F079061"/>
    <n v="26.034333333333333"/>
    <m/>
    <n v="2.4"/>
    <m/>
    <n v="28.434333333333331"/>
    <n v="67.536506361323163"/>
    <m/>
    <n v="120"/>
  </r>
  <r>
    <n v="5"/>
    <n v="2024"/>
    <s v="Auction"/>
    <s v="VROLIJK BLOEMEN"/>
    <s v="VROLIJK BLOEMEN"/>
    <x v="26"/>
    <s v="Floribunda Roses"/>
    <s v="110CM"/>
    <m/>
    <n v="4.8000000000000007"/>
    <n v="80"/>
    <n v="0.15"/>
    <n v="12"/>
    <s v="EUR"/>
    <m/>
    <m/>
    <x v="6"/>
    <n v="0"/>
    <x v="2"/>
    <x v="6"/>
    <n v="80"/>
    <n v="0.94000000000000006"/>
    <n v="75.2"/>
    <n v="-4.0194402035623398"/>
    <n v="71.180559796437663"/>
    <x v="6"/>
    <n v="0"/>
    <m/>
    <s v="F079061"/>
    <n v="17.356222222222225"/>
    <m/>
    <n v="1.6"/>
    <m/>
    <n v="18.956222222222227"/>
    <n v="52.22433757421544"/>
    <m/>
    <n v="80"/>
  </r>
  <r>
    <n v="5"/>
    <n v="2024"/>
    <s v="Auction"/>
    <s v="VROLIJK BLOEMEN"/>
    <s v="VROLIJK BLOEMEN"/>
    <x v="26"/>
    <s v="Grandiflora Roses"/>
    <s v="50CM"/>
    <n v="1"/>
    <n v="8"/>
    <n v="480"/>
    <n v="0.15"/>
    <n v="72"/>
    <s v="EUR"/>
    <m/>
    <m/>
    <x v="6"/>
    <n v="0"/>
    <x v="0"/>
    <x v="5"/>
    <n v="480"/>
    <n v="0.31"/>
    <n v="148.80000000000001"/>
    <n v="-24.116641221374039"/>
    <n v="124.68335877862597"/>
    <x v="6"/>
    <n v="0"/>
    <m/>
    <s v="F079061"/>
    <n v="28.927037037037035"/>
    <m/>
    <n v="9.6"/>
    <m/>
    <n v="38.527037037037033"/>
    <n v="86.15632174158894"/>
    <m/>
    <n v="480"/>
  </r>
  <r>
    <n v="5"/>
    <n v="2024"/>
    <s v="Auction"/>
    <s v="VROLIJK BLOEMEN"/>
    <s v="VROLIJK BLOEMEN"/>
    <x v="26"/>
    <s v="Grandiflora Roses"/>
    <s v="70CM"/>
    <m/>
    <n v="4"/>
    <n v="240"/>
    <n v="0.15"/>
    <n v="36"/>
    <s v="EUR"/>
    <m/>
    <m/>
    <x v="6"/>
    <n v="-120"/>
    <x v="0"/>
    <x v="1"/>
    <n v="360"/>
    <n v="0.66"/>
    <n v="237.60000000000002"/>
    <n v="-18.087480916030529"/>
    <n v="219.51251908396949"/>
    <x v="6"/>
    <n v="120"/>
    <m/>
    <s v="F079061"/>
    <n v="14.463518518518518"/>
    <m/>
    <n v="7.2"/>
    <m/>
    <n v="21.663518518518519"/>
    <n v="197.84900056545098"/>
    <m/>
    <n v="360"/>
  </r>
  <r>
    <n v="5"/>
    <n v="2024"/>
    <s v="Auction"/>
    <s v="VROLIJK BLOEMEN"/>
    <s v="VROLIJK BLOEMEN"/>
    <x v="26"/>
    <s v="Floribunda Roses"/>
    <s v="80CM"/>
    <n v="1"/>
    <n v="3"/>
    <n v="80"/>
    <n v="0.15"/>
    <n v="12"/>
    <s v="EUR"/>
    <m/>
    <m/>
    <x v="6"/>
    <n v="80"/>
    <x v="2"/>
    <x v="2"/>
    <m/>
    <m/>
    <n v="0"/>
    <n v="0"/>
    <n v="0"/>
    <x v="6"/>
    <n v="-80"/>
    <m/>
    <s v="F079061"/>
    <n v="10.847638888888888"/>
    <m/>
    <n v="0"/>
    <m/>
    <n v="10.847638888888888"/>
    <n v="-10.847638888888888"/>
    <m/>
    <n v="0"/>
  </r>
  <r>
    <n v="5"/>
    <n v="2024"/>
    <s v="Auction"/>
    <s v="VROLIJK BLOEMEN"/>
    <s v="VROLIJK BLOEMEN"/>
    <x v="26"/>
    <s v="Floribunda Roses"/>
    <s v="70CM"/>
    <m/>
    <n v="9"/>
    <n v="240"/>
    <n v="0.15"/>
    <n v="36"/>
    <s v="EUR"/>
    <m/>
    <m/>
    <x v="6"/>
    <n v="240"/>
    <x v="2"/>
    <x v="1"/>
    <m/>
    <m/>
    <n v="0"/>
    <n v="0"/>
    <n v="0"/>
    <x v="6"/>
    <n v="-240"/>
    <m/>
    <s v="F079061"/>
    <n v="32.542916666666663"/>
    <m/>
    <n v="0"/>
    <m/>
    <n v="32.542916666666663"/>
    <n v="-32.542916666666663"/>
    <m/>
    <n v="0"/>
  </r>
  <r>
    <n v="5"/>
    <n v="2024"/>
    <s v="Auction"/>
    <s v="VROLIJK BLOEMEN"/>
    <s v="VROLIJK BLOEMEN"/>
    <x v="27"/>
    <s v="Floribunda Roses"/>
    <s v="50CM"/>
    <n v="1"/>
    <n v="12"/>
    <n v="520"/>
    <n v="0.15"/>
    <n v="78"/>
    <s v="EUR"/>
    <m/>
    <m/>
    <x v="6"/>
    <n v="520"/>
    <x v="2"/>
    <x v="5"/>
    <m/>
    <m/>
    <n v="0"/>
    <n v="0"/>
    <n v="0"/>
    <x v="6"/>
    <n v="-520"/>
    <m/>
    <s v="F079185"/>
    <n v="45.064"/>
    <m/>
    <n v="0"/>
    <m/>
    <n v="45.064"/>
    <n v="-45.064"/>
    <m/>
    <n v="0"/>
  </r>
  <r>
    <n v="5"/>
    <n v="2024"/>
    <s v="Auction"/>
    <s v="VROLIJK BLOEMEN"/>
    <s v="VROLIJK BLOEMEN"/>
    <x v="27"/>
    <s v="Floribunda Roses"/>
    <s v="60CM"/>
    <n v="1"/>
    <n v="12"/>
    <n v="520"/>
    <n v="0.15"/>
    <n v="78"/>
    <s v="EUR"/>
    <m/>
    <m/>
    <x v="6"/>
    <n v="160"/>
    <x v="2"/>
    <x v="0"/>
    <n v="360"/>
    <n v="0.67888888888888888"/>
    <n v="244.4"/>
    <n v="-17.970666666666663"/>
    <n v="226.42933333333335"/>
    <x v="6"/>
    <n v="-160"/>
    <m/>
    <s v="F079185"/>
    <n v="45.064"/>
    <m/>
    <n v="7.2"/>
    <m/>
    <n v="52.264000000000003"/>
    <n v="174.16533333333334"/>
    <m/>
    <n v="360"/>
  </r>
  <r>
    <n v="5"/>
    <n v="2024"/>
    <s v="Auction"/>
    <s v="VROLIJK BLOEMEN"/>
    <s v="VROLIJK BLOEMEN"/>
    <x v="27"/>
    <s v="Floribunda Roses"/>
    <s v="50CM"/>
    <n v="1"/>
    <n v="12"/>
    <n v="600"/>
    <n v="0.15"/>
    <n v="90"/>
    <s v="EUR"/>
    <m/>
    <m/>
    <x v="6"/>
    <n v="-840"/>
    <x v="2"/>
    <x v="5"/>
    <n v="1440"/>
    <n v="0.37"/>
    <n v="532.79999999999995"/>
    <n v="-71.882666666666651"/>
    <n v="460.91733333333332"/>
    <x v="6"/>
    <n v="840"/>
    <m/>
    <s v="F079185"/>
    <n v="45.064"/>
    <m/>
    <n v="28.8"/>
    <m/>
    <n v="73.864000000000004"/>
    <n v="387.05333333333328"/>
    <m/>
    <n v="1440"/>
  </r>
  <r>
    <n v="5"/>
    <n v="2024"/>
    <s v="Auction"/>
    <s v="VROLIJK BLOEMEN"/>
    <s v="VROLIJK BLOEMEN"/>
    <x v="27"/>
    <s v="Grandiflora Roses"/>
    <s v="50CM"/>
    <n v="1"/>
    <n v="12"/>
    <n v="800"/>
    <n v="0.15"/>
    <n v="120"/>
    <s v="EUR"/>
    <m/>
    <m/>
    <x v="6"/>
    <n v="0"/>
    <x v="0"/>
    <x v="5"/>
    <n v="800"/>
    <n v="0.374"/>
    <n v="299.2"/>
    <n v="-39.934814814814807"/>
    <n v="259.2651851851852"/>
    <x v="6"/>
    <n v="0"/>
    <m/>
    <s v="F079185"/>
    <n v="45.064"/>
    <m/>
    <n v="16"/>
    <m/>
    <n v="61.064"/>
    <n v="198.20118518518521"/>
    <m/>
    <n v="800"/>
  </r>
  <r>
    <n v="5"/>
    <n v="2024"/>
    <s v="Auction"/>
    <s v="VROLIJK BLOEMEN"/>
    <s v="VROLIJK BLOEMEN"/>
    <x v="27"/>
    <s v="Moss Roses"/>
    <s v="80CM"/>
    <n v="1"/>
    <n v="2.6666666666666665"/>
    <n v="80"/>
    <n v="0.15"/>
    <n v="12"/>
    <s v="EUR"/>
    <m/>
    <m/>
    <x v="6"/>
    <n v="0"/>
    <x v="4"/>
    <x v="2"/>
    <n v="80"/>
    <n v="1.1099999999999999"/>
    <n v="88.799999999999983"/>
    <n v="-3.9934814814814805"/>
    <n v="84.806518518518502"/>
    <x v="6"/>
    <n v="0"/>
    <m/>
    <s v="F079185"/>
    <n v="10.014222222222221"/>
    <m/>
    <n v="1.6"/>
    <m/>
    <n v="11.614222222222221"/>
    <n v="73.192296296296277"/>
    <m/>
    <n v="80"/>
  </r>
  <r>
    <n v="5"/>
    <n v="2024"/>
    <s v="Auction"/>
    <s v="VROLIJK BLOEMEN"/>
    <s v="VROLIJK BLOEMEN"/>
    <x v="27"/>
    <s v="Moss Roses"/>
    <s v="90CM"/>
    <m/>
    <n v="1.3333333333333333"/>
    <n v="40"/>
    <n v="0.15"/>
    <n v="6"/>
    <s v="EUR"/>
    <m/>
    <m/>
    <x v="6"/>
    <n v="0"/>
    <x v="4"/>
    <x v="3"/>
    <n v="40"/>
    <n v="1.03"/>
    <n v="41.2"/>
    <n v="-1.9967407407407403"/>
    <n v="39.203259259259262"/>
    <x v="6"/>
    <n v="0"/>
    <m/>
    <s v="F079185"/>
    <n v="5.0071111111111106"/>
    <m/>
    <n v="0.8"/>
    <m/>
    <n v="5.8071111111111104"/>
    <n v="33.39614814814815"/>
    <m/>
    <n v="40"/>
  </r>
  <r>
    <n v="5"/>
    <n v="2024"/>
    <s v="Auction"/>
    <s v="VROLIJK BLOEMEN"/>
    <s v="VROLIJK BLOEMEN"/>
    <x v="27"/>
    <s v="Moss Roses"/>
    <s v="70CM"/>
    <m/>
    <n v="4"/>
    <n v="120"/>
    <n v="0.15"/>
    <n v="18"/>
    <s v="EUR"/>
    <m/>
    <m/>
    <x v="6"/>
    <n v="0"/>
    <x v="4"/>
    <x v="1"/>
    <n v="120"/>
    <n v="0.96000000000000008"/>
    <n v="115.2"/>
    <n v="-5.9902222222222212"/>
    <n v="109.20977777777779"/>
    <x v="6"/>
    <n v="0"/>
    <m/>
    <s v="F079185"/>
    <n v="15.021333333333333"/>
    <m/>
    <n v="2.4"/>
    <m/>
    <n v="17.421333333333333"/>
    <n v="91.788444444444451"/>
    <m/>
    <n v="120"/>
  </r>
  <r>
    <n v="5"/>
    <n v="2024"/>
    <s v="Auction"/>
    <s v="VROLIJK BLOEMEN"/>
    <s v="VROLIJK BLOEMEN"/>
    <x v="27"/>
    <s v="Moss Roses"/>
    <s v="60CM"/>
    <m/>
    <n v="4"/>
    <n v="120"/>
    <n v="0.15"/>
    <n v="18"/>
    <s v="EUR"/>
    <m/>
    <m/>
    <x v="6"/>
    <n v="0"/>
    <x v="4"/>
    <x v="0"/>
    <n v="120"/>
    <n v="0.77333333333333332"/>
    <n v="92.8"/>
    <n v="-5.9902222222222212"/>
    <n v="86.809777777777782"/>
    <x v="6"/>
    <n v="0"/>
    <m/>
    <s v="F079185"/>
    <n v="15.021333333333333"/>
    <m/>
    <n v="2.4"/>
    <m/>
    <n v="17.421333333333333"/>
    <n v="69.388444444444445"/>
    <m/>
    <n v="120"/>
  </r>
  <r>
    <n v="5"/>
    <n v="2024"/>
    <s v="Auction"/>
    <s v="VROLIJK BLOEMEN"/>
    <s v="VROLIJK BLOEMEN"/>
    <x v="27"/>
    <s v="English Roses"/>
    <s v="70CM"/>
    <n v="1"/>
    <n v="8"/>
    <n v="240"/>
    <n v="0.15"/>
    <n v="36"/>
    <s v="EUR"/>
    <m/>
    <m/>
    <x v="6"/>
    <n v="0"/>
    <x v="1"/>
    <x v="1"/>
    <n v="240"/>
    <n v="0.88666666666666671"/>
    <n v="212.8"/>
    <n v="-11.980444444444442"/>
    <n v="200.81955555555558"/>
    <x v="6"/>
    <n v="0"/>
    <m/>
    <s v="F079185"/>
    <n v="30.042666666666666"/>
    <m/>
    <n v="4.8"/>
    <m/>
    <n v="34.842666666666666"/>
    <n v="165.97688888888891"/>
    <m/>
    <n v="240"/>
  </r>
  <r>
    <n v="5"/>
    <n v="2024"/>
    <s v="Auction"/>
    <s v="VROLIJK BLOEMEN"/>
    <s v="VROLIJK BLOEMEN"/>
    <x v="27"/>
    <s v="English Roses"/>
    <s v="80CM"/>
    <m/>
    <n v="4"/>
    <n v="120"/>
    <n v="0.15"/>
    <n v="18"/>
    <s v="EUR"/>
    <m/>
    <m/>
    <x v="6"/>
    <n v="0"/>
    <x v="1"/>
    <x v="2"/>
    <n v="120"/>
    <n v="1.0266666666666666"/>
    <n v="123.19999999999999"/>
    <n v="-5.9902222222222212"/>
    <n v="117.20977777777777"/>
    <x v="6"/>
    <n v="0"/>
    <m/>
    <s v="F079185"/>
    <n v="15.021333333333333"/>
    <m/>
    <n v="2.4"/>
    <m/>
    <n v="17.421333333333333"/>
    <n v="99.788444444444437"/>
    <m/>
    <n v="120"/>
  </r>
  <r>
    <n v="5"/>
    <n v="2024"/>
    <s v="Auction"/>
    <s v="VROLIJK BLOEMEN"/>
    <s v="VROLIJK BLOEMEN"/>
    <x v="27"/>
    <s v="English Roses"/>
    <s v="60CM"/>
    <n v="1"/>
    <n v="7.5"/>
    <n v="400"/>
    <n v="0.15"/>
    <n v="60"/>
    <s v="EUR"/>
    <m/>
    <m/>
    <x v="6"/>
    <n v="0"/>
    <x v="1"/>
    <x v="0"/>
    <n v="400"/>
    <n v="0.65"/>
    <n v="260"/>
    <n v="-19.967407407407403"/>
    <n v="240.03259259259261"/>
    <x v="6"/>
    <n v="0"/>
    <m/>
    <s v="F079185"/>
    <n v="28.164999999999999"/>
    <m/>
    <n v="8"/>
    <m/>
    <n v="36.164999999999999"/>
    <n v="203.86759259259262"/>
    <m/>
    <n v="400"/>
  </r>
  <r>
    <n v="5"/>
    <n v="2024"/>
    <s v="Auction"/>
    <s v="VROLIJK BLOEMEN"/>
    <s v="VROLIJK BLOEMEN"/>
    <x v="27"/>
    <s v="English Roses"/>
    <s v="50CM"/>
    <m/>
    <n v="4.5"/>
    <n v="240"/>
    <n v="0.15"/>
    <n v="36"/>
    <s v="EUR"/>
    <m/>
    <m/>
    <x v="6"/>
    <n v="0"/>
    <x v="1"/>
    <x v="5"/>
    <n v="240"/>
    <n v="0.37"/>
    <n v="88.8"/>
    <n v="-11.980444444444442"/>
    <n v="76.819555555555553"/>
    <x v="6"/>
    <n v="0"/>
    <m/>
    <s v="F079185"/>
    <n v="16.898999999999997"/>
    <m/>
    <n v="4.8"/>
    <m/>
    <n v="21.698999999999998"/>
    <n v="55.120555555555555"/>
    <m/>
    <n v="240"/>
  </r>
  <r>
    <n v="5"/>
    <n v="2024"/>
    <s v="Auction"/>
    <s v="VROLIJK BLOEMEN"/>
    <s v="VROLIJK BLOEMEN"/>
    <x v="27"/>
    <s v="Grandiflora Roses"/>
    <s v="60CM"/>
    <n v="1"/>
    <n v="6.3529411764705888"/>
    <n v="360"/>
    <n v="0.15"/>
    <n v="54"/>
    <s v="EUR"/>
    <m/>
    <m/>
    <x v="6"/>
    <n v="0"/>
    <x v="0"/>
    <x v="0"/>
    <n v="360"/>
    <n v="0.54888888888888887"/>
    <n v="197.6"/>
    <n v="-17.970666666666663"/>
    <n v="179.62933333333334"/>
    <x v="6"/>
    <n v="0"/>
    <m/>
    <s v="F079185"/>
    <n v="23.857411764705883"/>
    <m/>
    <n v="7.2"/>
    <m/>
    <n v="31.057411764705883"/>
    <n v="148.57192156862746"/>
    <m/>
    <n v="360"/>
  </r>
  <r>
    <n v="5"/>
    <n v="2024"/>
    <s v="Auction"/>
    <s v="VROLIJK BLOEMEN"/>
    <s v="VROLIJK BLOEMEN"/>
    <x v="27"/>
    <s v="Grandiflora Roses"/>
    <s v="70CM"/>
    <m/>
    <n v="5.6470588235294112"/>
    <n v="320"/>
    <n v="0.15"/>
    <n v="48"/>
    <s v="EUR"/>
    <m/>
    <m/>
    <x v="6"/>
    <n v="0"/>
    <x v="0"/>
    <x v="1"/>
    <n v="320"/>
    <n v="0.76500000000000001"/>
    <n v="244.8"/>
    <n v="-15.973925925925922"/>
    <n v="228.82607407407409"/>
    <x v="6"/>
    <n v="0"/>
    <m/>
    <s v="F079185"/>
    <n v="21.206588235294113"/>
    <m/>
    <n v="6.4"/>
    <m/>
    <n v="27.606588235294112"/>
    <n v="201.21948583877997"/>
    <m/>
    <n v="320"/>
  </r>
  <r>
    <n v="5"/>
    <n v="2024"/>
    <s v="Auction"/>
    <s v="VROLIJK BLOEMEN"/>
    <s v="VROLIJK BLOEMEN"/>
    <x v="27"/>
    <s v="Floribunda Roses"/>
    <s v="50CM"/>
    <n v="1"/>
    <n v="7.384615384615385"/>
    <n v="320"/>
    <n v="0.15"/>
    <n v="48"/>
    <s v="EUR"/>
    <m/>
    <m/>
    <x v="6"/>
    <n v="320"/>
    <x v="2"/>
    <x v="5"/>
    <m/>
    <m/>
    <n v="0"/>
    <n v="0"/>
    <n v="0"/>
    <x v="6"/>
    <n v="-320"/>
    <m/>
    <s v="F079185"/>
    <n v="27.73169230769231"/>
    <m/>
    <n v="0"/>
    <m/>
    <n v="27.73169230769231"/>
    <n v="-27.73169230769231"/>
    <m/>
    <n v="0"/>
  </r>
  <r>
    <n v="5"/>
    <n v="2024"/>
    <s v="Auction"/>
    <s v="VROLIJK BLOEMEN"/>
    <s v="VROLIJK BLOEMEN"/>
    <x v="27"/>
    <s v="Floribunda Roses"/>
    <s v="60CM"/>
    <m/>
    <n v="4.6153846153846159"/>
    <n v="200"/>
    <n v="0.15"/>
    <n v="30"/>
    <s v="EUR"/>
    <m/>
    <m/>
    <x v="6"/>
    <n v="-160"/>
    <x v="2"/>
    <x v="0"/>
    <n v="360"/>
    <n v="0.77"/>
    <n v="277.2"/>
    <n v="-17.970666666666663"/>
    <n v="259.22933333333333"/>
    <x v="6"/>
    <n v="160"/>
    <m/>
    <s v="F079185"/>
    <n v="17.332307692307694"/>
    <m/>
    <n v="7.2"/>
    <m/>
    <n v="24.532307692307693"/>
    <n v="234.69702564102565"/>
    <m/>
    <n v="360"/>
  </r>
  <r>
    <n v="5"/>
    <n v="2024"/>
    <s v="Auction"/>
    <s v="VROLIJK BLOEMEN"/>
    <s v="VROLIJK BLOEMEN"/>
    <x v="27"/>
    <s v="Grandiflora Roses"/>
    <s v="80CM"/>
    <n v="1"/>
    <n v="6"/>
    <n v="200"/>
    <n v="0.15"/>
    <n v="30"/>
    <s v="EUR"/>
    <m/>
    <m/>
    <x v="6"/>
    <n v="0"/>
    <x v="0"/>
    <x v="2"/>
    <n v="200"/>
    <n v="0.878"/>
    <n v="175.6"/>
    <n v="-9.9837037037037017"/>
    <n v="165.6162962962963"/>
    <x v="6"/>
    <n v="0"/>
    <m/>
    <s v="F079185"/>
    <n v="22.532"/>
    <m/>
    <n v="4"/>
    <m/>
    <n v="26.532"/>
    <n v="139.08429629629629"/>
    <m/>
    <n v="200"/>
  </r>
  <r>
    <n v="5"/>
    <n v="2024"/>
    <s v="Auction"/>
    <s v="VROLIJK BLOEMEN"/>
    <s v="VROLIJK BLOEMEN"/>
    <x v="27"/>
    <s v="Grandiflora Roses"/>
    <s v="90CM"/>
    <m/>
    <n v="3.5999999999999996"/>
    <n v="120"/>
    <n v="0.15"/>
    <n v="18"/>
    <s v="EUR"/>
    <m/>
    <m/>
    <x v="6"/>
    <n v="0"/>
    <x v="0"/>
    <x v="3"/>
    <n v="120"/>
    <n v="0.94"/>
    <n v="112.8"/>
    <n v="-5.9902222222222212"/>
    <n v="106.80977777777778"/>
    <x v="6"/>
    <n v="0"/>
    <m/>
    <s v="F079185"/>
    <n v="13.519199999999998"/>
    <m/>
    <n v="2.4"/>
    <m/>
    <n v="15.919199999999998"/>
    <n v="90.890577777777779"/>
    <m/>
    <n v="120"/>
  </r>
  <r>
    <n v="5"/>
    <n v="2024"/>
    <s v="Auction"/>
    <s v="VROLIJK BLOEMEN"/>
    <s v="VROLIJK BLOEMEN"/>
    <x v="27"/>
    <s v="Grandiflora Roses"/>
    <s v="100CM"/>
    <m/>
    <n v="1.2000000000000002"/>
    <n v="40"/>
    <n v="0.15"/>
    <n v="6"/>
    <s v="EUR"/>
    <m/>
    <m/>
    <x v="6"/>
    <n v="-40"/>
    <x v="0"/>
    <x v="4"/>
    <n v="80"/>
    <n v="1.01"/>
    <n v="80.8"/>
    <n v="-3.9934814814814805"/>
    <n v="76.806518518518516"/>
    <x v="6"/>
    <n v="40"/>
    <m/>
    <s v="F079185"/>
    <n v="4.5064000000000011"/>
    <m/>
    <n v="1.6"/>
    <m/>
    <n v="6.1064000000000007"/>
    <n v="70.700118518518508"/>
    <m/>
    <n v="80"/>
  </r>
  <r>
    <n v="5"/>
    <n v="2024"/>
    <s v="Auction"/>
    <s v="VROLIJK BLOEMEN"/>
    <s v="VROLIJK BLOEMEN"/>
    <x v="27"/>
    <s v="Grandiflora Roses"/>
    <s v="110CM"/>
    <m/>
    <n v="1.2000000000000002"/>
    <n v="40"/>
    <n v="0.15"/>
    <n v="6"/>
    <s v="EUR"/>
    <m/>
    <m/>
    <x v="6"/>
    <n v="40"/>
    <x v="0"/>
    <x v="6"/>
    <m/>
    <m/>
    <n v="0"/>
    <n v="0"/>
    <n v="0"/>
    <x v="6"/>
    <n v="-40"/>
    <m/>
    <s v="F079185"/>
    <n v="4.5064000000000011"/>
    <m/>
    <n v="0"/>
    <m/>
    <n v="4.5064000000000011"/>
    <n v="-4.5064000000000011"/>
    <m/>
    <n v="0"/>
  </r>
  <r>
    <n v="5"/>
    <n v="2024"/>
    <s v="Auction"/>
    <s v="VROLIJK BLOEMEN"/>
    <s v="VROLIJK BLOEMEN"/>
    <x v="28"/>
    <s v="Floribunda Roses"/>
    <s v="50CM"/>
    <n v="2"/>
    <n v="24"/>
    <n v="1200"/>
    <n v="0.15"/>
    <n v="180"/>
    <s v="EUR"/>
    <m/>
    <m/>
    <x v="5"/>
    <n v="-40"/>
    <x v="2"/>
    <x v="5"/>
    <n v="1240"/>
    <n v="0.41612903225806452"/>
    <n v="516"/>
    <n v="-51.269649122807003"/>
    <n v="464.73035087719302"/>
    <x v="5"/>
    <n v="40"/>
    <m/>
    <n v="425970"/>
    <n v="82.916666666666657"/>
    <m/>
    <n v="24.8"/>
    <m/>
    <n v="107.71666666666665"/>
    <n v="357.01368421052638"/>
    <m/>
    <n v="1240"/>
  </r>
  <r>
    <n v="5"/>
    <n v="2024"/>
    <s v="Auction"/>
    <s v="VROLIJK BLOEMEN"/>
    <s v="VROLIJK BLOEMEN"/>
    <x v="28"/>
    <s v="Floribunda Roses"/>
    <s v="60CM"/>
    <n v="2"/>
    <n v="24"/>
    <n v="1040"/>
    <n v="0.15"/>
    <n v="156"/>
    <s v="EUR"/>
    <m/>
    <m/>
    <x v="5"/>
    <n v="-200"/>
    <x v="2"/>
    <x v="0"/>
    <n v="1240"/>
    <n v="0.73129032258064508"/>
    <n v="906.8"/>
    <n v="-51.269649122807003"/>
    <n v="855.53035087719297"/>
    <x v="5"/>
    <n v="200"/>
    <m/>
    <n v="425970"/>
    <n v="82.916666666666657"/>
    <m/>
    <n v="24.8"/>
    <m/>
    <n v="107.71666666666665"/>
    <n v="747.81368421052628"/>
    <m/>
    <n v="1240"/>
  </r>
  <r>
    <n v="5"/>
    <n v="2024"/>
    <s v="Auction"/>
    <s v="VROLIJK BLOEMEN"/>
    <s v="VROLIJK BLOEMEN"/>
    <x v="28"/>
    <s v="English Roses"/>
    <s v="50CM"/>
    <n v="1"/>
    <n v="12"/>
    <n v="600"/>
    <n v="0.15"/>
    <n v="90"/>
    <s v="EUR"/>
    <m/>
    <m/>
    <x v="5"/>
    <n v="0"/>
    <x v="1"/>
    <x v="5"/>
    <n v="600"/>
    <n v="0.316"/>
    <n v="189.6"/>
    <n v="-24.807894736842101"/>
    <n v="164.79210526315791"/>
    <x v="5"/>
    <n v="0"/>
    <m/>
    <n v="425970"/>
    <n v="41.458333333333329"/>
    <m/>
    <n v="12"/>
    <m/>
    <n v="53.458333333333329"/>
    <n v="111.33377192982458"/>
    <m/>
    <n v="600"/>
  </r>
  <r>
    <n v="5"/>
    <n v="2024"/>
    <s v="Auction"/>
    <s v="VROLIJK BLOEMEN"/>
    <s v="VROLIJK BLOEMEN"/>
    <x v="28"/>
    <s v="English Roses"/>
    <s v="60CM"/>
    <n v="1"/>
    <n v="12"/>
    <n v="480"/>
    <n v="0.15"/>
    <n v="72"/>
    <s v="EUR"/>
    <m/>
    <m/>
    <x v="5"/>
    <n v="0"/>
    <x v="1"/>
    <x v="0"/>
    <n v="480"/>
    <n v="0.55499999999999994"/>
    <n v="266.39999999999998"/>
    <n v="-19.846315789473682"/>
    <n v="246.55368421052628"/>
    <x v="5"/>
    <n v="0"/>
    <m/>
    <n v="425970"/>
    <n v="41.458333333333329"/>
    <m/>
    <n v="9.6"/>
    <m/>
    <n v="51.05833333333333"/>
    <n v="195.49535087719295"/>
    <m/>
    <n v="480"/>
  </r>
  <r>
    <n v="5"/>
    <n v="2024"/>
    <s v="Auction"/>
    <s v="VROLIJK BLOEMEN"/>
    <s v="VROLIJK BLOEMEN"/>
    <x v="28"/>
    <s v="Grandiflora Roses"/>
    <s v="60CM"/>
    <n v="1"/>
    <n v="12"/>
    <n v="720"/>
    <n v="0.15"/>
    <n v="108"/>
    <s v="EUR"/>
    <m/>
    <m/>
    <x v="5"/>
    <n v="-240"/>
    <x v="0"/>
    <x v="0"/>
    <n v="960"/>
    <n v="0.48583333333333328"/>
    <n v="466.4"/>
    <n v="-39.692631578947363"/>
    <n v="426.70736842105259"/>
    <x v="5"/>
    <n v="240"/>
    <m/>
    <n v="425970"/>
    <n v="41.458333333333329"/>
    <m/>
    <n v="19.2"/>
    <m/>
    <n v="60.658333333333331"/>
    <n v="366.04903508771929"/>
    <m/>
    <n v="960"/>
  </r>
  <r>
    <n v="5"/>
    <n v="2024"/>
    <s v="Auction"/>
    <s v="VROLIJK BLOEMEN"/>
    <s v="VROLIJK BLOEMEN"/>
    <x v="28"/>
    <s v="Grandiflora Roses"/>
    <s v="50CM"/>
    <n v="1"/>
    <n v="12"/>
    <n v="920"/>
    <n v="0.15"/>
    <n v="138"/>
    <s v="EUR"/>
    <m/>
    <m/>
    <x v="5"/>
    <n v="-320"/>
    <x v="0"/>
    <x v="5"/>
    <n v="1240"/>
    <n v="0.23258064516129032"/>
    <n v="288.39999999999998"/>
    <n v="-51.269649122807003"/>
    <n v="237.13035087719297"/>
    <x v="5"/>
    <n v="320"/>
    <m/>
    <n v="425970"/>
    <n v="41.458333333333329"/>
    <m/>
    <n v="24.8"/>
    <m/>
    <n v="66.258333333333326"/>
    <n v="170.87201754385964"/>
    <m/>
    <n v="1240"/>
  </r>
  <r>
    <n v="5"/>
    <n v="2024"/>
    <s v="Auction"/>
    <s v="VROLIJK BLOEMEN"/>
    <s v="VROLIJK BLOEMEN"/>
    <x v="28"/>
    <s v="Grandiflora Roses"/>
    <s v="90CM"/>
    <n v="1"/>
    <n v="12"/>
    <n v="360"/>
    <n v="0.15"/>
    <n v="54"/>
    <s v="EUR"/>
    <m/>
    <m/>
    <x v="5"/>
    <n v="40"/>
    <x v="0"/>
    <x v="3"/>
    <n v="320"/>
    <n v="0.62"/>
    <n v="198.4"/>
    <n v="-13.230877192982454"/>
    <n v="185.16912280701754"/>
    <x v="5"/>
    <n v="-40"/>
    <m/>
    <n v="425970"/>
    <n v="41.458333333333329"/>
    <m/>
    <n v="6.4"/>
    <m/>
    <n v="47.858333333333327"/>
    <n v="137.31078947368422"/>
    <m/>
    <n v="320"/>
  </r>
  <r>
    <n v="5"/>
    <n v="2024"/>
    <s v="Auction"/>
    <s v="VROLIJK BLOEMEN"/>
    <s v="VROLIJK BLOEMEN"/>
    <x v="28"/>
    <s v="Floribunda Roses"/>
    <s v="60CM"/>
    <n v="1"/>
    <n v="6"/>
    <n v="200"/>
    <n v="0.15"/>
    <n v="30"/>
    <s v="EUR"/>
    <m/>
    <m/>
    <x v="5"/>
    <n v="200"/>
    <x v="2"/>
    <x v="0"/>
    <m/>
    <m/>
    <n v="0"/>
    <n v="0"/>
    <n v="0"/>
    <x v="5"/>
    <n v="-200"/>
    <m/>
    <n v="425970"/>
    <n v="20.729166666666664"/>
    <m/>
    <n v="0"/>
    <m/>
    <n v="20.729166666666664"/>
    <n v="-20.729166666666664"/>
    <m/>
    <n v="0"/>
  </r>
  <r>
    <n v="5"/>
    <n v="2024"/>
    <s v="Auction"/>
    <s v="VROLIJK BLOEMEN"/>
    <s v="VROLIJK BLOEMEN"/>
    <x v="28"/>
    <s v="Floribunda Roses"/>
    <s v="90CM"/>
    <m/>
    <n v="6"/>
    <n v="200"/>
    <n v="0.15"/>
    <n v="30"/>
    <s v="EUR"/>
    <m/>
    <m/>
    <x v="5"/>
    <n v="0"/>
    <x v="2"/>
    <x v="3"/>
    <n v="200"/>
    <n v="1.016"/>
    <n v="203.2"/>
    <n v="-8.2692982456140331"/>
    <n v="194.93070175438595"/>
    <x v="5"/>
    <n v="0"/>
    <m/>
    <n v="425970"/>
    <n v="20.729166666666664"/>
    <m/>
    <n v="4"/>
    <m/>
    <n v="24.729166666666664"/>
    <n v="170.20153508771929"/>
    <m/>
    <n v="200"/>
  </r>
  <r>
    <n v="5"/>
    <n v="2024"/>
    <s v="Auction"/>
    <s v="VROLIJK BLOEMEN"/>
    <s v="VROLIJK BLOEMEN"/>
    <x v="28"/>
    <s v="Grandiflora Roses"/>
    <s v="70CM"/>
    <n v="1"/>
    <n v="6.4615384615384617"/>
    <n v="280"/>
    <n v="0.15"/>
    <n v="42"/>
    <s v="EUR"/>
    <m/>
    <m/>
    <x v="5"/>
    <n v="0"/>
    <x v="0"/>
    <x v="1"/>
    <n v="280"/>
    <n v="0.48999999999999994"/>
    <n v="137.19999999999999"/>
    <n v="-11.577017543859647"/>
    <n v="125.62298245614033"/>
    <x v="5"/>
    <n v="0"/>
    <m/>
    <n v="425970"/>
    <n v="22.323717948717949"/>
    <m/>
    <n v="5.6000000000000005"/>
    <m/>
    <n v="27.92371794871795"/>
    <n v="97.699264507422384"/>
    <m/>
    <n v="280"/>
  </r>
  <r>
    <n v="5"/>
    <n v="2024"/>
    <s v="Auction"/>
    <s v="VROLIJK BLOEMEN"/>
    <s v="VROLIJK BLOEMEN"/>
    <x v="28"/>
    <s v="Grandiflora Roses"/>
    <s v="60CM"/>
    <m/>
    <n v="5.5384615384615383"/>
    <n v="240"/>
    <n v="0.15"/>
    <n v="36"/>
    <s v="EUR"/>
    <m/>
    <m/>
    <x v="5"/>
    <n v="240"/>
    <x v="0"/>
    <x v="0"/>
    <m/>
    <m/>
    <n v="0"/>
    <n v="0"/>
    <n v="0"/>
    <x v="5"/>
    <n v="-240"/>
    <m/>
    <n v="425970"/>
    <n v="19.134615384615387"/>
    <m/>
    <n v="0"/>
    <m/>
    <n v="19.134615384615387"/>
    <n v="-19.134615384615387"/>
    <m/>
    <n v="0"/>
  </r>
  <r>
    <n v="5"/>
    <n v="2024"/>
    <s v="Auction"/>
    <s v="VROLIJK BLOEMEN"/>
    <s v="VROLIJK BLOEMEN"/>
    <x v="28"/>
    <s v="Grandiflora Roses"/>
    <s v="80CM"/>
    <n v="1"/>
    <n v="5.1428571428571423"/>
    <n v="240"/>
    <n v="0.15"/>
    <n v="36"/>
    <s v="EUR"/>
    <m/>
    <m/>
    <x v="5"/>
    <n v="-40"/>
    <x v="0"/>
    <x v="2"/>
    <n v="280"/>
    <n v="0.56142857142857139"/>
    <n v="157.19999999999999"/>
    <n v="-11.577017543859647"/>
    <n v="145.62298245614033"/>
    <x v="5"/>
    <n v="40"/>
    <m/>
    <n v="425970"/>
    <n v="17.767857142857142"/>
    <m/>
    <n v="5.6000000000000005"/>
    <m/>
    <n v="23.367857142857144"/>
    <n v="122.25512531328319"/>
    <m/>
    <n v="280"/>
  </r>
  <r>
    <n v="5"/>
    <n v="2024"/>
    <s v="Auction"/>
    <s v="VROLIJK BLOEMEN"/>
    <s v="VROLIJK BLOEMEN"/>
    <x v="28"/>
    <s v="Grandiflora Roses"/>
    <s v="50CM"/>
    <m/>
    <n v="6.8571428571428568"/>
    <n v="320"/>
    <n v="0.15"/>
    <n v="48"/>
    <s v="EUR"/>
    <m/>
    <m/>
    <x v="5"/>
    <n v="320"/>
    <x v="0"/>
    <x v="5"/>
    <m/>
    <m/>
    <n v="0"/>
    <n v="0"/>
    <n v="0"/>
    <x v="5"/>
    <n v="-320"/>
    <m/>
    <n v="425970"/>
    <n v="23.69047619047619"/>
    <m/>
    <n v="0"/>
    <m/>
    <n v="23.69047619047619"/>
    <n v="-23.69047619047619"/>
    <m/>
    <n v="0"/>
  </r>
  <r>
    <n v="4"/>
    <n v="2024"/>
    <s v="Auction"/>
    <s v="VROLIJK BLOEMEN"/>
    <s v="VROLIJK BLOEMEN"/>
    <x v="29"/>
    <s v="Floribunda Roses"/>
    <s v="60CM"/>
    <n v="4"/>
    <n v="48"/>
    <n v="2080"/>
    <n v="0.15"/>
    <n v="312"/>
    <s v="EUR"/>
    <m/>
    <m/>
    <x v="7"/>
    <n v="160"/>
    <x v="2"/>
    <x v="0"/>
    <n v="1920"/>
    <n v="0.29854166666666671"/>
    <n v="573.20000000000005"/>
    <n v="-76.828085106383071"/>
    <n v="496.37191489361697"/>
    <x v="7"/>
    <n v="-160"/>
    <m/>
    <n v="424705"/>
    <n v="167.68705882352941"/>
    <m/>
    <n v="38.4"/>
    <m/>
    <n v="206.08705882352942"/>
    <n v="290.28485607008759"/>
    <m/>
    <n v="1920"/>
  </r>
  <r>
    <n v="4"/>
    <n v="2024"/>
    <s v="Auction"/>
    <s v="VROLIJK BLOEMEN"/>
    <s v="VROLIJK BLOEMEN"/>
    <x v="29"/>
    <s v="Floribunda Roses"/>
    <s v="60CM"/>
    <n v="1"/>
    <n v="12"/>
    <n v="440"/>
    <n v="0.15"/>
    <n v="66"/>
    <s v="EUR"/>
    <m/>
    <m/>
    <x v="7"/>
    <n v="-160"/>
    <x v="2"/>
    <x v="0"/>
    <n v="600"/>
    <n v="0.19333333333333333"/>
    <n v="116"/>
    <n v="-24.008776595744703"/>
    <n v="91.991223404255294"/>
    <x v="7"/>
    <n v="160"/>
    <m/>
    <n v="424705"/>
    <n v="41.921764705882353"/>
    <m/>
    <n v="12"/>
    <m/>
    <n v="53.921764705882353"/>
    <n v="38.069458698372941"/>
    <m/>
    <n v="600"/>
  </r>
  <r>
    <n v="4"/>
    <n v="2024"/>
    <s v="Auction"/>
    <s v="VROLIJK BLOEMEN"/>
    <s v="VROLIJK BLOEMEN"/>
    <x v="29"/>
    <s v="Floribunda Roses"/>
    <s v="70CM"/>
    <n v="2"/>
    <n v="24"/>
    <n v="800"/>
    <n v="0.15"/>
    <n v="120"/>
    <s v="EUR"/>
    <m/>
    <m/>
    <x v="7"/>
    <n v="360"/>
    <x v="2"/>
    <x v="1"/>
    <n v="440"/>
    <n v="0.56181818181818177"/>
    <n v="247.2"/>
    <n v="-17.606436170212785"/>
    <n v="229.5935638297872"/>
    <x v="7"/>
    <n v="-360"/>
    <m/>
    <n v="424705"/>
    <n v="83.843529411764706"/>
    <m/>
    <n v="8.8000000000000007"/>
    <m/>
    <n v="92.643529411764703"/>
    <n v="136.95003441802248"/>
    <m/>
    <n v="440"/>
  </r>
  <r>
    <n v="4"/>
    <n v="2024"/>
    <s v="Auction"/>
    <s v="VROLIJK BLOEMEN"/>
    <s v="VROLIJK BLOEMEN"/>
    <x v="29"/>
    <s v="Floribunda Roses"/>
    <s v="80CM"/>
    <n v="1"/>
    <n v="12"/>
    <n v="320"/>
    <n v="0.15"/>
    <n v="48"/>
    <s v="EUR"/>
    <m/>
    <m/>
    <x v="7"/>
    <n v="0"/>
    <x v="2"/>
    <x v="2"/>
    <n v="320"/>
    <n v="0.34875"/>
    <n v="111.6"/>
    <n v="-12.804680851063843"/>
    <n v="98.795319148936159"/>
    <x v="7"/>
    <n v="0"/>
    <m/>
    <n v="424705"/>
    <n v="41.921764705882353"/>
    <m/>
    <n v="6.4"/>
    <m/>
    <n v="48.321764705882352"/>
    <n v="50.473554443053807"/>
    <m/>
    <n v="320"/>
  </r>
  <r>
    <n v="4"/>
    <n v="2024"/>
    <s v="Auction"/>
    <s v="VROLIJK BLOEMEN"/>
    <s v="VROLIJK BLOEMEN"/>
    <x v="29"/>
    <s v="Floribunda Roses"/>
    <s v="90CM"/>
    <n v="1"/>
    <n v="12"/>
    <n v="240"/>
    <n v="0.15"/>
    <n v="36"/>
    <s v="EUR"/>
    <m/>
    <m/>
    <x v="7"/>
    <n v="-200"/>
    <x v="2"/>
    <x v="3"/>
    <n v="440"/>
    <n v="0.39727272727272728"/>
    <n v="174.8"/>
    <n v="-17.606436170212785"/>
    <n v="157.19356382978722"/>
    <x v="7"/>
    <n v="200"/>
    <m/>
    <n v="424705"/>
    <n v="41.921764705882353"/>
    <m/>
    <n v="8.8000000000000007"/>
    <m/>
    <n v="50.72176470588235"/>
    <n v="106.47179912390487"/>
    <m/>
    <n v="440"/>
  </r>
  <r>
    <n v="4"/>
    <n v="2024"/>
    <s v="Auction"/>
    <s v="VROLIJK BLOEMEN"/>
    <s v="VROLIJK BLOEMEN"/>
    <x v="29"/>
    <s v="Grandiflora Roses"/>
    <s v="60CM"/>
    <n v="1"/>
    <n v="12"/>
    <n v="720"/>
    <n v="0.15"/>
    <n v="108"/>
    <s v="EUR"/>
    <m/>
    <m/>
    <x v="7"/>
    <n v="160"/>
    <x v="0"/>
    <x v="0"/>
    <n v="560"/>
    <n v="0.29000000000000004"/>
    <n v="162.40000000000003"/>
    <n v="-22.408191489361727"/>
    <n v="139.99180851063829"/>
    <x v="7"/>
    <n v="-160"/>
    <m/>
    <n v="424705"/>
    <n v="41.921764705882353"/>
    <m/>
    <n v="11.200000000000001"/>
    <m/>
    <n v="53.121764705882356"/>
    <n v="86.870043804755937"/>
    <m/>
    <n v="560"/>
  </r>
  <r>
    <n v="4"/>
    <n v="2024"/>
    <s v="Auction"/>
    <s v="VROLIJK BLOEMEN"/>
    <s v="VROLIJK BLOEMEN"/>
    <x v="29"/>
    <s v="Grandiflora Roses"/>
    <s v="70CM"/>
    <n v="1"/>
    <n v="12"/>
    <n v="520"/>
    <n v="0.15"/>
    <n v="78"/>
    <s v="EUR"/>
    <m/>
    <m/>
    <x v="7"/>
    <n v="-240"/>
    <x v="0"/>
    <x v="1"/>
    <n v="760"/>
    <n v="0.35105263157894739"/>
    <n v="266.8"/>
    <n v="-30.411117021276628"/>
    <n v="236.38888297872339"/>
    <x v="7"/>
    <n v="240"/>
    <m/>
    <n v="424705"/>
    <n v="41.921764705882353"/>
    <m/>
    <n v="15.200000000000001"/>
    <m/>
    <n v="57.121764705882356"/>
    <n v="179.26711827284103"/>
    <m/>
    <n v="760"/>
  </r>
  <r>
    <n v="4"/>
    <n v="2024"/>
    <s v="Auction"/>
    <s v="VROLIJK BLOEMEN"/>
    <s v="VROLIJK BLOEMEN"/>
    <x v="29"/>
    <s v="Grandiflora Roses"/>
    <s v="80CM"/>
    <n v="1"/>
    <n v="12"/>
    <n v="360"/>
    <n v="0.15"/>
    <n v="54"/>
    <s v="EUR"/>
    <m/>
    <m/>
    <x v="7"/>
    <n v="0"/>
    <x v="0"/>
    <x v="2"/>
    <n v="360"/>
    <n v="0.38"/>
    <n v="136.80000000000001"/>
    <n v="-14.405265957446822"/>
    <n v="122.39473404255318"/>
    <x v="7"/>
    <n v="0"/>
    <m/>
    <n v="424705"/>
    <n v="41.921764705882353"/>
    <m/>
    <n v="7.2"/>
    <m/>
    <n v="49.121764705882356"/>
    <n v="73.272969336670826"/>
    <m/>
    <n v="360"/>
  </r>
  <r>
    <n v="4"/>
    <n v="2024"/>
    <s v="Auction"/>
    <s v="VROLIJK BLOEMEN"/>
    <s v="VROLIJK BLOEMEN"/>
    <x v="29"/>
    <s v="English Roses"/>
    <s v="60CM"/>
    <n v="1"/>
    <n v="12"/>
    <n v="480"/>
    <n v="0.15"/>
    <n v="72"/>
    <s v="EUR"/>
    <m/>
    <m/>
    <x v="7"/>
    <n v="0"/>
    <x v="1"/>
    <x v="0"/>
    <n v="480"/>
    <n v="0.27916666666666667"/>
    <n v="134"/>
    <n v="-19.207021276595768"/>
    <n v="114.79297872340423"/>
    <x v="7"/>
    <n v="0"/>
    <m/>
    <n v="424705"/>
    <n v="41.921764705882353"/>
    <m/>
    <n v="9.6"/>
    <m/>
    <n v="51.521764705882354"/>
    <n v="63.271214017521878"/>
    <m/>
    <n v="480"/>
  </r>
  <r>
    <n v="4"/>
    <n v="2024"/>
    <s v="Auction"/>
    <s v="VROLIJK BLOEMEN"/>
    <s v="VROLIJK BLOEMEN"/>
    <x v="29"/>
    <s v="English Roses"/>
    <s v="70CM"/>
    <n v="1"/>
    <n v="12"/>
    <n v="400"/>
    <n v="0.15"/>
    <n v="60"/>
    <s v="EUR"/>
    <m/>
    <m/>
    <x v="7"/>
    <n v="0"/>
    <x v="1"/>
    <x v="1"/>
    <n v="400"/>
    <n v="0.35600000000000004"/>
    <n v="142.4"/>
    <n v="-16.005851063829802"/>
    <n v="126.39414893617021"/>
    <x v="7"/>
    <n v="0"/>
    <m/>
    <n v="424705"/>
    <n v="41.921764705882353"/>
    <m/>
    <n v="8"/>
    <m/>
    <n v="49.921764705882353"/>
    <n v="76.472384230287858"/>
    <m/>
    <n v="400"/>
  </r>
  <r>
    <n v="4"/>
    <n v="2024"/>
    <s v="Auction"/>
    <s v="VROLIJK BLOEMEN"/>
    <s v="VROLIJK BLOEMEN"/>
    <x v="29"/>
    <s v="Grandiflora Roses"/>
    <s v="90CM"/>
    <n v="1"/>
    <n v="10"/>
    <n v="200"/>
    <n v="0.15"/>
    <n v="30"/>
    <s v="EUR"/>
    <m/>
    <m/>
    <x v="7"/>
    <n v="0"/>
    <x v="0"/>
    <x v="3"/>
    <n v="200"/>
    <n v="0.51200000000000001"/>
    <n v="102.4"/>
    <n v="-8.0029255319149009"/>
    <n v="94.397074468085108"/>
    <x v="7"/>
    <n v="0"/>
    <m/>
    <n v="424705"/>
    <n v="34.934803921568623"/>
    <m/>
    <n v="4"/>
    <m/>
    <n v="38.934803921568623"/>
    <n v="55.462270546516486"/>
    <m/>
    <n v="200"/>
  </r>
  <r>
    <n v="4"/>
    <n v="2024"/>
    <s v="Auction"/>
    <s v="VROLIJK BLOEMEN"/>
    <s v="VROLIJK BLOEMEN"/>
    <x v="29"/>
    <s v="Grandiflora Roses"/>
    <s v="110CM"/>
    <m/>
    <n v="2"/>
    <n v="40"/>
    <n v="0.15"/>
    <n v="6"/>
    <s v="EUR"/>
    <m/>
    <m/>
    <x v="7"/>
    <n v="0"/>
    <x v="0"/>
    <x v="6"/>
    <n v="40"/>
    <n v="1.02"/>
    <n v="40.799999999999997"/>
    <n v="-1.6005851063829803"/>
    <n v="39.199414893617018"/>
    <x v="7"/>
    <n v="0"/>
    <m/>
    <n v="424705"/>
    <n v="6.9869607843137249"/>
    <m/>
    <n v="0.8"/>
    <m/>
    <n v="7.7869607843137247"/>
    <n v="31.412454109303294"/>
    <m/>
    <n v="40"/>
  </r>
  <r>
    <n v="4"/>
    <n v="2024"/>
    <s v="Auction"/>
    <s v="VROLIJK BLOEMEN"/>
    <s v="VROLIJK BLOEMEN"/>
    <x v="29"/>
    <s v="Grandiflora Roses"/>
    <s v="60CM"/>
    <n v="1"/>
    <n v="7.5"/>
    <n v="400"/>
    <n v="0.15"/>
    <n v="60"/>
    <s v="EUR"/>
    <m/>
    <m/>
    <x v="7"/>
    <n v="-160"/>
    <x v="0"/>
    <x v="0"/>
    <n v="560"/>
    <n v="0.3"/>
    <n v="168"/>
    <n v="-22.408191489361727"/>
    <n v="145.59180851063826"/>
    <x v="7"/>
    <n v="160"/>
    <m/>
    <n v="424705"/>
    <n v="26.201102941176469"/>
    <m/>
    <n v="11.200000000000001"/>
    <m/>
    <n v="37.401102941176468"/>
    <n v="108.19070556946178"/>
    <m/>
    <n v="560"/>
  </r>
  <r>
    <n v="4"/>
    <n v="2024"/>
    <s v="Auction"/>
    <s v="VROLIJK BLOEMEN"/>
    <s v="VROLIJK BLOEMEN"/>
    <x v="29"/>
    <s v="Grandiflora Roses"/>
    <s v="70CM"/>
    <m/>
    <n v="4.5"/>
    <n v="240"/>
    <n v="0.15"/>
    <n v="36"/>
    <s v="EUR"/>
    <m/>
    <m/>
    <x v="7"/>
    <n v="240"/>
    <x v="0"/>
    <x v="1"/>
    <m/>
    <m/>
    <n v="0"/>
    <n v="0"/>
    <n v="0"/>
    <x v="7"/>
    <n v="-240"/>
    <m/>
    <n v="424705"/>
    <n v="15.720661764705882"/>
    <m/>
    <n v="0"/>
    <m/>
    <n v="15.720661764705882"/>
    <n v="-15.720661764705882"/>
    <m/>
    <n v="0"/>
  </r>
  <r>
    <n v="4"/>
    <n v="2024"/>
    <s v="Auction"/>
    <s v="VROLIJK BLOEMEN"/>
    <s v="VROLIJK BLOEMEN"/>
    <x v="29"/>
    <s v="Floribunda Roses"/>
    <s v="90CM"/>
    <n v="1"/>
    <n v="8.5714285714285712"/>
    <n v="200"/>
    <n v="0.15"/>
    <n v="30"/>
    <s v="EUR"/>
    <m/>
    <m/>
    <x v="7"/>
    <n v="200"/>
    <x v="2"/>
    <x v="3"/>
    <m/>
    <m/>
    <n v="0"/>
    <n v="0"/>
    <n v="0"/>
    <x v="7"/>
    <n v="-200"/>
    <m/>
    <n v="424705"/>
    <n v="29.944117647058818"/>
    <m/>
    <n v="0"/>
    <m/>
    <n v="29.944117647058818"/>
    <n v="-29.944117647058818"/>
    <m/>
    <n v="0"/>
  </r>
  <r>
    <n v="4"/>
    <n v="2024"/>
    <s v="Auction"/>
    <s v="VROLIJK BLOEMEN"/>
    <s v="VROLIJK BLOEMEN"/>
    <x v="29"/>
    <s v="Floribunda Roses"/>
    <s v="70CM"/>
    <m/>
    <n v="3.4285714285714284"/>
    <n v="80"/>
    <n v="0.15"/>
    <n v="12"/>
    <s v="EUR"/>
    <m/>
    <m/>
    <x v="7"/>
    <n v="-360"/>
    <x v="2"/>
    <x v="1"/>
    <n v="440"/>
    <n v="0.49181818181818182"/>
    <n v="216.4"/>
    <n v="-17.606436170212785"/>
    <n v="198.79356382978722"/>
    <x v="7"/>
    <n v="360"/>
    <m/>
    <n v="424705"/>
    <n v="11.977647058823528"/>
    <m/>
    <n v="8.8000000000000007"/>
    <m/>
    <n v="20.777647058823529"/>
    <n v="178.01591677096368"/>
    <m/>
    <n v="440"/>
  </r>
  <r>
    <n v="4"/>
    <n v="2024"/>
    <s v="Auction"/>
    <s v="VROLIJK BLOEMEN"/>
    <s v="VROLIJK BLOEMEN"/>
    <x v="30"/>
    <s v="Floribunda Roses"/>
    <s v="60CM"/>
    <n v="3"/>
    <n v="36"/>
    <n v="1560"/>
    <n v="0.15"/>
    <n v="234"/>
    <s v="EUR"/>
    <m/>
    <m/>
    <x v="7"/>
    <n v="-40"/>
    <x v="2"/>
    <x v="0"/>
    <n v="1600"/>
    <n v="0.40549999999999997"/>
    <n v="648.79999999999995"/>
    <n v="-69.420560747663572"/>
    <n v="579.3794392523364"/>
    <x v="7"/>
    <n v="40"/>
    <m/>
    <s v="F078506"/>
    <n v="129.03136363636364"/>
    <m/>
    <n v="32"/>
    <m/>
    <n v="161.03136363636364"/>
    <n v="418.34807561597279"/>
    <m/>
    <n v="1600"/>
  </r>
  <r>
    <n v="4"/>
    <n v="2024"/>
    <s v="Auction"/>
    <s v="VROLIJK BLOEMEN"/>
    <s v="VROLIJK BLOEMEN"/>
    <x v="30"/>
    <s v="Floribunda Roses"/>
    <s v="70CM"/>
    <n v="2"/>
    <n v="24"/>
    <n v="800"/>
    <n v="0.15"/>
    <n v="120"/>
    <s v="EUR"/>
    <m/>
    <m/>
    <x v="7"/>
    <n v="-160"/>
    <x v="2"/>
    <x v="1"/>
    <n v="960"/>
    <n v="0.64833333333333332"/>
    <n v="622.4"/>
    <n v="-41.652336448598142"/>
    <n v="580.74766355140184"/>
    <x v="7"/>
    <n v="160"/>
    <m/>
    <s v="F078506"/>
    <n v="86.0209090909091"/>
    <m/>
    <n v="19.2"/>
    <m/>
    <n v="105.2209090909091"/>
    <n v="475.52675446049273"/>
    <m/>
    <n v="960"/>
  </r>
  <r>
    <n v="4"/>
    <n v="2024"/>
    <s v="Auction"/>
    <s v="VROLIJK BLOEMEN"/>
    <s v="VROLIJK BLOEMEN"/>
    <x v="30"/>
    <s v="Floribunda Roses"/>
    <s v="80CM"/>
    <n v="2"/>
    <n v="24"/>
    <n v="640"/>
    <n v="0.15"/>
    <n v="96"/>
    <s v="EUR"/>
    <m/>
    <m/>
    <x v="7"/>
    <n v="0"/>
    <x v="2"/>
    <x v="2"/>
    <n v="640"/>
    <n v="0.62125000000000008"/>
    <n v="397.6"/>
    <n v="-27.768224299065427"/>
    <n v="369.8317757009346"/>
    <x v="7"/>
    <n v="0"/>
    <m/>
    <s v="F078506"/>
    <n v="86.0209090909091"/>
    <m/>
    <n v="12.8"/>
    <m/>
    <n v="98.820909090909097"/>
    <n v="271.01086661002552"/>
    <m/>
    <n v="640"/>
  </r>
  <r>
    <n v="4"/>
    <n v="2024"/>
    <s v="Auction"/>
    <s v="VROLIJK BLOEMEN"/>
    <s v="VROLIJK BLOEMEN"/>
    <x v="30"/>
    <s v="Floribunda Roses"/>
    <s v="90CM"/>
    <n v="1"/>
    <n v="12"/>
    <n v="240"/>
    <n v="0.15"/>
    <n v="36"/>
    <s v="EUR"/>
    <m/>
    <m/>
    <x v="7"/>
    <n v="-80"/>
    <x v="2"/>
    <x v="3"/>
    <n v="320"/>
    <n v="0.72249999999999992"/>
    <n v="231.2"/>
    <n v="-13.884112149532713"/>
    <n v="217.31588785046728"/>
    <x v="7"/>
    <n v="80"/>
    <m/>
    <s v="F078506"/>
    <n v="43.01045454545455"/>
    <m/>
    <n v="6.4"/>
    <m/>
    <n v="49.410454545454549"/>
    <n v="167.90543330501274"/>
    <m/>
    <n v="320"/>
  </r>
  <r>
    <n v="4"/>
    <n v="2024"/>
    <s v="Auction"/>
    <s v="VROLIJK BLOEMEN"/>
    <s v="VROLIJK BLOEMEN"/>
    <x v="30"/>
    <s v="Grandiflora Roses"/>
    <s v="60CM"/>
    <n v="1"/>
    <n v="12"/>
    <n v="720"/>
    <n v="0.15"/>
    <n v="108"/>
    <s v="EUR"/>
    <m/>
    <m/>
    <x v="7"/>
    <n v="200"/>
    <x v="0"/>
    <x v="0"/>
    <n v="520"/>
    <n v="0.36769230769230765"/>
    <n v="191.2"/>
    <n v="-22.56168224299066"/>
    <n v="168.63831775700933"/>
    <x v="7"/>
    <n v="-200"/>
    <m/>
    <s v="F078506"/>
    <n v="43.01045454545455"/>
    <m/>
    <n v="10.4"/>
    <m/>
    <n v="53.410454545454549"/>
    <n v="115.22786321155479"/>
    <m/>
    <n v="520"/>
  </r>
  <r>
    <n v="4"/>
    <n v="2024"/>
    <s v="Auction"/>
    <s v="VROLIJK BLOEMEN"/>
    <s v="VROLIJK BLOEMEN"/>
    <x v="30"/>
    <s v="Grandiflora Roses"/>
    <s v="70CM"/>
    <n v="1"/>
    <n v="12"/>
    <n v="520"/>
    <n v="0.15"/>
    <n v="78"/>
    <s v="EUR"/>
    <m/>
    <m/>
    <x v="7"/>
    <n v="-200"/>
    <x v="0"/>
    <x v="1"/>
    <n v="720"/>
    <n v="0.48555555555555557"/>
    <n v="349.6"/>
    <n v="-31.239252336448605"/>
    <n v="318.36074766355142"/>
    <x v="7"/>
    <n v="200"/>
    <m/>
    <s v="F078506"/>
    <n v="43.01045454545455"/>
    <m/>
    <n v="14.4"/>
    <m/>
    <n v="57.410454545454549"/>
    <n v="260.95029311809685"/>
    <m/>
    <n v="720"/>
  </r>
  <r>
    <n v="4"/>
    <n v="2024"/>
    <s v="Auction"/>
    <s v="VROLIJK BLOEMEN"/>
    <s v="VROLIJK BLOEMEN"/>
    <x v="30"/>
    <s v="Grandiflora Roses"/>
    <s v="80CM"/>
    <n v="1"/>
    <n v="12"/>
    <n v="480"/>
    <n v="0.15"/>
    <n v="72"/>
    <s v="EUR"/>
    <m/>
    <m/>
    <x v="7"/>
    <n v="0"/>
    <x v="0"/>
    <x v="2"/>
    <n v="480"/>
    <n v="0.55000000000000004"/>
    <n v="264"/>
    <n v="-20.826168224299071"/>
    <n v="243.17383177570093"/>
    <x v="7"/>
    <n v="0"/>
    <m/>
    <s v="F078506"/>
    <n v="43.01045454545455"/>
    <m/>
    <n v="9.6"/>
    <m/>
    <n v="52.610454545454552"/>
    <n v="190.56337723024637"/>
    <m/>
    <n v="480"/>
  </r>
  <r>
    <n v="4"/>
    <n v="2024"/>
    <s v="Auction"/>
    <s v="VROLIJK BLOEMEN"/>
    <s v="VROLIJK BLOEMEN"/>
    <x v="30"/>
    <s v="Grandiflora Roses"/>
    <s v="90CM"/>
    <n v="1"/>
    <n v="12"/>
    <n v="240"/>
    <n v="0.15"/>
    <n v="36"/>
    <s v="EUR"/>
    <m/>
    <m/>
    <x v="7"/>
    <n v="0"/>
    <x v="0"/>
    <x v="3"/>
    <n v="240"/>
    <n v="0.66666666666666663"/>
    <n v="160"/>
    <n v="-10.413084112149535"/>
    <n v="149.58691588785047"/>
    <x v="7"/>
    <n v="0"/>
    <m/>
    <s v="F078506"/>
    <n v="43.01045454545455"/>
    <m/>
    <n v="4.8"/>
    <m/>
    <n v="47.810454545454547"/>
    <n v="101.77646134239592"/>
    <m/>
    <n v="240"/>
  </r>
  <r>
    <n v="4"/>
    <n v="2024"/>
    <s v="Auction"/>
    <s v="VROLIJK BLOEMEN"/>
    <s v="VROLIJK BLOEMEN"/>
    <x v="30"/>
    <s v="Grandiflora Roses"/>
    <s v="100CM"/>
    <n v="1"/>
    <n v="12"/>
    <n v="240"/>
    <n v="0.15"/>
    <n v="36"/>
    <s v="EUR"/>
    <m/>
    <m/>
    <x v="7"/>
    <n v="-40"/>
    <x v="0"/>
    <x v="4"/>
    <n v="280"/>
    <n v="0.69"/>
    <n v="193.2"/>
    <n v="-12.148598130841124"/>
    <n v="181.05140186915887"/>
    <x v="7"/>
    <n v="40"/>
    <m/>
    <s v="F078506"/>
    <n v="43.01045454545455"/>
    <m/>
    <n v="5.6000000000000005"/>
    <m/>
    <n v="48.610454545454552"/>
    <n v="132.44094732370431"/>
    <m/>
    <n v="280"/>
  </r>
  <r>
    <n v="4"/>
    <n v="2024"/>
    <s v="Auction"/>
    <s v="VROLIJK BLOEMEN"/>
    <s v="VROLIJK BLOEMEN"/>
    <x v="30"/>
    <s v="English Roses"/>
    <s v="60CM"/>
    <n v="1"/>
    <n v="12"/>
    <n v="360"/>
    <n v="0.15"/>
    <n v="54"/>
    <s v="EUR"/>
    <m/>
    <m/>
    <x v="7"/>
    <n v="-480"/>
    <x v="1"/>
    <x v="0"/>
    <n v="840"/>
    <n v="0.25"/>
    <n v="210"/>
    <n v="-36.445794392523368"/>
    <n v="173.55420560747663"/>
    <x v="7"/>
    <n v="480"/>
    <m/>
    <s v="F078506"/>
    <n v="43.01045454545455"/>
    <m/>
    <n v="16.8"/>
    <m/>
    <n v="59.810454545454547"/>
    <n v="113.74375106202208"/>
    <m/>
    <n v="840"/>
  </r>
  <r>
    <n v="4"/>
    <n v="2024"/>
    <s v="Auction"/>
    <s v="VROLIJK BLOEMEN"/>
    <s v="VROLIJK BLOEMEN"/>
    <x v="30"/>
    <s v="English Roses"/>
    <s v="60CM"/>
    <n v="1"/>
    <n v="12"/>
    <n v="480"/>
    <n v="0.15"/>
    <n v="72"/>
    <s v="EUR"/>
    <m/>
    <m/>
    <x v="7"/>
    <n v="480"/>
    <x v="1"/>
    <x v="0"/>
    <m/>
    <m/>
    <n v="0"/>
    <n v="0"/>
    <n v="0"/>
    <x v="7"/>
    <n v="-480"/>
    <m/>
    <s v="F078506"/>
    <n v="43.01045454545455"/>
    <m/>
    <n v="0"/>
    <m/>
    <n v="43.01045454545455"/>
    <n v="-43.01045454545455"/>
    <m/>
    <n v="0"/>
  </r>
  <r>
    <n v="4"/>
    <n v="2024"/>
    <s v="Auction"/>
    <s v="VROLIJK BLOEMEN"/>
    <s v="VROLIJK BLOEMEN"/>
    <x v="30"/>
    <s v="English Roses"/>
    <s v="70CM"/>
    <n v="1"/>
    <n v="12"/>
    <n v="240"/>
    <n v="0.15"/>
    <n v="36"/>
    <s v="EUR"/>
    <m/>
    <m/>
    <x v="7"/>
    <n v="-80"/>
    <x v="1"/>
    <x v="1"/>
    <n v="320"/>
    <n v="0.5"/>
    <n v="160"/>
    <n v="-13.884112149532713"/>
    <n v="146.11588785046729"/>
    <x v="7"/>
    <n v="80"/>
    <m/>
    <s v="F078506"/>
    <n v="43.01045454545455"/>
    <m/>
    <n v="6.4"/>
    <m/>
    <n v="49.410454545454549"/>
    <n v="96.705433305012747"/>
    <m/>
    <n v="320"/>
  </r>
  <r>
    <n v="4"/>
    <n v="2024"/>
    <s v="Auction"/>
    <s v="VROLIJK BLOEMEN"/>
    <s v="VROLIJK BLOEMEN"/>
    <x v="30"/>
    <s v="English Roses"/>
    <s v="70CM"/>
    <n v="1"/>
    <n v="12"/>
    <n v="400"/>
    <n v="0.15"/>
    <n v="60"/>
    <s v="EUR"/>
    <m/>
    <m/>
    <x v="7"/>
    <n v="80"/>
    <x v="1"/>
    <x v="1"/>
    <n v="320"/>
    <n v="0.41875000000000001"/>
    <n v="134"/>
    <n v="-13.884112149532713"/>
    <n v="120.11588785046729"/>
    <x v="7"/>
    <n v="-80"/>
    <m/>
    <s v="F078506"/>
    <n v="43.01045454545455"/>
    <m/>
    <n v="6.4"/>
    <m/>
    <n v="49.410454545454549"/>
    <n v="70.705433305012747"/>
    <m/>
    <n v="320"/>
  </r>
  <r>
    <n v="4"/>
    <n v="2024"/>
    <s v="Auction"/>
    <s v="VROLIJK BLOEMEN"/>
    <s v="VROLIJK BLOEMEN"/>
    <x v="30"/>
    <s v="English Roses"/>
    <s v="80CM"/>
    <n v="1"/>
    <n v="12"/>
    <n v="280"/>
    <n v="0.15"/>
    <n v="42"/>
    <s v="EUR"/>
    <m/>
    <m/>
    <x v="7"/>
    <n v="0"/>
    <x v="1"/>
    <x v="2"/>
    <n v="280"/>
    <n v="0.47"/>
    <n v="131.6"/>
    <n v="-12.148598130841124"/>
    <n v="119.45140186915887"/>
    <x v="7"/>
    <n v="0"/>
    <m/>
    <s v="F078506"/>
    <n v="43.01045454545455"/>
    <m/>
    <n v="5.6000000000000005"/>
    <m/>
    <n v="48.610454545454552"/>
    <n v="70.840947323704313"/>
    <m/>
    <n v="280"/>
  </r>
  <r>
    <n v="4"/>
    <n v="2024"/>
    <s v="Auction"/>
    <s v="VROLIJK BLOEMEN"/>
    <s v="VROLIJK BLOEMEN"/>
    <x v="30"/>
    <s v="English Roses"/>
    <s v="90CM"/>
    <n v="1"/>
    <n v="12"/>
    <n v="200"/>
    <n v="0.15"/>
    <n v="30"/>
    <s v="EUR"/>
    <m/>
    <m/>
    <x v="7"/>
    <n v="0"/>
    <x v="1"/>
    <x v="3"/>
    <n v="200"/>
    <n v="0.99"/>
    <n v="198"/>
    <n v="-8.6775700934579465"/>
    <n v="189.32242990654206"/>
    <x v="7"/>
    <n v="0"/>
    <m/>
    <s v="F078506"/>
    <n v="43.01045454545455"/>
    <m/>
    <n v="4"/>
    <m/>
    <n v="47.01045454545455"/>
    <n v="142.31197536108749"/>
    <m/>
    <n v="200"/>
  </r>
  <r>
    <n v="4"/>
    <n v="2024"/>
    <s v="Auction"/>
    <s v="VROLIJK BLOEMEN"/>
    <s v="VROLIJK BLOEMEN"/>
    <x v="30"/>
    <s v="Polyantha Roses"/>
    <s v="60CM"/>
    <n v="1"/>
    <n v="9"/>
    <n v="240"/>
    <n v="0.15"/>
    <n v="36"/>
    <s v="EUR"/>
    <m/>
    <m/>
    <x v="7"/>
    <n v="0"/>
    <x v="3"/>
    <x v="0"/>
    <n v="240"/>
    <n v="0.53"/>
    <n v="127.2"/>
    <n v="-10.413084112149535"/>
    <n v="116.78691588785047"/>
    <x v="7"/>
    <n v="0"/>
    <m/>
    <s v="F078506"/>
    <n v="32.257840909090909"/>
    <m/>
    <n v="4.8"/>
    <m/>
    <n v="37.057840909090906"/>
    <n v="79.72907497875957"/>
    <m/>
    <n v="240"/>
  </r>
  <r>
    <n v="4"/>
    <n v="2024"/>
    <s v="Auction"/>
    <s v="VROLIJK BLOEMEN"/>
    <s v="VROLIJK BLOEMEN"/>
    <x v="30"/>
    <s v="Polyantha Roses"/>
    <s v="70CM"/>
    <m/>
    <n v="3"/>
    <n v="80"/>
    <n v="0.15"/>
    <n v="12"/>
    <s v="EUR"/>
    <m/>
    <m/>
    <x v="7"/>
    <n v="0"/>
    <x v="3"/>
    <x v="1"/>
    <n v="80"/>
    <n v="0.7"/>
    <n v="56"/>
    <n v="-3.4710280373831783"/>
    <n v="52.528971962616822"/>
    <x v="7"/>
    <n v="0"/>
    <m/>
    <s v="F078506"/>
    <n v="10.752613636363638"/>
    <m/>
    <n v="1.6"/>
    <m/>
    <n v="12.352613636363637"/>
    <n v="40.176358326253187"/>
    <m/>
    <n v="80"/>
  </r>
  <r>
    <n v="4"/>
    <n v="2024"/>
    <s v="Auction"/>
    <s v="VROLIJK BLOEMEN"/>
    <s v="VROLIJK BLOEMEN"/>
    <x v="30"/>
    <s v="Grandiflora Roses"/>
    <s v="60CM"/>
    <n v="1"/>
    <n v="7.384615384615385"/>
    <n v="320"/>
    <n v="0.15"/>
    <n v="48"/>
    <s v="EUR"/>
    <m/>
    <m/>
    <x v="7"/>
    <n v="-200"/>
    <x v="0"/>
    <x v="0"/>
    <n v="520"/>
    <n v="0.36769230769230765"/>
    <n v="191.2"/>
    <n v="-22.56168224299066"/>
    <n v="168.63831775700933"/>
    <x v="7"/>
    <n v="200"/>
    <m/>
    <s v="F078506"/>
    <n v="26.467972027972028"/>
    <m/>
    <n v="10.4"/>
    <m/>
    <n v="36.86797202797203"/>
    <n v="131.7703457290373"/>
    <m/>
    <n v="520"/>
  </r>
  <r>
    <n v="4"/>
    <n v="2024"/>
    <s v="Auction"/>
    <s v="VROLIJK BLOEMEN"/>
    <s v="VROLIJK BLOEMEN"/>
    <x v="30"/>
    <s v="Grandiflora Roses"/>
    <s v="70CM"/>
    <m/>
    <n v="4.6153846153846159"/>
    <n v="200"/>
    <n v="0.15"/>
    <n v="30"/>
    <s v="EUR"/>
    <m/>
    <m/>
    <x v="7"/>
    <n v="200"/>
    <x v="0"/>
    <x v="1"/>
    <m/>
    <m/>
    <n v="0"/>
    <n v="0"/>
    <n v="0"/>
    <x v="7"/>
    <n v="-200"/>
    <m/>
    <s v="F078506"/>
    <n v="16.542482517482519"/>
    <m/>
    <n v="0"/>
    <m/>
    <n v="16.542482517482519"/>
    <n v="-16.542482517482519"/>
    <m/>
    <n v="0"/>
  </r>
  <r>
    <n v="4"/>
    <n v="2024"/>
    <s v="Auction"/>
    <s v="VROLIJK BLOEMEN"/>
    <s v="VROLIJK BLOEMEN"/>
    <x v="30"/>
    <s v="Floribunda Roses"/>
    <s v="90CM"/>
    <n v="1"/>
    <n v="3.4285714285714284"/>
    <n v="80"/>
    <n v="0.15"/>
    <n v="12"/>
    <s v="EUR"/>
    <m/>
    <m/>
    <x v="7"/>
    <n v="80"/>
    <x v="2"/>
    <x v="3"/>
    <m/>
    <m/>
    <n v="0"/>
    <n v="0"/>
    <n v="0"/>
    <x v="7"/>
    <n v="-80"/>
    <m/>
    <s v="F078506"/>
    <n v="12.288701298701298"/>
    <m/>
    <n v="0"/>
    <m/>
    <n v="12.288701298701298"/>
    <n v="-12.288701298701298"/>
    <m/>
    <n v="0"/>
  </r>
  <r>
    <n v="4"/>
    <n v="2024"/>
    <s v="Auction"/>
    <s v="VROLIJK BLOEMEN"/>
    <s v="VROLIJK BLOEMEN"/>
    <x v="30"/>
    <s v="Floribunda Roses"/>
    <s v="70CM"/>
    <m/>
    <n v="8.5714285714285712"/>
    <n v="200"/>
    <n v="0.15"/>
    <n v="30"/>
    <s v="EUR"/>
    <m/>
    <m/>
    <x v="7"/>
    <n v="200"/>
    <x v="2"/>
    <x v="1"/>
    <m/>
    <m/>
    <n v="0"/>
    <n v="0"/>
    <n v="0"/>
    <x v="7"/>
    <n v="-200"/>
    <m/>
    <s v="F078506"/>
    <n v="30.721753246753245"/>
    <m/>
    <n v="0"/>
    <m/>
    <n v="30.721753246753245"/>
    <n v="-30.721753246753245"/>
    <m/>
    <n v="0"/>
  </r>
  <r>
    <n v="4"/>
    <n v="2024"/>
    <s v="Auction"/>
    <s v="VROLIJK BLOEMEN"/>
    <s v="VROLIJK BLOEMEN"/>
    <x v="31"/>
    <s v="Floribunda Roses"/>
    <s v="60CM"/>
    <n v="3"/>
    <n v="36"/>
    <n v="1560"/>
    <n v="0.15"/>
    <n v="234"/>
    <s v="EUR"/>
    <m/>
    <m/>
    <x v="7"/>
    <n v="-40"/>
    <x v="2"/>
    <x v="0"/>
    <n v="1600"/>
    <n v="0.56400000000000006"/>
    <n v="902.40000000000009"/>
    <n v="-81.314285714285717"/>
    <n v="821.0857142857144"/>
    <x v="7"/>
    <n v="40"/>
    <m/>
    <s v="F078717"/>
    <n v="144.37200000000001"/>
    <m/>
    <n v="32"/>
    <m/>
    <n v="176.37200000000001"/>
    <n v="644.71371428571433"/>
    <m/>
    <n v="1600"/>
  </r>
  <r>
    <n v="4"/>
    <n v="2024"/>
    <s v="Auction"/>
    <s v="VROLIJK BLOEMEN"/>
    <s v="VROLIJK BLOEMEN"/>
    <x v="31"/>
    <s v="Floribunda Roses"/>
    <s v="70CM"/>
    <n v="2"/>
    <n v="24"/>
    <n v="800"/>
    <n v="0.15"/>
    <n v="120"/>
    <s v="EUR"/>
    <m/>
    <m/>
    <x v="7"/>
    <n v="0"/>
    <x v="2"/>
    <x v="1"/>
    <n v="800"/>
    <n v="0.65699999999999992"/>
    <n v="525.59999999999991"/>
    <n v="-40.657142857142858"/>
    <n v="484.94285714285706"/>
    <x v="7"/>
    <n v="0"/>
    <m/>
    <s v="F078717"/>
    <n v="96.248000000000005"/>
    <m/>
    <n v="16"/>
    <m/>
    <n v="112.248"/>
    <n v="372.69485714285707"/>
    <m/>
    <n v="800"/>
  </r>
  <r>
    <n v="4"/>
    <n v="2024"/>
    <s v="Auction"/>
    <s v="VROLIJK BLOEMEN"/>
    <s v="VROLIJK BLOEMEN"/>
    <x v="31"/>
    <s v="Floribunda Roses"/>
    <s v="80CM"/>
    <n v="1"/>
    <n v="12"/>
    <n v="360"/>
    <n v="0.15"/>
    <n v="54"/>
    <s v="EUR"/>
    <m/>
    <m/>
    <x v="7"/>
    <n v="-120"/>
    <x v="2"/>
    <x v="2"/>
    <n v="480"/>
    <n v="0.66749999999999998"/>
    <n v="320.39999999999998"/>
    <n v="-24.394285714285711"/>
    <n v="296.00571428571425"/>
    <x v="7"/>
    <n v="120"/>
    <m/>
    <s v="F078717"/>
    <n v="48.124000000000002"/>
    <m/>
    <n v="9.6"/>
    <m/>
    <n v="57.724000000000004"/>
    <n v="238.28171428571426"/>
    <m/>
    <n v="480"/>
  </r>
  <r>
    <n v="4"/>
    <n v="2024"/>
    <s v="Auction"/>
    <s v="VROLIJK BLOEMEN"/>
    <s v="VROLIJK BLOEMEN"/>
    <x v="31"/>
    <s v="Floribunda Roses"/>
    <s v="90CM"/>
    <n v="1"/>
    <n v="12"/>
    <n v="200"/>
    <n v="0.15"/>
    <n v="30"/>
    <s v="EUR"/>
    <m/>
    <m/>
    <x v="7"/>
    <n v="200"/>
    <x v="2"/>
    <x v="3"/>
    <m/>
    <m/>
    <n v="0"/>
    <n v="0"/>
    <n v="0"/>
    <x v="7"/>
    <n v="-200"/>
    <m/>
    <s v="F078717"/>
    <n v="48.124000000000002"/>
    <m/>
    <n v="0"/>
    <m/>
    <n v="48.124000000000002"/>
    <n v="-48.124000000000002"/>
    <m/>
    <n v="0"/>
  </r>
  <r>
    <n v="4"/>
    <n v="2024"/>
    <s v="Auction"/>
    <s v="VROLIJK BLOEMEN"/>
    <s v="VROLIJK BLOEMEN"/>
    <x v="31"/>
    <s v="Grandiflora Roses"/>
    <s v="60CM"/>
    <n v="1"/>
    <n v="12"/>
    <n v="720"/>
    <n v="0.15"/>
    <n v="108"/>
    <s v="EUR"/>
    <m/>
    <m/>
    <x v="7"/>
    <n v="240"/>
    <x v="0"/>
    <x v="0"/>
    <n v="480"/>
    <n v="0.40916666666666668"/>
    <n v="196.4"/>
    <n v="-24.394285714285711"/>
    <n v="172.0057142857143"/>
    <x v="7"/>
    <n v="-240"/>
    <m/>
    <s v="F078717"/>
    <n v="48.124000000000002"/>
    <m/>
    <n v="9.6"/>
    <m/>
    <n v="57.724000000000004"/>
    <n v="114.2817142857143"/>
    <m/>
    <n v="480"/>
  </r>
  <r>
    <n v="4"/>
    <n v="2024"/>
    <s v="Auction"/>
    <s v="VROLIJK BLOEMEN"/>
    <s v="VROLIJK BLOEMEN"/>
    <x v="31"/>
    <s v="Grandiflora Roses"/>
    <s v="70CM"/>
    <n v="1"/>
    <n v="12"/>
    <n v="600"/>
    <n v="0.15"/>
    <n v="90"/>
    <s v="EUR"/>
    <m/>
    <m/>
    <x v="7"/>
    <n v="40"/>
    <x v="0"/>
    <x v="1"/>
    <n v="560"/>
    <n v="0.48000000000000004"/>
    <n v="268.8"/>
    <n v="-28.459999999999997"/>
    <n v="240.34"/>
    <x v="7"/>
    <n v="-40"/>
    <m/>
    <s v="F078717"/>
    <n v="48.124000000000002"/>
    <m/>
    <n v="11.200000000000001"/>
    <m/>
    <n v="59.324000000000005"/>
    <n v="181.01599999999999"/>
    <m/>
    <n v="560"/>
  </r>
  <r>
    <n v="4"/>
    <n v="2024"/>
    <s v="Auction"/>
    <s v="VROLIJK BLOEMEN"/>
    <s v="VROLIJK BLOEMEN"/>
    <x v="31"/>
    <s v="Grandiflora Roses"/>
    <s v="80CM"/>
    <n v="1"/>
    <n v="12"/>
    <n v="480"/>
    <n v="0.15"/>
    <n v="72"/>
    <s v="EUR"/>
    <m/>
    <m/>
    <x v="7"/>
    <n v="480"/>
    <x v="0"/>
    <x v="2"/>
    <m/>
    <m/>
    <n v="0"/>
    <n v="0"/>
    <n v="0"/>
    <x v="7"/>
    <n v="-480"/>
    <m/>
    <s v="F078717"/>
    <n v="48.124000000000002"/>
    <m/>
    <n v="0"/>
    <m/>
    <n v="48.124000000000002"/>
    <n v="-48.124000000000002"/>
    <m/>
    <n v="0"/>
  </r>
  <r>
    <n v="4"/>
    <n v="2024"/>
    <s v="Auction"/>
    <s v="VROLIJK BLOEMEN"/>
    <s v="VROLIJK BLOEMEN"/>
    <x v="31"/>
    <s v="English Roses"/>
    <s v="60CM"/>
    <n v="1"/>
    <n v="7.384615384615385"/>
    <n v="320"/>
    <n v="0.15"/>
    <n v="48"/>
    <s v="EUR"/>
    <m/>
    <m/>
    <x v="7"/>
    <n v="0"/>
    <x v="1"/>
    <x v="0"/>
    <n v="320"/>
    <n v="0.4325"/>
    <n v="138.4"/>
    <n v="-16.262857142857143"/>
    <n v="122.13714285714286"/>
    <x v="7"/>
    <n v="0"/>
    <m/>
    <s v="F078717"/>
    <n v="29.61476923076923"/>
    <m/>
    <n v="6.4"/>
    <m/>
    <n v="36.014769230769232"/>
    <n v="86.12237362637363"/>
    <m/>
    <n v="320"/>
  </r>
  <r>
    <n v="4"/>
    <n v="2024"/>
    <s v="Auction"/>
    <s v="VROLIJK BLOEMEN"/>
    <s v="VROLIJK BLOEMEN"/>
    <x v="31"/>
    <s v="English Roses"/>
    <s v="70CM"/>
    <m/>
    <n v="4.6153846153846159"/>
    <n v="200"/>
    <n v="0.15"/>
    <n v="30"/>
    <s v="EUR"/>
    <m/>
    <m/>
    <x v="7"/>
    <n v="0"/>
    <x v="1"/>
    <x v="1"/>
    <n v="200"/>
    <n v="0.61599999999999999"/>
    <n v="123.2"/>
    <n v="-10.164285714285715"/>
    <n v="113.03571428571429"/>
    <x v="7"/>
    <n v="0"/>
    <m/>
    <s v="F078717"/>
    <n v="18.509230769230772"/>
    <m/>
    <n v="4"/>
    <m/>
    <n v="22.509230769230772"/>
    <n v="90.526483516483523"/>
    <m/>
    <n v="200"/>
  </r>
  <r>
    <n v="4"/>
    <n v="2024"/>
    <s v="Auction"/>
    <s v="VROLIJK BLOEMEN"/>
    <s v="VROLIJK BLOEMEN"/>
    <x v="31"/>
    <s v="Grandiflora Roses"/>
    <s v="60CM"/>
    <n v="1"/>
    <n v="5"/>
    <n v="200"/>
    <n v="0.15"/>
    <n v="30"/>
    <s v="EUR"/>
    <m/>
    <m/>
    <x v="7"/>
    <n v="-280"/>
    <x v="0"/>
    <x v="0"/>
    <n v="480"/>
    <n v="0.42083333333333334"/>
    <n v="202"/>
    <n v="-24.394285714285711"/>
    <n v="177.6057142857143"/>
    <x v="7"/>
    <n v="280"/>
    <m/>
    <s v="F078717"/>
    <n v="20.051666666666666"/>
    <m/>
    <n v="9.6"/>
    <m/>
    <n v="29.651666666666664"/>
    <n v="147.95404761904763"/>
    <m/>
    <n v="480"/>
  </r>
  <r>
    <n v="4"/>
    <n v="2024"/>
    <s v="Auction"/>
    <s v="VROLIJK BLOEMEN"/>
    <s v="VROLIJK BLOEMEN"/>
    <x v="31"/>
    <s v="Grandiflora Roses"/>
    <s v="80CM"/>
    <m/>
    <n v="3"/>
    <n v="120"/>
    <n v="0.15"/>
    <n v="18"/>
    <s v="EUR"/>
    <m/>
    <m/>
    <x v="7"/>
    <n v="-480"/>
    <x v="0"/>
    <x v="2"/>
    <n v="600"/>
    <n v="0.65800000000000003"/>
    <n v="394.8"/>
    <n v="-30.492857142857144"/>
    <n v="364.30714285714288"/>
    <x v="7"/>
    <n v="480"/>
    <m/>
    <s v="F078717"/>
    <n v="12.031000000000001"/>
    <m/>
    <n v="12"/>
    <m/>
    <n v="24.030999999999999"/>
    <n v="340.27614285714287"/>
    <m/>
    <n v="600"/>
  </r>
  <r>
    <n v="4"/>
    <n v="2024"/>
    <s v="Auction"/>
    <s v="VROLIJK BLOEMEN"/>
    <s v="VROLIJK BLOEMEN"/>
    <x v="31"/>
    <s v="Grandiflora Roses"/>
    <s v="90CM"/>
    <m/>
    <n v="4"/>
    <n v="160"/>
    <n v="0.15"/>
    <n v="24"/>
    <s v="EUR"/>
    <m/>
    <m/>
    <x v="7"/>
    <n v="0"/>
    <x v="0"/>
    <x v="3"/>
    <n v="160"/>
    <n v="0.75"/>
    <n v="120"/>
    <n v="-8.1314285714285717"/>
    <n v="111.86857142857143"/>
    <x v="7"/>
    <n v="0"/>
    <m/>
    <s v="F078717"/>
    <n v="16.041333333333334"/>
    <m/>
    <n v="3.2"/>
    <m/>
    <n v="19.241333333333333"/>
    <n v="92.627238095238098"/>
    <m/>
    <n v="160"/>
  </r>
  <r>
    <n v="4"/>
    <n v="2024"/>
    <s v="Auction"/>
    <s v="VROLIJK BLOEMEN"/>
    <s v="VROLIJK BLOEMEN"/>
    <x v="31"/>
    <s v="Floribunda Roses"/>
    <s v="90CM"/>
    <n v="1"/>
    <n v="6.8571428571428568"/>
    <n v="160"/>
    <n v="0.15"/>
    <n v="24"/>
    <s v="EUR"/>
    <m/>
    <m/>
    <x v="7"/>
    <n v="-200"/>
    <x v="2"/>
    <x v="3"/>
    <n v="360"/>
    <n v="0.78999999999999992"/>
    <n v="284.39999999999998"/>
    <n v="-18.295714285714286"/>
    <n v="266.10428571428571"/>
    <x v="7"/>
    <n v="200"/>
    <m/>
    <s v="F078717"/>
    <n v="27.49942857142857"/>
    <m/>
    <n v="7.2"/>
    <m/>
    <n v="34.69942857142857"/>
    <n v="231.40485714285714"/>
    <m/>
    <n v="360"/>
  </r>
  <r>
    <n v="4"/>
    <n v="2024"/>
    <s v="Auction"/>
    <s v="VROLIJK BLOEMEN"/>
    <s v="VROLIJK BLOEMEN"/>
    <x v="31"/>
    <s v="Floribunda Roses"/>
    <s v="110CM"/>
    <m/>
    <n v="5.1428571428571423"/>
    <n v="120"/>
    <n v="0.15"/>
    <n v="18"/>
    <s v="EUR"/>
    <m/>
    <m/>
    <x v="7"/>
    <n v="-40"/>
    <x v="2"/>
    <x v="6"/>
    <n v="160"/>
    <n v="0.86999999999999988"/>
    <n v="139.19999999999999"/>
    <n v="-8.1314285714285717"/>
    <n v="131.06857142857143"/>
    <x v="7"/>
    <n v="40"/>
    <m/>
    <s v="F078717"/>
    <n v="20.624571428571425"/>
    <m/>
    <n v="3.2"/>
    <m/>
    <n v="23.824571428571424"/>
    <n v="107.244"/>
    <m/>
    <n v="160"/>
  </r>
  <r>
    <n v="4"/>
    <n v="2024"/>
    <s v="Auction"/>
    <s v="VROLIJK BLOEMEN"/>
    <s v="VROLIJK BLOEMEN"/>
    <x v="31"/>
    <s v="Moss Roses"/>
    <s v="60CM"/>
    <n v="1"/>
    <n v="6.545454545454545"/>
    <n v="240"/>
    <n v="0.15"/>
    <n v="36"/>
    <s v="EUR"/>
    <m/>
    <m/>
    <x v="7"/>
    <n v="0"/>
    <x v="4"/>
    <x v="0"/>
    <n v="240"/>
    <n v="0.64"/>
    <n v="153.6"/>
    <n v="-12.197142857142856"/>
    <n v="141.40285714285713"/>
    <x v="7"/>
    <n v="0"/>
    <m/>
    <s v="F078717"/>
    <n v="26.249454545454544"/>
    <m/>
    <n v="4.8"/>
    <m/>
    <n v="31.049454545454545"/>
    <n v="110.35340259740258"/>
    <m/>
    <n v="240"/>
  </r>
  <r>
    <n v="4"/>
    <n v="2024"/>
    <s v="Auction"/>
    <s v="VROLIJK BLOEMEN"/>
    <s v="VROLIJK BLOEMEN"/>
    <x v="31"/>
    <s v="Moss Roses"/>
    <s v="70CM"/>
    <m/>
    <n v="3.2727272727272725"/>
    <n v="120"/>
    <n v="0.15"/>
    <n v="18"/>
    <s v="EUR"/>
    <m/>
    <m/>
    <x v="7"/>
    <n v="0"/>
    <x v="4"/>
    <x v="1"/>
    <n v="120"/>
    <n v="0.77999999999999992"/>
    <n v="93.6"/>
    <n v="-6.0985714285714279"/>
    <n v="87.501428571428562"/>
    <x v="7"/>
    <n v="0"/>
    <m/>
    <s v="F078717"/>
    <n v="13.124727272727272"/>
    <m/>
    <n v="2.4"/>
    <m/>
    <n v="15.524727272727272"/>
    <n v="71.976701298701286"/>
    <m/>
    <n v="120"/>
  </r>
  <r>
    <n v="4"/>
    <n v="2024"/>
    <s v="Auction"/>
    <s v="VROLIJK BLOEMEN"/>
    <s v="VROLIJK BLOEMEN"/>
    <x v="31"/>
    <s v="Moss Roses"/>
    <s v="80CM"/>
    <m/>
    <n v="2.1818181818181817"/>
    <n v="80"/>
    <n v="0.15"/>
    <n v="12"/>
    <s v="EUR"/>
    <m/>
    <m/>
    <x v="7"/>
    <n v="0"/>
    <x v="4"/>
    <x v="2"/>
    <n v="80"/>
    <n v="0.81500000000000006"/>
    <n v="65.2"/>
    <n v="-4.0657142857142858"/>
    <n v="61.134285714285717"/>
    <x v="7"/>
    <n v="0"/>
    <m/>
    <s v="F078717"/>
    <n v="8.7498181818181813"/>
    <m/>
    <n v="1.6"/>
    <m/>
    <n v="10.349818181818181"/>
    <n v="50.784467532467538"/>
    <m/>
    <n v="80"/>
  </r>
  <r>
    <n v="4"/>
    <n v="2024"/>
    <s v="Auction"/>
    <s v="VROLIJK BLOEMEN"/>
    <s v="VROLIJK BLOEMEN"/>
    <x v="31"/>
    <s v="Floribunda Roses"/>
    <s v="80CM"/>
    <n v="1"/>
    <n v="6.8571428571428568"/>
    <n v="160"/>
    <n v="0.15"/>
    <n v="24"/>
    <s v="EUR"/>
    <m/>
    <m/>
    <x v="7"/>
    <n v="80"/>
    <x v="2"/>
    <x v="2"/>
    <n v="80"/>
    <n v="0.83000000000000007"/>
    <n v="66.400000000000006"/>
    <n v="-4.0657142857142858"/>
    <n v="62.33428571428572"/>
    <x v="7"/>
    <n v="-80"/>
    <m/>
    <s v="F078717"/>
    <n v="27.49942857142857"/>
    <m/>
    <n v="1.6"/>
    <m/>
    <n v="29.099428571428572"/>
    <n v="33.234857142857152"/>
    <m/>
    <n v="80"/>
  </r>
  <r>
    <n v="4"/>
    <n v="2024"/>
    <s v="Auction"/>
    <s v="VROLIJK BLOEMEN"/>
    <s v="VROLIJK BLOEMEN"/>
    <x v="31"/>
    <s v="Floribunda Roses"/>
    <s v="100CM"/>
    <m/>
    <n v="3.4285714285714284"/>
    <n v="80"/>
    <n v="0.15"/>
    <n v="12"/>
    <s v="EUR"/>
    <m/>
    <m/>
    <x v="7"/>
    <n v="80"/>
    <x v="2"/>
    <x v="4"/>
    <m/>
    <m/>
    <n v="0"/>
    <n v="0"/>
    <n v="0"/>
    <x v="7"/>
    <n v="-80"/>
    <m/>
    <s v="F078717"/>
    <n v="13.749714285714285"/>
    <m/>
    <n v="0"/>
    <m/>
    <n v="13.749714285714285"/>
    <n v="-13.749714285714285"/>
    <m/>
    <n v="0"/>
  </r>
  <r>
    <n v="4"/>
    <n v="2024"/>
    <s v="Auction"/>
    <s v="VROLIJK BLOEMEN"/>
    <s v="VROLIJK BLOEMEN"/>
    <x v="31"/>
    <s v="Floribunda Roses"/>
    <s v="110CM"/>
    <m/>
    <n v="1.7142857142857142"/>
    <n v="40"/>
    <n v="0.15"/>
    <n v="6"/>
    <s v="EUR"/>
    <m/>
    <m/>
    <x v="7"/>
    <n v="40"/>
    <x v="2"/>
    <x v="6"/>
    <m/>
    <m/>
    <n v="0"/>
    <n v="0"/>
    <n v="0"/>
    <x v="7"/>
    <n v="-40"/>
    <m/>
    <s v="F078717"/>
    <n v="6.8748571428571426"/>
    <m/>
    <n v="0"/>
    <m/>
    <n v="6.8748571428571426"/>
    <n v="-6.8748571428571426"/>
    <m/>
    <n v="0"/>
  </r>
  <r>
    <n v="4"/>
    <n v="2024"/>
    <s v="Auction"/>
    <s v="VROLIJK BLOEMEN"/>
    <s v="VROLIJK BLOEMEN"/>
    <x v="32"/>
    <s v="Floribunda Roses"/>
    <s v="60CM"/>
    <n v="2"/>
    <n v="24"/>
    <n v="1040"/>
    <n v="0.15"/>
    <n v="156"/>
    <s v="EUR"/>
    <m/>
    <m/>
    <x v="6"/>
    <n v="0"/>
    <x v="2"/>
    <x v="0"/>
    <n v="1040"/>
    <n v="0.69461538461538463"/>
    <n v="722.4"/>
    <n v="-53.791902587519054"/>
    <n v="668.6080974124809"/>
    <x v="6"/>
    <n v="0"/>
    <m/>
    <n v="425970"/>
    <n v="86.0209090909091"/>
    <m/>
    <n v="20.8"/>
    <m/>
    <n v="106.8209090909091"/>
    <n v="561.78718832157176"/>
    <m/>
    <n v="1040"/>
  </r>
  <r>
    <n v="4"/>
    <n v="2024"/>
    <s v="Auction"/>
    <s v="VROLIJK BLOEMEN"/>
    <s v="VROLIJK BLOEMEN"/>
    <x v="32"/>
    <s v="Floribunda Roses"/>
    <s v="70CM"/>
    <n v="1"/>
    <n v="12"/>
    <n v="400"/>
    <n v="0.15"/>
    <n v="60"/>
    <s v="EUR"/>
    <m/>
    <m/>
    <x v="6"/>
    <n v="400"/>
    <x v="2"/>
    <x v="1"/>
    <m/>
    <m/>
    <n v="0"/>
    <n v="0"/>
    <n v="0"/>
    <x v="6"/>
    <n v="-400"/>
    <m/>
    <n v="425970"/>
    <n v="41.986249999999998"/>
    <m/>
    <n v="0"/>
    <m/>
    <n v="41.986249999999998"/>
    <n v="-41.986249999999998"/>
    <m/>
    <n v="0"/>
  </r>
  <r>
    <n v="4"/>
    <n v="2024"/>
    <s v="Auction"/>
    <s v="VROLIJK BLOEMEN"/>
    <s v="VROLIJK BLOEMEN"/>
    <x v="32"/>
    <s v="English Roses"/>
    <s v="60CM"/>
    <n v="1"/>
    <n v="12"/>
    <n v="480"/>
    <n v="0.15"/>
    <n v="72"/>
    <s v="EUR"/>
    <m/>
    <m/>
    <x v="6"/>
    <n v="-160"/>
    <x v="1"/>
    <x v="0"/>
    <n v="640"/>
    <n v="0.48062500000000002"/>
    <n v="307.60000000000002"/>
    <n v="-33.10270928462711"/>
    <n v="274.49729071537291"/>
    <x v="6"/>
    <n v="160"/>
    <m/>
    <n v="425970"/>
    <n v="41.986249999999998"/>
    <m/>
    <n v="12.8"/>
    <m/>
    <n v="54.786249999999995"/>
    <n v="219.71104071537292"/>
    <m/>
    <n v="640"/>
  </r>
  <r>
    <n v="4"/>
    <n v="2024"/>
    <s v="Auction"/>
    <s v="VROLIJK BLOEMEN"/>
    <s v="VROLIJK BLOEMEN"/>
    <x v="32"/>
    <s v="English Roses"/>
    <s v="70CM"/>
    <n v="1"/>
    <n v="12"/>
    <n v="400"/>
    <n v="0.15"/>
    <n v="60"/>
    <s v="EUR"/>
    <m/>
    <m/>
    <x v="6"/>
    <n v="160"/>
    <x v="1"/>
    <x v="1"/>
    <n v="240"/>
    <n v="0.66499999999999992"/>
    <n v="159.6"/>
    <n v="-12.413515981735166"/>
    <n v="147.18648401826482"/>
    <x v="6"/>
    <n v="-160"/>
    <m/>
    <n v="425970"/>
    <n v="41.986249999999998"/>
    <m/>
    <n v="4.8"/>
    <m/>
    <n v="46.786249999999995"/>
    <n v="100.40023401826483"/>
    <m/>
    <n v="240"/>
  </r>
  <r>
    <n v="4"/>
    <n v="2024"/>
    <s v="Auction"/>
    <s v="VROLIJK BLOEMEN"/>
    <s v="VROLIJK BLOEMEN"/>
    <x v="32"/>
    <s v="English Roses"/>
    <s v="90CM"/>
    <n v="1"/>
    <n v="12"/>
    <n v="280"/>
    <n v="0.15"/>
    <n v="42"/>
    <s v="EUR"/>
    <m/>
    <m/>
    <x v="6"/>
    <n v="0"/>
    <x v="1"/>
    <x v="3"/>
    <n v="280"/>
    <n v="0.77714285714285714"/>
    <n v="217.6"/>
    <n v="-14.482435312024361"/>
    <n v="203.11756468797563"/>
    <x v="6"/>
    <n v="0"/>
    <m/>
    <n v="425970"/>
    <n v="41.986249999999998"/>
    <m/>
    <n v="5.6000000000000005"/>
    <m/>
    <n v="47.58625"/>
    <n v="155.53131468797562"/>
    <m/>
    <n v="280"/>
  </r>
  <r>
    <n v="4"/>
    <n v="2024"/>
    <s v="Auction"/>
    <s v="VROLIJK BLOEMEN"/>
    <s v="VROLIJK BLOEMEN"/>
    <x v="32"/>
    <s v="Grandiflora Roses"/>
    <s v="60CM"/>
    <n v="1"/>
    <n v="12"/>
    <n v="640"/>
    <n v="0.15"/>
    <n v="96"/>
    <s v="EUR"/>
    <m/>
    <m/>
    <x v="6"/>
    <n v="0"/>
    <x v="0"/>
    <x v="0"/>
    <n v="640"/>
    <n v="0.52625"/>
    <n v="336.8"/>
    <n v="-33.10270928462711"/>
    <n v="303.6972907153729"/>
    <x v="6"/>
    <n v="0"/>
    <m/>
    <n v="425970"/>
    <n v="41.986249999999998"/>
    <m/>
    <n v="12.8"/>
    <m/>
    <n v="54.786249999999995"/>
    <n v="248.91104071537291"/>
    <m/>
    <n v="640"/>
  </r>
  <r>
    <n v="4"/>
    <n v="2024"/>
    <s v="Auction"/>
    <s v="VROLIJK BLOEMEN"/>
    <s v="VROLIJK BLOEMEN"/>
    <x v="32"/>
    <s v="Grandiflora Roses"/>
    <s v="80CM"/>
    <n v="1"/>
    <n v="12"/>
    <n v="320"/>
    <n v="0.15"/>
    <n v="48"/>
    <s v="EUR"/>
    <m/>
    <m/>
    <x v="6"/>
    <n v="0"/>
    <x v="0"/>
    <x v="2"/>
    <n v="320"/>
    <n v="0.6"/>
    <n v="192"/>
    <n v="-16.551354642313555"/>
    <n v="175.44864535768644"/>
    <x v="6"/>
    <n v="0"/>
    <m/>
    <n v="425970"/>
    <n v="41.986249999999998"/>
    <m/>
    <n v="6.4"/>
    <m/>
    <n v="48.386249999999997"/>
    <n v="127.06239535768646"/>
    <m/>
    <n v="320"/>
  </r>
  <r>
    <n v="4"/>
    <n v="2024"/>
    <s v="Auction"/>
    <s v="VROLIJK BLOEMEN"/>
    <s v="VROLIJK BLOEMEN"/>
    <x v="32"/>
    <s v="Grandiflora Roses"/>
    <s v="90CM"/>
    <n v="1"/>
    <n v="12"/>
    <n v="280"/>
    <n v="0.15"/>
    <n v="42"/>
    <s v="EUR"/>
    <m/>
    <m/>
    <x v="6"/>
    <n v="0"/>
    <x v="0"/>
    <x v="3"/>
    <n v="280"/>
    <n v="0.64"/>
    <n v="179.20000000000002"/>
    <n v="-14.482435312024361"/>
    <n v="164.71756468797565"/>
    <x v="6"/>
    <n v="0"/>
    <m/>
    <n v="425970"/>
    <n v="41.986249999999998"/>
    <m/>
    <n v="5.6000000000000005"/>
    <m/>
    <n v="47.58625"/>
    <n v="117.13131468797565"/>
    <m/>
    <n v="280"/>
  </r>
  <r>
    <n v="4"/>
    <n v="2024"/>
    <s v="Auction"/>
    <s v="VROLIJK BLOEMEN"/>
    <s v="VROLIJK BLOEMEN"/>
    <x v="32"/>
    <s v="Grandiflora Roses"/>
    <s v="100CM"/>
    <n v="1"/>
    <n v="12"/>
    <n v="200"/>
    <n v="0.15"/>
    <n v="30"/>
    <s v="EUR"/>
    <m/>
    <m/>
    <x v="6"/>
    <n v="0"/>
    <x v="0"/>
    <x v="4"/>
    <n v="200"/>
    <n v="0.66"/>
    <n v="132"/>
    <n v="-10.34459665144597"/>
    <n v="121.65540334855403"/>
    <x v="6"/>
    <n v="0"/>
    <m/>
    <n v="425970"/>
    <n v="41.986249999999998"/>
    <m/>
    <n v="4"/>
    <m/>
    <n v="45.986249999999998"/>
    <n v="75.669153348554033"/>
    <m/>
    <n v="200"/>
  </r>
  <r>
    <n v="4"/>
    <n v="2024"/>
    <s v="Auction"/>
    <s v="VROLIJK BLOEMEN"/>
    <s v="VROLIJK BLOEMEN"/>
    <x v="32"/>
    <s v="Climbing Roses"/>
    <s v="70CM"/>
    <n v="1"/>
    <n v="12"/>
    <n v="560"/>
    <n v="0.15"/>
    <n v="84"/>
    <s v="EUR"/>
    <m/>
    <m/>
    <x v="6"/>
    <n v="20"/>
    <x v="5"/>
    <x v="1"/>
    <n v="540"/>
    <n v="0.12"/>
    <n v="64.8"/>
    <n v="-27.930410958904123"/>
    <n v="36.869589041095878"/>
    <x v="6"/>
    <n v="-20"/>
    <m/>
    <n v="425970"/>
    <n v="41.986249999999998"/>
    <m/>
    <n v="10.8"/>
    <m/>
    <n v="52.786249999999995"/>
    <n v="-15.916660958904117"/>
    <m/>
    <n v="540"/>
  </r>
  <r>
    <n v="4"/>
    <n v="2024"/>
    <s v="Auction"/>
    <s v="VROLIJK BLOEMEN"/>
    <s v="VROLIJK BLOEMEN"/>
    <x v="32"/>
    <s v="English Roses"/>
    <s v="60CM"/>
    <n v="1"/>
    <n v="4"/>
    <n v="120"/>
    <n v="0.15"/>
    <n v="18"/>
    <s v="EUR"/>
    <m/>
    <m/>
    <x v="6"/>
    <n v="120"/>
    <x v="1"/>
    <x v="0"/>
    <m/>
    <m/>
    <n v="0"/>
    <n v="0"/>
    <n v="0"/>
    <x v="6"/>
    <n v="-120"/>
    <m/>
    <n v="425970"/>
    <n v="13.995416666666666"/>
    <m/>
    <n v="0"/>
    <m/>
    <n v="13.995416666666666"/>
    <n v="-13.995416666666666"/>
    <m/>
    <n v="0"/>
  </r>
  <r>
    <n v="4"/>
    <n v="2024"/>
    <s v="Auction"/>
    <s v="VROLIJK BLOEMEN"/>
    <s v="VROLIJK BLOEMEN"/>
    <x v="32"/>
    <s v="English Roses"/>
    <s v="80CM"/>
    <m/>
    <n v="4"/>
    <n v="120"/>
    <n v="0.15"/>
    <n v="18"/>
    <s v="EUR"/>
    <m/>
    <m/>
    <x v="6"/>
    <n v="0"/>
    <x v="1"/>
    <x v="2"/>
    <n v="120"/>
    <n v="0.55000000000000004"/>
    <n v="66"/>
    <n v="-6.2067579908675832"/>
    <n v="59.793242009132413"/>
    <x v="6"/>
    <n v="0"/>
    <m/>
    <n v="425970"/>
    <n v="13.995416666666666"/>
    <m/>
    <n v="2.4"/>
    <m/>
    <n v="16.395416666666666"/>
    <n v="43.397825342465751"/>
    <m/>
    <n v="120"/>
  </r>
  <r>
    <n v="4"/>
    <n v="2024"/>
    <s v="Auction"/>
    <s v="VROLIJK BLOEMEN"/>
    <s v="VROLIJK BLOEMEN"/>
    <x v="32"/>
    <s v="English Roses"/>
    <s v="70CM"/>
    <m/>
    <n v="4"/>
    <n v="120"/>
    <n v="0.15"/>
    <n v="18"/>
    <s v="EUR"/>
    <m/>
    <m/>
    <x v="6"/>
    <n v="-160"/>
    <x v="1"/>
    <x v="1"/>
    <n v="280"/>
    <n v="0.76"/>
    <n v="212.8"/>
    <n v="-14.482435312024361"/>
    <n v="198.31756468797565"/>
    <x v="6"/>
    <n v="160"/>
    <m/>
    <n v="425970"/>
    <n v="13.995416666666666"/>
    <m/>
    <n v="5.6000000000000005"/>
    <m/>
    <n v="19.595416666666665"/>
    <n v="178.72214802130898"/>
    <m/>
    <n v="280"/>
  </r>
  <r>
    <n v="4"/>
    <n v="2024"/>
    <s v="Auction"/>
    <s v="VROLIJK BLOEMEN"/>
    <s v="VROLIJK BLOEMEN"/>
    <x v="32"/>
    <s v="Grandiflora Roses"/>
    <s v="70CM"/>
    <n v="1"/>
    <n v="10"/>
    <n v="400"/>
    <n v="0.15"/>
    <n v="60"/>
    <s v="EUR"/>
    <m/>
    <m/>
    <x v="6"/>
    <n v="0"/>
    <x v="0"/>
    <x v="1"/>
    <n v="400"/>
    <n v="0.56299999999999994"/>
    <n v="225.2"/>
    <n v="-20.68919330289194"/>
    <n v="204.51080669710805"/>
    <x v="6"/>
    <n v="0"/>
    <m/>
    <n v="425970"/>
    <n v="34.98854166666667"/>
    <m/>
    <n v="8"/>
    <m/>
    <n v="42.98854166666667"/>
    <n v="161.52226503044139"/>
    <m/>
    <n v="400"/>
  </r>
  <r>
    <n v="4"/>
    <n v="2024"/>
    <s v="Auction"/>
    <s v="VROLIJK BLOEMEN"/>
    <s v="VROLIJK BLOEMEN"/>
    <x v="32"/>
    <s v="Grandiflora Roses"/>
    <s v="110CM"/>
    <m/>
    <n v="2"/>
    <n v="80"/>
    <n v="0.15"/>
    <n v="12"/>
    <s v="EUR"/>
    <m/>
    <m/>
    <x v="6"/>
    <n v="0"/>
    <x v="0"/>
    <x v="6"/>
    <n v="80"/>
    <n v="0.65"/>
    <n v="52"/>
    <n v="-4.1378386605783888"/>
    <n v="47.862161339421611"/>
    <x v="6"/>
    <n v="0"/>
    <m/>
    <n v="425970"/>
    <n v="6.9977083333333328"/>
    <m/>
    <n v="1.6"/>
    <m/>
    <n v="8.5977083333333333"/>
    <n v="39.264453006088274"/>
    <m/>
    <n v="80"/>
  </r>
  <r>
    <n v="4"/>
    <n v="2024"/>
    <s v="Auction"/>
    <s v="VROLIJK BLOEMEN"/>
    <s v="VROLIJK BLOEMEN"/>
    <x v="32"/>
    <s v="Floribunda Roses"/>
    <s v="70CM"/>
    <n v="1"/>
    <n v="7.5"/>
    <n v="200"/>
    <n v="0.15"/>
    <n v="30"/>
    <s v="EUR"/>
    <m/>
    <m/>
    <x v="6"/>
    <n v="-400"/>
    <x v="2"/>
    <x v="1"/>
    <n v="600"/>
    <n v="0.72333333333333338"/>
    <n v="434.00000000000006"/>
    <n v="-31.033789954337912"/>
    <n v="402.96621004566214"/>
    <x v="6"/>
    <n v="400"/>
    <m/>
    <n v="425970"/>
    <n v="26.241406249999997"/>
    <m/>
    <n v="12"/>
    <m/>
    <n v="38.241406249999997"/>
    <n v="364.72480379566213"/>
    <m/>
    <n v="600"/>
  </r>
  <r>
    <n v="4"/>
    <n v="2024"/>
    <s v="Auction"/>
    <s v="VROLIJK BLOEMEN"/>
    <s v="VROLIJK BLOEMEN"/>
    <x v="32"/>
    <s v="Floribunda Roses"/>
    <s v="90CM"/>
    <m/>
    <n v="4.5"/>
    <n v="120"/>
    <n v="0.15"/>
    <n v="18"/>
    <s v="EUR"/>
    <m/>
    <m/>
    <x v="6"/>
    <n v="0"/>
    <x v="2"/>
    <x v="3"/>
    <n v="120"/>
    <n v="0.91666666666666663"/>
    <n v="110"/>
    <n v="-6.2067579908675832"/>
    <n v="103.79324200913241"/>
    <x v="6"/>
    <n v="0"/>
    <m/>
    <n v="425970"/>
    <n v="15.744843749999999"/>
    <m/>
    <n v="2.4"/>
    <m/>
    <n v="18.14484375"/>
    <n v="85.648398259132421"/>
    <m/>
    <n v="120"/>
  </r>
  <r>
    <n v="4"/>
    <n v="2024"/>
    <s v="Auction"/>
    <s v="VROLIJK BLOEMEN"/>
    <s v="VROLIJK BLOEMEN"/>
    <x v="32"/>
    <s v="Climbing Roses"/>
    <s v="60CM"/>
    <n v="1"/>
    <n v="3.2"/>
    <n v="160"/>
    <n v="0.15"/>
    <n v="24"/>
    <s v="EUR"/>
    <m/>
    <m/>
    <x v="6"/>
    <n v="-290"/>
    <x v="5"/>
    <x v="0"/>
    <n v="450"/>
    <n v="0.09"/>
    <n v="40.5"/>
    <n v="-23.27534246575344"/>
    <n v="17.22465753424656"/>
    <x v="6"/>
    <n v="290"/>
    <m/>
    <n v="425970"/>
    <n v="11.196333333333333"/>
    <m/>
    <n v="9"/>
    <m/>
    <n v="20.196333333333335"/>
    <n v="-2.9716757990867748"/>
    <m/>
    <n v="450"/>
  </r>
  <r>
    <n v="4"/>
    <n v="2024"/>
    <s v="Auction"/>
    <s v="VROLIJK BLOEMEN"/>
    <s v="VROLIJK BLOEMEN"/>
    <x v="32"/>
    <s v="Climbing Roses"/>
    <s v="50CM"/>
    <m/>
    <n v="8.7999999999999989"/>
    <n v="440"/>
    <n v="0.15"/>
    <n v="66"/>
    <s v="EUR"/>
    <m/>
    <m/>
    <x v="6"/>
    <n v="260"/>
    <x v="5"/>
    <x v="5"/>
    <n v="180"/>
    <n v="0.08"/>
    <n v="14.4"/>
    <n v="-9.3101369863013748"/>
    <n v="5.0898630136986256"/>
    <x v="6"/>
    <n v="-260"/>
    <m/>
    <n v="425970"/>
    <n v="30.789916666666663"/>
    <m/>
    <n v="3.6"/>
    <m/>
    <n v="34.389916666666664"/>
    <n v="-29.300053652968039"/>
    <m/>
    <n v="180"/>
  </r>
  <r>
    <n v="4"/>
    <n v="2024"/>
    <s v="Auction"/>
    <s v="VROLIJK BLOEMEN"/>
    <s v="VROLIJK BLOEMEN"/>
    <x v="32"/>
    <s v="Floribunda Roses"/>
    <s v="100CM"/>
    <n v="1"/>
    <n v="9"/>
    <n v="120"/>
    <n v="0.15"/>
    <n v="18"/>
    <s v="EUR"/>
    <m/>
    <m/>
    <x v="6"/>
    <n v="0"/>
    <x v="2"/>
    <x v="4"/>
    <n v="120"/>
    <n v="0.99666666666666659"/>
    <n v="119.6"/>
    <n v="-6.2067579908675832"/>
    <n v="113.39324200913241"/>
    <x v="6"/>
    <n v="0"/>
    <m/>
    <n v="425970"/>
    <n v="31.489687499999999"/>
    <m/>
    <n v="2.4"/>
    <m/>
    <n v="33.889687500000001"/>
    <n v="79.503554509132414"/>
    <m/>
    <n v="120"/>
  </r>
  <r>
    <n v="4"/>
    <n v="2024"/>
    <s v="Auction"/>
    <s v="VROLIJK BLOEMEN"/>
    <s v="VROLIJK BLOEMEN"/>
    <x v="32"/>
    <s v="Floribunda Roses"/>
    <s v="110CM"/>
    <m/>
    <n v="3"/>
    <n v="40"/>
    <n v="0.15"/>
    <n v="6"/>
    <s v="EUR"/>
    <m/>
    <m/>
    <x v="6"/>
    <n v="0"/>
    <x v="2"/>
    <x v="6"/>
    <n v="40"/>
    <n v="1.26"/>
    <n v="50.4"/>
    <n v="-2.0689193302891944"/>
    <n v="48.331080669710801"/>
    <x v="6"/>
    <n v="0"/>
    <m/>
    <n v="425970"/>
    <n v="10.4965625"/>
    <m/>
    <n v="0.8"/>
    <m/>
    <n v="11.2965625"/>
    <n v="37.0345181697108"/>
    <m/>
    <n v="40"/>
  </r>
  <r>
    <n v="3"/>
    <n v="2023"/>
    <s v="Auction"/>
    <s v="VROLIJK BLOEMEN"/>
    <s v="VROLIJK BLOEMEN"/>
    <x v="33"/>
    <s v="Floribunda Roses"/>
    <s v="60CM"/>
    <n v="4"/>
    <n v="48"/>
    <n v="2080"/>
    <n v="0.15"/>
    <n v="312"/>
    <s v="EUR"/>
    <m/>
    <m/>
    <x v="8"/>
    <n v="-320"/>
    <x v="2"/>
    <x v="0"/>
    <n v="2400"/>
    <n v="0.34416666666666668"/>
    <n v="826"/>
    <n v="-95.636065573770409"/>
    <n v="730.36393442622955"/>
    <x v="8"/>
    <n v="320"/>
    <m/>
    <n v="423646"/>
    <n v="159.16499999999999"/>
    <m/>
    <n v="48"/>
    <m/>
    <n v="207.16499999999999"/>
    <n v="523.19893442622958"/>
    <m/>
    <n v="2400"/>
  </r>
  <r>
    <n v="3"/>
    <n v="2023"/>
    <s v="Auction"/>
    <s v="VROLIJK BLOEMEN"/>
    <s v="VROLIJK BLOEMEN"/>
    <x v="33"/>
    <s v="English Roses"/>
    <s v="60CM"/>
    <n v="1"/>
    <n v="12"/>
    <n v="480"/>
    <n v="0.15"/>
    <n v="72"/>
    <s v="EUR"/>
    <m/>
    <m/>
    <x v="8"/>
    <n v="480"/>
    <x v="1"/>
    <x v="0"/>
    <m/>
    <m/>
    <n v="0"/>
    <n v="0"/>
    <n v="0"/>
    <x v="8"/>
    <n v="-480"/>
    <m/>
    <n v="423646"/>
    <n v="39.791249999999998"/>
    <m/>
    <n v="0"/>
    <m/>
    <n v="39.791249999999998"/>
    <n v="-39.791249999999998"/>
    <m/>
    <n v="0"/>
  </r>
  <r>
    <n v="3"/>
    <n v="2023"/>
    <s v="Auction"/>
    <s v="VROLIJK BLOEMEN"/>
    <s v="VROLIJK BLOEMEN"/>
    <x v="33"/>
    <s v="Floribunda Roses"/>
    <s v="70CM"/>
    <n v="6"/>
    <n v="72"/>
    <n v="1920"/>
    <n v="0.15"/>
    <n v="288"/>
    <s v="EUR"/>
    <m/>
    <m/>
    <x v="8"/>
    <n v="0"/>
    <x v="2"/>
    <x v="1"/>
    <n v="1920"/>
    <n v="0.44"/>
    <n v="844.8"/>
    <n v="-76.508852459016339"/>
    <n v="768.29114754098362"/>
    <x v="8"/>
    <n v="0"/>
    <m/>
    <n v="423646"/>
    <n v="238.7475"/>
    <m/>
    <n v="38.4"/>
    <m/>
    <n v="277.14749999999998"/>
    <n v="491.14364754098364"/>
    <m/>
    <n v="1920"/>
  </r>
  <r>
    <n v="3"/>
    <n v="2023"/>
    <s v="Auction"/>
    <s v="VROLIJK BLOEMEN"/>
    <s v="VROLIJK BLOEMEN"/>
    <x v="33"/>
    <s v="Floribunda Roses"/>
    <s v="80CM"/>
    <n v="3"/>
    <n v="36"/>
    <n v="840"/>
    <n v="0.15"/>
    <n v="126"/>
    <s v="EUR"/>
    <m/>
    <m/>
    <x v="8"/>
    <n v="-240"/>
    <x v="2"/>
    <x v="2"/>
    <n v="1080"/>
    <n v="0.57148148148148148"/>
    <n v="617.20000000000005"/>
    <n v="-43.036229508196691"/>
    <n v="574.16377049180335"/>
    <x v="8"/>
    <n v="240"/>
    <m/>
    <n v="423646"/>
    <n v="119.37375"/>
    <m/>
    <n v="21.6"/>
    <m/>
    <n v="140.97375"/>
    <n v="433.19002049180335"/>
    <m/>
    <n v="1080"/>
  </r>
  <r>
    <n v="3"/>
    <n v="2023"/>
    <s v="Auction"/>
    <s v="VROLIJK BLOEMEN"/>
    <s v="VROLIJK BLOEMEN"/>
    <x v="33"/>
    <s v="Floribunda Roses"/>
    <s v="90CM"/>
    <n v="2"/>
    <n v="24"/>
    <n v="480"/>
    <n v="0.15"/>
    <n v="72"/>
    <s v="EUR"/>
    <m/>
    <m/>
    <x v="8"/>
    <n v="0"/>
    <x v="2"/>
    <x v="3"/>
    <n v="480"/>
    <n v="0.60916666666666663"/>
    <n v="292.39999999999998"/>
    <n v="-19.127213114754085"/>
    <n v="273.27278688524586"/>
    <x v="8"/>
    <n v="0"/>
    <m/>
    <n v="423646"/>
    <n v="79.582499999999996"/>
    <m/>
    <n v="9.6"/>
    <m/>
    <n v="89.18249999999999"/>
    <n v="184.09028688524586"/>
    <m/>
    <n v="480"/>
  </r>
  <r>
    <n v="3"/>
    <n v="2023"/>
    <s v="Auction"/>
    <s v="VROLIJK BLOEMEN"/>
    <s v="VROLIJK BLOEMEN"/>
    <x v="33"/>
    <s v="Floribunda Roses"/>
    <s v="100CM"/>
    <n v="3"/>
    <n v="36"/>
    <n v="600"/>
    <n v="0.15"/>
    <n v="90"/>
    <s v="EUR"/>
    <m/>
    <m/>
    <x v="8"/>
    <n v="-120"/>
    <x v="2"/>
    <x v="4"/>
    <n v="720"/>
    <n v="0.62888888888888894"/>
    <n v="452.8"/>
    <n v="-28.690819672131127"/>
    <n v="424.1091803278689"/>
    <x v="8"/>
    <n v="120"/>
    <m/>
    <n v="423646"/>
    <n v="119.37375"/>
    <m/>
    <n v="14.4"/>
    <m/>
    <n v="133.77375000000001"/>
    <n v="290.33543032786889"/>
    <m/>
    <n v="720"/>
  </r>
  <r>
    <n v="3"/>
    <n v="2023"/>
    <s v="Auction"/>
    <s v="VROLIJK BLOEMEN"/>
    <s v="VROLIJK BLOEMEN"/>
    <x v="33"/>
    <s v="Floribunda Roses"/>
    <s v="110CM"/>
    <n v="1"/>
    <n v="12"/>
    <n v="160"/>
    <n v="0.15"/>
    <n v="24"/>
    <s v="EUR"/>
    <m/>
    <m/>
    <x v="8"/>
    <n v="-40"/>
    <x v="2"/>
    <x v="6"/>
    <n v="200"/>
    <n v="0.67599999999999993"/>
    <n v="135.19999999999999"/>
    <n v="-7.9696721311475347"/>
    <n v="127.23032786885246"/>
    <x v="8"/>
    <n v="40"/>
    <m/>
    <n v="423646"/>
    <n v="39.791249999999998"/>
    <m/>
    <n v="4"/>
    <m/>
    <n v="43.791249999999998"/>
    <n v="83.439077868852451"/>
    <m/>
    <n v="200"/>
  </r>
  <r>
    <n v="3"/>
    <n v="2023"/>
    <s v="Auction"/>
    <s v="VROLIJK BLOEMEN"/>
    <s v="VROLIJK BLOEMEN"/>
    <x v="33"/>
    <s v="English Roses"/>
    <s v="60CM"/>
    <n v="1"/>
    <n v="12"/>
    <n v="400"/>
    <n v="0.15"/>
    <n v="60"/>
    <s v="EUR"/>
    <m/>
    <m/>
    <x v="8"/>
    <n v="-480"/>
    <x v="1"/>
    <x v="0"/>
    <n v="880"/>
    <n v="0.28772727272727272"/>
    <n v="253.2"/>
    <n v="-35.066557377049151"/>
    <n v="218.13344262295084"/>
    <x v="8"/>
    <n v="480"/>
    <m/>
    <n v="423646"/>
    <n v="39.791249999999998"/>
    <m/>
    <n v="17.600000000000001"/>
    <m/>
    <n v="57.391249999999999"/>
    <n v="160.74219262295082"/>
    <m/>
    <n v="880"/>
  </r>
  <r>
    <n v="3"/>
    <n v="2023"/>
    <s v="Auction"/>
    <s v="VROLIJK BLOEMEN"/>
    <s v="VROLIJK BLOEMEN"/>
    <x v="33"/>
    <s v="Grandiflora Roses"/>
    <s v="60CM"/>
    <n v="2"/>
    <n v="24"/>
    <n v="1440"/>
    <n v="0.15"/>
    <n v="216"/>
    <s v="EUR"/>
    <m/>
    <m/>
    <x v="8"/>
    <n v="0"/>
    <x v="0"/>
    <x v="0"/>
    <n v="1440"/>
    <n v="0.18444444444444447"/>
    <n v="265.60000000000002"/>
    <n v="-57.381639344262254"/>
    <n v="208.21836065573777"/>
    <x v="8"/>
    <n v="0"/>
    <m/>
    <n v="423646"/>
    <n v="79.582499999999996"/>
    <m/>
    <n v="28.8"/>
    <m/>
    <n v="108.38249999999999"/>
    <n v="99.835860655737775"/>
    <m/>
    <n v="1440"/>
  </r>
  <r>
    <n v="3"/>
    <n v="2023"/>
    <s v="Auction"/>
    <s v="VROLIJK BLOEMEN"/>
    <s v="VROLIJK BLOEMEN"/>
    <x v="33"/>
    <s v="Grandiflora Roses"/>
    <s v="70CM"/>
    <n v="1"/>
    <n v="12"/>
    <n v="520"/>
    <n v="0.15"/>
    <n v="78"/>
    <s v="EUR"/>
    <m/>
    <m/>
    <x v="8"/>
    <n v="-440"/>
    <x v="0"/>
    <x v="1"/>
    <n v="960"/>
    <n v="0.34791666666666665"/>
    <n v="334"/>
    <n v="-38.254426229508169"/>
    <n v="295.74557377049183"/>
    <x v="8"/>
    <n v="440"/>
    <m/>
    <n v="423646"/>
    <n v="39.791249999999998"/>
    <m/>
    <n v="19.2"/>
    <m/>
    <n v="58.991249999999994"/>
    <n v="236.75432377049185"/>
    <m/>
    <n v="960"/>
  </r>
  <r>
    <n v="3"/>
    <n v="2023"/>
    <s v="Auction"/>
    <s v="VROLIJK BLOEMEN"/>
    <s v="VROLIJK BLOEMEN"/>
    <x v="33"/>
    <s v="Grandiflora Roses"/>
    <s v="80CM"/>
    <n v="1"/>
    <n v="12"/>
    <n v="480"/>
    <n v="0.15"/>
    <n v="72"/>
    <s v="EUR"/>
    <m/>
    <m/>
    <x v="8"/>
    <n v="-40"/>
    <x v="0"/>
    <x v="2"/>
    <n v="520"/>
    <n v="0.57692307692307687"/>
    <n v="300"/>
    <n v="-20.721147540983591"/>
    <n v="279.27885245901643"/>
    <x v="8"/>
    <n v="40"/>
    <m/>
    <n v="423646"/>
    <n v="39.791249999999998"/>
    <m/>
    <n v="10.4"/>
    <m/>
    <n v="50.191249999999997"/>
    <n v="229.08760245901644"/>
    <m/>
    <n v="520"/>
  </r>
  <r>
    <n v="3"/>
    <n v="2023"/>
    <s v="Auction"/>
    <s v="VROLIJK BLOEMEN"/>
    <s v="VROLIJK BLOEMEN"/>
    <x v="33"/>
    <s v="Grandiflora Roses"/>
    <s v="90CM"/>
    <n v="1"/>
    <n v="12"/>
    <n v="440"/>
    <n v="0.15"/>
    <n v="66"/>
    <s v="EUR"/>
    <m/>
    <m/>
    <x v="8"/>
    <n v="0"/>
    <x v="0"/>
    <x v="3"/>
    <n v="440"/>
    <n v="0.6454545454545455"/>
    <n v="284"/>
    <n v="-17.533278688524575"/>
    <n v="266.46672131147545"/>
    <x v="8"/>
    <n v="0"/>
    <m/>
    <n v="423646"/>
    <n v="39.791249999999998"/>
    <m/>
    <n v="8.8000000000000007"/>
    <m/>
    <n v="48.591250000000002"/>
    <n v="217.87547131147545"/>
    <m/>
    <n v="440"/>
  </r>
  <r>
    <n v="3"/>
    <n v="2023"/>
    <s v="Auction"/>
    <s v="VROLIJK BLOEMEN"/>
    <s v="VROLIJK BLOEMEN"/>
    <x v="33"/>
    <s v="English Roses"/>
    <s v="70CM"/>
    <n v="1"/>
    <n v="12"/>
    <n v="400"/>
    <n v="0.15"/>
    <n v="60"/>
    <s v="EUR"/>
    <m/>
    <m/>
    <x v="8"/>
    <n v="0"/>
    <x v="1"/>
    <x v="1"/>
    <n v="400"/>
    <n v="0.436"/>
    <n v="174.4"/>
    <n v="-15.939344262295069"/>
    <n v="158.46065573770494"/>
    <x v="8"/>
    <n v="0"/>
    <m/>
    <n v="423646"/>
    <n v="39.791249999999998"/>
    <m/>
    <n v="8"/>
    <m/>
    <n v="47.791249999999998"/>
    <n v="110.66940573770495"/>
    <m/>
    <n v="400"/>
  </r>
  <r>
    <n v="3"/>
    <n v="2023"/>
    <s v="Auction"/>
    <s v="VROLIJK BLOEMEN"/>
    <s v="VROLIJK BLOEMEN"/>
    <x v="33"/>
    <s v="English Roses"/>
    <s v="80CM"/>
    <n v="1"/>
    <n v="12"/>
    <n v="280"/>
    <n v="0.15"/>
    <n v="42"/>
    <s v="EUR"/>
    <m/>
    <m/>
    <x v="8"/>
    <n v="0"/>
    <x v="1"/>
    <x v="2"/>
    <n v="280"/>
    <n v="0.58142857142857152"/>
    <n v="162.80000000000001"/>
    <n v="-11.157540983606548"/>
    <n v="151.64245901639347"/>
    <x v="8"/>
    <n v="0"/>
    <m/>
    <n v="423646"/>
    <n v="39.791249999999998"/>
    <m/>
    <n v="5.6000000000000005"/>
    <m/>
    <n v="45.391249999999999"/>
    <n v="106.25120901639347"/>
    <m/>
    <n v="280"/>
  </r>
  <r>
    <n v="3"/>
    <n v="2023"/>
    <s v="Auction"/>
    <s v="VROLIJK BLOEMEN"/>
    <s v="VROLIJK BLOEMEN"/>
    <x v="33"/>
    <s v="Floribunda Roses"/>
    <s v="100CM"/>
    <n v="1"/>
    <n v="9"/>
    <n v="120"/>
    <n v="0.15"/>
    <n v="18"/>
    <s v="EUR"/>
    <m/>
    <m/>
    <x v="8"/>
    <n v="120"/>
    <x v="2"/>
    <x v="4"/>
    <m/>
    <m/>
    <n v="0"/>
    <n v="0"/>
    <n v="0"/>
    <x v="8"/>
    <n v="-120"/>
    <m/>
    <n v="423646"/>
    <n v="29.8434375"/>
    <m/>
    <n v="0"/>
    <m/>
    <n v="29.8434375"/>
    <n v="-29.8434375"/>
    <m/>
    <n v="0"/>
  </r>
  <r>
    <n v="3"/>
    <n v="2023"/>
    <s v="Auction"/>
    <s v="VROLIJK BLOEMEN"/>
    <s v="VROLIJK BLOEMEN"/>
    <x v="33"/>
    <s v="Floribunda Roses"/>
    <s v="110CM"/>
    <m/>
    <n v="3"/>
    <n v="40"/>
    <n v="0.15"/>
    <n v="6"/>
    <s v="EUR"/>
    <m/>
    <m/>
    <x v="8"/>
    <n v="40"/>
    <x v="2"/>
    <x v="6"/>
    <m/>
    <m/>
    <n v="0"/>
    <n v="0"/>
    <n v="0"/>
    <x v="8"/>
    <n v="-40"/>
    <m/>
    <n v="423646"/>
    <n v="9.9478124999999995"/>
    <m/>
    <n v="0"/>
    <m/>
    <n v="9.9478124999999995"/>
    <n v="-9.9478124999999995"/>
    <m/>
    <n v="0"/>
  </r>
  <r>
    <n v="3"/>
    <n v="2023"/>
    <s v="Auction"/>
    <s v="VROLIJK BLOEMEN"/>
    <s v="VROLIJK BLOEMEN"/>
    <x v="33"/>
    <s v="Floribunda Roses"/>
    <s v="60CM"/>
    <n v="1"/>
    <n v="6.8571428571428568"/>
    <n v="320"/>
    <n v="0.15"/>
    <n v="48"/>
    <s v="EUR"/>
    <m/>
    <m/>
    <x v="8"/>
    <n v="320"/>
    <x v="2"/>
    <x v="0"/>
    <m/>
    <m/>
    <n v="0"/>
    <n v="0"/>
    <n v="0"/>
    <x v="8"/>
    <n v="-320"/>
    <m/>
    <n v="423646"/>
    <n v="22.737857142857141"/>
    <m/>
    <n v="0"/>
    <m/>
    <n v="22.737857142857141"/>
    <n v="-22.737857142857141"/>
    <m/>
    <n v="0"/>
  </r>
  <r>
    <n v="3"/>
    <n v="2023"/>
    <s v="Auction"/>
    <s v="VROLIJK BLOEMEN"/>
    <s v="VROLIJK BLOEMEN"/>
    <x v="33"/>
    <s v="Floribunda Roses"/>
    <s v="80CM"/>
    <m/>
    <n v="5.1428571428571423"/>
    <n v="240"/>
    <n v="0.15"/>
    <n v="36"/>
    <s v="EUR"/>
    <m/>
    <m/>
    <x v="8"/>
    <n v="240"/>
    <x v="2"/>
    <x v="2"/>
    <m/>
    <m/>
    <n v="0"/>
    <n v="0"/>
    <n v="0"/>
    <x v="8"/>
    <n v="-240"/>
    <m/>
    <n v="423646"/>
    <n v="17.053392857142857"/>
    <m/>
    <n v="0"/>
    <m/>
    <n v="17.053392857142857"/>
    <n v="-17.053392857142857"/>
    <m/>
    <n v="0"/>
  </r>
  <r>
    <n v="3"/>
    <n v="2023"/>
    <s v="Auction"/>
    <s v="VROLIJK BLOEMEN"/>
    <s v="VROLIJK BLOEMEN"/>
    <x v="33"/>
    <s v="Grandiflora Roses"/>
    <s v="110CM"/>
    <n v="1"/>
    <n v="0.92307692307692313"/>
    <n v="40"/>
    <n v="0.15"/>
    <n v="6"/>
    <s v="EUR"/>
    <m/>
    <m/>
    <x v="8"/>
    <n v="0"/>
    <x v="0"/>
    <x v="6"/>
    <n v="40"/>
    <n v="0.88000000000000012"/>
    <n v="35.200000000000003"/>
    <n v="-1.593934426229507"/>
    <n v="33.606065573770493"/>
    <x v="8"/>
    <n v="0"/>
    <m/>
    <n v="423646"/>
    <n v="3.0608653846153846"/>
    <m/>
    <n v="0.8"/>
    <m/>
    <n v="3.8608653846153844"/>
    <n v="29.74520018915511"/>
    <m/>
    <n v="40"/>
  </r>
  <r>
    <n v="3"/>
    <n v="2023"/>
    <s v="Auction"/>
    <s v="VROLIJK BLOEMEN"/>
    <s v="VROLIJK BLOEMEN"/>
    <x v="33"/>
    <s v="Grandiflora Roses"/>
    <s v="70CM"/>
    <m/>
    <n v="10.153846153846153"/>
    <n v="440"/>
    <n v="0.15"/>
    <n v="66"/>
    <s v="EUR"/>
    <m/>
    <m/>
    <x v="8"/>
    <n v="440"/>
    <x v="0"/>
    <x v="1"/>
    <m/>
    <m/>
    <n v="0"/>
    <n v="0"/>
    <n v="0"/>
    <x v="8"/>
    <n v="-440"/>
    <m/>
    <n v="423646"/>
    <n v="33.669519230769225"/>
    <m/>
    <n v="0"/>
    <m/>
    <n v="33.669519230769225"/>
    <n v="-33.669519230769225"/>
    <m/>
    <n v="0"/>
  </r>
  <r>
    <n v="3"/>
    <n v="2023"/>
    <s v="Auction"/>
    <s v="VROLIJK BLOEMEN"/>
    <s v="VROLIJK BLOEMEN"/>
    <x v="33"/>
    <s v="Grandiflora Roses"/>
    <s v="80CM"/>
    <m/>
    <n v="0.92307692307692313"/>
    <n v="40"/>
    <n v="0.15"/>
    <n v="6"/>
    <s v="EUR"/>
    <m/>
    <m/>
    <x v="8"/>
    <n v="40"/>
    <x v="0"/>
    <x v="2"/>
    <m/>
    <m/>
    <n v="0"/>
    <n v="0"/>
    <n v="0"/>
    <x v="8"/>
    <n v="-40"/>
    <m/>
    <n v="423646"/>
    <n v="3.0608653846153846"/>
    <m/>
    <n v="0"/>
    <m/>
    <n v="3.0608653846153846"/>
    <n v="-3.0608653846153846"/>
    <m/>
    <n v="0"/>
  </r>
  <r>
    <n v="3"/>
    <n v="2023"/>
    <s v="Auction"/>
    <s v="VROLIJK BLOEMEN"/>
    <s v="VROLIJK BLOEMEN"/>
    <x v="33"/>
    <s v="Moss Roses"/>
    <s v="60CM"/>
    <n v="1"/>
    <n v="4.3636363636363633"/>
    <n v="160"/>
    <n v="0.15"/>
    <n v="24"/>
    <s v="EUR"/>
    <m/>
    <m/>
    <x v="8"/>
    <n v="0"/>
    <x v="4"/>
    <x v="0"/>
    <n v="160"/>
    <n v="0.42000000000000004"/>
    <n v="67.2"/>
    <n v="-6.3757377049180279"/>
    <n v="60.824262295081972"/>
    <x v="8"/>
    <n v="0"/>
    <m/>
    <n v="423646"/>
    <n v="14.469545454545452"/>
    <m/>
    <n v="3.2"/>
    <m/>
    <n v="17.669545454545453"/>
    <n v="43.154716840536523"/>
    <m/>
    <n v="160"/>
  </r>
  <r>
    <n v="3"/>
    <n v="2023"/>
    <s v="Auction"/>
    <s v="VROLIJK BLOEMEN"/>
    <s v="VROLIJK BLOEMEN"/>
    <x v="33"/>
    <s v="Moss Roses"/>
    <s v="70CM"/>
    <m/>
    <n v="4.3636363636363633"/>
    <n v="160"/>
    <n v="0.15"/>
    <n v="24"/>
    <s v="EUR"/>
    <m/>
    <m/>
    <x v="8"/>
    <n v="0"/>
    <x v="4"/>
    <x v="1"/>
    <n v="160"/>
    <n v="0.55000000000000004"/>
    <n v="88"/>
    <n v="-6.3757377049180279"/>
    <n v="81.624262295081977"/>
    <x v="8"/>
    <n v="0"/>
    <m/>
    <n v="423646"/>
    <n v="14.469545454545452"/>
    <m/>
    <n v="3.2"/>
    <m/>
    <n v="17.669545454545453"/>
    <n v="63.95471684053652"/>
    <m/>
    <n v="160"/>
  </r>
  <r>
    <n v="3"/>
    <n v="2023"/>
    <s v="Auction"/>
    <s v="VROLIJK BLOEMEN"/>
    <s v="VROLIJK BLOEMEN"/>
    <x v="33"/>
    <s v="Moss Roses"/>
    <s v="80CM"/>
    <m/>
    <n v="3.2727272727272725"/>
    <n v="120"/>
    <n v="0.15"/>
    <n v="18"/>
    <s v="EUR"/>
    <m/>
    <m/>
    <x v="8"/>
    <n v="0"/>
    <x v="4"/>
    <x v="2"/>
    <n v="120"/>
    <n v="0.64666666666666661"/>
    <n v="77.599999999999994"/>
    <n v="-4.7818032786885212"/>
    <n v="72.818196721311466"/>
    <x v="8"/>
    <n v="0"/>
    <m/>
    <n v="423646"/>
    <n v="10.85215909090909"/>
    <m/>
    <n v="2.4"/>
    <m/>
    <n v="13.252159090909091"/>
    <n v="59.566037630402377"/>
    <m/>
    <n v="120"/>
  </r>
  <r>
    <n v="3"/>
    <n v="2023"/>
    <s v="Auction"/>
    <s v="VROLIJK BLOEMEN"/>
    <s v="VROLIJK BLOEMEN"/>
    <x v="34"/>
    <s v="Floribunda Roses"/>
    <s v="60CM"/>
    <n v="3"/>
    <n v="36"/>
    <n v="1560"/>
    <n v="0.15"/>
    <n v="234"/>
    <s v="EUR"/>
    <m/>
    <m/>
    <x v="8"/>
    <n v="-360"/>
    <x v="2"/>
    <x v="0"/>
    <n v="1920"/>
    <n v="0.28437499999999999"/>
    <n v="546"/>
    <n v="-79.341582733812871"/>
    <n v="466.65841726618714"/>
    <x v="8"/>
    <n v="360"/>
    <m/>
    <s v="F077986"/>
    <n v="123.90206896551724"/>
    <m/>
    <n v="38.4"/>
    <m/>
    <n v="162.30206896551724"/>
    <n v="304.35634830066988"/>
    <m/>
    <n v="1920"/>
  </r>
  <r>
    <n v="3"/>
    <n v="2023"/>
    <s v="Auction"/>
    <s v="VROLIJK BLOEMEN"/>
    <s v="VROLIJK BLOEMEN"/>
    <x v="34"/>
    <s v="Floribunda Roses"/>
    <s v="70CM"/>
    <n v="4"/>
    <n v="48"/>
    <n v="1440"/>
    <n v="0.15"/>
    <n v="216"/>
    <s v="EUR"/>
    <m/>
    <m/>
    <x v="8"/>
    <n v="-160"/>
    <x v="2"/>
    <x v="1"/>
    <n v="1600"/>
    <n v="0.55674999999999997"/>
    <n v="890.8"/>
    <n v="-66.117985611510733"/>
    <n v="824.68201438848928"/>
    <x v="8"/>
    <n v="160"/>
    <m/>
    <s v="F077986"/>
    <n v="165.20275862068965"/>
    <m/>
    <n v="32"/>
    <m/>
    <n v="197.20275862068965"/>
    <n v="627.4792557677996"/>
    <m/>
    <n v="1600"/>
  </r>
  <r>
    <n v="3"/>
    <n v="2023"/>
    <s v="Auction"/>
    <s v="VROLIJK BLOEMEN"/>
    <s v="VROLIJK BLOEMEN"/>
    <x v="34"/>
    <s v="Floribunda Roses"/>
    <s v="80CM"/>
    <n v="2"/>
    <n v="24"/>
    <n v="560"/>
    <n v="0.15"/>
    <n v="84"/>
    <s v="EUR"/>
    <m/>
    <m/>
    <x v="8"/>
    <n v="0"/>
    <x v="2"/>
    <x v="2"/>
    <n v="560"/>
    <n v="0.46571428571428575"/>
    <n v="260.8"/>
    <n v="-23.141294964028752"/>
    <n v="237.65870503597125"/>
    <x v="8"/>
    <n v="0"/>
    <m/>
    <s v="F077986"/>
    <n v="82.601379310344825"/>
    <m/>
    <n v="11.200000000000001"/>
    <m/>
    <n v="93.801379310344828"/>
    <n v="143.85732572562642"/>
    <m/>
    <n v="560"/>
  </r>
  <r>
    <n v="3"/>
    <n v="2023"/>
    <s v="Auction"/>
    <s v="VROLIJK BLOEMEN"/>
    <s v="VROLIJK BLOEMEN"/>
    <x v="34"/>
    <s v="Grandiflora Roses"/>
    <s v="100CM"/>
    <n v="1"/>
    <n v="12"/>
    <n v="200"/>
    <n v="0.15"/>
    <n v="30"/>
    <s v="EUR"/>
    <m/>
    <m/>
    <x v="8"/>
    <n v="0"/>
    <x v="0"/>
    <x v="4"/>
    <n v="200"/>
    <n v="0.64"/>
    <n v="128"/>
    <n v="-8.2647482014388416"/>
    <n v="119.73525179856117"/>
    <x v="8"/>
    <n v="0"/>
    <m/>
    <s v="F077986"/>
    <n v="41.300689655172413"/>
    <m/>
    <n v="4"/>
    <m/>
    <n v="45.300689655172413"/>
    <n v="74.434562143388746"/>
    <m/>
    <n v="200"/>
  </r>
  <r>
    <n v="3"/>
    <n v="2023"/>
    <s v="Auction"/>
    <s v="VROLIJK BLOEMEN"/>
    <s v="VROLIJK BLOEMEN"/>
    <x v="34"/>
    <s v="Floribunda Roses"/>
    <s v="90CM"/>
    <n v="3"/>
    <n v="36"/>
    <n v="720"/>
    <n v="0.15"/>
    <n v="108"/>
    <s v="EUR"/>
    <m/>
    <m/>
    <x v="8"/>
    <n v="-120"/>
    <x v="2"/>
    <x v="3"/>
    <n v="840"/>
    <n v="0.58238095238095233"/>
    <n v="489.19999999999993"/>
    <n v="-34.711942446043125"/>
    <n v="454.48805755395682"/>
    <x v="8"/>
    <n v="120"/>
    <m/>
    <s v="F077986"/>
    <n v="123.90206896551724"/>
    <m/>
    <n v="16.8"/>
    <m/>
    <n v="140.70206896551724"/>
    <n v="313.78598858843958"/>
    <m/>
    <n v="840"/>
  </r>
  <r>
    <n v="3"/>
    <n v="2023"/>
    <s v="Auction"/>
    <s v="VROLIJK BLOEMEN"/>
    <s v="VROLIJK BLOEMEN"/>
    <x v="34"/>
    <s v="Floribunda Roses"/>
    <s v="100CM"/>
    <n v="1"/>
    <n v="12"/>
    <n v="200"/>
    <n v="0.15"/>
    <n v="30"/>
    <s v="EUR"/>
    <m/>
    <m/>
    <x v="8"/>
    <n v="-160"/>
    <x v="2"/>
    <x v="4"/>
    <n v="360"/>
    <n v="0.70777777777777784"/>
    <n v="254.8"/>
    <n v="-14.876546762589914"/>
    <n v="239.92345323741009"/>
    <x v="8"/>
    <n v="160"/>
    <m/>
    <s v="F077986"/>
    <n v="41.300689655172413"/>
    <m/>
    <n v="7.2"/>
    <m/>
    <n v="48.500689655172415"/>
    <n v="191.42276358223768"/>
    <m/>
    <n v="360"/>
  </r>
  <r>
    <n v="3"/>
    <n v="2023"/>
    <s v="Auction"/>
    <s v="VROLIJK BLOEMEN"/>
    <s v="VROLIJK BLOEMEN"/>
    <x v="34"/>
    <s v="Floribunda Roses"/>
    <s v="110CM"/>
    <n v="1"/>
    <n v="12"/>
    <n v="160"/>
    <n v="0.15"/>
    <n v="24"/>
    <s v="EUR"/>
    <m/>
    <m/>
    <x v="8"/>
    <n v="-80"/>
    <x v="2"/>
    <x v="6"/>
    <n v="240"/>
    <n v="1.0149999999999999"/>
    <n v="243.59999999999997"/>
    <n v="-9.9176978417266088"/>
    <n v="233.68230215827336"/>
    <x v="8"/>
    <n v="80"/>
    <m/>
    <s v="F077986"/>
    <n v="41.300689655172413"/>
    <m/>
    <n v="4.8"/>
    <m/>
    <n v="46.10068965517241"/>
    <n v="187.58161250310096"/>
    <m/>
    <n v="240"/>
  </r>
  <r>
    <n v="3"/>
    <n v="2023"/>
    <s v="Auction"/>
    <s v="VROLIJK BLOEMEN"/>
    <s v="VROLIJK BLOEMEN"/>
    <x v="34"/>
    <s v="Grandiflora Roses"/>
    <s v="60CM"/>
    <n v="2"/>
    <n v="24"/>
    <n v="1440"/>
    <n v="0.15"/>
    <n v="216"/>
    <s v="EUR"/>
    <m/>
    <m/>
    <x v="8"/>
    <n v="0"/>
    <x v="0"/>
    <x v="0"/>
    <n v="1440"/>
    <n v="0.23527777777777778"/>
    <n v="338.8"/>
    <n v="-59.506187050359657"/>
    <n v="279.29381294964037"/>
    <x v="8"/>
    <n v="0"/>
    <m/>
    <s v="F077986"/>
    <n v="82.601379310344825"/>
    <m/>
    <n v="28.8"/>
    <m/>
    <n v="111.40137931034482"/>
    <n v="167.89243363929555"/>
    <m/>
    <n v="1440"/>
  </r>
  <r>
    <n v="3"/>
    <n v="2023"/>
    <s v="Auction"/>
    <s v="VROLIJK BLOEMEN"/>
    <s v="VROLIJK BLOEMEN"/>
    <x v="34"/>
    <s v="Grandiflora Roses"/>
    <s v="70CM"/>
    <n v="1"/>
    <n v="12"/>
    <n v="520"/>
    <n v="0.15"/>
    <n v="78"/>
    <s v="EUR"/>
    <m/>
    <m/>
    <x v="8"/>
    <n v="-240"/>
    <x v="0"/>
    <x v="1"/>
    <n v="760"/>
    <n v="0.3426315789473684"/>
    <n v="260.39999999999998"/>
    <n v="-31.406043165467594"/>
    <n v="228.99395683453238"/>
    <x v="8"/>
    <n v="240"/>
    <m/>
    <s v="F077986"/>
    <n v="41.300689655172413"/>
    <m/>
    <n v="15.200000000000001"/>
    <m/>
    <n v="56.500689655172415"/>
    <n v="172.49326717935998"/>
    <m/>
    <n v="760"/>
  </r>
  <r>
    <n v="3"/>
    <n v="2023"/>
    <s v="Auction"/>
    <s v="VROLIJK BLOEMEN"/>
    <s v="VROLIJK BLOEMEN"/>
    <x v="34"/>
    <s v="Grandiflora Roses"/>
    <s v="80CM"/>
    <n v="1"/>
    <n v="12"/>
    <n v="480"/>
    <n v="0.15"/>
    <n v="72"/>
    <s v="EUR"/>
    <m/>
    <m/>
    <x v="8"/>
    <n v="-160"/>
    <x v="0"/>
    <x v="2"/>
    <n v="640"/>
    <n v="0.43812499999999999"/>
    <n v="280.39999999999998"/>
    <n v="-26.44719424460429"/>
    <n v="253.95280575539567"/>
    <x v="8"/>
    <n v="160"/>
    <m/>
    <s v="F077986"/>
    <n v="41.300689655172413"/>
    <m/>
    <n v="12.8"/>
    <m/>
    <n v="54.100689655172417"/>
    <n v="199.85211610022327"/>
    <m/>
    <n v="640"/>
  </r>
  <r>
    <n v="3"/>
    <n v="2023"/>
    <s v="Auction"/>
    <s v="VROLIJK BLOEMEN"/>
    <s v="VROLIJK BLOEMEN"/>
    <x v="34"/>
    <s v="Grandiflora Roses"/>
    <s v="90CM"/>
    <n v="1"/>
    <n v="12"/>
    <n v="280"/>
    <n v="0.15"/>
    <n v="42"/>
    <s v="EUR"/>
    <m/>
    <m/>
    <x v="8"/>
    <n v="0"/>
    <x v="0"/>
    <x v="3"/>
    <n v="280"/>
    <n v="0.5357142857142857"/>
    <n v="150"/>
    <n v="-11.570647482014376"/>
    <n v="138.42935251798562"/>
    <x v="8"/>
    <n v="0"/>
    <m/>
    <s v="F077986"/>
    <n v="41.300689655172413"/>
    <m/>
    <n v="5.6000000000000005"/>
    <m/>
    <n v="46.900689655172414"/>
    <n v="91.528662862813206"/>
    <m/>
    <n v="280"/>
  </r>
  <r>
    <n v="3"/>
    <n v="2023"/>
    <s v="Auction"/>
    <s v="VROLIJK BLOEMEN"/>
    <s v="VROLIJK BLOEMEN"/>
    <x v="34"/>
    <s v="English Roses"/>
    <s v="60CM"/>
    <n v="1"/>
    <n v="12"/>
    <n v="480"/>
    <n v="0.15"/>
    <n v="72"/>
    <s v="EUR"/>
    <m/>
    <m/>
    <x v="8"/>
    <n v="-360"/>
    <x v="1"/>
    <x v="0"/>
    <n v="840"/>
    <n v="0.23904761904761906"/>
    <n v="200.8"/>
    <n v="-34.711942446043125"/>
    <n v="166.0880575539569"/>
    <x v="8"/>
    <n v="360"/>
    <m/>
    <s v="F077986"/>
    <n v="41.300689655172413"/>
    <m/>
    <n v="16.8"/>
    <m/>
    <n v="58.100689655172417"/>
    <n v="107.98736789878448"/>
    <m/>
    <n v="840"/>
  </r>
  <r>
    <n v="3"/>
    <n v="2023"/>
    <s v="Auction"/>
    <s v="VROLIJK BLOEMEN"/>
    <s v="VROLIJK BLOEMEN"/>
    <x v="34"/>
    <s v="English Roses"/>
    <s v="70CM"/>
    <n v="1"/>
    <n v="12"/>
    <n v="400"/>
    <n v="0.15"/>
    <n v="60"/>
    <s v="EUR"/>
    <m/>
    <m/>
    <x v="8"/>
    <n v="-120"/>
    <x v="1"/>
    <x v="1"/>
    <n v="520"/>
    <n v="0.38615384615384618"/>
    <n v="200.8"/>
    <n v="-21.488345323740987"/>
    <n v="179.31165467625902"/>
    <x v="8"/>
    <n v="120"/>
    <m/>
    <s v="F077986"/>
    <n v="41.300689655172413"/>
    <m/>
    <n v="10.4"/>
    <m/>
    <n v="51.700689655172411"/>
    <n v="127.61096502108661"/>
    <m/>
    <n v="520"/>
  </r>
  <r>
    <n v="3"/>
    <n v="2023"/>
    <s v="Auction"/>
    <s v="VROLIJK BLOEMEN"/>
    <s v="VROLIJK BLOEMEN"/>
    <x v="34"/>
    <s v="English Roses"/>
    <s v="80CM"/>
    <n v="1"/>
    <n v="12"/>
    <n v="240"/>
    <n v="0.15"/>
    <n v="36"/>
    <s v="EUR"/>
    <m/>
    <m/>
    <x v="8"/>
    <n v="0"/>
    <x v="1"/>
    <x v="2"/>
    <n v="240"/>
    <n v="0.37"/>
    <n v="88.8"/>
    <n v="-9.9176978417266088"/>
    <n v="78.88230215827339"/>
    <x v="8"/>
    <n v="0"/>
    <m/>
    <s v="F077986"/>
    <n v="41.300689655172413"/>
    <m/>
    <n v="4.8"/>
    <m/>
    <n v="46.10068965517241"/>
    <n v="32.78161250310098"/>
    <m/>
    <n v="240"/>
  </r>
  <r>
    <n v="3"/>
    <n v="2023"/>
    <s v="Auction"/>
    <s v="VROLIJK BLOEMEN"/>
    <s v="VROLIJK BLOEMEN"/>
    <x v="34"/>
    <s v="English Roses"/>
    <s v="90CM"/>
    <n v="1"/>
    <n v="12"/>
    <n v="240"/>
    <n v="0.15"/>
    <n v="36"/>
    <s v="EUR"/>
    <m/>
    <m/>
    <x v="8"/>
    <n v="0"/>
    <x v="1"/>
    <x v="3"/>
    <n v="240"/>
    <n v="0.82499999999999996"/>
    <n v="198"/>
    <n v="-9.9176978417266088"/>
    <n v="188.08230215827339"/>
    <x v="8"/>
    <n v="0"/>
    <m/>
    <s v="F077986"/>
    <n v="41.300689655172413"/>
    <m/>
    <n v="4.8"/>
    <m/>
    <n v="46.10068965517241"/>
    <n v="141.98161250310099"/>
    <m/>
    <n v="240"/>
  </r>
  <r>
    <n v="3"/>
    <n v="2023"/>
    <s v="Auction"/>
    <s v="VROLIJK BLOEMEN"/>
    <s v="VROLIJK BLOEMEN"/>
    <x v="34"/>
    <s v="Polyantha Roses"/>
    <s v="60CM"/>
    <n v="1"/>
    <n v="6.545454545454545"/>
    <n v="240"/>
    <n v="0.15"/>
    <n v="36"/>
    <s v="EUR"/>
    <m/>
    <m/>
    <x v="8"/>
    <n v="0"/>
    <x v="3"/>
    <x v="0"/>
    <n v="240"/>
    <n v="0.46833333333333338"/>
    <n v="112.4"/>
    <n v="-9.9176978417266088"/>
    <n v="102.4823021582734"/>
    <x v="8"/>
    <n v="0"/>
    <m/>
    <s v="F077986"/>
    <n v="22.527648902821316"/>
    <m/>
    <n v="4.8"/>
    <m/>
    <n v="27.327648902821316"/>
    <n v="75.154653255452075"/>
    <m/>
    <n v="240"/>
  </r>
  <r>
    <n v="3"/>
    <n v="2023"/>
    <s v="Auction"/>
    <s v="VROLIJK BLOEMEN"/>
    <s v="VROLIJK BLOEMEN"/>
    <x v="34"/>
    <s v="Polyantha Roses"/>
    <s v="70CM"/>
    <m/>
    <n v="5.4545454545454541"/>
    <n v="200"/>
    <n v="0.15"/>
    <n v="30"/>
    <s v="EUR"/>
    <m/>
    <m/>
    <x v="8"/>
    <n v="0"/>
    <x v="3"/>
    <x v="1"/>
    <n v="200"/>
    <n v="0.55399999999999994"/>
    <n v="110.79999999999998"/>
    <n v="-8.2647482014388416"/>
    <n v="102.53525179856115"/>
    <x v="8"/>
    <n v="0"/>
    <m/>
    <s v="F077986"/>
    <n v="18.773040752351097"/>
    <m/>
    <n v="4"/>
    <m/>
    <n v="22.773040752351097"/>
    <n v="79.762211046210055"/>
    <m/>
    <n v="200"/>
  </r>
  <r>
    <n v="3"/>
    <n v="2023"/>
    <s v="Auction"/>
    <s v="VROLIJK BLOEMEN"/>
    <s v="VROLIJK BLOEMEN"/>
    <x v="34"/>
    <s v="Floribunda Roses"/>
    <s v="60CM"/>
    <n v="1"/>
    <n v="9"/>
    <n v="360"/>
    <n v="0.15"/>
    <n v="54"/>
    <s v="EUR"/>
    <m/>
    <m/>
    <x v="8"/>
    <n v="360"/>
    <x v="2"/>
    <x v="0"/>
    <m/>
    <m/>
    <n v="0"/>
    <n v="0"/>
    <n v="0"/>
    <x v="8"/>
    <n v="-360"/>
    <m/>
    <s v="F077986"/>
    <n v="30.975517241379311"/>
    <m/>
    <n v="0"/>
    <m/>
    <n v="30.975517241379311"/>
    <n v="-30.975517241379311"/>
    <m/>
    <n v="0"/>
  </r>
  <r>
    <n v="3"/>
    <n v="2023"/>
    <s v="Auction"/>
    <s v="VROLIJK BLOEMEN"/>
    <s v="VROLIJK BLOEMEN"/>
    <x v="34"/>
    <s v="Floribunda Roses"/>
    <s v="70CM"/>
    <m/>
    <n v="3"/>
    <n v="120"/>
    <n v="0.15"/>
    <n v="18"/>
    <s v="EUR"/>
    <m/>
    <m/>
    <x v="8"/>
    <n v="120"/>
    <x v="2"/>
    <x v="1"/>
    <m/>
    <m/>
    <n v="0"/>
    <n v="0"/>
    <n v="0"/>
    <x v="8"/>
    <n v="-120"/>
    <m/>
    <s v="F077986"/>
    <n v="10.325172413793103"/>
    <m/>
    <n v="0"/>
    <m/>
    <n v="10.325172413793103"/>
    <n v="-10.325172413793103"/>
    <m/>
    <n v="0"/>
  </r>
  <r>
    <n v="3"/>
    <n v="2023"/>
    <s v="Auction"/>
    <s v="VROLIJK BLOEMEN"/>
    <s v="VROLIJK BLOEMEN"/>
    <x v="34"/>
    <s v="Floribunda Roses"/>
    <s v="100CM"/>
    <n v="1"/>
    <n v="9.6000000000000014"/>
    <n v="160"/>
    <n v="0.15"/>
    <n v="24"/>
    <s v="EUR"/>
    <m/>
    <m/>
    <x v="8"/>
    <n v="160"/>
    <x v="2"/>
    <x v="4"/>
    <m/>
    <m/>
    <n v="0"/>
    <n v="0"/>
    <n v="0"/>
    <x v="8"/>
    <n v="-160"/>
    <m/>
    <s v="F077986"/>
    <n v="33.040551724137934"/>
    <m/>
    <n v="0"/>
    <m/>
    <n v="33.040551724137934"/>
    <n v="-33.040551724137934"/>
    <m/>
    <n v="0"/>
  </r>
  <r>
    <n v="3"/>
    <n v="2023"/>
    <s v="Auction"/>
    <s v="VROLIJK BLOEMEN"/>
    <s v="VROLIJK BLOEMEN"/>
    <x v="34"/>
    <s v="Floribunda Roses"/>
    <s v="110CM"/>
    <m/>
    <n v="2.4000000000000004"/>
    <n v="40"/>
    <n v="0.15"/>
    <n v="6"/>
    <s v="EUR"/>
    <m/>
    <m/>
    <x v="8"/>
    <n v="40"/>
    <x v="2"/>
    <x v="6"/>
    <m/>
    <m/>
    <n v="0"/>
    <n v="0"/>
    <n v="0"/>
    <x v="8"/>
    <n v="-40"/>
    <m/>
    <s v="F077986"/>
    <n v="8.2601379310344836"/>
    <m/>
    <n v="0"/>
    <m/>
    <n v="8.2601379310344836"/>
    <n v="-8.2601379310344836"/>
    <m/>
    <n v="0"/>
  </r>
  <r>
    <n v="3"/>
    <n v="2023"/>
    <s v="Auction"/>
    <s v="VROLIJK BLOEMEN"/>
    <s v="VROLIJK BLOEMEN"/>
    <x v="34"/>
    <s v="Grandiflora Roses"/>
    <s v="70CM"/>
    <n v="1"/>
    <n v="7.1999999999999993"/>
    <n v="240"/>
    <n v="0.15"/>
    <n v="36"/>
    <s v="EUR"/>
    <m/>
    <m/>
    <x v="8"/>
    <n v="240"/>
    <x v="0"/>
    <x v="1"/>
    <m/>
    <m/>
    <n v="0"/>
    <n v="0"/>
    <n v="0"/>
    <x v="8"/>
    <n v="-240"/>
    <m/>
    <s v="F077986"/>
    <n v="24.780413793103445"/>
    <m/>
    <n v="0"/>
    <m/>
    <n v="24.780413793103445"/>
    <n v="-24.780413793103445"/>
    <m/>
    <n v="0"/>
  </r>
  <r>
    <n v="3"/>
    <n v="2023"/>
    <s v="Auction"/>
    <s v="VROLIJK BLOEMEN"/>
    <s v="VROLIJK BLOEMEN"/>
    <x v="34"/>
    <s v="Grandiflora Roses"/>
    <s v="80CM"/>
    <m/>
    <n v="4.8000000000000007"/>
    <n v="160"/>
    <n v="0.15"/>
    <n v="24"/>
    <s v="EUR"/>
    <m/>
    <m/>
    <x v="8"/>
    <n v="160"/>
    <x v="0"/>
    <x v="2"/>
    <m/>
    <m/>
    <n v="0"/>
    <n v="0"/>
    <n v="0"/>
    <x v="8"/>
    <n v="-160"/>
    <m/>
    <s v="F077986"/>
    <n v="16.520275862068967"/>
    <m/>
    <n v="0"/>
    <m/>
    <n v="16.520275862068967"/>
    <n v="-16.520275862068967"/>
    <m/>
    <n v="0"/>
  </r>
  <r>
    <n v="3"/>
    <n v="2023"/>
    <s v="Auction"/>
    <s v="VROLIJK BLOEMEN"/>
    <s v="VROLIJK BLOEMEN"/>
    <x v="34"/>
    <s v="Floribunda Roses"/>
    <s v="90CM"/>
    <n v="1"/>
    <n v="9"/>
    <n v="120"/>
    <n v="0.15"/>
    <n v="18"/>
    <s v="EUR"/>
    <m/>
    <m/>
    <x v="8"/>
    <n v="120"/>
    <x v="2"/>
    <x v="3"/>
    <m/>
    <m/>
    <n v="0"/>
    <n v="0"/>
    <n v="0"/>
    <x v="8"/>
    <n v="-120"/>
    <m/>
    <s v="F077986"/>
    <n v="30.975517241379311"/>
    <m/>
    <n v="0"/>
    <m/>
    <n v="30.975517241379311"/>
    <n v="-30.975517241379311"/>
    <m/>
    <n v="0"/>
  </r>
  <r>
    <n v="3"/>
    <n v="2023"/>
    <s v="Auction"/>
    <s v="VROLIJK BLOEMEN"/>
    <s v="VROLIJK BLOEMEN"/>
    <x v="34"/>
    <s v="Floribunda Roses"/>
    <s v="110CM"/>
    <m/>
    <n v="3"/>
    <n v="40"/>
    <n v="0.15"/>
    <n v="6"/>
    <s v="EUR"/>
    <m/>
    <m/>
    <x v="8"/>
    <n v="40"/>
    <x v="2"/>
    <x v="6"/>
    <m/>
    <m/>
    <n v="0"/>
    <n v="0"/>
    <n v="0"/>
    <x v="8"/>
    <n v="-40"/>
    <m/>
    <s v="F077986"/>
    <n v="10.325172413793103"/>
    <m/>
    <n v="0"/>
    <m/>
    <n v="10.325172413793103"/>
    <n v="-10.325172413793103"/>
    <m/>
    <n v="0"/>
  </r>
  <r>
    <n v="3"/>
    <n v="2023"/>
    <s v="Auction"/>
    <s v="VROLIJK BLOEMEN"/>
    <s v="VROLIJK BLOEMEN"/>
    <x v="35"/>
    <s v="Floribunda Roses"/>
    <s v="60CM"/>
    <n v="1"/>
    <n v="12"/>
    <n v="520"/>
    <n v="0.15"/>
    <n v="78"/>
    <s v="EUR"/>
    <m/>
    <m/>
    <x v="8"/>
    <n v="-440"/>
    <x v="2"/>
    <x v="0"/>
    <n v="960"/>
    <n v="0.45083333333333336"/>
    <n v="432.8"/>
    <n v="-48.088421052631553"/>
    <n v="384.71157894736848"/>
    <x v="8"/>
    <n v="440"/>
    <m/>
    <n v="424694"/>
    <n v="41.04"/>
    <m/>
    <n v="19.2"/>
    <m/>
    <n v="60.239999999999995"/>
    <n v="324.47157894736847"/>
    <m/>
    <n v="960"/>
  </r>
  <r>
    <n v="3"/>
    <n v="2023"/>
    <s v="Auction"/>
    <s v="VROLIJK BLOEMEN"/>
    <s v="VROLIJK BLOEMEN"/>
    <x v="35"/>
    <s v="Floribunda Roses"/>
    <s v="60CM"/>
    <n v="1"/>
    <n v="12"/>
    <n v="480"/>
    <n v="0.15"/>
    <n v="72"/>
    <s v="EUR"/>
    <m/>
    <m/>
    <x v="8"/>
    <n v="480"/>
    <x v="2"/>
    <x v="0"/>
    <m/>
    <m/>
    <n v="0"/>
    <n v="0"/>
    <n v="0"/>
    <x v="8"/>
    <n v="-480"/>
    <m/>
    <n v="424694"/>
    <n v="41.04"/>
    <m/>
    <n v="0"/>
    <m/>
    <n v="41.04"/>
    <n v="-41.04"/>
    <m/>
    <n v="0"/>
  </r>
  <r>
    <n v="3"/>
    <n v="2023"/>
    <s v="Auction"/>
    <s v="VROLIJK BLOEMEN"/>
    <s v="VROLIJK BLOEMEN"/>
    <x v="35"/>
    <s v="Floribunda Roses"/>
    <s v="70CM"/>
    <n v="1"/>
    <n v="12"/>
    <n v="480"/>
    <n v="0.15"/>
    <n v="72"/>
    <s v="EUR"/>
    <m/>
    <m/>
    <x v="8"/>
    <n v="-160"/>
    <x v="2"/>
    <x v="1"/>
    <n v="640"/>
    <n v="0.739375"/>
    <n v="473.2"/>
    <n v="-32.058947368421038"/>
    <n v="441.14105263157893"/>
    <x v="8"/>
    <n v="160"/>
    <m/>
    <n v="424694"/>
    <n v="41.04"/>
    <m/>
    <n v="12.8"/>
    <m/>
    <n v="53.84"/>
    <n v="387.30105263157895"/>
    <m/>
    <n v="640"/>
  </r>
  <r>
    <n v="3"/>
    <n v="2023"/>
    <s v="Auction"/>
    <s v="VROLIJK BLOEMEN"/>
    <s v="VROLIJK BLOEMEN"/>
    <x v="35"/>
    <s v="Floribunda Roses"/>
    <s v="90CM"/>
    <n v="1"/>
    <n v="12"/>
    <n v="240"/>
    <n v="0.15"/>
    <n v="36"/>
    <s v="EUR"/>
    <m/>
    <m/>
    <x v="8"/>
    <n v="0"/>
    <x v="2"/>
    <x v="3"/>
    <n v="240"/>
    <n v="0.78999999999999992"/>
    <n v="189.6"/>
    <n v="-12.022105263157888"/>
    <n v="177.5778947368421"/>
    <x v="8"/>
    <n v="0"/>
    <m/>
    <n v="424694"/>
    <n v="41.04"/>
    <m/>
    <n v="4.8"/>
    <m/>
    <n v="45.839999999999996"/>
    <n v="131.73789473684209"/>
    <m/>
    <n v="240"/>
  </r>
  <r>
    <n v="3"/>
    <n v="2023"/>
    <s v="Auction"/>
    <s v="VROLIJK BLOEMEN"/>
    <s v="VROLIJK BLOEMEN"/>
    <x v="35"/>
    <s v="English Roses"/>
    <s v="70CM"/>
    <n v="1"/>
    <n v="12"/>
    <n v="280"/>
    <n v="0.15"/>
    <n v="42"/>
    <s v="EUR"/>
    <m/>
    <m/>
    <x v="8"/>
    <n v="0"/>
    <x v="1"/>
    <x v="1"/>
    <n v="280"/>
    <n v="0.90857142857142859"/>
    <n v="254.4"/>
    <n v="-14.025789473684203"/>
    <n v="240.37421052631581"/>
    <x v="8"/>
    <n v="0"/>
    <m/>
    <n v="424694"/>
    <n v="41.04"/>
    <m/>
    <n v="5.6000000000000005"/>
    <m/>
    <n v="46.64"/>
    <n v="193.73421052631579"/>
    <m/>
    <n v="280"/>
  </r>
  <r>
    <n v="3"/>
    <n v="2023"/>
    <s v="Auction"/>
    <s v="VROLIJK BLOEMEN"/>
    <s v="VROLIJK BLOEMEN"/>
    <x v="35"/>
    <s v="English Roses"/>
    <s v="60CM"/>
    <n v="1"/>
    <n v="12"/>
    <n v="240"/>
    <n v="0.15"/>
    <n v="36"/>
    <s v="EUR"/>
    <m/>
    <m/>
    <x v="8"/>
    <n v="0"/>
    <x v="1"/>
    <x v="0"/>
    <n v="240"/>
    <n v="0.6166666666666667"/>
    <n v="148"/>
    <n v="-12.022105263157888"/>
    <n v="135.9778947368421"/>
    <x v="8"/>
    <n v="0"/>
    <m/>
    <n v="424694"/>
    <n v="41.04"/>
    <m/>
    <n v="4.8"/>
    <m/>
    <n v="45.839999999999996"/>
    <n v="90.1378947368421"/>
    <m/>
    <n v="240"/>
  </r>
  <r>
    <n v="3"/>
    <n v="2023"/>
    <s v="Auction"/>
    <s v="VROLIJK BLOEMEN"/>
    <s v="VROLIJK BLOEMEN"/>
    <x v="35"/>
    <s v="Grandiflora Roses"/>
    <s v="90CM"/>
    <n v="1"/>
    <n v="3.6923076923076925"/>
    <n v="160"/>
    <n v="0.15"/>
    <n v="24"/>
    <s v="EUR"/>
    <m/>
    <m/>
    <x v="8"/>
    <n v="0"/>
    <x v="0"/>
    <x v="3"/>
    <n v="160"/>
    <n v="0.73"/>
    <n v="116.8"/>
    <n v="-8.0147368421052594"/>
    <n v="108.78526315789473"/>
    <x v="8"/>
    <n v="0"/>
    <m/>
    <n v="424694"/>
    <n v="12.627692307692309"/>
    <m/>
    <n v="3.2"/>
    <m/>
    <n v="15.82769230769231"/>
    <n v="92.957570850202416"/>
    <m/>
    <n v="160"/>
  </r>
  <r>
    <n v="3"/>
    <n v="2023"/>
    <s v="Auction"/>
    <s v="VROLIJK BLOEMEN"/>
    <s v="VROLIJK BLOEMEN"/>
    <x v="35"/>
    <s v="Grandiflora Roses"/>
    <s v="70CM"/>
    <m/>
    <n v="8.3076923076923066"/>
    <n v="360"/>
    <n v="0.15"/>
    <n v="54"/>
    <s v="EUR"/>
    <m/>
    <m/>
    <x v="8"/>
    <n v="0"/>
    <x v="0"/>
    <x v="1"/>
    <n v="360"/>
    <n v="0.42666666666666664"/>
    <n v="153.6"/>
    <n v="-18.033157894736835"/>
    <n v="135.56684210526316"/>
    <x v="8"/>
    <n v="0"/>
    <m/>
    <n v="424694"/>
    <n v="28.412307692307689"/>
    <m/>
    <n v="7.2"/>
    <m/>
    <n v="35.612307692307688"/>
    <n v="99.954534412955468"/>
    <m/>
    <n v="360"/>
  </r>
  <r>
    <n v="3"/>
    <n v="2023"/>
    <s v="Auction"/>
    <s v="VROLIJK BLOEMEN"/>
    <s v="VROLIJK BLOEMEN"/>
    <x v="35"/>
    <s v="Grandiflora Roses"/>
    <s v="70CM"/>
    <n v="1"/>
    <n v="8"/>
    <n v="480"/>
    <n v="0.15"/>
    <n v="72"/>
    <s v="EUR"/>
    <m/>
    <m/>
    <x v="8"/>
    <n v="0"/>
    <x v="0"/>
    <x v="1"/>
    <n v="480"/>
    <n v="0.38999999999999996"/>
    <n v="187.2"/>
    <n v="-24.044210526315776"/>
    <n v="163.15578947368422"/>
    <x v="8"/>
    <n v="0"/>
    <m/>
    <n v="424694"/>
    <n v="27.36"/>
    <m/>
    <n v="9.6"/>
    <m/>
    <n v="36.96"/>
    <n v="126.19578947368421"/>
    <m/>
    <n v="480"/>
  </r>
  <r>
    <n v="3"/>
    <n v="2023"/>
    <s v="Auction"/>
    <s v="VROLIJK BLOEMEN"/>
    <s v="VROLIJK BLOEMEN"/>
    <x v="35"/>
    <s v="Grandiflora Roses"/>
    <s v="80CM"/>
    <m/>
    <n v="4"/>
    <n v="240"/>
    <n v="0.15"/>
    <n v="36"/>
    <s v="EUR"/>
    <m/>
    <m/>
    <x v="8"/>
    <n v="0"/>
    <x v="0"/>
    <x v="2"/>
    <n v="240"/>
    <n v="0.56833333333333336"/>
    <n v="136.4"/>
    <n v="-12.022105263157888"/>
    <n v="124.37789473684212"/>
    <x v="8"/>
    <n v="0"/>
    <m/>
    <n v="424694"/>
    <n v="13.68"/>
    <m/>
    <n v="4.8"/>
    <m/>
    <n v="18.48"/>
    <n v="105.89789473684212"/>
    <m/>
    <n v="240"/>
  </r>
  <r>
    <n v="3"/>
    <n v="2023"/>
    <s v="Auction"/>
    <s v="VROLIJK BLOEMEN"/>
    <s v="VROLIJK BLOEMEN"/>
    <x v="35"/>
    <s v="Floribunda Roses"/>
    <s v="70CM"/>
    <n v="1"/>
    <n v="5.333333333333333"/>
    <n v="160"/>
    <n v="0.15"/>
    <n v="24"/>
    <s v="EUR"/>
    <m/>
    <m/>
    <x v="8"/>
    <n v="160"/>
    <x v="2"/>
    <x v="1"/>
    <m/>
    <m/>
    <n v="0"/>
    <n v="0"/>
    <n v="0"/>
    <x v="8"/>
    <n v="-160"/>
    <m/>
    <n v="424694"/>
    <n v="18.239999999999998"/>
    <m/>
    <n v="0"/>
    <m/>
    <n v="18.239999999999998"/>
    <n v="-18.239999999999998"/>
    <m/>
    <n v="0"/>
  </r>
  <r>
    <n v="3"/>
    <n v="2023"/>
    <s v="Auction"/>
    <s v="VROLIJK BLOEMEN"/>
    <s v="VROLIJK BLOEMEN"/>
    <x v="35"/>
    <s v="Floribunda Roses"/>
    <s v="80CM"/>
    <m/>
    <n v="6.666666666666667"/>
    <n v="200"/>
    <n v="0.15"/>
    <n v="30"/>
    <s v="EUR"/>
    <m/>
    <m/>
    <x v="8"/>
    <n v="0"/>
    <x v="2"/>
    <x v="2"/>
    <n v="200"/>
    <n v="0.88"/>
    <n v="176"/>
    <n v="-10.018421052631576"/>
    <n v="165.98157894736843"/>
    <x v="8"/>
    <n v="0"/>
    <m/>
    <n v="424694"/>
    <n v="22.8"/>
    <m/>
    <n v="4"/>
    <m/>
    <n v="26.8"/>
    <n v="139.18157894736842"/>
    <m/>
    <n v="200"/>
  </r>
  <r>
    <n v="3"/>
    <n v="2023"/>
    <s v="Auction"/>
    <s v="VROLIJK BLOEMEN"/>
    <s v="VROLIJK BLOEMEN"/>
    <x v="36"/>
    <s v="Floribunda Roses"/>
    <s v="60CM"/>
    <n v="2"/>
    <n v="24"/>
    <n v="960"/>
    <n v="0.15"/>
    <n v="144"/>
    <s v="EUR"/>
    <m/>
    <m/>
    <x v="7"/>
    <n v="960"/>
    <x v="2"/>
    <x v="0"/>
    <m/>
    <m/>
    <n v="0"/>
    <n v="0"/>
    <n v="0"/>
    <x v="7"/>
    <n v="-960"/>
    <m/>
    <n v="424699"/>
    <n v="81.578620689655182"/>
    <m/>
    <n v="0"/>
    <m/>
    <n v="81.578620689655182"/>
    <n v="-81.578620689655182"/>
    <m/>
    <n v="0"/>
  </r>
  <r>
    <n v="3"/>
    <n v="2023"/>
    <s v="Auction"/>
    <s v="VROLIJK BLOEMEN"/>
    <s v="VROLIJK BLOEMEN"/>
    <x v="36"/>
    <s v="Floribunda Roses"/>
    <s v="60CM"/>
    <n v="2"/>
    <n v="24"/>
    <n v="1040"/>
    <n v="0.15"/>
    <n v="156"/>
    <s v="EUR"/>
    <m/>
    <m/>
    <x v="7"/>
    <n v="-960"/>
    <x v="2"/>
    <x v="0"/>
    <n v="2000"/>
    <n v="0.37139999999999995"/>
    <n v="742.8"/>
    <n v="-87.213780918727934"/>
    <n v="655.58621908127202"/>
    <x v="7"/>
    <n v="960"/>
    <m/>
    <n v="424699"/>
    <n v="81.578620689655182"/>
    <m/>
    <n v="40"/>
    <m/>
    <n v="121.57862068965518"/>
    <n v="534.00759839161685"/>
    <m/>
    <n v="2000"/>
  </r>
  <r>
    <n v="3"/>
    <n v="2023"/>
    <s v="Auction"/>
    <s v="VROLIJK BLOEMEN"/>
    <s v="VROLIJK BLOEMEN"/>
    <x v="36"/>
    <s v="Floribunda Roses"/>
    <s v="70CM"/>
    <n v="1"/>
    <n v="12"/>
    <n v="440"/>
    <n v="0.15"/>
    <n v="66"/>
    <s v="EUR"/>
    <m/>
    <m/>
    <x v="7"/>
    <n v="440"/>
    <x v="2"/>
    <x v="1"/>
    <m/>
    <m/>
    <n v="0"/>
    <n v="0"/>
    <n v="0"/>
    <x v="7"/>
    <n v="-440"/>
    <m/>
    <n v="424699"/>
    <n v="40.789310344827591"/>
    <m/>
    <n v="0"/>
    <m/>
    <n v="40.789310344827591"/>
    <n v="-40.789310344827591"/>
    <m/>
    <n v="0"/>
  </r>
  <r>
    <n v="3"/>
    <n v="2023"/>
    <s v="Auction"/>
    <s v="VROLIJK BLOEMEN"/>
    <s v="VROLIJK BLOEMEN"/>
    <x v="36"/>
    <s v="Floribunda Roses"/>
    <s v="70CM"/>
    <n v="3"/>
    <n v="36"/>
    <n v="1200"/>
    <n v="0.15"/>
    <n v="180"/>
    <s v="EUR"/>
    <m/>
    <m/>
    <x v="7"/>
    <n v="360"/>
    <x v="2"/>
    <x v="1"/>
    <n v="840"/>
    <n v="0.45047619047619047"/>
    <n v="378.4"/>
    <n v="-36.629787985865732"/>
    <n v="341.77021201413424"/>
    <x v="7"/>
    <n v="-360"/>
    <m/>
    <n v="424699"/>
    <n v="122.36793103448277"/>
    <m/>
    <n v="16.8"/>
    <m/>
    <n v="139.16793103448276"/>
    <n v="202.60228097965148"/>
    <m/>
    <n v="840"/>
  </r>
  <r>
    <n v="3"/>
    <n v="2023"/>
    <s v="Auction"/>
    <s v="VROLIJK BLOEMEN"/>
    <s v="VROLIJK BLOEMEN"/>
    <x v="36"/>
    <s v="Floribunda Roses"/>
    <s v="80CM"/>
    <n v="1"/>
    <n v="12"/>
    <n v="280"/>
    <n v="0.15"/>
    <n v="42"/>
    <s v="EUR"/>
    <m/>
    <m/>
    <x v="7"/>
    <n v="280"/>
    <x v="2"/>
    <x v="2"/>
    <m/>
    <m/>
    <n v="0"/>
    <n v="0"/>
    <n v="0"/>
    <x v="7"/>
    <n v="-280"/>
    <m/>
    <n v="424699"/>
    <n v="40.789310344827591"/>
    <m/>
    <n v="0"/>
    <m/>
    <n v="40.789310344827591"/>
    <n v="-40.789310344827591"/>
    <m/>
    <n v="0"/>
  </r>
  <r>
    <n v="3"/>
    <n v="2023"/>
    <s v="Auction"/>
    <s v="VROLIJK BLOEMEN"/>
    <s v="VROLIJK BLOEMEN"/>
    <x v="36"/>
    <s v="Floribunda Roses"/>
    <s v="80CM"/>
    <n v="2"/>
    <n v="24"/>
    <n v="640"/>
    <n v="0.15"/>
    <n v="96"/>
    <s v="EUR"/>
    <m/>
    <m/>
    <x v="7"/>
    <n v="-280"/>
    <x v="2"/>
    <x v="2"/>
    <n v="920"/>
    <n v="0.60565217391304349"/>
    <n v="557.20000000000005"/>
    <n v="-40.11833922261485"/>
    <n v="517.0816607773852"/>
    <x v="7"/>
    <n v="280"/>
    <m/>
    <n v="424699"/>
    <n v="81.578620689655182"/>
    <m/>
    <n v="18.400000000000002"/>
    <m/>
    <n v="99.978620689655187"/>
    <n v="417.10304008772999"/>
    <m/>
    <n v="920"/>
  </r>
  <r>
    <n v="3"/>
    <n v="2023"/>
    <s v="Auction"/>
    <s v="VROLIJK BLOEMEN"/>
    <s v="VROLIJK BLOEMEN"/>
    <x v="36"/>
    <s v="Floribunda Roses"/>
    <s v="90CM"/>
    <n v="1"/>
    <n v="12"/>
    <n v="200"/>
    <n v="0.15"/>
    <n v="30"/>
    <s v="EUR"/>
    <m/>
    <m/>
    <x v="7"/>
    <n v="200"/>
    <x v="2"/>
    <x v="3"/>
    <m/>
    <m/>
    <n v="0"/>
    <n v="0"/>
    <n v="0"/>
    <x v="7"/>
    <n v="-200"/>
    <m/>
    <n v="424699"/>
    <n v="40.789310344827591"/>
    <m/>
    <n v="0"/>
    <m/>
    <n v="40.789310344827591"/>
    <n v="-40.789310344827591"/>
    <m/>
    <n v="0"/>
  </r>
  <r>
    <n v="3"/>
    <n v="2023"/>
    <s v="Auction"/>
    <s v="VROLIJK BLOEMEN"/>
    <s v="VROLIJK BLOEMEN"/>
    <x v="36"/>
    <s v="Floribunda Roses"/>
    <s v="90CM"/>
    <n v="2"/>
    <n v="24"/>
    <n v="480"/>
    <n v="0.15"/>
    <n v="72"/>
    <s v="EUR"/>
    <m/>
    <m/>
    <x v="7"/>
    <n v="-200"/>
    <x v="2"/>
    <x v="3"/>
    <n v="680"/>
    <n v="0.56000000000000005"/>
    <n v="380.8"/>
    <n v="-29.652685512367498"/>
    <n v="351.14731448763251"/>
    <x v="7"/>
    <n v="200"/>
    <m/>
    <n v="424699"/>
    <n v="81.578620689655182"/>
    <m/>
    <n v="13.6"/>
    <m/>
    <n v="95.178620689655176"/>
    <n v="255.96869379797732"/>
    <m/>
    <n v="680"/>
  </r>
  <r>
    <n v="3"/>
    <n v="2023"/>
    <s v="Auction"/>
    <s v="VROLIJK BLOEMEN"/>
    <s v="VROLIJK BLOEMEN"/>
    <x v="36"/>
    <s v="Floribunda Roses"/>
    <s v="100CM"/>
    <n v="1"/>
    <n v="12"/>
    <n v="200"/>
    <n v="0.15"/>
    <n v="30"/>
    <s v="EUR"/>
    <m/>
    <m/>
    <x v="7"/>
    <n v="-80"/>
    <x v="2"/>
    <x v="4"/>
    <n v="280"/>
    <n v="0.66"/>
    <n v="184.8"/>
    <n v="-12.209929328621911"/>
    <n v="172.5900706713781"/>
    <x v="7"/>
    <n v="80"/>
    <m/>
    <n v="424699"/>
    <n v="40.789310344827591"/>
    <m/>
    <n v="5.6000000000000005"/>
    <m/>
    <n v="46.389310344827592"/>
    <n v="126.20076032655051"/>
    <m/>
    <n v="280"/>
  </r>
  <r>
    <n v="3"/>
    <n v="2023"/>
    <s v="Auction"/>
    <s v="VROLIJK BLOEMEN"/>
    <s v="VROLIJK BLOEMEN"/>
    <x v="36"/>
    <s v="Grandiflora Roses"/>
    <s v="60CM"/>
    <n v="2"/>
    <n v="24"/>
    <n v="1440"/>
    <n v="0.15"/>
    <n v="216"/>
    <s v="EUR"/>
    <m/>
    <m/>
    <x v="7"/>
    <n v="0"/>
    <x v="0"/>
    <x v="0"/>
    <n v="1440"/>
    <n v="0.30722222222222223"/>
    <n v="442.40000000000003"/>
    <n v="-62.793922261484113"/>
    <n v="379.60607773851592"/>
    <x v="7"/>
    <n v="0"/>
    <m/>
    <n v="424699"/>
    <n v="81.578620689655182"/>
    <m/>
    <n v="28.8"/>
    <m/>
    <n v="110.37862068965518"/>
    <n v="269.22745704886074"/>
    <m/>
    <n v="1440"/>
  </r>
  <r>
    <n v="3"/>
    <n v="2023"/>
    <s v="Auction"/>
    <s v="VROLIJK BLOEMEN"/>
    <s v="VROLIJK BLOEMEN"/>
    <x v="36"/>
    <s v="Grandiflora Roses"/>
    <s v="70CM"/>
    <n v="1"/>
    <n v="12"/>
    <n v="520"/>
    <n v="0.15"/>
    <n v="78"/>
    <s v="EUR"/>
    <m/>
    <m/>
    <x v="7"/>
    <n v="-360"/>
    <x v="0"/>
    <x v="1"/>
    <n v="880"/>
    <n v="0.47954545454545455"/>
    <n v="422"/>
    <n v="-38.374063604240291"/>
    <n v="383.62593639575971"/>
    <x v="7"/>
    <n v="360"/>
    <m/>
    <n v="424699"/>
    <n v="40.789310344827591"/>
    <m/>
    <n v="17.600000000000001"/>
    <m/>
    <n v="58.389310344827592"/>
    <n v="325.2366260509321"/>
    <m/>
    <n v="880"/>
  </r>
  <r>
    <n v="3"/>
    <n v="2023"/>
    <s v="Auction"/>
    <s v="VROLIJK BLOEMEN"/>
    <s v="VROLIJK BLOEMEN"/>
    <x v="36"/>
    <s v="Grandiflora Roses"/>
    <s v="70CM"/>
    <n v="1"/>
    <n v="12"/>
    <n v="360"/>
    <n v="0.15"/>
    <n v="54"/>
    <s v="EUR"/>
    <m/>
    <m/>
    <x v="7"/>
    <n v="-440"/>
    <x v="0"/>
    <x v="1"/>
    <n v="800"/>
    <n v="0.53249999999999997"/>
    <n v="426"/>
    <n v="-34.885512367491174"/>
    <n v="391.11448763250883"/>
    <x v="7"/>
    <n v="440"/>
    <m/>
    <n v="424699"/>
    <n v="40.789310344827591"/>
    <m/>
    <n v="16"/>
    <m/>
    <n v="56.789310344827591"/>
    <n v="334.32517728768124"/>
    <m/>
    <n v="800"/>
  </r>
  <r>
    <n v="3"/>
    <n v="2023"/>
    <s v="Auction"/>
    <s v="VROLIJK BLOEMEN"/>
    <s v="VROLIJK BLOEMEN"/>
    <x v="36"/>
    <s v="Grandiflora Roses"/>
    <s v="80CM"/>
    <n v="1"/>
    <n v="12"/>
    <n v="480"/>
    <n v="0.15"/>
    <n v="72"/>
    <s v="EUR"/>
    <m/>
    <m/>
    <x v="7"/>
    <n v="-240"/>
    <x v="0"/>
    <x v="2"/>
    <n v="720"/>
    <n v="0.4538888888888889"/>
    <n v="326.8"/>
    <n v="-31.396961130742056"/>
    <n v="295.40303886925795"/>
    <x v="7"/>
    <n v="240"/>
    <m/>
    <n v="424699"/>
    <n v="40.789310344827591"/>
    <m/>
    <n v="14.4"/>
    <m/>
    <n v="55.189310344827589"/>
    <n v="240.21372852443037"/>
    <m/>
    <n v="720"/>
  </r>
  <r>
    <n v="3"/>
    <n v="2023"/>
    <s v="Auction"/>
    <s v="VROLIJK BLOEMEN"/>
    <s v="VROLIJK BLOEMEN"/>
    <x v="36"/>
    <s v="Grandiflora Roses"/>
    <s v="90CM"/>
    <n v="1"/>
    <n v="12"/>
    <n v="360"/>
    <n v="0.15"/>
    <n v="54"/>
    <s v="EUR"/>
    <m/>
    <m/>
    <x v="7"/>
    <n v="0"/>
    <x v="0"/>
    <x v="3"/>
    <n v="360"/>
    <n v="0.54"/>
    <n v="194.4"/>
    <n v="-15.698480565371028"/>
    <n v="178.70151943462898"/>
    <x v="7"/>
    <n v="0"/>
    <m/>
    <n v="424699"/>
    <n v="40.789310344827591"/>
    <m/>
    <n v="7.2"/>
    <m/>
    <n v="47.989310344827594"/>
    <n v="130.71220908980138"/>
    <m/>
    <n v="360"/>
  </r>
  <r>
    <n v="3"/>
    <n v="2023"/>
    <s v="Auction"/>
    <s v="VROLIJK BLOEMEN"/>
    <s v="VROLIJK BLOEMEN"/>
    <x v="36"/>
    <s v="English Roses"/>
    <s v="60CM"/>
    <n v="1"/>
    <n v="12"/>
    <n v="480"/>
    <n v="0.15"/>
    <n v="72"/>
    <s v="EUR"/>
    <m/>
    <m/>
    <x v="7"/>
    <n v="-280"/>
    <x v="1"/>
    <x v="0"/>
    <n v="760"/>
    <n v="0.36736842105263157"/>
    <n v="279.2"/>
    <n v="-33.141236749116615"/>
    <n v="246.05876325088337"/>
    <x v="7"/>
    <n v="280"/>
    <m/>
    <n v="424699"/>
    <n v="40.789310344827591"/>
    <m/>
    <n v="15.200000000000001"/>
    <m/>
    <n v="55.989310344827594"/>
    <n v="190.06945290605577"/>
    <m/>
    <n v="760"/>
  </r>
  <r>
    <n v="3"/>
    <n v="2023"/>
    <s v="Auction"/>
    <s v="VROLIJK BLOEMEN"/>
    <s v="VROLIJK BLOEMEN"/>
    <x v="36"/>
    <s v="English Roses"/>
    <s v="70CM"/>
    <n v="1"/>
    <n v="12"/>
    <n v="400"/>
    <n v="0.15"/>
    <n v="60"/>
    <s v="EUR"/>
    <m/>
    <m/>
    <x v="7"/>
    <n v="-120"/>
    <x v="1"/>
    <x v="1"/>
    <n v="520"/>
    <n v="0.55307692307692313"/>
    <n v="287.60000000000002"/>
    <n v="-22.675583038869263"/>
    <n v="264.92441696113076"/>
    <x v="7"/>
    <n v="120"/>
    <m/>
    <n v="424699"/>
    <n v="40.789310344827591"/>
    <m/>
    <n v="10.4"/>
    <m/>
    <n v="51.189310344827589"/>
    <n v="213.73510661630317"/>
    <m/>
    <n v="520"/>
  </r>
  <r>
    <n v="3"/>
    <n v="2023"/>
    <s v="Auction"/>
    <s v="VROLIJK BLOEMEN"/>
    <s v="VROLIJK BLOEMEN"/>
    <x v="36"/>
    <s v="English Roses"/>
    <s v="80CM"/>
    <n v="1"/>
    <n v="12"/>
    <n v="240"/>
    <n v="0.15"/>
    <n v="36"/>
    <s v="EUR"/>
    <m/>
    <m/>
    <x v="7"/>
    <n v="0"/>
    <x v="1"/>
    <x v="2"/>
    <n v="240"/>
    <n v="0.86"/>
    <n v="206.4"/>
    <n v="-10.465653710247352"/>
    <n v="195.93434628975265"/>
    <x v="7"/>
    <n v="0"/>
    <m/>
    <n v="424699"/>
    <n v="40.789310344827591"/>
    <m/>
    <n v="4.8"/>
    <m/>
    <n v="45.589310344827588"/>
    <n v="150.34503594492506"/>
    <m/>
    <n v="240"/>
  </r>
  <r>
    <n v="3"/>
    <n v="2023"/>
    <s v="Auction"/>
    <s v="VROLIJK BLOEMEN"/>
    <s v="VROLIJK BLOEMEN"/>
    <x v="36"/>
    <s v="English Roses"/>
    <s v="60CM"/>
    <n v="1"/>
    <n v="8.3999999999999986"/>
    <n v="280"/>
    <n v="0.15"/>
    <n v="42"/>
    <s v="EUR"/>
    <m/>
    <m/>
    <x v="7"/>
    <n v="280"/>
    <x v="1"/>
    <x v="0"/>
    <m/>
    <m/>
    <n v="0"/>
    <n v="0"/>
    <n v="0"/>
    <x v="7"/>
    <n v="-280"/>
    <m/>
    <n v="424699"/>
    <n v="28.552517241379309"/>
    <m/>
    <n v="0"/>
    <m/>
    <n v="28.552517241379309"/>
    <n v="-28.552517241379309"/>
    <m/>
    <n v="0"/>
  </r>
  <r>
    <n v="3"/>
    <n v="2023"/>
    <s v="Auction"/>
    <s v="VROLIJK BLOEMEN"/>
    <s v="VROLIJK BLOEMEN"/>
    <x v="36"/>
    <s v="English Roses"/>
    <s v="70CM"/>
    <m/>
    <n v="3.5999999999999996"/>
    <n v="120"/>
    <n v="0.15"/>
    <n v="18"/>
    <s v="EUR"/>
    <m/>
    <m/>
    <x v="7"/>
    <n v="120"/>
    <x v="1"/>
    <x v="1"/>
    <m/>
    <m/>
    <n v="0"/>
    <n v="0"/>
    <n v="0"/>
    <x v="7"/>
    <n v="-120"/>
    <m/>
    <n v="424699"/>
    <n v="12.236793103448274"/>
    <m/>
    <n v="0"/>
    <m/>
    <n v="12.236793103448274"/>
    <n v="-12.236793103448274"/>
    <m/>
    <n v="0"/>
  </r>
  <r>
    <n v="3"/>
    <n v="2023"/>
    <s v="Auction"/>
    <s v="VROLIJK BLOEMEN"/>
    <s v="VROLIJK BLOEMEN"/>
    <x v="36"/>
    <s v="English Roses"/>
    <s v="90CM"/>
    <n v="1"/>
    <n v="10"/>
    <n v="200"/>
    <n v="0.15"/>
    <n v="30"/>
    <s v="EUR"/>
    <m/>
    <m/>
    <x v="7"/>
    <n v="0"/>
    <x v="1"/>
    <x v="3"/>
    <n v="200"/>
    <n v="1.014"/>
    <n v="202.8"/>
    <n v="-8.7213780918727934"/>
    <n v="194.07862190812722"/>
    <x v="7"/>
    <n v="0"/>
    <m/>
    <n v="424699"/>
    <n v="33.991091954022991"/>
    <m/>
    <n v="4"/>
    <m/>
    <n v="37.991091954022991"/>
    <n v="156.08752995410424"/>
    <m/>
    <n v="200"/>
  </r>
  <r>
    <n v="3"/>
    <n v="2023"/>
    <s v="Auction"/>
    <s v="VROLIJK BLOEMEN"/>
    <s v="VROLIJK BLOEMEN"/>
    <x v="36"/>
    <s v="English Roses"/>
    <s v="110CM"/>
    <m/>
    <n v="2"/>
    <n v="40"/>
    <n v="0.15"/>
    <n v="6"/>
    <s v="EUR"/>
    <m/>
    <m/>
    <x v="7"/>
    <n v="0"/>
    <x v="1"/>
    <x v="6"/>
    <n v="40"/>
    <n v="1.1000000000000001"/>
    <n v="44"/>
    <n v="-1.7442756183745587"/>
    <n v="42.255724381625441"/>
    <x v="7"/>
    <n v="0"/>
    <m/>
    <n v="424699"/>
    <n v="6.7982183908045979"/>
    <m/>
    <n v="0.8"/>
    <m/>
    <n v="7.5982183908045977"/>
    <n v="34.657505990820844"/>
    <m/>
    <n v="40"/>
  </r>
  <r>
    <n v="3"/>
    <n v="2023"/>
    <s v="Auction"/>
    <s v="VROLIJK BLOEMEN"/>
    <s v="VROLIJK BLOEMEN"/>
    <x v="36"/>
    <s v="Floribunda Roses"/>
    <s v="100CM"/>
    <n v="1"/>
    <n v="4.8000000000000007"/>
    <n v="80"/>
    <n v="0.15"/>
    <n v="12"/>
    <s v="EUR"/>
    <m/>
    <m/>
    <x v="7"/>
    <n v="80"/>
    <x v="2"/>
    <x v="4"/>
    <m/>
    <m/>
    <n v="0"/>
    <n v="0"/>
    <n v="0"/>
    <x v="7"/>
    <n v="-80"/>
    <m/>
    <n v="424699"/>
    <n v="16.315724137931038"/>
    <m/>
    <n v="0"/>
    <m/>
    <n v="16.315724137931038"/>
    <n v="-16.315724137931038"/>
    <m/>
    <n v="0"/>
  </r>
  <r>
    <n v="3"/>
    <n v="2023"/>
    <s v="Auction"/>
    <s v="VROLIJK BLOEMEN"/>
    <s v="VROLIJK BLOEMEN"/>
    <x v="36"/>
    <s v="Floribunda Roses"/>
    <s v="110CM"/>
    <m/>
    <n v="7.1999999999999993"/>
    <n v="120"/>
    <n v="0.15"/>
    <n v="18"/>
    <s v="EUR"/>
    <m/>
    <m/>
    <x v="7"/>
    <n v="0"/>
    <x v="2"/>
    <x v="6"/>
    <n v="120"/>
    <n v="1.0466666666666666"/>
    <n v="125.6"/>
    <n v="-5.2328268551236761"/>
    <n v="120.36717314487632"/>
    <x v="7"/>
    <n v="0"/>
    <m/>
    <n v="424699"/>
    <n v="24.473586206896549"/>
    <m/>
    <n v="2.4"/>
    <m/>
    <n v="26.873586206896547"/>
    <n v="93.493586937979771"/>
    <m/>
    <n v="120"/>
  </r>
  <r>
    <n v="3"/>
    <n v="2023"/>
    <s v="Auction"/>
    <s v="VROLIJK BLOEMEN"/>
    <s v="VROLIJK BLOEMEN"/>
    <x v="36"/>
    <s v="Grandiflora Roses"/>
    <s v="100CM"/>
    <n v="1"/>
    <n v="4.8000000000000007"/>
    <n v="160"/>
    <n v="0.15"/>
    <n v="24"/>
    <s v="EUR"/>
    <m/>
    <m/>
    <x v="7"/>
    <n v="0"/>
    <x v="0"/>
    <x v="4"/>
    <n v="160"/>
    <n v="0.67"/>
    <n v="107.2"/>
    <n v="-6.9771024734982348"/>
    <n v="100.22289752650177"/>
    <x v="7"/>
    <n v="0"/>
    <m/>
    <n v="424699"/>
    <n v="16.315724137931038"/>
    <m/>
    <n v="3.2"/>
    <m/>
    <n v="19.515724137931038"/>
    <n v="80.707173388570737"/>
    <m/>
    <n v="160"/>
  </r>
  <r>
    <n v="3"/>
    <n v="2023"/>
    <s v="Auction"/>
    <s v="VROLIJK BLOEMEN"/>
    <s v="VROLIJK BLOEMEN"/>
    <x v="36"/>
    <s v="Grandiflora Roses"/>
    <s v="80CM"/>
    <m/>
    <n v="7.1999999999999993"/>
    <n v="240"/>
    <n v="0.15"/>
    <n v="36"/>
    <s v="EUR"/>
    <m/>
    <m/>
    <x v="7"/>
    <n v="240"/>
    <x v="0"/>
    <x v="2"/>
    <m/>
    <m/>
    <n v="0"/>
    <n v="0"/>
    <n v="0"/>
    <x v="7"/>
    <n v="-240"/>
    <m/>
    <n v="424699"/>
    <n v="24.473586206896549"/>
    <m/>
    <n v="0"/>
    <m/>
    <n v="24.473586206896549"/>
    <n v="-24.473586206896549"/>
    <m/>
    <n v="0"/>
  </r>
  <r>
    <n v="3"/>
    <n v="2023"/>
    <s v="Auction"/>
    <s v="VROLIJK BLOEMEN"/>
    <s v="VROLIJK BLOEMEN"/>
    <x v="36"/>
    <s v="Moss Roses"/>
    <s v="60CM"/>
    <n v="1"/>
    <n v="6.666666666666667"/>
    <n v="200"/>
    <n v="0.15"/>
    <n v="30"/>
    <s v="EUR"/>
    <m/>
    <m/>
    <x v="7"/>
    <n v="0"/>
    <x v="4"/>
    <x v="0"/>
    <n v="200"/>
    <n v="0.46399999999999997"/>
    <n v="92.8"/>
    <n v="-8.7213780918727934"/>
    <n v="84.078621908127204"/>
    <x v="7"/>
    <n v="0"/>
    <m/>
    <n v="424699"/>
    <n v="22.660727969348663"/>
    <m/>
    <n v="4"/>
    <m/>
    <n v="26.660727969348663"/>
    <n v="57.417893938778541"/>
    <m/>
    <n v="200"/>
  </r>
  <r>
    <n v="3"/>
    <n v="2023"/>
    <s v="Auction"/>
    <s v="VROLIJK BLOEMEN"/>
    <s v="VROLIJK BLOEMEN"/>
    <x v="36"/>
    <s v="Moss Roses"/>
    <s v="70CM"/>
    <m/>
    <n v="4"/>
    <n v="120"/>
    <n v="0.15"/>
    <n v="18"/>
    <s v="EUR"/>
    <m/>
    <m/>
    <x v="7"/>
    <n v="0"/>
    <x v="4"/>
    <x v="1"/>
    <n v="120"/>
    <n v="0.44"/>
    <n v="52.8"/>
    <n v="-5.2328268551236761"/>
    <n v="47.567173144876321"/>
    <x v="7"/>
    <n v="0"/>
    <m/>
    <n v="424699"/>
    <n v="13.596436781609196"/>
    <m/>
    <n v="2.4"/>
    <m/>
    <n v="15.996436781609196"/>
    <n v="31.570736363267123"/>
    <m/>
    <n v="120"/>
  </r>
  <r>
    <n v="3"/>
    <n v="2023"/>
    <s v="Auction"/>
    <s v="VROLIJK BLOEMEN"/>
    <s v="VROLIJK BLOEMEN"/>
    <x v="36"/>
    <s v="Moss Roses"/>
    <s v="80CM"/>
    <m/>
    <n v="1.3333333333333333"/>
    <n v="40"/>
    <n v="0.15"/>
    <n v="6"/>
    <s v="EUR"/>
    <m/>
    <m/>
    <x v="7"/>
    <n v="0"/>
    <x v="4"/>
    <x v="2"/>
    <n v="40"/>
    <n v="0.45"/>
    <n v="18"/>
    <n v="-1.7442756183745587"/>
    <n v="16.255724381625441"/>
    <x v="7"/>
    <n v="0"/>
    <m/>
    <n v="424699"/>
    <n v="4.5321455938697319"/>
    <m/>
    <n v="0.8"/>
    <m/>
    <n v="5.3321455938697317"/>
    <n v="10.923578787755709"/>
    <m/>
    <n v="40"/>
  </r>
  <r>
    <n v="2"/>
    <n v="2023"/>
    <s v="Auction"/>
    <s v="VROLIJK BLOEMEN"/>
    <s v="VROLIJK BLOEMEN"/>
    <x v="37"/>
    <s v="Floribunda Roses"/>
    <s v="70CM"/>
    <n v="8"/>
    <n v="96"/>
    <n v="2560"/>
    <n v="0.15"/>
    <n v="384"/>
    <s v="EUR"/>
    <m/>
    <m/>
    <x v="9"/>
    <n v="0"/>
    <x v="2"/>
    <x v="1"/>
    <n v="2560"/>
    <n v="0.28843750000000001"/>
    <n v="738.40000000000009"/>
    <n v="-96.594285714285803"/>
    <n v="641.80571428571432"/>
    <x v="9"/>
    <n v="0"/>
    <m/>
    <n v="423355"/>
    <n v="325.77142857142854"/>
    <m/>
    <n v="51.2"/>
    <m/>
    <n v="376.97142857142853"/>
    <n v="264.83428571428578"/>
    <m/>
    <n v="2560"/>
  </r>
  <r>
    <n v="2"/>
    <n v="2023"/>
    <s v="Auction"/>
    <s v="VROLIJK BLOEMEN"/>
    <s v="VROLIJK BLOEMEN"/>
    <x v="37"/>
    <s v="Floribunda Roses"/>
    <s v="80CM"/>
    <n v="5"/>
    <n v="60"/>
    <n v="1400"/>
    <n v="0.15"/>
    <n v="210"/>
    <s v="EUR"/>
    <m/>
    <m/>
    <x v="9"/>
    <n v="1000"/>
    <x v="2"/>
    <x v="2"/>
    <n v="400"/>
    <n v="0.28999999999999998"/>
    <n v="115.99999999999999"/>
    <n v="-15.092857142857156"/>
    <n v="100.90714285714283"/>
    <x v="9"/>
    <n v="-1000"/>
    <m/>
    <n v="423355"/>
    <n v="203.60714285714283"/>
    <m/>
    <n v="8"/>
    <m/>
    <n v="211.60714285714283"/>
    <n v="-110.7"/>
    <m/>
    <n v="400"/>
  </r>
  <r>
    <n v="2"/>
    <n v="2023"/>
    <s v="Auction"/>
    <s v="VROLIJK BLOEMEN"/>
    <s v="VROLIJK BLOEMEN"/>
    <x v="37"/>
    <s v="Floribunda Roses"/>
    <s v="90CM"/>
    <n v="3"/>
    <n v="36"/>
    <n v="720"/>
    <n v="0.15"/>
    <n v="108"/>
    <s v="EUR"/>
    <m/>
    <m/>
    <x v="9"/>
    <n v="-160"/>
    <x v="2"/>
    <x v="3"/>
    <n v="880"/>
    <n v="0.29045454545454547"/>
    <n v="255.60000000000002"/>
    <n v="-33.204285714285746"/>
    <n v="222.39571428571429"/>
    <x v="9"/>
    <n v="160"/>
    <m/>
    <n v="423355"/>
    <n v="122.16428571428571"/>
    <m/>
    <n v="17.600000000000001"/>
    <m/>
    <n v="139.76428571428571"/>
    <n v="82.631428571428586"/>
    <m/>
    <n v="880"/>
  </r>
  <r>
    <n v="2"/>
    <n v="2023"/>
    <s v="Auction"/>
    <s v="VROLIJK BLOEMEN"/>
    <s v="VROLIJK BLOEMEN"/>
    <x v="37"/>
    <s v="Floribunda Roses"/>
    <s v="100CM"/>
    <n v="2"/>
    <n v="24"/>
    <n v="400"/>
    <n v="0.15"/>
    <n v="60"/>
    <s v="EUR"/>
    <m/>
    <m/>
    <x v="9"/>
    <n v="0"/>
    <x v="2"/>
    <x v="4"/>
    <n v="400"/>
    <n v="0.29399999999999998"/>
    <n v="117.6"/>
    <n v="-15.092857142857156"/>
    <n v="102.50714285714284"/>
    <x v="9"/>
    <n v="0"/>
    <m/>
    <n v="423355"/>
    <n v="81.442857142857136"/>
    <m/>
    <n v="8"/>
    <m/>
    <n v="89.442857142857136"/>
    <n v="13.064285714285703"/>
    <m/>
    <n v="400"/>
  </r>
  <r>
    <n v="2"/>
    <n v="2023"/>
    <s v="Auction"/>
    <s v="VROLIJK BLOEMEN"/>
    <s v="VROLIJK BLOEMEN"/>
    <x v="37"/>
    <s v="Floribunda Roses"/>
    <s v="110CM"/>
    <n v="2"/>
    <n v="24"/>
    <n v="320"/>
    <n v="0.15"/>
    <n v="48"/>
    <s v="EUR"/>
    <m/>
    <m/>
    <x v="9"/>
    <n v="0"/>
    <x v="2"/>
    <x v="6"/>
    <n v="320"/>
    <n v="0.45250000000000001"/>
    <n v="144.80000000000001"/>
    <n v="-12.074285714285725"/>
    <n v="132.72571428571428"/>
    <x v="9"/>
    <n v="0"/>
    <m/>
    <n v="423355"/>
    <n v="81.442857142857136"/>
    <m/>
    <n v="6.4"/>
    <m/>
    <n v="87.842857142857142"/>
    <n v="44.882857142857134"/>
    <m/>
    <n v="320"/>
  </r>
  <r>
    <n v="2"/>
    <n v="2023"/>
    <s v="Auction"/>
    <s v="VROLIJK BLOEMEN"/>
    <s v="VROLIJK BLOEMEN"/>
    <x v="37"/>
    <s v="Grandiflora Roses"/>
    <s v="60CM"/>
    <n v="1"/>
    <n v="12"/>
    <n v="720"/>
    <n v="0.15"/>
    <n v="108"/>
    <s v="EUR"/>
    <m/>
    <m/>
    <x v="9"/>
    <n v="40"/>
    <x v="0"/>
    <x v="0"/>
    <n v="680"/>
    <n v="0.29235294117647059"/>
    <n v="198.8"/>
    <n v="-25.657857142857164"/>
    <n v="173.14214285714286"/>
    <x v="9"/>
    <n v="-40"/>
    <m/>
    <n v="423355"/>
    <n v="40.721428571428568"/>
    <m/>
    <n v="13.6"/>
    <m/>
    <n v="54.321428571428569"/>
    <n v="118.82071428571429"/>
    <m/>
    <n v="680"/>
  </r>
  <r>
    <n v="2"/>
    <n v="2023"/>
    <s v="Auction"/>
    <s v="VROLIJK BLOEMEN"/>
    <s v="VROLIJK BLOEMEN"/>
    <x v="37"/>
    <s v="Grandiflora Roses"/>
    <s v="80CM"/>
    <n v="1"/>
    <n v="12"/>
    <n v="440"/>
    <n v="0.15"/>
    <n v="66"/>
    <s v="EUR"/>
    <m/>
    <m/>
    <x v="9"/>
    <n v="40"/>
    <x v="0"/>
    <x v="2"/>
    <n v="400"/>
    <n v="0.26899999999999996"/>
    <n v="107.59999999999998"/>
    <n v="-15.092857142857156"/>
    <n v="92.507142857142824"/>
    <x v="9"/>
    <n v="-40"/>
    <m/>
    <n v="423355"/>
    <n v="40.721428571428568"/>
    <m/>
    <n v="8"/>
    <m/>
    <n v="48.721428571428568"/>
    <n v="43.785714285714256"/>
    <m/>
    <n v="400"/>
  </r>
  <r>
    <n v="2"/>
    <n v="2023"/>
    <s v="Auction"/>
    <s v="VROLIJK BLOEMEN"/>
    <s v="VROLIJK BLOEMEN"/>
    <x v="37"/>
    <s v="Grandiflora Roses"/>
    <s v="70CM"/>
    <n v="2"/>
    <n v="24"/>
    <n v="1040"/>
    <n v="0.15"/>
    <n v="156"/>
    <s v="EUR"/>
    <m/>
    <m/>
    <x v="9"/>
    <n v="1040"/>
    <x v="0"/>
    <x v="1"/>
    <m/>
    <m/>
    <n v="0"/>
    <n v="0"/>
    <n v="0"/>
    <x v="9"/>
    <n v="-1040"/>
    <m/>
    <n v="423355"/>
    <n v="81.442857142857136"/>
    <m/>
    <n v="0"/>
    <m/>
    <n v="81.442857142857136"/>
    <n v="-81.442857142857136"/>
    <m/>
    <n v="0"/>
  </r>
  <r>
    <n v="2"/>
    <n v="2023"/>
    <s v="Auction"/>
    <s v="VROLIJK BLOEMEN"/>
    <s v="VROLIJK BLOEMEN"/>
    <x v="37"/>
    <s v="Grandiflora Roses"/>
    <s v="80CM"/>
    <n v="1"/>
    <n v="12"/>
    <n v="400"/>
    <n v="0.15"/>
    <n v="60"/>
    <s v="EUR"/>
    <m/>
    <m/>
    <x v="9"/>
    <n v="0"/>
    <x v="0"/>
    <x v="2"/>
    <n v="400"/>
    <n v="0.41600000000000004"/>
    <n v="166.4"/>
    <n v="-15.092857142857156"/>
    <n v="151.30714285714285"/>
    <x v="9"/>
    <n v="0"/>
    <m/>
    <n v="423355"/>
    <n v="40.721428571428568"/>
    <m/>
    <n v="8"/>
    <m/>
    <n v="48.721428571428568"/>
    <n v="102.58571428571429"/>
    <m/>
    <n v="400"/>
  </r>
  <r>
    <n v="2"/>
    <n v="2023"/>
    <s v="Auction"/>
    <s v="VROLIJK BLOEMEN"/>
    <s v="VROLIJK BLOEMEN"/>
    <x v="37"/>
    <s v="Grandiflora Roses"/>
    <s v="90CM"/>
    <n v="1"/>
    <n v="12"/>
    <n v="360"/>
    <n v="0.15"/>
    <n v="54"/>
    <s v="EUR"/>
    <m/>
    <m/>
    <x v="9"/>
    <n v="360"/>
    <x v="0"/>
    <x v="3"/>
    <m/>
    <m/>
    <n v="0"/>
    <n v="0"/>
    <n v="0"/>
    <x v="9"/>
    <n v="-360"/>
    <m/>
    <n v="423355"/>
    <n v="40.721428571428568"/>
    <m/>
    <n v="0"/>
    <m/>
    <n v="40.721428571428568"/>
    <n v="-40.721428571428568"/>
    <m/>
    <n v="0"/>
  </r>
  <r>
    <n v="2"/>
    <n v="2023"/>
    <s v="Auction"/>
    <s v="VROLIJK BLOEMEN"/>
    <s v="VROLIJK BLOEMEN"/>
    <x v="37"/>
    <s v="Grandiflora Roses"/>
    <s v="60CM"/>
    <n v="1"/>
    <n v="12"/>
    <n v="640"/>
    <n v="0.15"/>
    <n v="96"/>
    <s v="EUR"/>
    <m/>
    <m/>
    <x v="9"/>
    <n v="-80"/>
    <x v="0"/>
    <x v="0"/>
    <n v="720"/>
    <n v="0.16"/>
    <n v="115.2"/>
    <n v="-27.167142857142878"/>
    <n v="88.032857142857125"/>
    <x v="9"/>
    <n v="80"/>
    <m/>
    <n v="423355"/>
    <n v="40.721428571428568"/>
    <m/>
    <n v="14.4"/>
    <m/>
    <n v="55.121428571428567"/>
    <n v="32.911428571428559"/>
    <m/>
    <n v="720"/>
  </r>
  <r>
    <n v="2"/>
    <n v="2023"/>
    <s v="Auction"/>
    <s v="VROLIJK BLOEMEN"/>
    <s v="VROLIJK BLOEMEN"/>
    <x v="37"/>
    <s v="English Roses"/>
    <s v="90CM"/>
    <n v="1"/>
    <n v="12"/>
    <n v="200"/>
    <n v="0.15"/>
    <n v="30"/>
    <s v="EUR"/>
    <m/>
    <m/>
    <x v="9"/>
    <n v="0"/>
    <x v="1"/>
    <x v="3"/>
    <n v="200"/>
    <n v="0.36399999999999999"/>
    <n v="72.8"/>
    <n v="-7.5464285714285779"/>
    <n v="65.253571428571419"/>
    <x v="9"/>
    <n v="0"/>
    <m/>
    <n v="423355"/>
    <n v="40.721428571428568"/>
    <m/>
    <n v="4"/>
    <m/>
    <n v="44.721428571428568"/>
    <n v="20.532142857142851"/>
    <m/>
    <n v="200"/>
  </r>
  <r>
    <n v="2"/>
    <n v="2023"/>
    <s v="Auction"/>
    <s v="VROLIJK BLOEMEN"/>
    <s v="VROLIJK BLOEMEN"/>
    <x v="37"/>
    <s v="English Roses"/>
    <s v="110CM"/>
    <n v="1"/>
    <n v="12"/>
    <n v="120"/>
    <n v="0.15"/>
    <n v="18"/>
    <s v="EUR"/>
    <m/>
    <m/>
    <x v="9"/>
    <n v="0"/>
    <x v="1"/>
    <x v="6"/>
    <n v="120"/>
    <n v="0.42666666666666669"/>
    <n v="51.2"/>
    <n v="-4.5278571428571466"/>
    <n v="46.672142857142859"/>
    <x v="9"/>
    <n v="0"/>
    <m/>
    <n v="423355"/>
    <n v="40.721428571428568"/>
    <m/>
    <n v="2.4"/>
    <m/>
    <n v="43.121428571428567"/>
    <n v="3.5507142857142924"/>
    <m/>
    <n v="120"/>
  </r>
  <r>
    <n v="2"/>
    <n v="2023"/>
    <s v="Auction"/>
    <s v="VROLIJK BLOEMEN"/>
    <s v="VROLIJK BLOEMEN"/>
    <x v="37"/>
    <s v="English Roses"/>
    <s v="70CM"/>
    <n v="1"/>
    <n v="9"/>
    <n v="240"/>
    <n v="0.15"/>
    <n v="36"/>
    <s v="EUR"/>
    <m/>
    <m/>
    <x v="9"/>
    <n v="0"/>
    <x v="1"/>
    <x v="1"/>
    <n v="240"/>
    <n v="0.15666666666666668"/>
    <n v="37.6"/>
    <n v="-9.0557142857142932"/>
    <n v="28.544285714285706"/>
    <x v="9"/>
    <n v="0"/>
    <m/>
    <n v="423355"/>
    <n v="30.541071428571428"/>
    <m/>
    <n v="4.8"/>
    <m/>
    <n v="35.341071428571425"/>
    <n v="-6.7967857142857184"/>
    <m/>
    <n v="240"/>
  </r>
  <r>
    <n v="2"/>
    <n v="2023"/>
    <s v="Auction"/>
    <s v="VROLIJK BLOEMEN"/>
    <s v="VROLIJK BLOEMEN"/>
    <x v="37"/>
    <s v="English Roses"/>
    <s v="80CM"/>
    <m/>
    <n v="3"/>
    <n v="80"/>
    <n v="0.15"/>
    <n v="12"/>
    <s v="EUR"/>
    <m/>
    <m/>
    <x v="9"/>
    <n v="-280"/>
    <x v="1"/>
    <x v="2"/>
    <n v="360"/>
    <n v="0.26222222222222225"/>
    <n v="94.4"/>
    <n v="-13.583571428571439"/>
    <n v="80.81642857142856"/>
    <x v="9"/>
    <n v="280"/>
    <m/>
    <n v="423355"/>
    <n v="10.180357142857142"/>
    <m/>
    <n v="7.2"/>
    <m/>
    <n v="17.380357142857143"/>
    <n v="63.436071428571417"/>
    <m/>
    <n v="360"/>
  </r>
  <r>
    <n v="2"/>
    <n v="2023"/>
    <s v="Auction"/>
    <s v="VROLIJK BLOEMEN"/>
    <s v="VROLIJK BLOEMEN"/>
    <x v="37"/>
    <s v="English Roses"/>
    <s v="100CM"/>
    <n v="1"/>
    <n v="4"/>
    <n v="80"/>
    <n v="0.15"/>
    <n v="12"/>
    <s v="EUR"/>
    <m/>
    <m/>
    <x v="9"/>
    <n v="0"/>
    <x v="1"/>
    <x v="4"/>
    <n v="80"/>
    <n v="0.43"/>
    <n v="34.4"/>
    <n v="-3.0185714285714313"/>
    <n v="31.381428571428568"/>
    <x v="9"/>
    <n v="0"/>
    <m/>
    <n v="423355"/>
    <n v="13.573809523809524"/>
    <m/>
    <n v="1.6"/>
    <m/>
    <n v="15.173809523809524"/>
    <n v="16.207619047619044"/>
    <m/>
    <n v="80"/>
  </r>
  <r>
    <n v="2"/>
    <n v="2023"/>
    <s v="Auction"/>
    <s v="VROLIJK BLOEMEN"/>
    <s v="VROLIJK BLOEMEN"/>
    <x v="37"/>
    <s v="Floribunda Roses"/>
    <s v="90CM"/>
    <m/>
    <n v="8"/>
    <n v="160"/>
    <n v="0.15"/>
    <n v="24"/>
    <s v="EUR"/>
    <m/>
    <m/>
    <x v="9"/>
    <n v="160"/>
    <x v="2"/>
    <x v="3"/>
    <m/>
    <m/>
    <n v="0"/>
    <n v="0"/>
    <n v="0"/>
    <x v="9"/>
    <n v="-160"/>
    <m/>
    <n v="423355"/>
    <n v="27.147619047619049"/>
    <m/>
    <n v="0"/>
    <m/>
    <n v="27.147619047619049"/>
    <n v="-27.147619047619049"/>
    <m/>
    <n v="0"/>
  </r>
  <r>
    <n v="2"/>
    <n v="2023"/>
    <s v="Auction"/>
    <s v="VROLIJK BLOEMEN"/>
    <s v="VROLIJK BLOEMEN"/>
    <x v="37"/>
    <s v="Polyantha Roses"/>
    <s v="80CM"/>
    <n v="1"/>
    <n v="4.8000000000000007"/>
    <n v="80"/>
    <n v="0.15"/>
    <n v="12"/>
    <s v="EUR"/>
    <m/>
    <m/>
    <x v="9"/>
    <n v="0"/>
    <x v="3"/>
    <x v="2"/>
    <n v="80"/>
    <n v="0.82"/>
    <n v="65.599999999999994"/>
    <n v="-3.0185714285714313"/>
    <n v="62.58142857142856"/>
    <x v="9"/>
    <n v="0"/>
    <m/>
    <n v="423355"/>
    <n v="16.28857142857143"/>
    <m/>
    <n v="1.6"/>
    <m/>
    <n v="17.888571428571431"/>
    <n v="44.692857142857129"/>
    <m/>
    <n v="80"/>
  </r>
  <r>
    <n v="2"/>
    <n v="2023"/>
    <s v="Auction"/>
    <s v="VROLIJK BLOEMEN"/>
    <s v="VROLIJK BLOEMEN"/>
    <x v="37"/>
    <s v="Polyantha Roses"/>
    <s v="100CM"/>
    <m/>
    <n v="2.4000000000000004"/>
    <n v="40"/>
    <n v="0.15"/>
    <n v="6"/>
    <s v="EUR"/>
    <m/>
    <m/>
    <x v="9"/>
    <n v="0"/>
    <x v="3"/>
    <x v="4"/>
    <n v="40"/>
    <n v="0.85"/>
    <n v="34"/>
    <n v="-1.5092857142857157"/>
    <n v="32.490714285714283"/>
    <x v="9"/>
    <n v="0"/>
    <m/>
    <n v="423355"/>
    <n v="8.144285714285715"/>
    <m/>
    <n v="0.8"/>
    <m/>
    <n v="8.9442857142857157"/>
    <n v="23.546428571428567"/>
    <m/>
    <n v="40"/>
  </r>
  <r>
    <n v="2"/>
    <n v="2023"/>
    <s v="Auction"/>
    <s v="VROLIJK BLOEMEN"/>
    <s v="VROLIJK BLOEMEN"/>
    <x v="37"/>
    <s v="Polyantha Roses"/>
    <s v="110CM"/>
    <m/>
    <n v="4.8000000000000007"/>
    <n v="80"/>
    <n v="0.15"/>
    <n v="12"/>
    <s v="EUR"/>
    <m/>
    <m/>
    <x v="9"/>
    <n v="0"/>
    <x v="3"/>
    <x v="6"/>
    <n v="80"/>
    <n v="1.5"/>
    <n v="120"/>
    <n v="-3.0185714285714313"/>
    <n v="116.98142857142857"/>
    <x v="9"/>
    <n v="0"/>
    <m/>
    <n v="423355"/>
    <n v="16.28857142857143"/>
    <m/>
    <n v="1.6"/>
    <m/>
    <n v="17.888571428571431"/>
    <n v="99.092857142857127"/>
    <m/>
    <n v="80"/>
  </r>
  <r>
    <n v="2"/>
    <n v="2023"/>
    <s v="Auction"/>
    <s v="VROLIJK BLOEMEN"/>
    <s v="VROLIJK BLOEMEN"/>
    <x v="37"/>
    <s v="Grandiflora Roses"/>
    <s v="90CM"/>
    <n v="1"/>
    <n v="4.8000000000000007"/>
    <n v="160"/>
    <n v="0.15"/>
    <n v="24"/>
    <s v="EUR"/>
    <m/>
    <m/>
    <x v="9"/>
    <n v="-360"/>
    <x v="0"/>
    <x v="3"/>
    <n v="520"/>
    <n v="0.48384615384615381"/>
    <n v="251.6"/>
    <n v="-19.6207142857143"/>
    <n v="231.97928571428571"/>
    <x v="9"/>
    <n v="360"/>
    <m/>
    <n v="423355"/>
    <n v="16.28857142857143"/>
    <m/>
    <n v="10.4"/>
    <m/>
    <n v="26.688571428571429"/>
    <n v="205.29071428571427"/>
    <m/>
    <n v="520"/>
  </r>
  <r>
    <n v="2"/>
    <n v="2023"/>
    <s v="Auction"/>
    <s v="VROLIJK BLOEMEN"/>
    <s v="VROLIJK BLOEMEN"/>
    <x v="37"/>
    <s v="Grandiflora Roses"/>
    <s v="100CM"/>
    <m/>
    <n v="4.8000000000000007"/>
    <n v="160"/>
    <n v="0.15"/>
    <n v="24"/>
    <s v="EUR"/>
    <m/>
    <m/>
    <x v="9"/>
    <n v="0"/>
    <x v="0"/>
    <x v="4"/>
    <n v="160"/>
    <n v="0.45"/>
    <n v="72"/>
    <n v="-6.0371428571428627"/>
    <n v="65.962857142857132"/>
    <x v="9"/>
    <n v="0"/>
    <m/>
    <n v="423355"/>
    <n v="16.28857142857143"/>
    <m/>
    <n v="3.2"/>
    <m/>
    <n v="19.488571428571429"/>
    <n v="46.474285714285699"/>
    <m/>
    <n v="160"/>
  </r>
  <r>
    <n v="2"/>
    <n v="2023"/>
    <s v="Auction"/>
    <s v="VROLIJK BLOEMEN"/>
    <s v="VROLIJK BLOEMEN"/>
    <x v="37"/>
    <s v="Grandiflora Roses"/>
    <s v="110CM"/>
    <m/>
    <n v="2.4000000000000004"/>
    <n v="80"/>
    <n v="0.15"/>
    <n v="12"/>
    <s v="EUR"/>
    <m/>
    <m/>
    <x v="9"/>
    <n v="0"/>
    <x v="0"/>
    <x v="6"/>
    <n v="80"/>
    <n v="0.45"/>
    <n v="36"/>
    <n v="-3.0185714285714313"/>
    <n v="32.981428571428566"/>
    <x v="9"/>
    <n v="0"/>
    <m/>
    <n v="423355"/>
    <n v="8.144285714285715"/>
    <m/>
    <n v="1.6"/>
    <m/>
    <n v="9.7442857142857147"/>
    <n v="23.23714285714285"/>
    <m/>
    <n v="80"/>
  </r>
  <r>
    <n v="2"/>
    <n v="2023"/>
    <s v="Auction"/>
    <s v="VROLIJK BLOEMEN"/>
    <s v="VROLIJK BLOEMEN"/>
    <x v="37"/>
    <s v="Floribunda Roses"/>
    <s v="70CM"/>
    <n v="1"/>
    <n v="3"/>
    <n v="80"/>
    <n v="0.15"/>
    <n v="12"/>
    <s v="EUR"/>
    <m/>
    <m/>
    <x v="9"/>
    <n v="0"/>
    <x v="2"/>
    <x v="1"/>
    <n v="80"/>
    <n v="0.29500000000000004"/>
    <n v="23.6"/>
    <n v="-3.0185714285714313"/>
    <n v="20.581428571428571"/>
    <x v="9"/>
    <n v="0"/>
    <m/>
    <n v="423355"/>
    <n v="10.180357142857142"/>
    <m/>
    <n v="1.6"/>
    <m/>
    <n v="11.780357142857142"/>
    <n v="8.8010714285714293"/>
    <m/>
    <n v="80"/>
  </r>
  <r>
    <n v="2"/>
    <n v="2023"/>
    <s v="Auction"/>
    <s v="VROLIJK BLOEMEN"/>
    <s v="VROLIJK BLOEMEN"/>
    <x v="37"/>
    <s v="Floribunda Roses"/>
    <s v="80CM"/>
    <m/>
    <n v="9"/>
    <n v="240"/>
    <n v="0.15"/>
    <n v="36"/>
    <s v="EUR"/>
    <m/>
    <m/>
    <x v="9"/>
    <n v="-720"/>
    <x v="2"/>
    <x v="2"/>
    <n v="960"/>
    <n v="0.25"/>
    <n v="240"/>
    <n v="-36.222857142857173"/>
    <n v="203.77714285714282"/>
    <x v="9"/>
    <n v="720"/>
    <m/>
    <n v="423355"/>
    <n v="30.541071428571428"/>
    <m/>
    <n v="19.2"/>
    <m/>
    <n v="49.741071428571431"/>
    <n v="154.0360714285714"/>
    <m/>
    <n v="960"/>
  </r>
  <r>
    <n v="2"/>
    <n v="2023"/>
    <s v="Auction"/>
    <s v="VROLIJK BLOEMEN"/>
    <s v="VROLIJK BLOEMEN"/>
    <x v="37"/>
    <s v="Grandiflora Roses"/>
    <s v="70CM"/>
    <n v="1"/>
    <n v="6"/>
    <n v="200"/>
    <n v="0.15"/>
    <n v="30"/>
    <s v="EUR"/>
    <m/>
    <m/>
    <x v="9"/>
    <n v="-1040"/>
    <x v="0"/>
    <x v="1"/>
    <n v="1240"/>
    <n v="0.32387096774193552"/>
    <n v="401.6"/>
    <n v="-46.787857142857185"/>
    <n v="354.81214285714282"/>
    <x v="9"/>
    <n v="1040"/>
    <m/>
    <n v="423355"/>
    <n v="20.360714285714284"/>
    <m/>
    <n v="24.8"/>
    <m/>
    <n v="45.160714285714285"/>
    <n v="309.65142857142854"/>
    <m/>
    <n v="1240"/>
  </r>
  <r>
    <n v="2"/>
    <n v="2023"/>
    <s v="Auction"/>
    <s v="VROLIJK BLOEMEN"/>
    <s v="VROLIJK BLOEMEN"/>
    <x v="37"/>
    <s v="Moss Roses"/>
    <s v="70CM"/>
    <m/>
    <n v="4.8000000000000007"/>
    <n v="160"/>
    <n v="0.15"/>
    <n v="24"/>
    <s v="EUR"/>
    <m/>
    <m/>
    <x v="9"/>
    <n v="0"/>
    <x v="4"/>
    <x v="1"/>
    <n v="160"/>
    <n v="0.29749999999999999"/>
    <n v="47.599999999999994"/>
    <n v="-6.0371428571428627"/>
    <n v="41.562857142857133"/>
    <x v="9"/>
    <n v="0"/>
    <m/>
    <n v="423355"/>
    <n v="16.28857142857143"/>
    <m/>
    <n v="3.2"/>
    <m/>
    <n v="19.488571428571429"/>
    <n v="22.074285714285704"/>
    <m/>
    <n v="160"/>
  </r>
  <r>
    <n v="2"/>
    <n v="2023"/>
    <s v="Auction"/>
    <s v="VROLIJK BLOEMEN"/>
    <s v="VROLIJK BLOEMEN"/>
    <x v="37"/>
    <s v="Moss Roses"/>
    <s v="80CM"/>
    <m/>
    <n v="1.2000000000000002"/>
    <n v="40"/>
    <n v="0.15"/>
    <n v="6"/>
    <s v="EUR"/>
    <m/>
    <m/>
    <x v="9"/>
    <n v="0"/>
    <x v="4"/>
    <x v="2"/>
    <n v="40"/>
    <n v="0.55000000000000004"/>
    <n v="22"/>
    <n v="-1.5092857142857157"/>
    <n v="20.490714285714283"/>
    <x v="9"/>
    <n v="0"/>
    <m/>
    <n v="423355"/>
    <n v="4.0721428571428575"/>
    <m/>
    <n v="0.8"/>
    <m/>
    <n v="4.8721428571428573"/>
    <n v="15.618571428571425"/>
    <m/>
    <n v="40"/>
  </r>
  <r>
    <n v="2"/>
    <n v="2023"/>
    <s v="Auction"/>
    <s v="VROLIJK BLOEMEN"/>
    <s v="VROLIJK BLOEMEN"/>
    <x v="38"/>
    <s v="Floribunda Roses"/>
    <s v="70CM"/>
    <n v="5"/>
    <n v="60"/>
    <n v="1600"/>
    <n v="0.15"/>
    <n v="240"/>
    <s v="EUR"/>
    <m/>
    <m/>
    <x v="9"/>
    <n v="320"/>
    <x v="2"/>
    <x v="1"/>
    <n v="1280"/>
    <n v="0.3725"/>
    <n v="476.8"/>
    <n v="-51.311471471471478"/>
    <n v="425.48852852852855"/>
    <x v="9"/>
    <n v="-320"/>
    <m/>
    <s v="F077523"/>
    <n v="184.65930232558139"/>
    <m/>
    <n v="25.6"/>
    <m/>
    <n v="210.25930232558139"/>
    <n v="215.22922620294716"/>
    <m/>
    <n v="1280"/>
  </r>
  <r>
    <n v="2"/>
    <n v="2023"/>
    <s v="Auction"/>
    <s v="VROLIJK BLOEMEN"/>
    <s v="VROLIJK BLOEMEN"/>
    <x v="38"/>
    <s v="Floribunda Roses"/>
    <s v="70CM"/>
    <n v="1"/>
    <n v="12"/>
    <n v="280"/>
    <n v="0.15"/>
    <n v="42"/>
    <s v="EUR"/>
    <m/>
    <m/>
    <x v="9"/>
    <n v="-680"/>
    <x v="2"/>
    <x v="1"/>
    <n v="960"/>
    <n v="0.44916666666666666"/>
    <n v="431.2"/>
    <n v="-38.483603603603605"/>
    <n v="392.71639639639636"/>
    <x v="9"/>
    <n v="680"/>
    <m/>
    <s v="F077523"/>
    <n v="36.93186046511628"/>
    <m/>
    <n v="19.2"/>
    <m/>
    <n v="56.131860465116276"/>
    <n v="336.58453593128007"/>
    <m/>
    <n v="960"/>
  </r>
  <r>
    <n v="2"/>
    <n v="2023"/>
    <s v="Auction"/>
    <s v="VROLIJK BLOEMEN"/>
    <s v="VROLIJK BLOEMEN"/>
    <x v="38"/>
    <s v="Floribunda Roses"/>
    <s v="80CM"/>
    <n v="4"/>
    <n v="48"/>
    <n v="1120"/>
    <n v="0.15"/>
    <n v="168"/>
    <s v="EUR"/>
    <m/>
    <m/>
    <x v="9"/>
    <n v="-160"/>
    <x v="2"/>
    <x v="2"/>
    <n v="1280"/>
    <n v="0.38593749999999999"/>
    <n v="494"/>
    <n v="-51.311471471471478"/>
    <n v="442.68852852852854"/>
    <x v="9"/>
    <n v="160"/>
    <m/>
    <s v="F077523"/>
    <n v="147.72744186046512"/>
    <m/>
    <n v="25.6"/>
    <m/>
    <n v="173.32744186046511"/>
    <n v="269.36108666806342"/>
    <m/>
    <n v="1280"/>
  </r>
  <r>
    <n v="2"/>
    <n v="2023"/>
    <s v="Auction"/>
    <s v="VROLIJK BLOEMEN"/>
    <s v="VROLIJK BLOEMEN"/>
    <x v="38"/>
    <s v="Floribunda Roses"/>
    <s v="80CM"/>
    <n v="1"/>
    <n v="12"/>
    <n v="240"/>
    <n v="0.15"/>
    <n v="36"/>
    <s v="EUR"/>
    <m/>
    <m/>
    <x v="9"/>
    <n v="240"/>
    <x v="2"/>
    <x v="2"/>
    <m/>
    <m/>
    <n v="0"/>
    <n v="0"/>
    <n v="0"/>
    <x v="9"/>
    <n v="-240"/>
    <m/>
    <s v="F077523"/>
    <n v="36.93186046511628"/>
    <m/>
    <n v="0"/>
    <m/>
    <n v="36.93186046511628"/>
    <n v="-36.93186046511628"/>
    <m/>
    <n v="0"/>
  </r>
  <r>
    <n v="2"/>
    <n v="2023"/>
    <s v="Auction"/>
    <s v="VROLIJK BLOEMEN"/>
    <s v="VROLIJK BLOEMEN"/>
    <x v="38"/>
    <s v="Floribunda Roses"/>
    <s v="90CM"/>
    <n v="4"/>
    <n v="48"/>
    <n v="960"/>
    <n v="0.15"/>
    <n v="144"/>
    <s v="EUR"/>
    <m/>
    <m/>
    <x v="9"/>
    <n v="0"/>
    <x v="2"/>
    <x v="3"/>
    <n v="960"/>
    <n v="0.50416666666666665"/>
    <n v="484"/>
    <n v="-38.483603603603605"/>
    <n v="445.51639639639637"/>
    <x v="9"/>
    <n v="0"/>
    <m/>
    <s v="F077523"/>
    <n v="147.72744186046512"/>
    <m/>
    <n v="19.2"/>
    <m/>
    <n v="166.92744186046511"/>
    <n v="278.58895453593129"/>
    <m/>
    <n v="960"/>
  </r>
  <r>
    <n v="2"/>
    <n v="2023"/>
    <s v="Auction"/>
    <s v="VROLIJK BLOEMEN"/>
    <s v="VROLIJK BLOEMEN"/>
    <x v="38"/>
    <s v="Floribunda Roses"/>
    <s v="100CM"/>
    <n v="3"/>
    <n v="36"/>
    <n v="600"/>
    <n v="0.15"/>
    <n v="90"/>
    <s v="EUR"/>
    <m/>
    <m/>
    <x v="9"/>
    <n v="-80"/>
    <x v="2"/>
    <x v="4"/>
    <n v="680"/>
    <n v="0.40941176470588231"/>
    <n v="278.39999999999998"/>
    <n v="-27.259219219219222"/>
    <n v="251.14078078078074"/>
    <x v="9"/>
    <n v="80"/>
    <m/>
    <s v="F077523"/>
    <n v="110.79558139534883"/>
    <m/>
    <n v="13.6"/>
    <m/>
    <n v="124.39558139534883"/>
    <n v="126.74519938543192"/>
    <m/>
    <n v="680"/>
  </r>
  <r>
    <n v="2"/>
    <n v="2023"/>
    <s v="Auction"/>
    <s v="VROLIJK BLOEMEN"/>
    <s v="VROLIJK BLOEMEN"/>
    <x v="38"/>
    <s v="Floribunda Roses"/>
    <s v="110CM"/>
    <n v="3"/>
    <n v="36"/>
    <n v="480"/>
    <n v="0.15"/>
    <n v="72"/>
    <s v="EUR"/>
    <m/>
    <m/>
    <x v="9"/>
    <n v="-80"/>
    <x v="2"/>
    <x v="6"/>
    <n v="560"/>
    <n v="0.62"/>
    <n v="347.2"/>
    <n v="-22.448768768768772"/>
    <n v="324.7512312312312"/>
    <x v="9"/>
    <n v="80"/>
    <m/>
    <s v="F077523"/>
    <n v="110.79558139534883"/>
    <m/>
    <n v="11.200000000000001"/>
    <m/>
    <n v="121.99558139534884"/>
    <n v="202.75564983588237"/>
    <m/>
    <n v="560"/>
  </r>
  <r>
    <n v="2"/>
    <n v="2023"/>
    <s v="Auction"/>
    <s v="VROLIJK BLOEMEN"/>
    <s v="VROLIJK BLOEMEN"/>
    <x v="38"/>
    <s v="Grandiflora Roses"/>
    <s v="60CM"/>
    <n v="2"/>
    <n v="24"/>
    <n v="1440"/>
    <n v="0.15"/>
    <n v="216"/>
    <s v="EUR"/>
    <m/>
    <m/>
    <x v="9"/>
    <n v="680"/>
    <x v="0"/>
    <x v="0"/>
    <n v="760"/>
    <n v="0.29210526315789476"/>
    <n v="222.00000000000003"/>
    <n v="-30.466186186186189"/>
    <n v="191.53381381381385"/>
    <x v="9"/>
    <n v="-680"/>
    <m/>
    <s v="F077523"/>
    <n v="73.86372093023256"/>
    <m/>
    <n v="15.200000000000001"/>
    <m/>
    <n v="89.063720930232563"/>
    <n v="102.47009288358129"/>
    <m/>
    <n v="760"/>
  </r>
  <r>
    <n v="2"/>
    <n v="2023"/>
    <s v="Auction"/>
    <s v="VROLIJK BLOEMEN"/>
    <s v="VROLIJK BLOEMEN"/>
    <x v="38"/>
    <s v="Grandiflora Roses"/>
    <s v="70CM"/>
    <n v="2"/>
    <n v="24"/>
    <n v="1040"/>
    <n v="0.15"/>
    <n v="156"/>
    <s v="EUR"/>
    <m/>
    <m/>
    <x v="9"/>
    <n v="-240"/>
    <x v="0"/>
    <x v="1"/>
    <n v="1280"/>
    <n v="0.30312499999999998"/>
    <n v="388"/>
    <n v="-51.311471471471478"/>
    <n v="336.68852852852854"/>
    <x v="9"/>
    <n v="240"/>
    <m/>
    <s v="F077523"/>
    <n v="73.86372093023256"/>
    <m/>
    <n v="25.6"/>
    <m/>
    <n v="99.463720930232569"/>
    <n v="237.22480759829597"/>
    <m/>
    <n v="1280"/>
  </r>
  <r>
    <n v="2"/>
    <n v="2023"/>
    <s v="Auction"/>
    <s v="VROLIJK BLOEMEN"/>
    <s v="VROLIJK BLOEMEN"/>
    <x v="38"/>
    <s v="Grandiflora Roses"/>
    <s v="80CM"/>
    <n v="1"/>
    <n v="12"/>
    <n v="480"/>
    <n v="0.15"/>
    <n v="72"/>
    <s v="EUR"/>
    <m/>
    <m/>
    <x v="9"/>
    <n v="-360"/>
    <x v="0"/>
    <x v="2"/>
    <n v="840"/>
    <n v="0.32333333333333336"/>
    <n v="271.60000000000002"/>
    <n v="-33.673153153153152"/>
    <n v="237.92684684684687"/>
    <x v="9"/>
    <n v="360"/>
    <m/>
    <s v="F077523"/>
    <n v="36.93186046511628"/>
    <m/>
    <n v="16.8"/>
    <m/>
    <n v="53.731860465116284"/>
    <n v="184.19498638173059"/>
    <m/>
    <n v="840"/>
  </r>
  <r>
    <n v="2"/>
    <n v="2023"/>
    <s v="Auction"/>
    <s v="VROLIJK BLOEMEN"/>
    <s v="VROLIJK BLOEMEN"/>
    <x v="38"/>
    <s v="Grandiflora Roses"/>
    <s v="90CM"/>
    <n v="1"/>
    <n v="12"/>
    <n v="440"/>
    <n v="0.15"/>
    <n v="66"/>
    <s v="EUR"/>
    <m/>
    <m/>
    <x v="9"/>
    <n v="440"/>
    <x v="0"/>
    <x v="3"/>
    <m/>
    <m/>
    <n v="0"/>
    <n v="0"/>
    <n v="0"/>
    <x v="9"/>
    <n v="-440"/>
    <m/>
    <s v="F077523"/>
    <n v="36.93186046511628"/>
    <m/>
    <n v="0"/>
    <m/>
    <n v="36.93186046511628"/>
    <n v="-36.93186046511628"/>
    <m/>
    <n v="0"/>
  </r>
  <r>
    <n v="2"/>
    <n v="2023"/>
    <s v="Auction"/>
    <s v="VROLIJK BLOEMEN"/>
    <s v="VROLIJK BLOEMEN"/>
    <x v="38"/>
    <s v="English Roses"/>
    <s v="70CM"/>
    <n v="2"/>
    <n v="24"/>
    <n v="640"/>
    <n v="0.15"/>
    <n v="96"/>
    <s v="EUR"/>
    <m/>
    <m/>
    <x v="9"/>
    <n v="-280"/>
    <x v="1"/>
    <x v="1"/>
    <n v="920"/>
    <n v="0.36608695652173912"/>
    <n v="336.8"/>
    <n v="-36.880120120120118"/>
    <n v="299.91987987987989"/>
    <x v="9"/>
    <n v="280"/>
    <m/>
    <s v="F077523"/>
    <n v="73.86372093023256"/>
    <m/>
    <n v="18.400000000000002"/>
    <m/>
    <n v="92.263720930232566"/>
    <n v="207.65615894964731"/>
    <m/>
    <n v="920"/>
  </r>
  <r>
    <n v="2"/>
    <n v="2023"/>
    <s v="Auction"/>
    <s v="VROLIJK BLOEMEN"/>
    <s v="VROLIJK BLOEMEN"/>
    <x v="38"/>
    <s v="English Roses"/>
    <s v="70CM"/>
    <n v="1"/>
    <n v="12"/>
    <n v="280"/>
    <n v="0.15"/>
    <n v="42"/>
    <s v="EUR"/>
    <m/>
    <m/>
    <x v="9"/>
    <n v="280"/>
    <x v="1"/>
    <x v="1"/>
    <m/>
    <m/>
    <n v="0"/>
    <n v="0"/>
    <n v="0"/>
    <x v="9"/>
    <n v="-280"/>
    <m/>
    <s v="F077523"/>
    <n v="36.93186046511628"/>
    <m/>
    <n v="0"/>
    <m/>
    <n v="36.93186046511628"/>
    <n v="-36.93186046511628"/>
    <m/>
    <n v="0"/>
  </r>
  <r>
    <n v="2"/>
    <n v="2023"/>
    <s v="Auction"/>
    <s v="VROLIJK BLOEMEN"/>
    <s v="VROLIJK BLOEMEN"/>
    <x v="38"/>
    <s v="English Roses"/>
    <s v="80CM"/>
    <n v="1"/>
    <n v="12"/>
    <n v="280"/>
    <n v="0.15"/>
    <n v="42"/>
    <s v="EUR"/>
    <m/>
    <m/>
    <x v="9"/>
    <n v="0"/>
    <x v="1"/>
    <x v="2"/>
    <n v="280"/>
    <n v="0.36"/>
    <n v="100.8"/>
    <n v="-11.224384384384386"/>
    <n v="89.575615615615618"/>
    <x v="9"/>
    <n v="0"/>
    <m/>
    <s v="F077523"/>
    <n v="36.93186046511628"/>
    <m/>
    <n v="5.6000000000000005"/>
    <m/>
    <n v="42.531860465116281"/>
    <n v="47.043755150499337"/>
    <m/>
    <n v="280"/>
  </r>
  <r>
    <n v="2"/>
    <n v="2023"/>
    <s v="Auction"/>
    <s v="VROLIJK BLOEMEN"/>
    <s v="VROLIJK BLOEMEN"/>
    <x v="38"/>
    <s v="English Roses"/>
    <s v="90CM"/>
    <n v="2"/>
    <n v="24"/>
    <n v="480"/>
    <n v="0.15"/>
    <n v="72"/>
    <s v="EUR"/>
    <m/>
    <m/>
    <x v="9"/>
    <n v="0"/>
    <x v="1"/>
    <x v="3"/>
    <n v="480"/>
    <n v="0.46750000000000003"/>
    <n v="224.4"/>
    <n v="-19.241801801801802"/>
    <n v="205.15819819819819"/>
    <x v="9"/>
    <n v="0"/>
    <m/>
    <s v="F077523"/>
    <n v="73.86372093023256"/>
    <m/>
    <n v="9.6"/>
    <m/>
    <n v="83.463720930232554"/>
    <n v="121.69447726796564"/>
    <m/>
    <n v="480"/>
  </r>
  <r>
    <n v="2"/>
    <n v="2023"/>
    <s v="Auction"/>
    <s v="VROLIJK BLOEMEN"/>
    <s v="VROLIJK BLOEMEN"/>
    <x v="38"/>
    <s v="Polyantha Roses"/>
    <s v="80CM"/>
    <n v="1"/>
    <n v="12"/>
    <n v="280"/>
    <n v="0.15"/>
    <n v="42"/>
    <s v="EUR"/>
    <m/>
    <m/>
    <x v="9"/>
    <n v="-40"/>
    <x v="3"/>
    <x v="2"/>
    <n v="320"/>
    <n v="0.78375000000000006"/>
    <n v="250.8"/>
    <n v="-12.827867867867869"/>
    <n v="237.97213213213215"/>
    <x v="9"/>
    <n v="40"/>
    <m/>
    <s v="F077523"/>
    <n v="36.93186046511628"/>
    <m/>
    <n v="6.4"/>
    <m/>
    <n v="43.331860465116279"/>
    <n v="194.64027166701587"/>
    <m/>
    <n v="320"/>
  </r>
  <r>
    <n v="2"/>
    <n v="2023"/>
    <s v="Auction"/>
    <s v="VROLIJK BLOEMEN"/>
    <s v="VROLIJK BLOEMEN"/>
    <x v="38"/>
    <s v="Polyantha Roses"/>
    <s v="110CM"/>
    <n v="1"/>
    <n v="12"/>
    <n v="160"/>
    <n v="0.15"/>
    <n v="24"/>
    <s v="EUR"/>
    <m/>
    <m/>
    <x v="9"/>
    <n v="0"/>
    <x v="3"/>
    <x v="6"/>
    <n v="160"/>
    <n v="1.115"/>
    <n v="178.4"/>
    <n v="-6.4139339339339347"/>
    <n v="171.98606606606606"/>
    <x v="9"/>
    <n v="0"/>
    <m/>
    <s v="F077523"/>
    <n v="36.93186046511628"/>
    <m/>
    <n v="3.2"/>
    <m/>
    <n v="40.131860465116283"/>
    <n v="131.85420560094977"/>
    <m/>
    <n v="160"/>
  </r>
  <r>
    <n v="2"/>
    <n v="2023"/>
    <s v="Auction"/>
    <s v="VROLIJK BLOEMEN"/>
    <s v="VROLIJK BLOEMEN"/>
    <x v="38"/>
    <s v="Polyantha Roses"/>
    <s v="90CM"/>
    <n v="1"/>
    <n v="7.1999999999999993"/>
    <n v="120"/>
    <n v="0.15"/>
    <n v="18"/>
    <s v="EUR"/>
    <m/>
    <m/>
    <x v="9"/>
    <n v="0"/>
    <x v="3"/>
    <x v="3"/>
    <n v="120"/>
    <n v="0.89"/>
    <n v="106.8"/>
    <n v="-4.8104504504504506"/>
    <n v="101.98954954954955"/>
    <x v="9"/>
    <n v="0"/>
    <m/>
    <s v="F077523"/>
    <n v="22.159116279069764"/>
    <m/>
    <n v="2.4"/>
    <m/>
    <n v="24.559116279069762"/>
    <n v="77.430433270479796"/>
    <m/>
    <n v="120"/>
  </r>
  <r>
    <n v="2"/>
    <n v="2023"/>
    <s v="Auction"/>
    <s v="VROLIJK BLOEMEN"/>
    <s v="VROLIJK BLOEMEN"/>
    <x v="38"/>
    <s v="Polyantha Roses"/>
    <s v="100CM"/>
    <m/>
    <n v="2.4000000000000004"/>
    <n v="40"/>
    <n v="0.15"/>
    <n v="6"/>
    <s v="EUR"/>
    <m/>
    <m/>
    <x v="9"/>
    <n v="0"/>
    <x v="3"/>
    <x v="4"/>
    <n v="40"/>
    <n v="1.05"/>
    <n v="42"/>
    <n v="-1.6034834834834837"/>
    <n v="40.396516516516513"/>
    <x v="9"/>
    <n v="0"/>
    <m/>
    <s v="F077523"/>
    <n v="7.3863720930232564"/>
    <m/>
    <n v="0.8"/>
    <m/>
    <n v="8.1863720930232571"/>
    <n v="32.210144423493254"/>
    <m/>
    <n v="40"/>
  </r>
  <r>
    <n v="2"/>
    <n v="2023"/>
    <s v="Auction"/>
    <s v="VROLIJK BLOEMEN"/>
    <s v="VROLIJK BLOEMEN"/>
    <x v="38"/>
    <s v="Polyantha Roses"/>
    <s v="110CM"/>
    <m/>
    <n v="2.4000000000000004"/>
    <n v="40"/>
    <n v="0.15"/>
    <n v="6"/>
    <s v="EUR"/>
    <m/>
    <m/>
    <x v="9"/>
    <n v="40"/>
    <x v="3"/>
    <x v="6"/>
    <m/>
    <m/>
    <n v="0"/>
    <n v="0"/>
    <n v="0"/>
    <x v="9"/>
    <n v="-40"/>
    <m/>
    <s v="F077523"/>
    <n v="7.3863720930232564"/>
    <m/>
    <n v="0"/>
    <m/>
    <n v="7.3863720930232564"/>
    <n v="-7.3863720930232564"/>
    <m/>
    <n v="0"/>
  </r>
  <r>
    <n v="2"/>
    <n v="2023"/>
    <s v="Auction"/>
    <s v="VROLIJK BLOEMEN"/>
    <s v="VROLIJK BLOEMEN"/>
    <x v="38"/>
    <s v="English Roses"/>
    <s v="110CM"/>
    <n v="1"/>
    <n v="6"/>
    <n v="80"/>
    <n v="0.15"/>
    <n v="12"/>
    <s v="EUR"/>
    <m/>
    <m/>
    <x v="9"/>
    <n v="0"/>
    <x v="1"/>
    <x v="6"/>
    <n v="80"/>
    <n v="0.64"/>
    <n v="51.2"/>
    <n v="-3.2069669669669674"/>
    <n v="47.993033033033036"/>
    <x v="9"/>
    <n v="0"/>
    <m/>
    <s v="F077523"/>
    <n v="18.46593023255814"/>
    <m/>
    <n v="1.6"/>
    <m/>
    <n v="20.065930232558141"/>
    <n v="27.927102800474895"/>
    <m/>
    <n v="80"/>
  </r>
  <r>
    <n v="2"/>
    <n v="2023"/>
    <s v="Auction"/>
    <s v="VROLIJK BLOEMEN"/>
    <s v="VROLIJK BLOEMEN"/>
    <x v="38"/>
    <s v="English Roses"/>
    <s v="100CM"/>
    <m/>
    <n v="6"/>
    <n v="80"/>
    <n v="0.15"/>
    <n v="12"/>
    <s v="EUR"/>
    <m/>
    <m/>
    <x v="9"/>
    <n v="0"/>
    <x v="1"/>
    <x v="4"/>
    <n v="80"/>
    <n v="0.6"/>
    <n v="48"/>
    <n v="-3.2069669669669674"/>
    <n v="44.793033033033034"/>
    <x v="9"/>
    <n v="0"/>
    <m/>
    <s v="F077523"/>
    <n v="18.46593023255814"/>
    <m/>
    <n v="1.6"/>
    <m/>
    <n v="20.065930232558141"/>
    <n v="24.727102800474892"/>
    <m/>
    <n v="80"/>
  </r>
  <r>
    <n v="2"/>
    <n v="2023"/>
    <s v="Auction"/>
    <s v="VROLIJK BLOEMEN"/>
    <s v="VROLIJK BLOEMEN"/>
    <x v="38"/>
    <s v="Floribunda Roses"/>
    <s v="80CM"/>
    <n v="1"/>
    <n v="8"/>
    <n v="240"/>
    <n v="0.15"/>
    <n v="36"/>
    <s v="EUR"/>
    <m/>
    <m/>
    <x v="9"/>
    <n v="240"/>
    <x v="2"/>
    <x v="2"/>
    <m/>
    <m/>
    <n v="0"/>
    <n v="0"/>
    <n v="0"/>
    <x v="9"/>
    <n v="-240"/>
    <m/>
    <s v="F077523"/>
    <n v="24.621240310077518"/>
    <m/>
    <n v="0"/>
    <m/>
    <n v="24.621240310077518"/>
    <n v="-24.621240310077518"/>
    <m/>
    <n v="0"/>
  </r>
  <r>
    <n v="2"/>
    <n v="2023"/>
    <s v="Auction"/>
    <s v="VROLIJK BLOEMEN"/>
    <s v="VROLIJK BLOEMEN"/>
    <x v="38"/>
    <s v="Moss Roses"/>
    <s v="70CM"/>
    <m/>
    <n v="2.6666666666666665"/>
    <n v="80"/>
    <n v="0.15"/>
    <n v="12"/>
    <s v="EUR"/>
    <m/>
    <m/>
    <x v="9"/>
    <n v="0"/>
    <x v="4"/>
    <x v="1"/>
    <n v="80"/>
    <n v="0.32"/>
    <n v="25.6"/>
    <n v="-3.2069669669669674"/>
    <n v="22.393033033033035"/>
    <x v="9"/>
    <n v="0"/>
    <m/>
    <s v="F077523"/>
    <n v="8.2070801033591714"/>
    <m/>
    <n v="1.6"/>
    <m/>
    <n v="9.807080103359171"/>
    <n v="12.585952929673864"/>
    <m/>
    <n v="80"/>
  </r>
  <r>
    <n v="2"/>
    <n v="2023"/>
    <s v="Auction"/>
    <s v="VROLIJK BLOEMEN"/>
    <s v="VROLIJK BLOEMEN"/>
    <x v="38"/>
    <s v="Moss Roses"/>
    <s v="80CM"/>
    <m/>
    <n v="1.3333333333333333"/>
    <n v="40"/>
    <n v="0.15"/>
    <n v="6"/>
    <s v="EUR"/>
    <m/>
    <m/>
    <x v="9"/>
    <n v="0"/>
    <x v="4"/>
    <x v="2"/>
    <n v="40"/>
    <n v="0.35"/>
    <n v="14"/>
    <n v="-1.6034834834834837"/>
    <n v="12.396516516516517"/>
    <x v="9"/>
    <n v="0"/>
    <m/>
    <s v="F077523"/>
    <n v="4.1035400516795857"/>
    <m/>
    <n v="0.8"/>
    <m/>
    <n v="4.9035400516795855"/>
    <n v="7.4929764648369312"/>
    <m/>
    <n v="40"/>
  </r>
  <r>
    <n v="2"/>
    <n v="2023"/>
    <s v="Auction"/>
    <s v="VROLIJK BLOEMEN"/>
    <s v="VROLIJK BLOEMEN"/>
    <x v="38"/>
    <s v="Grandiflora Roses"/>
    <s v="70CM"/>
    <n v="1"/>
    <n v="6.545454545454545"/>
    <n v="240"/>
    <n v="0.15"/>
    <n v="36"/>
    <s v="EUR"/>
    <m/>
    <m/>
    <x v="9"/>
    <n v="240"/>
    <x v="0"/>
    <x v="1"/>
    <m/>
    <m/>
    <n v="0"/>
    <n v="0"/>
    <n v="0"/>
    <x v="9"/>
    <n v="-240"/>
    <m/>
    <s v="F077523"/>
    <n v="20.144651162790698"/>
    <m/>
    <n v="0"/>
    <m/>
    <n v="20.144651162790698"/>
    <n v="-20.144651162790698"/>
    <m/>
    <n v="0"/>
  </r>
  <r>
    <n v="2"/>
    <n v="2023"/>
    <s v="Auction"/>
    <s v="VROLIJK BLOEMEN"/>
    <s v="VROLIJK BLOEMEN"/>
    <x v="38"/>
    <s v="Grandiflora Roses"/>
    <s v="90CM"/>
    <m/>
    <n v="5.4545454545454541"/>
    <n v="200"/>
    <n v="0.15"/>
    <n v="30"/>
    <s v="EUR"/>
    <m/>
    <m/>
    <x v="9"/>
    <n v="-400"/>
    <x v="0"/>
    <x v="3"/>
    <n v="600"/>
    <n v="0.37133333333333335"/>
    <n v="222.8"/>
    <n v="-24.052252252252252"/>
    <n v="198.74774774774775"/>
    <x v="9"/>
    <n v="400"/>
    <m/>
    <s v="F077523"/>
    <n v="16.787209302325582"/>
    <m/>
    <n v="12"/>
    <m/>
    <n v="28.787209302325582"/>
    <n v="169.96053844542217"/>
    <m/>
    <n v="600"/>
  </r>
  <r>
    <n v="2"/>
    <n v="2023"/>
    <s v="Auction"/>
    <s v="VROLIJK BLOEMEN"/>
    <s v="VROLIJK BLOEMEN"/>
    <x v="38"/>
    <s v="Grandiflora Roses"/>
    <s v="100CM"/>
    <n v="1"/>
    <n v="9"/>
    <n v="240"/>
    <n v="0.15"/>
    <n v="36"/>
    <s v="EUR"/>
    <m/>
    <m/>
    <x v="9"/>
    <n v="0"/>
    <x v="0"/>
    <x v="4"/>
    <n v="240"/>
    <n v="0.48666666666666664"/>
    <n v="116.8"/>
    <n v="-9.6209009009009012"/>
    <n v="107.17909909909909"/>
    <x v="9"/>
    <n v="0"/>
    <m/>
    <s v="F077523"/>
    <n v="27.698895348837208"/>
    <m/>
    <n v="4.8"/>
    <m/>
    <n v="32.498895348837209"/>
    <n v="74.680203750261882"/>
    <m/>
    <n v="240"/>
  </r>
  <r>
    <n v="2"/>
    <n v="2023"/>
    <s v="Auction"/>
    <s v="VROLIJK BLOEMEN"/>
    <s v="VROLIJK BLOEMEN"/>
    <x v="38"/>
    <s v="Grandiflora Roses"/>
    <s v="110CM"/>
    <m/>
    <n v="3"/>
    <n v="80"/>
    <n v="0.15"/>
    <n v="12"/>
    <s v="EUR"/>
    <m/>
    <m/>
    <x v="9"/>
    <n v="0"/>
    <x v="0"/>
    <x v="6"/>
    <n v="80"/>
    <n v="0.5"/>
    <n v="40"/>
    <n v="-3.2069669669669674"/>
    <n v="36.793033033033034"/>
    <x v="9"/>
    <n v="0"/>
    <m/>
    <s v="F077523"/>
    <n v="9.23296511627907"/>
    <m/>
    <n v="1.6"/>
    <m/>
    <n v="10.83296511627907"/>
    <n v="25.960067916753964"/>
    <m/>
    <n v="80"/>
  </r>
  <r>
    <n v="2"/>
    <n v="2023"/>
    <s v="Auction"/>
    <s v="VROLIJK BLOEMEN"/>
    <s v="VROLIJK BLOEMEN"/>
    <x v="38"/>
    <s v="Floribunda Roses"/>
    <s v="100CM"/>
    <n v="1"/>
    <n v="6"/>
    <n v="80"/>
    <n v="0.15"/>
    <n v="12"/>
    <s v="EUR"/>
    <m/>
    <m/>
    <x v="9"/>
    <n v="80"/>
    <x v="2"/>
    <x v="4"/>
    <m/>
    <m/>
    <n v="0"/>
    <n v="0"/>
    <n v="0"/>
    <x v="9"/>
    <n v="-80"/>
    <m/>
    <s v="F077523"/>
    <n v="18.46593023255814"/>
    <m/>
    <n v="0"/>
    <m/>
    <n v="18.46593023255814"/>
    <n v="-18.46593023255814"/>
    <m/>
    <n v="0"/>
  </r>
  <r>
    <n v="2"/>
    <n v="2023"/>
    <s v="Auction"/>
    <s v="VROLIJK BLOEMEN"/>
    <s v="VROLIJK BLOEMEN"/>
    <x v="38"/>
    <s v="Floribunda Roses"/>
    <s v="110CM"/>
    <m/>
    <n v="6"/>
    <n v="80"/>
    <n v="0.15"/>
    <n v="12"/>
    <s v="EUR"/>
    <m/>
    <m/>
    <x v="9"/>
    <n v="80"/>
    <x v="2"/>
    <x v="6"/>
    <m/>
    <m/>
    <n v="0"/>
    <n v="0"/>
    <n v="0"/>
    <x v="9"/>
    <n v="-80"/>
    <m/>
    <s v="F077523"/>
    <n v="18.46593023255814"/>
    <m/>
    <n v="0"/>
    <m/>
    <n v="18.46593023255814"/>
    <n v="-18.46593023255814"/>
    <m/>
    <n v="0"/>
  </r>
  <r>
    <n v="2"/>
    <n v="2023"/>
    <s v="Auction"/>
    <s v="VROLIJK BLOEMEN"/>
    <s v="VROLIJK BLOEMEN"/>
    <x v="38"/>
    <s v="Polyantha Roses"/>
    <s v="70CM"/>
    <n v="1"/>
    <n v="7.5"/>
    <n v="200"/>
    <n v="0.15"/>
    <n v="30"/>
    <s v="EUR"/>
    <m/>
    <m/>
    <x v="9"/>
    <n v="0"/>
    <x v="3"/>
    <x v="1"/>
    <n v="200"/>
    <n v="0.64"/>
    <n v="128"/>
    <n v="-8.017417417417418"/>
    <n v="119.98258258258258"/>
    <x v="9"/>
    <n v="0"/>
    <m/>
    <s v="F077523"/>
    <n v="23.082412790697674"/>
    <m/>
    <n v="4"/>
    <m/>
    <n v="27.082412790697674"/>
    <n v="92.900169791884906"/>
    <m/>
    <n v="200"/>
  </r>
  <r>
    <n v="2"/>
    <n v="2023"/>
    <s v="Auction"/>
    <s v="VROLIJK BLOEMEN"/>
    <s v="VROLIJK BLOEMEN"/>
    <x v="38"/>
    <s v="Polyantha Roses"/>
    <s v="60CM"/>
    <m/>
    <n v="4.5"/>
    <n v="120"/>
    <n v="0.15"/>
    <n v="18"/>
    <s v="EUR"/>
    <m/>
    <m/>
    <x v="9"/>
    <n v="0"/>
    <x v="3"/>
    <x v="0"/>
    <n v="120"/>
    <n v="0.51"/>
    <n v="61.2"/>
    <n v="-4.8104504504504506"/>
    <n v="56.38954954954955"/>
    <x v="9"/>
    <n v="0"/>
    <m/>
    <s v="F077523"/>
    <n v="13.849447674418604"/>
    <m/>
    <n v="2.4"/>
    <m/>
    <n v="16.249447674418604"/>
    <n v="40.140101875130945"/>
    <m/>
    <n v="120"/>
  </r>
  <r>
    <n v="2"/>
    <n v="2023"/>
    <s v="Auction"/>
    <s v="VROLIJK BLOEMEN"/>
    <s v="VROLIJK BLOEMEN"/>
    <x v="38"/>
    <s v="Grandiflora Roses"/>
    <s v="60CM"/>
    <n v="1"/>
    <n v="3.2727272727272725"/>
    <n v="120"/>
    <n v="0.15"/>
    <n v="18"/>
    <s v="EUR"/>
    <m/>
    <m/>
    <x v="9"/>
    <n v="-680"/>
    <x v="0"/>
    <x v="0"/>
    <n v="800"/>
    <n v="0.17499999999999999"/>
    <n v="140"/>
    <n v="-32.069669669669672"/>
    <n v="107.93033033033032"/>
    <x v="9"/>
    <n v="680"/>
    <m/>
    <s v="F077523"/>
    <n v="10.072325581395349"/>
    <m/>
    <n v="16"/>
    <m/>
    <n v="26.072325581395347"/>
    <n v="81.858004748934974"/>
    <m/>
    <n v="800"/>
  </r>
  <r>
    <n v="2"/>
    <n v="2023"/>
    <s v="Auction"/>
    <s v="VROLIJK BLOEMEN"/>
    <s v="VROLIJK BLOEMEN"/>
    <x v="38"/>
    <s v="Grandiflora Roses"/>
    <s v="80CM"/>
    <m/>
    <n v="8.7272727272727266"/>
    <n v="320"/>
    <n v="0.15"/>
    <n v="48"/>
    <s v="EUR"/>
    <m/>
    <m/>
    <x v="9"/>
    <n v="320"/>
    <x v="0"/>
    <x v="2"/>
    <m/>
    <m/>
    <n v="0"/>
    <n v="0"/>
    <n v="0"/>
    <x v="9"/>
    <n v="-320"/>
    <m/>
    <s v="F077523"/>
    <n v="26.859534883720926"/>
    <m/>
    <n v="0"/>
    <m/>
    <n v="26.859534883720926"/>
    <n v="-26.859534883720926"/>
    <m/>
    <n v="0"/>
  </r>
  <r>
    <m/>
    <m/>
    <m/>
    <m/>
    <m/>
    <x v="9"/>
    <s v="Moss Roses"/>
    <s v="60CM"/>
    <m/>
    <m/>
    <m/>
    <m/>
    <m/>
    <m/>
    <m/>
    <m/>
    <x v="10"/>
    <n v="-80"/>
    <x v="4"/>
    <x v="0"/>
    <n v="80"/>
    <n v="0.32"/>
    <n v="25.6"/>
    <n v="-3.2069669669669674"/>
    <n v="22.393033033033035"/>
    <x v="10"/>
    <n v="80"/>
    <m/>
    <s v="F077523"/>
    <n v="0"/>
    <m/>
    <n v="1.6"/>
    <m/>
    <n v="1.6"/>
    <n v="20.793033033033034"/>
    <m/>
    <n v="80"/>
  </r>
  <r>
    <n v="2"/>
    <n v="2023"/>
    <s v="Auction"/>
    <s v="VROLIJK BLOEMEN"/>
    <s v="VROLIJK BLOEMEN"/>
    <x v="39"/>
    <s v="Floribunda Roses"/>
    <s v="70CM"/>
    <n v="5"/>
    <n v="60"/>
    <n v="1600"/>
    <n v="0.15"/>
    <n v="240"/>
    <s v="EUR"/>
    <m/>
    <m/>
    <x v="9"/>
    <n v="720"/>
    <x v="2"/>
    <x v="1"/>
    <n v="880"/>
    <n v="0.36"/>
    <n v="316.8"/>
    <n v="-42.134117647058865"/>
    <n v="274.66588235294114"/>
    <x v="9"/>
    <n v="-720"/>
    <m/>
    <n v="423631"/>
    <n v="186.14791666666667"/>
    <m/>
    <n v="17.600000000000001"/>
    <m/>
    <n v="203.74791666666667"/>
    <n v="70.917965686274471"/>
    <m/>
    <n v="880"/>
  </r>
  <r>
    <n v="2"/>
    <n v="2023"/>
    <s v="Auction"/>
    <s v="VROLIJK BLOEMEN"/>
    <s v="VROLIJK BLOEMEN"/>
    <x v="39"/>
    <s v="Floribunda Roses"/>
    <s v="80CM"/>
    <n v="3"/>
    <n v="36"/>
    <n v="840"/>
    <n v="0.15"/>
    <n v="126"/>
    <s v="EUR"/>
    <m/>
    <m/>
    <x v="9"/>
    <n v="-240"/>
    <x v="2"/>
    <x v="2"/>
    <n v="1080"/>
    <n v="0.54814814814814816"/>
    <n v="592"/>
    <n v="-51.710053475935879"/>
    <n v="540.28994652406413"/>
    <x v="9"/>
    <n v="240"/>
    <m/>
    <n v="423631"/>
    <n v="111.68875"/>
    <m/>
    <n v="21.6"/>
    <m/>
    <n v="133.28874999999999"/>
    <n v="407.00119652406414"/>
    <m/>
    <n v="1080"/>
  </r>
  <r>
    <n v="2"/>
    <n v="2023"/>
    <s v="Auction"/>
    <s v="VROLIJK BLOEMEN"/>
    <s v="VROLIJK BLOEMEN"/>
    <x v="39"/>
    <s v="Floribunda Roses"/>
    <s v="90CM"/>
    <n v="2"/>
    <n v="24"/>
    <n v="480"/>
    <n v="0.15"/>
    <n v="72"/>
    <s v="EUR"/>
    <m/>
    <m/>
    <x v="9"/>
    <n v="-160"/>
    <x v="2"/>
    <x v="3"/>
    <n v="640"/>
    <n v="0.6"/>
    <n v="384"/>
    <n v="-30.642994652406443"/>
    <n v="353.35700534759354"/>
    <x v="9"/>
    <n v="160"/>
    <m/>
    <n v="423631"/>
    <n v="74.459166666666661"/>
    <m/>
    <n v="12.8"/>
    <m/>
    <n v="87.259166666666658"/>
    <n v="266.09783868092688"/>
    <m/>
    <n v="640"/>
  </r>
  <r>
    <n v="2"/>
    <n v="2023"/>
    <s v="Auction"/>
    <s v="VROLIJK BLOEMEN"/>
    <s v="VROLIJK BLOEMEN"/>
    <x v="39"/>
    <s v="Floribunda Roses"/>
    <s v="100CM"/>
    <n v="1"/>
    <n v="12"/>
    <n v="160"/>
    <n v="0.15"/>
    <n v="24"/>
    <s v="EUR"/>
    <m/>
    <m/>
    <x v="9"/>
    <n v="160"/>
    <x v="2"/>
    <x v="4"/>
    <m/>
    <m/>
    <n v="0"/>
    <n v="0"/>
    <n v="0"/>
    <x v="9"/>
    <n v="-160"/>
    <m/>
    <n v="423631"/>
    <n v="37.229583333333331"/>
    <m/>
    <n v="0"/>
    <m/>
    <n v="37.229583333333331"/>
    <n v="-37.229583333333331"/>
    <m/>
    <n v="0"/>
  </r>
  <r>
    <n v="2"/>
    <n v="2023"/>
    <s v="Auction"/>
    <s v="VROLIJK BLOEMEN"/>
    <s v="VROLIJK BLOEMEN"/>
    <x v="39"/>
    <s v="Floribunda Roses"/>
    <s v="100CM"/>
    <n v="1"/>
    <n v="12"/>
    <n v="200"/>
    <n v="0.15"/>
    <n v="30"/>
    <s v="EUR"/>
    <m/>
    <m/>
    <x v="9"/>
    <n v="-160"/>
    <x v="2"/>
    <x v="4"/>
    <n v="360"/>
    <n v="0.71888888888888891"/>
    <n v="258.8"/>
    <n v="-17.236684491978625"/>
    <n v="241.56331550802139"/>
    <x v="9"/>
    <n v="160"/>
    <m/>
    <n v="423631"/>
    <n v="37.229583333333331"/>
    <m/>
    <n v="7.2"/>
    <m/>
    <n v="44.429583333333333"/>
    <n v="197.13373217468805"/>
    <m/>
    <n v="360"/>
  </r>
  <r>
    <n v="2"/>
    <n v="2023"/>
    <s v="Auction"/>
    <s v="VROLIJK BLOEMEN"/>
    <s v="VROLIJK BLOEMEN"/>
    <x v="39"/>
    <s v="Grandiflora Roses"/>
    <s v="60CM"/>
    <n v="1"/>
    <n v="12"/>
    <n v="720"/>
    <n v="0.15"/>
    <n v="108"/>
    <s v="EUR"/>
    <m/>
    <m/>
    <x v="9"/>
    <n v="0"/>
    <x v="0"/>
    <x v="0"/>
    <n v="720"/>
    <n v="0.26111111111111113"/>
    <n v="188"/>
    <n v="-34.473368983957251"/>
    <n v="153.52663101604276"/>
    <x v="9"/>
    <n v="0"/>
    <m/>
    <n v="423631"/>
    <n v="37.229583333333331"/>
    <m/>
    <n v="14.4"/>
    <m/>
    <n v="51.629583333333329"/>
    <n v="101.89704768270943"/>
    <m/>
    <n v="720"/>
  </r>
  <r>
    <n v="2"/>
    <n v="2023"/>
    <s v="Auction"/>
    <s v="VROLIJK BLOEMEN"/>
    <s v="VROLIJK BLOEMEN"/>
    <x v="39"/>
    <s v="Grandiflora Roses"/>
    <s v="70CM"/>
    <n v="1"/>
    <n v="12"/>
    <n v="520"/>
    <n v="0.15"/>
    <n v="78"/>
    <s v="EUR"/>
    <m/>
    <m/>
    <x v="9"/>
    <n v="-120"/>
    <x v="0"/>
    <x v="1"/>
    <n v="640"/>
    <n v="0.39500000000000002"/>
    <n v="252.8"/>
    <n v="-30.642994652406443"/>
    <n v="222.15700534759355"/>
    <x v="9"/>
    <n v="120"/>
    <m/>
    <n v="423631"/>
    <n v="37.229583333333331"/>
    <m/>
    <n v="12.8"/>
    <m/>
    <n v="50.029583333333335"/>
    <n v="172.12742201426022"/>
    <m/>
    <n v="640"/>
  </r>
  <r>
    <n v="2"/>
    <n v="2023"/>
    <s v="Auction"/>
    <s v="VROLIJK BLOEMEN"/>
    <s v="VROLIJK BLOEMEN"/>
    <x v="39"/>
    <s v="Floribunda Roses"/>
    <s v="110CM"/>
    <n v="1"/>
    <n v="12"/>
    <n v="160"/>
    <n v="0.15"/>
    <n v="24"/>
    <s v="EUR"/>
    <m/>
    <m/>
    <x v="9"/>
    <n v="-80"/>
    <x v="2"/>
    <x v="6"/>
    <n v="240"/>
    <n v="0.81333333333333324"/>
    <n v="195.2"/>
    <n v="-11.491122994652416"/>
    <n v="183.70887700534757"/>
    <x v="9"/>
    <n v="80"/>
    <m/>
    <n v="423631"/>
    <n v="37.229583333333331"/>
    <m/>
    <n v="4.8"/>
    <m/>
    <n v="42.029583333333328"/>
    <n v="141.67929367201424"/>
    <m/>
    <n v="240"/>
  </r>
  <r>
    <n v="2"/>
    <n v="2023"/>
    <s v="Auction"/>
    <s v="VROLIJK BLOEMEN"/>
    <s v="VROLIJK BLOEMEN"/>
    <x v="39"/>
    <s v="English Roses"/>
    <s v="70CM"/>
    <n v="1"/>
    <n v="12"/>
    <n v="320"/>
    <n v="0.15"/>
    <n v="48"/>
    <s v="EUR"/>
    <m/>
    <m/>
    <x v="9"/>
    <n v="-160"/>
    <x v="1"/>
    <x v="1"/>
    <n v="480"/>
    <n v="0.39499999999999996"/>
    <n v="189.6"/>
    <n v="-22.982245989304833"/>
    <n v="166.61775401069517"/>
    <x v="9"/>
    <n v="160"/>
    <m/>
    <n v="423631"/>
    <n v="37.229583333333331"/>
    <m/>
    <n v="9.6"/>
    <m/>
    <n v="46.829583333333332"/>
    <n v="119.78817067736183"/>
    <m/>
    <n v="480"/>
  </r>
  <r>
    <n v="2"/>
    <n v="2023"/>
    <s v="Auction"/>
    <s v="VROLIJK BLOEMEN"/>
    <s v="VROLIJK BLOEMEN"/>
    <x v="39"/>
    <s v="English Roses"/>
    <s v="80CM"/>
    <n v="1"/>
    <n v="12"/>
    <n v="280"/>
    <n v="0.15"/>
    <n v="42"/>
    <s v="EUR"/>
    <m/>
    <m/>
    <x v="9"/>
    <n v="40"/>
    <x v="1"/>
    <x v="2"/>
    <n v="240"/>
    <n v="0.41000000000000003"/>
    <n v="98.4"/>
    <n v="-11.491122994652416"/>
    <n v="86.908877005347591"/>
    <x v="9"/>
    <n v="-40"/>
    <m/>
    <n v="423631"/>
    <n v="37.229583333333331"/>
    <m/>
    <n v="4.8"/>
    <m/>
    <n v="42.029583333333328"/>
    <n v="44.879293672014263"/>
    <m/>
    <n v="240"/>
  </r>
  <r>
    <n v="2"/>
    <n v="2023"/>
    <s v="Auction"/>
    <s v="VROLIJK BLOEMEN"/>
    <s v="VROLIJK BLOEMEN"/>
    <x v="39"/>
    <s v="Floribunda Roses"/>
    <s v="90CM"/>
    <n v="1"/>
    <n v="8.5714285714285712"/>
    <n v="200"/>
    <n v="0.15"/>
    <n v="30"/>
    <s v="EUR"/>
    <m/>
    <m/>
    <x v="9"/>
    <n v="200"/>
    <x v="2"/>
    <x v="3"/>
    <m/>
    <m/>
    <n v="0"/>
    <n v="0"/>
    <n v="0"/>
    <x v="9"/>
    <n v="-200"/>
    <m/>
    <n v="423631"/>
    <n v="26.592559523809523"/>
    <m/>
    <n v="0"/>
    <m/>
    <n v="26.592559523809523"/>
    <n v="-26.592559523809523"/>
    <m/>
    <n v="0"/>
  </r>
  <r>
    <n v="2"/>
    <n v="2023"/>
    <s v="Auction"/>
    <s v="VROLIJK BLOEMEN"/>
    <s v="VROLIJK BLOEMEN"/>
    <x v="39"/>
    <s v="Floribunda Roses"/>
    <s v="110CM"/>
    <m/>
    <n v="3.4285714285714284"/>
    <n v="80"/>
    <n v="0.15"/>
    <n v="12"/>
    <s v="EUR"/>
    <m/>
    <m/>
    <x v="9"/>
    <n v="80"/>
    <x v="2"/>
    <x v="6"/>
    <m/>
    <m/>
    <n v="0"/>
    <n v="0"/>
    <n v="0"/>
    <x v="9"/>
    <n v="-80"/>
    <m/>
    <n v="423631"/>
    <n v="10.637023809523809"/>
    <m/>
    <n v="0"/>
    <m/>
    <n v="10.637023809523809"/>
    <n v="-10.637023809523809"/>
    <m/>
    <n v="0"/>
  </r>
  <r>
    <n v="2"/>
    <n v="2023"/>
    <s v="Auction"/>
    <s v="VROLIJK BLOEMEN"/>
    <s v="VROLIJK BLOEMEN"/>
    <x v="39"/>
    <s v="Floribunda Roses"/>
    <s v="70CM"/>
    <n v="1"/>
    <n v="4"/>
    <n v="120"/>
    <n v="0.15"/>
    <n v="18"/>
    <s v="EUR"/>
    <m/>
    <m/>
    <x v="9"/>
    <n v="-760"/>
    <x v="2"/>
    <x v="1"/>
    <n v="880"/>
    <n v="0.44545454545454544"/>
    <n v="392"/>
    <n v="-42.134117647058865"/>
    <n v="349.86588235294113"/>
    <x v="9"/>
    <n v="760"/>
    <m/>
    <n v="423631"/>
    <n v="12.409861111111111"/>
    <m/>
    <n v="17.600000000000001"/>
    <m/>
    <n v="30.009861111111114"/>
    <n v="319.85602124183004"/>
    <m/>
    <n v="880"/>
  </r>
  <r>
    <n v="2"/>
    <n v="2023"/>
    <s v="Auction"/>
    <s v="VROLIJK BLOEMEN"/>
    <s v="VROLIJK BLOEMEN"/>
    <x v="39"/>
    <s v="Floribunda Roses"/>
    <s v="80CM"/>
    <m/>
    <n v="8"/>
    <n v="240"/>
    <n v="0.15"/>
    <n v="36"/>
    <s v="EUR"/>
    <m/>
    <m/>
    <x v="9"/>
    <n v="240"/>
    <x v="2"/>
    <x v="2"/>
    <m/>
    <m/>
    <n v="0"/>
    <n v="0"/>
    <n v="0"/>
    <x v="9"/>
    <n v="-240"/>
    <m/>
    <n v="423631"/>
    <n v="24.819722222222222"/>
    <m/>
    <n v="0"/>
    <m/>
    <n v="24.819722222222222"/>
    <n v="-24.819722222222222"/>
    <m/>
    <n v="0"/>
  </r>
  <r>
    <n v="2"/>
    <n v="2023"/>
    <s v="Auction"/>
    <s v="VROLIJK BLOEMEN"/>
    <s v="VROLIJK BLOEMEN"/>
    <x v="39"/>
    <s v="English Roses"/>
    <s v="70CM"/>
    <n v="1"/>
    <n v="8"/>
    <n v="160"/>
    <n v="0.15"/>
    <n v="24"/>
    <s v="EUR"/>
    <m/>
    <m/>
    <x v="9"/>
    <n v="160"/>
    <x v="1"/>
    <x v="1"/>
    <m/>
    <m/>
    <n v="0"/>
    <n v="0"/>
    <n v="0"/>
    <x v="9"/>
    <n v="-160"/>
    <m/>
    <n v="423631"/>
    <n v="24.819722222222222"/>
    <m/>
    <n v="0"/>
    <m/>
    <n v="24.819722222222222"/>
    <n v="-24.819722222222222"/>
    <m/>
    <n v="0"/>
  </r>
  <r>
    <n v="2"/>
    <n v="2023"/>
    <s v="Auction"/>
    <s v="VROLIJK BLOEMEN"/>
    <s v="VROLIJK BLOEMEN"/>
    <x v="39"/>
    <s v="English Roses"/>
    <s v="90CM"/>
    <m/>
    <n v="4"/>
    <n v="80"/>
    <n v="0.15"/>
    <n v="12"/>
    <s v="EUR"/>
    <m/>
    <m/>
    <x v="9"/>
    <n v="0"/>
    <x v="1"/>
    <x v="3"/>
    <n v="80"/>
    <n v="0.49000000000000005"/>
    <n v="39.200000000000003"/>
    <n v="-3.8303743315508054"/>
    <n v="35.369625668449196"/>
    <x v="9"/>
    <n v="0"/>
    <m/>
    <n v="423631"/>
    <n v="12.409861111111111"/>
    <m/>
    <n v="1.6"/>
    <m/>
    <n v="14.00986111111111"/>
    <n v="21.359764557338085"/>
    <m/>
    <n v="80"/>
  </r>
  <r>
    <n v="2"/>
    <n v="2023"/>
    <s v="Auction"/>
    <s v="VROLIJK BLOEMEN"/>
    <s v="VROLIJK BLOEMEN"/>
    <x v="39"/>
    <s v="Polyantha Roses"/>
    <s v="90CM"/>
    <n v="1"/>
    <n v="2.4000000000000004"/>
    <n v="40"/>
    <n v="0.15"/>
    <n v="6"/>
    <s v="EUR"/>
    <m/>
    <m/>
    <x v="9"/>
    <n v="0"/>
    <x v="3"/>
    <x v="3"/>
    <n v="40"/>
    <n v="0.9"/>
    <n v="36"/>
    <n v="-1.9151871657754027"/>
    <n v="34.0848128342246"/>
    <x v="9"/>
    <n v="0"/>
    <m/>
    <n v="423631"/>
    <n v="7.4459166666666681"/>
    <m/>
    <n v="0.8"/>
    <m/>
    <n v="8.2459166666666679"/>
    <n v="25.838896167557934"/>
    <m/>
    <n v="40"/>
  </r>
  <r>
    <n v="2"/>
    <n v="2023"/>
    <s v="Auction"/>
    <s v="VROLIJK BLOEMEN"/>
    <s v="VROLIJK BLOEMEN"/>
    <x v="39"/>
    <s v="Polyantha Roses"/>
    <s v="100CM"/>
    <m/>
    <n v="2.4000000000000004"/>
    <n v="40"/>
    <n v="0.15"/>
    <n v="6"/>
    <s v="EUR"/>
    <m/>
    <m/>
    <x v="9"/>
    <n v="-40"/>
    <x v="3"/>
    <x v="4"/>
    <n v="80"/>
    <n v="0.96"/>
    <n v="76.8"/>
    <n v="-3.8303743315508054"/>
    <n v="72.969625668449197"/>
    <x v="9"/>
    <n v="40"/>
    <m/>
    <n v="423631"/>
    <n v="7.4459166666666681"/>
    <m/>
    <n v="1.6"/>
    <m/>
    <n v="9.0459166666666686"/>
    <n v="63.923709001782527"/>
    <m/>
    <n v="80"/>
  </r>
  <r>
    <n v="2"/>
    <n v="2023"/>
    <s v="Auction"/>
    <s v="VROLIJK BLOEMEN"/>
    <s v="VROLIJK BLOEMEN"/>
    <x v="39"/>
    <s v="Polyantha Roses"/>
    <s v="110CM"/>
    <m/>
    <n v="7.1999999999999993"/>
    <n v="120"/>
    <n v="0.15"/>
    <n v="18"/>
    <s v="EUR"/>
    <m/>
    <m/>
    <x v="9"/>
    <n v="40"/>
    <x v="3"/>
    <x v="6"/>
    <n v="80"/>
    <n v="1.1400000000000001"/>
    <n v="91.200000000000017"/>
    <n v="-3.8303743315508054"/>
    <n v="87.369625668449217"/>
    <x v="9"/>
    <n v="-40"/>
    <m/>
    <n v="423631"/>
    <n v="22.337749999999996"/>
    <m/>
    <n v="1.6"/>
    <m/>
    <n v="23.937749999999998"/>
    <n v="63.431875668449223"/>
    <m/>
    <n v="80"/>
  </r>
  <r>
    <n v="2"/>
    <n v="2023"/>
    <s v="Auction"/>
    <s v="VROLIJK BLOEMEN"/>
    <s v="VROLIJK BLOEMEN"/>
    <x v="39"/>
    <s v="Grandiflora Roses"/>
    <s v="70CM"/>
    <n v="1"/>
    <n v="2.7692307692307692"/>
    <n v="120"/>
    <n v="0.15"/>
    <n v="18"/>
    <s v="EUR"/>
    <m/>
    <m/>
    <x v="9"/>
    <n v="120"/>
    <x v="0"/>
    <x v="1"/>
    <m/>
    <m/>
    <n v="0"/>
    <n v="0"/>
    <n v="0"/>
    <x v="9"/>
    <n v="-120"/>
    <m/>
    <n v="423631"/>
    <n v="8.5914423076923079"/>
    <m/>
    <n v="0"/>
    <m/>
    <n v="8.5914423076923079"/>
    <n v="-8.5914423076923079"/>
    <m/>
    <n v="0"/>
  </r>
  <r>
    <n v="2"/>
    <n v="2023"/>
    <s v="Auction"/>
    <s v="VROLIJK BLOEMEN"/>
    <s v="VROLIJK BLOEMEN"/>
    <x v="39"/>
    <s v="Grandiflora Roses"/>
    <s v="80CM"/>
    <m/>
    <n v="9.2307692307692317"/>
    <n v="400"/>
    <n v="0.15"/>
    <n v="60"/>
    <s v="EUR"/>
    <m/>
    <m/>
    <x v="9"/>
    <n v="0"/>
    <x v="0"/>
    <x v="2"/>
    <n v="400"/>
    <n v="0.46299999999999997"/>
    <n v="185.2"/>
    <n v="-19.151871657754025"/>
    <n v="166.04812834224597"/>
    <x v="9"/>
    <n v="0"/>
    <m/>
    <n v="423631"/>
    <n v="28.63814102564103"/>
    <m/>
    <n v="8"/>
    <m/>
    <n v="36.638141025641033"/>
    <n v="129.40998731660494"/>
    <m/>
    <n v="400"/>
  </r>
  <r>
    <n v="2"/>
    <n v="2023"/>
    <s v="Auction"/>
    <s v="VROLIJK BLOEMEN"/>
    <s v="VROLIJK BLOEMEN"/>
    <x v="39"/>
    <s v="Grandiflora Roses"/>
    <s v="90CM"/>
    <n v="1"/>
    <n v="6"/>
    <n v="160"/>
    <n v="0.15"/>
    <n v="24"/>
    <s v="EUR"/>
    <m/>
    <m/>
    <x v="9"/>
    <n v="0"/>
    <x v="0"/>
    <x v="3"/>
    <n v="160"/>
    <n v="0.41500000000000004"/>
    <n v="66.400000000000006"/>
    <n v="-7.6607486631016108"/>
    <n v="58.739251336898391"/>
    <x v="9"/>
    <n v="0"/>
    <m/>
    <n v="423631"/>
    <n v="18.614791666666665"/>
    <m/>
    <n v="3.2"/>
    <m/>
    <n v="21.814791666666665"/>
    <n v="36.924459670231727"/>
    <m/>
    <n v="160"/>
  </r>
  <r>
    <n v="2"/>
    <n v="2023"/>
    <s v="Auction"/>
    <s v="VROLIJK BLOEMEN"/>
    <s v="VROLIJK BLOEMEN"/>
    <x v="39"/>
    <s v="Grandiflora Roses"/>
    <s v="100CM"/>
    <m/>
    <n v="6"/>
    <n v="160"/>
    <n v="0.15"/>
    <n v="24"/>
    <s v="EUR"/>
    <m/>
    <m/>
    <x v="9"/>
    <n v="0"/>
    <x v="0"/>
    <x v="4"/>
    <n v="160"/>
    <n v="0.54749999999999999"/>
    <n v="87.6"/>
    <n v="-7.6607486631016108"/>
    <n v="79.93925133689838"/>
    <x v="9"/>
    <n v="0"/>
    <m/>
    <n v="423631"/>
    <n v="18.614791666666665"/>
    <m/>
    <n v="3.2"/>
    <m/>
    <n v="21.814791666666665"/>
    <n v="58.124459670231715"/>
    <m/>
    <n v="160"/>
  </r>
  <r>
    <n v="2"/>
    <n v="2023"/>
    <s v="Auction"/>
    <s v="VROLIJK BLOEMEN"/>
    <s v="VROLIJK BLOEMEN"/>
    <x v="39"/>
    <s v="Polyantha Roses"/>
    <s v="70CM"/>
    <n v="1"/>
    <n v="1.5"/>
    <n v="40"/>
    <n v="0.15"/>
    <n v="6"/>
    <s v="EUR"/>
    <m/>
    <m/>
    <x v="9"/>
    <n v="0"/>
    <x v="3"/>
    <x v="1"/>
    <n v="40"/>
    <n v="0.67"/>
    <n v="26.8"/>
    <n v="-1.9151871657754027"/>
    <n v="24.884812834224597"/>
    <x v="9"/>
    <n v="0"/>
    <m/>
    <n v="423631"/>
    <n v="4.6536979166666663"/>
    <m/>
    <n v="0.8"/>
    <m/>
    <n v="5.4536979166666661"/>
    <n v="19.431114917557931"/>
    <m/>
    <n v="40"/>
  </r>
  <r>
    <n v="2"/>
    <n v="2023"/>
    <s v="Auction"/>
    <s v="VROLIJK BLOEMEN"/>
    <s v="VROLIJK BLOEMEN"/>
    <x v="39"/>
    <s v="Polyantha Roses"/>
    <s v="80CM"/>
    <m/>
    <n v="4.5"/>
    <n v="120"/>
    <n v="0.15"/>
    <n v="18"/>
    <s v="EUR"/>
    <m/>
    <m/>
    <x v="9"/>
    <n v="0"/>
    <x v="3"/>
    <x v="2"/>
    <n v="120"/>
    <n v="0.77666666666666673"/>
    <n v="93.2"/>
    <n v="-5.7455614973262081"/>
    <n v="87.454438502673796"/>
    <x v="9"/>
    <n v="0"/>
    <m/>
    <n v="423631"/>
    <n v="13.96109375"/>
    <m/>
    <n v="2.4"/>
    <m/>
    <n v="16.361093749999998"/>
    <n v="71.093344752673801"/>
    <m/>
    <n v="120"/>
  </r>
  <r>
    <n v="2"/>
    <n v="2023"/>
    <s v="Auction"/>
    <s v="VROLIJK BLOEMEN"/>
    <s v="VROLIJK BLOEMEN"/>
    <x v="39"/>
    <s v="Miniature Roses"/>
    <s v="90CM"/>
    <m/>
    <n v="1.5"/>
    <n v="40"/>
    <n v="0.15"/>
    <n v="6"/>
    <s v="EUR"/>
    <m/>
    <m/>
    <x v="9"/>
    <n v="0"/>
    <x v="6"/>
    <x v="3"/>
    <n v="40"/>
    <n v="0.67999999999999994"/>
    <n v="27.199999999999996"/>
    <n v="-1.9151871657754027"/>
    <n v="25.284812834224592"/>
    <x v="9"/>
    <n v="0"/>
    <m/>
    <n v="423631"/>
    <n v="4.6536979166666663"/>
    <m/>
    <n v="0.8"/>
    <m/>
    <n v="5.4536979166666661"/>
    <n v="19.831114917557926"/>
    <m/>
    <n v="40"/>
  </r>
  <r>
    <n v="2"/>
    <n v="2023"/>
    <s v="Auction"/>
    <s v="VROLIJK BLOEMEN"/>
    <s v="VROLIJK BLOEMEN"/>
    <x v="39"/>
    <s v="Miniature Roses"/>
    <s v="70CM"/>
    <m/>
    <n v="3"/>
    <n v="80"/>
    <n v="0.15"/>
    <n v="12"/>
    <s v="EUR"/>
    <m/>
    <m/>
    <x v="9"/>
    <n v="0"/>
    <x v="6"/>
    <x v="1"/>
    <n v="80"/>
    <n v="0.48"/>
    <n v="38.4"/>
    <n v="-3.8303743315508054"/>
    <n v="34.569625668449191"/>
    <x v="9"/>
    <n v="0"/>
    <m/>
    <n v="423631"/>
    <n v="9.3073958333333326"/>
    <m/>
    <n v="1.6"/>
    <m/>
    <n v="10.907395833333332"/>
    <n v="23.662229835115859"/>
    <m/>
    <n v="80"/>
  </r>
  <r>
    <n v="2"/>
    <n v="2023"/>
    <s v="Auction"/>
    <s v="VROLIJK BLOEMEN"/>
    <s v="VROLIJK BLOEMEN"/>
    <x v="39"/>
    <s v="Miniature Roses"/>
    <s v="80CM"/>
    <m/>
    <n v="1.5"/>
    <n v="40"/>
    <n v="0.15"/>
    <n v="6"/>
    <s v="EUR"/>
    <m/>
    <m/>
    <x v="9"/>
    <n v="0"/>
    <x v="6"/>
    <x v="2"/>
    <n v="40"/>
    <n v="0.53"/>
    <n v="21.200000000000003"/>
    <n v="-1.9151871657754027"/>
    <n v="19.284812834224599"/>
    <x v="9"/>
    <n v="0"/>
    <m/>
    <n v="423631"/>
    <n v="4.6536979166666663"/>
    <m/>
    <n v="0.8"/>
    <m/>
    <n v="5.4536979166666661"/>
    <n v="13.831114917557933"/>
    <m/>
    <n v="40"/>
  </r>
  <r>
    <n v="2"/>
    <n v="2023"/>
    <s v="Auction"/>
    <s v="VROLIJK BLOEMEN"/>
    <s v="VROLIJK BLOEMEN"/>
    <x v="40"/>
    <s v="Floribunda Roses"/>
    <s v="60CM"/>
    <n v="2"/>
    <n v="24"/>
    <n v="1040"/>
    <n v="0.15"/>
    <n v="156"/>
    <s v="EUR"/>
    <m/>
    <m/>
    <x v="8"/>
    <n v="-480"/>
    <x v="2"/>
    <x v="0"/>
    <n v="1520"/>
    <n v="0.35815789473684206"/>
    <n v="544.4"/>
    <n v="-61.680852459016357"/>
    <n v="482.71914754098361"/>
    <x v="8"/>
    <n v="480"/>
    <m/>
    <n v="423642"/>
    <n v="77.535428571428568"/>
    <m/>
    <n v="30.400000000000002"/>
    <m/>
    <n v="107.93542857142857"/>
    <n v="374.78371896955503"/>
    <m/>
    <n v="1520"/>
  </r>
  <r>
    <n v="2"/>
    <n v="2023"/>
    <s v="Auction"/>
    <s v="VROLIJK BLOEMEN"/>
    <s v="VROLIJK BLOEMEN"/>
    <x v="40"/>
    <s v="Floribunda Roses"/>
    <s v="60CM"/>
    <n v="1"/>
    <n v="12"/>
    <n v="480"/>
    <n v="0.15"/>
    <n v="72"/>
    <s v="EUR"/>
    <m/>
    <m/>
    <x v="8"/>
    <n v="480"/>
    <x v="2"/>
    <x v="0"/>
    <m/>
    <m/>
    <n v="0"/>
    <n v="0"/>
    <n v="0"/>
    <x v="8"/>
    <n v="-480"/>
    <m/>
    <n v="423642"/>
    <n v="38.767714285714284"/>
    <m/>
    <n v="0"/>
    <m/>
    <n v="38.767714285714284"/>
    <n v="-38.767714285714284"/>
    <m/>
    <n v="0"/>
  </r>
  <r>
    <n v="2"/>
    <n v="2023"/>
    <s v="Auction"/>
    <s v="VROLIJK BLOEMEN"/>
    <s v="VROLIJK BLOEMEN"/>
    <x v="40"/>
    <s v="Floribunda Roses"/>
    <s v="70CM"/>
    <n v="7"/>
    <n v="84"/>
    <n v="2240"/>
    <n v="0.15"/>
    <n v="336"/>
    <s v="EUR"/>
    <m/>
    <m/>
    <x v="8"/>
    <n v="0"/>
    <x v="2"/>
    <x v="1"/>
    <n v="2240"/>
    <n v="0.49428571428571422"/>
    <n v="1107.1999999999998"/>
    <n v="-90.89809836065568"/>
    <n v="1016.3019016393441"/>
    <x v="8"/>
    <n v="0"/>
    <m/>
    <n v="423642"/>
    <n v="271.37399999999997"/>
    <m/>
    <n v="44.800000000000004"/>
    <m/>
    <n v="316.17399999999998"/>
    <n v="700.12790163934415"/>
    <m/>
    <n v="2240"/>
  </r>
  <r>
    <n v="2"/>
    <n v="2023"/>
    <s v="Auction"/>
    <s v="VROLIJK BLOEMEN"/>
    <s v="VROLIJK BLOEMEN"/>
    <x v="40"/>
    <s v="Floribunda Roses"/>
    <s v="80CM"/>
    <n v="4"/>
    <n v="48"/>
    <n v="1120"/>
    <n v="0.15"/>
    <n v="168"/>
    <s v="EUR"/>
    <m/>
    <m/>
    <x v="8"/>
    <n v="0"/>
    <x v="2"/>
    <x v="2"/>
    <n v="1120"/>
    <n v="0.58178571428571435"/>
    <n v="651.6"/>
    <n v="-45.44904918032784"/>
    <n v="606.15095081967218"/>
    <x v="8"/>
    <n v="0"/>
    <m/>
    <n v="423642"/>
    <n v="155.07085714285714"/>
    <m/>
    <n v="22.400000000000002"/>
    <m/>
    <n v="177.47085714285714"/>
    <n v="428.68009367681503"/>
    <m/>
    <n v="1120"/>
  </r>
  <r>
    <n v="2"/>
    <n v="2023"/>
    <s v="Auction"/>
    <s v="VROLIJK BLOEMEN"/>
    <s v="VROLIJK BLOEMEN"/>
    <x v="40"/>
    <s v="Floribunda Roses"/>
    <s v="90CM"/>
    <n v="4"/>
    <n v="48"/>
    <n v="960"/>
    <n v="0.15"/>
    <n v="144"/>
    <s v="EUR"/>
    <m/>
    <m/>
    <x v="8"/>
    <n v="0"/>
    <x v="2"/>
    <x v="3"/>
    <n v="960"/>
    <n v="0.64083333333333337"/>
    <n v="615.20000000000005"/>
    <n v="-38.956327868852433"/>
    <n v="576.2436721311476"/>
    <x v="8"/>
    <n v="0"/>
    <m/>
    <n v="423642"/>
    <n v="155.07085714285714"/>
    <m/>
    <n v="19.2"/>
    <m/>
    <n v="174.27085714285712"/>
    <n v="401.97281498829045"/>
    <m/>
    <n v="960"/>
  </r>
  <r>
    <n v="2"/>
    <n v="2023"/>
    <s v="Auction"/>
    <s v="VROLIJK BLOEMEN"/>
    <s v="VROLIJK BLOEMEN"/>
    <x v="40"/>
    <s v="Floribunda Roses"/>
    <s v="100CM"/>
    <n v="2"/>
    <n v="24"/>
    <n v="400"/>
    <n v="0.15"/>
    <n v="60"/>
    <s v="EUR"/>
    <m/>
    <m/>
    <x v="8"/>
    <n v="-40"/>
    <x v="2"/>
    <x v="4"/>
    <n v="440"/>
    <n v="0.74454545454545462"/>
    <n v="327.60000000000002"/>
    <n v="-17.854983606557365"/>
    <n v="309.74501639344265"/>
    <x v="8"/>
    <n v="40"/>
    <m/>
    <n v="423642"/>
    <n v="77.535428571428568"/>
    <m/>
    <n v="8.8000000000000007"/>
    <m/>
    <n v="86.335428571428565"/>
    <n v="223.40958782201409"/>
    <m/>
    <n v="440"/>
  </r>
  <r>
    <n v="2"/>
    <n v="2023"/>
    <s v="Auction"/>
    <s v="VROLIJK BLOEMEN"/>
    <s v="VROLIJK BLOEMEN"/>
    <x v="40"/>
    <s v="Floribunda Roses"/>
    <s v="110CM"/>
    <n v="1"/>
    <n v="12"/>
    <n v="160"/>
    <n v="0.15"/>
    <n v="24"/>
    <s v="EUR"/>
    <m/>
    <m/>
    <x v="8"/>
    <n v="-120"/>
    <x v="2"/>
    <x v="6"/>
    <n v="280"/>
    <n v="0.8214285714285714"/>
    <n v="230"/>
    <n v="-11.36226229508196"/>
    <n v="218.63773770491804"/>
    <x v="8"/>
    <n v="120"/>
    <m/>
    <n v="423642"/>
    <n v="38.767714285714284"/>
    <m/>
    <n v="5.6000000000000005"/>
    <m/>
    <n v="44.367714285714285"/>
    <n v="174.27002341920377"/>
    <m/>
    <n v="280"/>
  </r>
  <r>
    <n v="2"/>
    <n v="2023"/>
    <s v="Auction"/>
    <s v="VROLIJK BLOEMEN"/>
    <s v="VROLIJK BLOEMEN"/>
    <x v="40"/>
    <s v="Grandiflora Roses"/>
    <s v="60CM"/>
    <n v="1"/>
    <n v="12"/>
    <n v="720"/>
    <n v="0.15"/>
    <n v="108"/>
    <s v="EUR"/>
    <m/>
    <m/>
    <x v="8"/>
    <n v="-760"/>
    <x v="0"/>
    <x v="0"/>
    <n v="1480"/>
    <n v="0.23702702702702705"/>
    <n v="350.8"/>
    <n v="-60.057672131147513"/>
    <n v="290.7423278688525"/>
    <x v="8"/>
    <n v="760"/>
    <m/>
    <n v="423642"/>
    <n v="38.767714285714284"/>
    <m/>
    <n v="29.6"/>
    <m/>
    <n v="68.367714285714285"/>
    <n v="222.37461358313823"/>
    <m/>
    <n v="1480"/>
  </r>
  <r>
    <n v="2"/>
    <n v="2023"/>
    <s v="Auction"/>
    <s v="VROLIJK BLOEMEN"/>
    <s v="VROLIJK BLOEMEN"/>
    <x v="40"/>
    <s v="Grandiflora Roses"/>
    <s v="60CM"/>
    <n v="1"/>
    <n v="12"/>
    <n v="760"/>
    <n v="0.15"/>
    <n v="114"/>
    <s v="EUR"/>
    <m/>
    <m/>
    <x v="8"/>
    <n v="760"/>
    <x v="0"/>
    <x v="0"/>
    <m/>
    <m/>
    <n v="0"/>
    <n v="0"/>
    <n v="0"/>
    <x v="8"/>
    <n v="-760"/>
    <m/>
    <n v="423642"/>
    <n v="38.767714285714284"/>
    <m/>
    <n v="0"/>
    <m/>
    <n v="38.767714285714284"/>
    <n v="-38.767714285714284"/>
    <m/>
    <n v="0"/>
  </r>
  <r>
    <n v="2"/>
    <n v="2023"/>
    <s v="Auction"/>
    <s v="VROLIJK BLOEMEN"/>
    <s v="VROLIJK BLOEMEN"/>
    <x v="40"/>
    <s v="Grandiflora Roses"/>
    <s v="70CM"/>
    <n v="2"/>
    <n v="24"/>
    <n v="1040"/>
    <n v="0.15"/>
    <n v="156"/>
    <s v="EUR"/>
    <m/>
    <m/>
    <x v="8"/>
    <n v="0"/>
    <x v="0"/>
    <x v="1"/>
    <n v="1040"/>
    <n v="0.41"/>
    <n v="426.4"/>
    <n v="-42.202688524590137"/>
    <n v="384.19731147540983"/>
    <x v="8"/>
    <n v="0"/>
    <m/>
    <n v="423642"/>
    <n v="77.535428571428568"/>
    <m/>
    <n v="20.8"/>
    <m/>
    <n v="98.335428571428565"/>
    <n v="285.86188290398127"/>
    <m/>
    <n v="1040"/>
  </r>
  <r>
    <n v="2"/>
    <n v="2023"/>
    <s v="Auction"/>
    <s v="VROLIJK BLOEMEN"/>
    <s v="VROLIJK BLOEMEN"/>
    <x v="40"/>
    <s v="Grandiflora Roses"/>
    <s v="80CM"/>
    <n v="1"/>
    <n v="12"/>
    <n v="480"/>
    <n v="0.15"/>
    <n v="72"/>
    <s v="EUR"/>
    <m/>
    <m/>
    <x v="8"/>
    <n v="-280"/>
    <x v="0"/>
    <x v="2"/>
    <n v="760"/>
    <n v="0.4168421052631579"/>
    <n v="316.8"/>
    <n v="-30.840426229508179"/>
    <n v="285.95957377049183"/>
    <x v="8"/>
    <n v="280"/>
    <m/>
    <n v="423642"/>
    <n v="38.767714285714284"/>
    <m/>
    <n v="15.200000000000001"/>
    <m/>
    <n v="53.967714285714287"/>
    <n v="231.99185948477754"/>
    <m/>
    <n v="760"/>
  </r>
  <r>
    <n v="2"/>
    <n v="2023"/>
    <s v="Auction"/>
    <s v="VROLIJK BLOEMEN"/>
    <s v="VROLIJK BLOEMEN"/>
    <x v="40"/>
    <s v="Grandiflora Roses"/>
    <s v="90CM"/>
    <n v="1"/>
    <n v="12"/>
    <n v="440"/>
    <n v="0.15"/>
    <n v="66"/>
    <s v="EUR"/>
    <m/>
    <m/>
    <x v="8"/>
    <n v="-40"/>
    <x v="0"/>
    <x v="3"/>
    <n v="480"/>
    <n v="0.47583333333333333"/>
    <n v="228.4"/>
    <n v="-19.478163934426217"/>
    <n v="208.92183606557379"/>
    <x v="8"/>
    <n v="40"/>
    <m/>
    <n v="423642"/>
    <n v="38.767714285714284"/>
    <m/>
    <n v="9.6"/>
    <m/>
    <n v="48.367714285714285"/>
    <n v="160.55412177985949"/>
    <m/>
    <n v="480"/>
  </r>
  <r>
    <n v="2"/>
    <n v="2023"/>
    <s v="Auction"/>
    <s v="VROLIJK BLOEMEN"/>
    <s v="VROLIJK BLOEMEN"/>
    <x v="40"/>
    <s v="English Roses"/>
    <s v="90CM"/>
    <n v="1"/>
    <n v="12"/>
    <n v="240"/>
    <n v="0.15"/>
    <n v="36"/>
    <s v="EUR"/>
    <m/>
    <m/>
    <x v="8"/>
    <n v="240"/>
    <x v="1"/>
    <x v="3"/>
    <m/>
    <m/>
    <n v="0"/>
    <n v="0"/>
    <n v="0"/>
    <x v="8"/>
    <n v="-240"/>
    <m/>
    <n v="423642"/>
    <n v="38.767714285714284"/>
    <m/>
    <n v="0"/>
    <m/>
    <n v="38.767714285714284"/>
    <n v="-38.767714285714284"/>
    <m/>
    <n v="0"/>
  </r>
  <r>
    <n v="2"/>
    <n v="2023"/>
    <s v="Auction"/>
    <s v="VROLIJK BLOEMEN"/>
    <s v="VROLIJK BLOEMEN"/>
    <x v="40"/>
    <s v="English Roses"/>
    <s v="80CM"/>
    <n v="1"/>
    <n v="12"/>
    <n v="280"/>
    <n v="0.15"/>
    <n v="42"/>
    <s v="EUR"/>
    <m/>
    <m/>
    <x v="8"/>
    <n v="-200"/>
    <x v="1"/>
    <x v="2"/>
    <n v="480"/>
    <n v="0.44833333333333331"/>
    <n v="215.2"/>
    <n v="-19.478163934426217"/>
    <n v="195.72183606557377"/>
    <x v="8"/>
    <n v="200"/>
    <m/>
    <n v="423642"/>
    <n v="38.767714285714284"/>
    <m/>
    <n v="9.6"/>
    <m/>
    <n v="48.367714285714285"/>
    <n v="147.3541217798595"/>
    <m/>
    <n v="480"/>
  </r>
  <r>
    <n v="2"/>
    <n v="2023"/>
    <s v="Auction"/>
    <s v="VROLIJK BLOEMEN"/>
    <s v="VROLIJK BLOEMEN"/>
    <x v="40"/>
    <s v="English Roses"/>
    <s v="90CM"/>
    <n v="1"/>
    <n v="1"/>
    <n v="40"/>
    <n v="0.15"/>
    <n v="6"/>
    <s v="EUR"/>
    <m/>
    <m/>
    <x v="8"/>
    <n v="-240"/>
    <x v="1"/>
    <x v="3"/>
    <n v="280"/>
    <n v="0.56857142857142851"/>
    <n v="159.19999999999999"/>
    <n v="-11.36226229508196"/>
    <n v="147.83773770491803"/>
    <x v="8"/>
    <n v="240"/>
    <m/>
    <n v="423642"/>
    <n v="3.2306428571428571"/>
    <m/>
    <n v="5.6000000000000005"/>
    <m/>
    <n v="8.8306428571428572"/>
    <n v="139.00709484777516"/>
    <m/>
    <n v="280"/>
  </r>
  <r>
    <n v="2"/>
    <n v="2023"/>
    <s v="Auction"/>
    <s v="VROLIJK BLOEMEN"/>
    <s v="VROLIJK BLOEMEN"/>
    <x v="40"/>
    <s v="English Roses"/>
    <s v="60CM"/>
    <m/>
    <n v="11"/>
    <n v="440"/>
    <n v="0.15"/>
    <n v="66"/>
    <s v="EUR"/>
    <m/>
    <m/>
    <x v="8"/>
    <n v="0"/>
    <x v="1"/>
    <x v="0"/>
    <n v="440"/>
    <n v="0.35636363636363638"/>
    <n v="156.80000000000001"/>
    <n v="-17.854983606557365"/>
    <n v="138.94501639344264"/>
    <x v="8"/>
    <n v="0"/>
    <m/>
    <n v="423642"/>
    <n v="35.53707142857143"/>
    <m/>
    <n v="8.8000000000000007"/>
    <m/>
    <n v="44.337071428571434"/>
    <n v="94.607944964871209"/>
    <m/>
    <n v="440"/>
  </r>
  <r>
    <n v="2"/>
    <n v="2023"/>
    <s v="Auction"/>
    <s v="VROLIJK BLOEMEN"/>
    <s v="VROLIJK BLOEMEN"/>
    <x v="40"/>
    <s v="English Roses"/>
    <s v="100CM"/>
    <n v="1"/>
    <n v="7.1999999999999993"/>
    <n v="120"/>
    <n v="0.15"/>
    <n v="18"/>
    <s v="EUR"/>
    <m/>
    <m/>
    <x v="8"/>
    <n v="0"/>
    <x v="1"/>
    <x v="4"/>
    <n v="120"/>
    <n v="0.64"/>
    <n v="76.8"/>
    <n v="-4.8695409836065542"/>
    <n v="71.930459016393442"/>
    <x v="8"/>
    <n v="0"/>
    <m/>
    <n v="423642"/>
    <n v="23.260628571428565"/>
    <m/>
    <n v="2.4"/>
    <m/>
    <n v="25.660628571428564"/>
    <n v="46.269830444964882"/>
    <m/>
    <n v="120"/>
  </r>
  <r>
    <n v="2"/>
    <n v="2023"/>
    <s v="Auction"/>
    <s v="VROLIJK BLOEMEN"/>
    <s v="VROLIJK BLOEMEN"/>
    <x v="40"/>
    <s v="English Roses"/>
    <s v="110CM"/>
    <m/>
    <n v="4.8000000000000007"/>
    <n v="80"/>
    <n v="0.15"/>
    <n v="12"/>
    <s v="EUR"/>
    <m/>
    <m/>
    <x v="8"/>
    <n v="0"/>
    <x v="1"/>
    <x v="6"/>
    <n v="80"/>
    <n v="0.81500000000000006"/>
    <n v="65.2"/>
    <n v="-3.2463606557377029"/>
    <n v="61.953639344262299"/>
    <x v="8"/>
    <n v="0"/>
    <m/>
    <n v="423642"/>
    <n v="15.507085714285715"/>
    <m/>
    <n v="1.6"/>
    <m/>
    <n v="17.107085714285716"/>
    <n v="44.846553629976583"/>
    <m/>
    <n v="80"/>
  </r>
  <r>
    <n v="2"/>
    <n v="2023"/>
    <s v="Auction"/>
    <s v="VROLIJK BLOEMEN"/>
    <s v="VROLIJK BLOEMEN"/>
    <x v="40"/>
    <s v="English Roses"/>
    <s v="70CM"/>
    <n v="1"/>
    <n v="6"/>
    <n v="200"/>
    <n v="0.15"/>
    <n v="30"/>
    <s v="EUR"/>
    <m/>
    <m/>
    <x v="8"/>
    <n v="0"/>
    <x v="1"/>
    <x v="1"/>
    <n v="200"/>
    <n v="0.4"/>
    <n v="80"/>
    <n v="-8.1159016393442567"/>
    <n v="71.884098360655742"/>
    <x v="8"/>
    <n v="0"/>
    <m/>
    <n v="423642"/>
    <n v="19.383857142857142"/>
    <m/>
    <n v="4"/>
    <m/>
    <n v="23.383857142857142"/>
    <n v="48.500241217798603"/>
    <m/>
    <n v="200"/>
  </r>
  <r>
    <n v="2"/>
    <n v="2023"/>
    <s v="Auction"/>
    <s v="VROLIJK BLOEMEN"/>
    <s v="VROLIJK BLOEMEN"/>
    <x v="40"/>
    <s v="English Roses"/>
    <s v="80CM"/>
    <m/>
    <n v="6"/>
    <n v="200"/>
    <n v="0.15"/>
    <n v="30"/>
    <s v="EUR"/>
    <m/>
    <m/>
    <x v="8"/>
    <n v="200"/>
    <x v="1"/>
    <x v="2"/>
    <m/>
    <m/>
    <n v="0"/>
    <n v="0"/>
    <n v="0"/>
    <x v="8"/>
    <n v="-200"/>
    <m/>
    <n v="423642"/>
    <n v="19.383857142857142"/>
    <m/>
    <n v="0"/>
    <m/>
    <n v="19.383857142857142"/>
    <n v="-19.383857142857142"/>
    <m/>
    <n v="0"/>
  </r>
  <r>
    <n v="2"/>
    <n v="2023"/>
    <s v="Auction"/>
    <s v="VROLIJK BLOEMEN"/>
    <s v="VROLIJK BLOEMEN"/>
    <x v="40"/>
    <s v="Floribunda Roses"/>
    <s v="100CM"/>
    <n v="1"/>
    <n v="3"/>
    <n v="40"/>
    <n v="0.15"/>
    <n v="6"/>
    <s v="EUR"/>
    <m/>
    <m/>
    <x v="8"/>
    <n v="40"/>
    <x v="2"/>
    <x v="4"/>
    <m/>
    <m/>
    <n v="0"/>
    <n v="0"/>
    <n v="0"/>
    <x v="8"/>
    <n v="-40"/>
    <m/>
    <n v="423642"/>
    <n v="9.691928571428571"/>
    <m/>
    <n v="0"/>
    <m/>
    <n v="9.691928571428571"/>
    <n v="-9.691928571428571"/>
    <m/>
    <n v="0"/>
  </r>
  <r>
    <n v="2"/>
    <n v="2023"/>
    <s v="Auction"/>
    <s v="VROLIJK BLOEMEN"/>
    <s v="VROLIJK BLOEMEN"/>
    <x v="40"/>
    <s v="Floribunda Roses"/>
    <s v="110CM"/>
    <m/>
    <n v="9"/>
    <n v="120"/>
    <n v="0.15"/>
    <n v="18"/>
    <s v="EUR"/>
    <m/>
    <m/>
    <x v="8"/>
    <n v="120"/>
    <x v="2"/>
    <x v="6"/>
    <m/>
    <m/>
    <n v="0"/>
    <n v="0"/>
    <n v="0"/>
    <x v="8"/>
    <n v="-120"/>
    <m/>
    <n v="423642"/>
    <n v="29.075785714285711"/>
    <m/>
    <n v="0"/>
    <m/>
    <n v="29.075785714285711"/>
    <n v="-29.075785714285711"/>
    <m/>
    <n v="0"/>
  </r>
  <r>
    <n v="2"/>
    <n v="2023"/>
    <s v="Auction"/>
    <s v="VROLIJK BLOEMEN"/>
    <s v="VROLIJK BLOEMEN"/>
    <x v="40"/>
    <s v="Grandiflora Roses"/>
    <s v="90CM"/>
    <n v="1"/>
    <n v="10.5"/>
    <n v="280"/>
    <n v="0.15"/>
    <n v="42"/>
    <s v="EUR"/>
    <m/>
    <m/>
    <x v="8"/>
    <n v="280"/>
    <x v="0"/>
    <x v="3"/>
    <m/>
    <m/>
    <n v="0"/>
    <n v="0"/>
    <n v="0"/>
    <x v="8"/>
    <n v="-280"/>
    <m/>
    <n v="423642"/>
    <n v="33.921749999999996"/>
    <m/>
    <n v="0"/>
    <m/>
    <n v="33.921749999999996"/>
    <n v="-33.921749999999996"/>
    <m/>
    <n v="0"/>
  </r>
  <r>
    <n v="2"/>
    <n v="2023"/>
    <s v="Auction"/>
    <s v="VROLIJK BLOEMEN"/>
    <s v="VROLIJK BLOEMEN"/>
    <x v="40"/>
    <s v="Grandiflora Roses"/>
    <s v="80CM"/>
    <m/>
    <n v="1.5"/>
    <n v="40"/>
    <n v="0.15"/>
    <n v="6"/>
    <s v="EUR"/>
    <m/>
    <m/>
    <x v="8"/>
    <n v="40"/>
    <x v="0"/>
    <x v="2"/>
    <m/>
    <m/>
    <n v="0"/>
    <n v="0"/>
    <n v="0"/>
    <x v="8"/>
    <n v="-40"/>
    <m/>
    <n v="423642"/>
    <n v="4.8459642857142855"/>
    <m/>
    <n v="0"/>
    <m/>
    <n v="4.8459642857142855"/>
    <n v="-4.8459642857142855"/>
    <m/>
    <n v="0"/>
  </r>
  <r>
    <n v="2"/>
    <n v="2023"/>
    <s v="Auction"/>
    <s v="VROLIJK BLOEMEN"/>
    <s v="VROLIJK BLOEMEN"/>
    <x v="40"/>
    <s v="Grandiflora Roses"/>
    <s v="110CM"/>
    <n v="1"/>
    <n v="3.4285714285714284"/>
    <n v="80"/>
    <n v="0.15"/>
    <n v="12"/>
    <s v="EUR"/>
    <m/>
    <m/>
    <x v="8"/>
    <n v="0"/>
    <x v="0"/>
    <x v="6"/>
    <n v="80"/>
    <n v="0.61"/>
    <n v="48.8"/>
    <n v="-3.2463606557377029"/>
    <n v="45.553639344262294"/>
    <x v="8"/>
    <n v="0"/>
    <m/>
    <n v="423642"/>
    <n v="11.076489795918365"/>
    <m/>
    <n v="1.6"/>
    <m/>
    <n v="12.676489795918364"/>
    <n v="32.87714954834393"/>
    <m/>
    <n v="80"/>
  </r>
  <r>
    <n v="2"/>
    <n v="2023"/>
    <s v="Auction"/>
    <s v="VROLIJK BLOEMEN"/>
    <s v="VROLIJK BLOEMEN"/>
    <x v="40"/>
    <s v="Grandiflora Roses"/>
    <s v="100CM"/>
    <m/>
    <n v="8.5714285714285712"/>
    <n v="200"/>
    <n v="0.15"/>
    <n v="30"/>
    <s v="EUR"/>
    <m/>
    <m/>
    <x v="8"/>
    <n v="0"/>
    <x v="0"/>
    <x v="4"/>
    <n v="200"/>
    <n v="0.498"/>
    <n v="99.6"/>
    <n v="-8.1159016393442567"/>
    <n v="91.484098360655736"/>
    <x v="8"/>
    <n v="0"/>
    <m/>
    <n v="423642"/>
    <n v="27.691224489795914"/>
    <m/>
    <n v="4"/>
    <m/>
    <n v="31.691224489795914"/>
    <n v="59.792873870859822"/>
    <m/>
    <n v="200"/>
  </r>
  <r>
    <n v="1"/>
    <n v="2023"/>
    <s v="Auction"/>
    <s v="VROLIJK BLOEMEN"/>
    <s v="VROLIJK BLOEMEN"/>
    <x v="41"/>
    <s v="Floribunda Roses"/>
    <s v="70CM"/>
    <n v="7"/>
    <n v="84"/>
    <n v="2240"/>
    <n v="0.15"/>
    <n v="336"/>
    <s v="EUR"/>
    <m/>
    <m/>
    <x v="10"/>
    <n v="-80"/>
    <x v="2"/>
    <x v="1"/>
    <n v="2320"/>
    <n v="0.17327586206896553"/>
    <n v="402.00000000000006"/>
    <n v="-78.065441176470571"/>
    <n v="323.93455882352947"/>
    <x v="10"/>
    <n v="80"/>
    <m/>
    <n v="422299"/>
    <n v="280.6593548387097"/>
    <m/>
    <n v="46.4"/>
    <m/>
    <n v="327.05935483870968"/>
    <n v="-3.124796015180209"/>
    <m/>
    <n v="2320"/>
  </r>
  <r>
    <n v="1"/>
    <n v="2023"/>
    <s v="Auction"/>
    <s v="VROLIJK BLOEMEN"/>
    <s v="VROLIJK BLOEMEN"/>
    <x v="41"/>
    <s v="Floribunda Roses"/>
    <s v="80CM"/>
    <n v="4"/>
    <n v="48"/>
    <n v="1120"/>
    <n v="0.15"/>
    <n v="168"/>
    <s v="EUR"/>
    <m/>
    <m/>
    <x v="10"/>
    <n v="-80"/>
    <x v="2"/>
    <x v="2"/>
    <n v="1200"/>
    <n v="0.46033333333333332"/>
    <n v="552.4"/>
    <n v="-40.378676470588225"/>
    <n v="512.0213235294118"/>
    <x v="10"/>
    <n v="80"/>
    <m/>
    <n v="422299"/>
    <n v="160.37677419354839"/>
    <m/>
    <n v="24"/>
    <m/>
    <n v="184.37677419354839"/>
    <n v="327.64454933586342"/>
    <m/>
    <n v="1200"/>
  </r>
  <r>
    <n v="1"/>
    <n v="2023"/>
    <s v="Auction"/>
    <s v="VROLIJK BLOEMEN"/>
    <s v="VROLIJK BLOEMEN"/>
    <x v="41"/>
    <s v="Floribunda Roses"/>
    <s v="90CM"/>
    <n v="3"/>
    <n v="36"/>
    <n v="720"/>
    <n v="0.15"/>
    <n v="108"/>
    <s v="EUR"/>
    <m/>
    <m/>
    <x v="10"/>
    <n v="0"/>
    <x v="2"/>
    <x v="3"/>
    <n v="720"/>
    <n v="0.31666666666666665"/>
    <n v="228"/>
    <n v="-24.227205882352937"/>
    <n v="203.77279411764707"/>
    <x v="10"/>
    <n v="0"/>
    <m/>
    <n v="422299"/>
    <n v="120.28258064516129"/>
    <m/>
    <n v="14.4"/>
    <m/>
    <n v="134.68258064516129"/>
    <n v="69.090213472485772"/>
    <m/>
    <n v="720"/>
  </r>
  <r>
    <n v="1"/>
    <n v="2023"/>
    <s v="Auction"/>
    <s v="VROLIJK BLOEMEN"/>
    <s v="VROLIJK BLOEMEN"/>
    <x v="41"/>
    <s v="Floribunda Roses"/>
    <s v="110CM"/>
    <n v="1"/>
    <n v="12"/>
    <n v="160"/>
    <n v="0.15"/>
    <n v="24"/>
    <s v="EUR"/>
    <m/>
    <m/>
    <x v="10"/>
    <n v="-40"/>
    <x v="2"/>
    <x v="6"/>
    <n v="200"/>
    <n v="0.51400000000000001"/>
    <n v="102.8"/>
    <n v="-6.7297794117647047"/>
    <n v="96.070220588235287"/>
    <x v="10"/>
    <n v="40"/>
    <m/>
    <n v="422299"/>
    <n v="40.094193548387096"/>
    <m/>
    <n v="4"/>
    <m/>
    <n v="44.094193548387096"/>
    <n v="51.976027039848191"/>
    <m/>
    <n v="200"/>
  </r>
  <r>
    <n v="1"/>
    <n v="2023"/>
    <s v="Auction"/>
    <s v="VROLIJK BLOEMEN"/>
    <s v="VROLIJK BLOEMEN"/>
    <x v="41"/>
    <s v="Grandiflora Roses"/>
    <s v="60CM"/>
    <n v="2"/>
    <n v="24"/>
    <n v="1440"/>
    <n v="0.15"/>
    <n v="216"/>
    <s v="EUR"/>
    <m/>
    <m/>
    <x v="10"/>
    <n v="-280"/>
    <x v="0"/>
    <x v="0"/>
    <n v="1720"/>
    <n v="0.11790697674418606"/>
    <n v="202.8"/>
    <n v="-57.876102941176462"/>
    <n v="144.92389705882354"/>
    <x v="10"/>
    <n v="280"/>
    <m/>
    <n v="422299"/>
    <n v="80.188387096774193"/>
    <m/>
    <n v="34.4"/>
    <m/>
    <n v="114.5883870967742"/>
    <n v="30.335509962049343"/>
    <m/>
    <n v="1720"/>
  </r>
  <r>
    <n v="1"/>
    <n v="2023"/>
    <s v="Auction"/>
    <s v="VROLIJK BLOEMEN"/>
    <s v="VROLIJK BLOEMEN"/>
    <x v="41"/>
    <s v="Grandiflora Roses"/>
    <s v="70CM"/>
    <n v="4"/>
    <n v="48"/>
    <n v="2080"/>
    <n v="0.15"/>
    <n v="312"/>
    <s v="EUR"/>
    <m/>
    <m/>
    <x v="10"/>
    <n v="560"/>
    <x v="0"/>
    <x v="1"/>
    <n v="1520"/>
    <n v="0.1857894736842105"/>
    <n v="282.39999999999998"/>
    <n v="-51.146323529411752"/>
    <n v="231.25367647058823"/>
    <x v="10"/>
    <n v="-560"/>
    <m/>
    <n v="422299"/>
    <n v="160.37677419354839"/>
    <m/>
    <n v="30.400000000000002"/>
    <m/>
    <n v="190.77677419354839"/>
    <n v="40.476902277039841"/>
    <m/>
    <n v="1520"/>
  </r>
  <r>
    <n v="1"/>
    <n v="2023"/>
    <s v="Auction"/>
    <s v="VROLIJK BLOEMEN"/>
    <s v="VROLIJK BLOEMEN"/>
    <x v="41"/>
    <s v="Grandiflora Roses"/>
    <s v="80CM"/>
    <n v="2"/>
    <n v="24"/>
    <n v="800"/>
    <n v="0.15"/>
    <n v="120"/>
    <s v="EUR"/>
    <m/>
    <m/>
    <x v="10"/>
    <n v="-360"/>
    <x v="0"/>
    <x v="2"/>
    <n v="1160"/>
    <n v="0.25379310344827583"/>
    <n v="294.39999999999998"/>
    <n v="-39.032720588235286"/>
    <n v="255.36727941176468"/>
    <x v="10"/>
    <n v="360"/>
    <m/>
    <n v="422299"/>
    <n v="80.188387096774193"/>
    <m/>
    <n v="23.2"/>
    <m/>
    <n v="103.3883870967742"/>
    <n v="151.9788923149905"/>
    <m/>
    <n v="1160"/>
  </r>
  <r>
    <n v="1"/>
    <n v="2023"/>
    <s v="Auction"/>
    <s v="VROLIJK BLOEMEN"/>
    <s v="VROLIJK BLOEMEN"/>
    <x v="41"/>
    <s v="Grandiflora Roses"/>
    <s v="80CM"/>
    <n v="1"/>
    <n v="12"/>
    <n v="360"/>
    <n v="0.15"/>
    <n v="54"/>
    <s v="EUR"/>
    <m/>
    <m/>
    <x v="10"/>
    <n v="360"/>
    <x v="0"/>
    <x v="2"/>
    <m/>
    <m/>
    <n v="0"/>
    <n v="0"/>
    <n v="0"/>
    <x v="10"/>
    <n v="-360"/>
    <m/>
    <n v="422299"/>
    <n v="40.094193548387096"/>
    <m/>
    <n v="0"/>
    <m/>
    <n v="40.094193548387096"/>
    <n v="-40.094193548387096"/>
    <m/>
    <n v="0"/>
  </r>
  <r>
    <n v="1"/>
    <n v="2023"/>
    <s v="Auction"/>
    <s v="VROLIJK BLOEMEN"/>
    <s v="VROLIJK BLOEMEN"/>
    <x v="41"/>
    <s v="Grandiflora Roses"/>
    <s v="90CM"/>
    <n v="1"/>
    <n v="12"/>
    <n v="360"/>
    <n v="0.15"/>
    <n v="54"/>
    <s v="EUR"/>
    <m/>
    <m/>
    <x v="10"/>
    <n v="-240"/>
    <x v="0"/>
    <x v="3"/>
    <n v="600"/>
    <n v="0.29933333333333334"/>
    <n v="179.6"/>
    <n v="-20.189338235294112"/>
    <n v="159.41066176470588"/>
    <x v="10"/>
    <n v="240"/>
    <m/>
    <n v="422299"/>
    <n v="40.094193548387096"/>
    <m/>
    <n v="12"/>
    <m/>
    <n v="52.094193548387096"/>
    <n v="107.31646821631878"/>
    <m/>
    <n v="600"/>
  </r>
  <r>
    <n v="1"/>
    <n v="2023"/>
    <s v="Auction"/>
    <s v="VROLIJK BLOEMEN"/>
    <s v="VROLIJK BLOEMEN"/>
    <x v="41"/>
    <s v="English Roses"/>
    <s v="70CM"/>
    <n v="1"/>
    <n v="12"/>
    <n v="320"/>
    <n v="0.15"/>
    <n v="48"/>
    <s v="EUR"/>
    <m/>
    <m/>
    <x v="10"/>
    <n v="-120"/>
    <x v="1"/>
    <x v="1"/>
    <n v="440"/>
    <n v="0.37272727272727274"/>
    <n v="164"/>
    <n v="-14.80551470588235"/>
    <n v="149.19448529411764"/>
    <x v="10"/>
    <n v="120"/>
    <m/>
    <n v="422299"/>
    <n v="40.094193548387096"/>
    <m/>
    <n v="8.8000000000000007"/>
    <m/>
    <n v="48.894193548387094"/>
    <n v="100.30029174573055"/>
    <m/>
    <n v="440"/>
  </r>
  <r>
    <n v="1"/>
    <n v="2023"/>
    <s v="Auction"/>
    <s v="VROLIJK BLOEMEN"/>
    <s v="VROLIJK BLOEMEN"/>
    <x v="41"/>
    <s v="English Roses"/>
    <s v="80CM"/>
    <n v="1"/>
    <n v="12"/>
    <n v="280"/>
    <n v="0.15"/>
    <n v="42"/>
    <s v="EUR"/>
    <m/>
    <m/>
    <x v="10"/>
    <n v="-40"/>
    <x v="1"/>
    <x v="2"/>
    <n v="320"/>
    <n v="0.61124999999999996"/>
    <n v="195.6"/>
    <n v="-10.767647058823528"/>
    <n v="184.83235294117645"/>
    <x v="10"/>
    <n v="40"/>
    <m/>
    <n v="422299"/>
    <n v="40.094193548387096"/>
    <m/>
    <n v="6.4"/>
    <m/>
    <n v="46.494193548387095"/>
    <n v="138.33815939278935"/>
    <m/>
    <n v="320"/>
  </r>
  <r>
    <n v="1"/>
    <n v="2023"/>
    <s v="Auction"/>
    <s v="VROLIJK BLOEMEN"/>
    <s v="VROLIJK BLOEMEN"/>
    <x v="41"/>
    <s v="Grandiflora Roses"/>
    <s v="100CM"/>
    <n v="1"/>
    <n v="6"/>
    <n v="200"/>
    <n v="0.15"/>
    <n v="30"/>
    <s v="EUR"/>
    <m/>
    <m/>
    <x v="10"/>
    <n v="200"/>
    <x v="0"/>
    <x v="4"/>
    <m/>
    <m/>
    <n v="0"/>
    <n v="0"/>
    <n v="0"/>
    <x v="10"/>
    <n v="-200"/>
    <m/>
    <n v="422299"/>
    <n v="20.047096774193548"/>
    <m/>
    <n v="0"/>
    <m/>
    <n v="20.047096774193548"/>
    <n v="-20.047096774193548"/>
    <m/>
    <n v="0"/>
  </r>
  <r>
    <n v="1"/>
    <n v="2023"/>
    <s v="Auction"/>
    <s v="VROLIJK BLOEMEN"/>
    <s v="VROLIJK BLOEMEN"/>
    <x v="41"/>
    <s v="Moss Roses"/>
    <s v="70CM"/>
    <m/>
    <n v="6"/>
    <n v="200"/>
    <n v="0.15"/>
    <n v="30"/>
    <s v="EUR"/>
    <m/>
    <m/>
    <x v="10"/>
    <n v="0"/>
    <x v="4"/>
    <x v="1"/>
    <n v="200"/>
    <n v="0.23399999999999999"/>
    <n v="46.8"/>
    <n v="-6.7297794117647047"/>
    <n v="40.070220588235294"/>
    <x v="10"/>
    <n v="0"/>
    <m/>
    <n v="422299"/>
    <n v="20.047096774193548"/>
    <m/>
    <n v="4"/>
    <m/>
    <n v="24.047096774193548"/>
    <n v="16.023123814041746"/>
    <m/>
    <n v="200"/>
  </r>
  <r>
    <n v="1"/>
    <n v="2023"/>
    <s v="Auction"/>
    <s v="VROLIJK BLOEMEN"/>
    <s v="VROLIJK BLOEMEN"/>
    <x v="41"/>
    <s v="English Roses"/>
    <s v="100CM"/>
    <n v="1"/>
    <n v="9.6000000000000014"/>
    <n v="160"/>
    <n v="0.15"/>
    <n v="24"/>
    <s v="EUR"/>
    <m/>
    <m/>
    <x v="10"/>
    <n v="40"/>
    <x v="1"/>
    <x v="4"/>
    <n v="120"/>
    <n v="1.05"/>
    <n v="126"/>
    <n v="-4.037867647058822"/>
    <n v="121.96213235294118"/>
    <x v="10"/>
    <n v="-40"/>
    <m/>
    <n v="422299"/>
    <n v="32.075354838709686"/>
    <m/>
    <n v="2.4"/>
    <m/>
    <n v="34.475354838709684"/>
    <n v="87.486777514231505"/>
    <m/>
    <n v="120"/>
  </r>
  <r>
    <n v="1"/>
    <n v="2023"/>
    <s v="Auction"/>
    <s v="VROLIJK BLOEMEN"/>
    <s v="VROLIJK BLOEMEN"/>
    <x v="41"/>
    <s v="English Roses"/>
    <s v="110CM"/>
    <m/>
    <n v="2.4000000000000004"/>
    <n v="40"/>
    <n v="0.15"/>
    <n v="6"/>
    <s v="EUR"/>
    <m/>
    <m/>
    <x v="10"/>
    <n v="0"/>
    <x v="1"/>
    <x v="6"/>
    <n v="40"/>
    <n v="0.99"/>
    <n v="39.6"/>
    <n v="-1.3459558823529409"/>
    <n v="38.254044117647062"/>
    <x v="10"/>
    <n v="0"/>
    <m/>
    <n v="422299"/>
    <n v="8.0188387096774214"/>
    <m/>
    <n v="0.8"/>
    <m/>
    <n v="8.8188387096774221"/>
    <n v="29.43520540796964"/>
    <m/>
    <n v="40"/>
  </r>
  <r>
    <n v="1"/>
    <n v="2023"/>
    <s v="Auction"/>
    <s v="VROLIJK BLOEMEN"/>
    <s v="VROLIJK BLOEMEN"/>
    <x v="41"/>
    <s v="Floribunda Roses"/>
    <s v="80CM"/>
    <n v="1"/>
    <n v="2"/>
    <n v="40"/>
    <n v="0.15"/>
    <n v="6"/>
    <s v="EUR"/>
    <m/>
    <m/>
    <x v="10"/>
    <n v="40"/>
    <x v="2"/>
    <x v="2"/>
    <m/>
    <m/>
    <n v="0"/>
    <n v="0"/>
    <n v="0"/>
    <x v="10"/>
    <n v="-40"/>
    <m/>
    <n v="422299"/>
    <n v="6.6823655913978506"/>
    <m/>
    <n v="0"/>
    <m/>
    <n v="6.6823655913978506"/>
    <n v="-6.6823655913978506"/>
    <m/>
    <n v="0"/>
  </r>
  <r>
    <n v="1"/>
    <n v="2023"/>
    <s v="Auction"/>
    <s v="VROLIJK BLOEMEN"/>
    <s v="VROLIJK BLOEMEN"/>
    <x v="41"/>
    <s v="Floribunda Roses"/>
    <s v="70CM"/>
    <m/>
    <n v="6"/>
    <n v="120"/>
    <n v="0.15"/>
    <n v="18"/>
    <s v="EUR"/>
    <m/>
    <m/>
    <x v="10"/>
    <n v="120"/>
    <x v="2"/>
    <x v="1"/>
    <m/>
    <m/>
    <n v="0"/>
    <n v="0"/>
    <n v="0"/>
    <x v="10"/>
    <n v="-120"/>
    <m/>
    <n v="422299"/>
    <n v="20.047096774193548"/>
    <m/>
    <n v="0"/>
    <m/>
    <n v="20.047096774193548"/>
    <n v="-20.047096774193548"/>
    <m/>
    <n v="0"/>
  </r>
  <r>
    <n v="1"/>
    <n v="2023"/>
    <s v="Auction"/>
    <s v="VROLIJK BLOEMEN"/>
    <s v="VROLIJK BLOEMEN"/>
    <x v="41"/>
    <s v="Floribunda Roses"/>
    <s v="100CM"/>
    <m/>
    <n v="2"/>
    <n v="40"/>
    <n v="0.15"/>
    <n v="6"/>
    <s v="EUR"/>
    <m/>
    <m/>
    <x v="10"/>
    <n v="0"/>
    <x v="2"/>
    <x v="4"/>
    <n v="40"/>
    <n v="0.45999999999999996"/>
    <n v="18.399999999999999"/>
    <n v="-1.3459558823529409"/>
    <n v="17.054044117647059"/>
    <x v="10"/>
    <n v="0"/>
    <m/>
    <n v="422299"/>
    <n v="6.6823655913978506"/>
    <m/>
    <n v="0.8"/>
    <m/>
    <n v="7.4823655913978504"/>
    <n v="9.5716785262492081"/>
    <m/>
    <n v="40"/>
  </r>
  <r>
    <n v="1"/>
    <n v="2023"/>
    <s v="Auction"/>
    <s v="VROLIJK BLOEMEN"/>
    <s v="VROLIJK BLOEMEN"/>
    <x v="41"/>
    <s v="Floribunda Roses"/>
    <s v="110CM"/>
    <m/>
    <n v="2"/>
    <n v="40"/>
    <n v="0.15"/>
    <n v="6"/>
    <s v="EUR"/>
    <m/>
    <m/>
    <x v="10"/>
    <n v="40"/>
    <x v="2"/>
    <x v="6"/>
    <m/>
    <m/>
    <n v="0"/>
    <n v="0"/>
    <n v="0"/>
    <x v="10"/>
    <n v="-40"/>
    <m/>
    <n v="422299"/>
    <n v="6.6823655913978506"/>
    <m/>
    <n v="0"/>
    <m/>
    <n v="6.6823655913978506"/>
    <n v="-6.6823655913978506"/>
    <m/>
    <n v="0"/>
  </r>
  <r>
    <n v="1"/>
    <n v="2023"/>
    <s v="Auction"/>
    <s v="VROLIJK BLOEMEN"/>
    <s v="VROLIJK BLOEMEN"/>
    <x v="41"/>
    <s v="English Roses"/>
    <s v="90CM"/>
    <n v="1"/>
    <n v="4"/>
    <n v="80"/>
    <n v="0.15"/>
    <n v="12"/>
    <s v="EUR"/>
    <m/>
    <m/>
    <x v="10"/>
    <n v="0"/>
    <x v="1"/>
    <x v="3"/>
    <n v="80"/>
    <n v="1.01"/>
    <n v="80.8"/>
    <n v="-2.6919117647058819"/>
    <n v="78.108088235294119"/>
    <x v="10"/>
    <n v="0"/>
    <m/>
    <n v="422299"/>
    <n v="13.364731182795701"/>
    <m/>
    <n v="1.6"/>
    <m/>
    <n v="14.964731182795701"/>
    <n v="63.143357052498416"/>
    <m/>
    <n v="80"/>
  </r>
  <r>
    <n v="1"/>
    <n v="2023"/>
    <s v="Auction"/>
    <s v="VROLIJK BLOEMEN"/>
    <s v="VROLIJK BLOEMEN"/>
    <x v="41"/>
    <s v="English Roses"/>
    <s v="70CM"/>
    <m/>
    <n v="6"/>
    <n v="120"/>
    <n v="0.15"/>
    <n v="18"/>
    <s v="EUR"/>
    <m/>
    <m/>
    <x v="10"/>
    <n v="120"/>
    <x v="1"/>
    <x v="1"/>
    <m/>
    <m/>
    <n v="0"/>
    <n v="0"/>
    <n v="0"/>
    <x v="10"/>
    <n v="-120"/>
    <m/>
    <n v="422299"/>
    <n v="20.047096774193548"/>
    <m/>
    <n v="0"/>
    <m/>
    <n v="20.047096774193548"/>
    <n v="-20.047096774193548"/>
    <m/>
    <n v="0"/>
  </r>
  <r>
    <n v="1"/>
    <n v="2023"/>
    <s v="Auction"/>
    <s v="VROLIJK BLOEMEN"/>
    <s v="VROLIJK BLOEMEN"/>
    <x v="41"/>
    <s v="English Roses"/>
    <s v="80CM"/>
    <m/>
    <n v="2"/>
    <n v="40"/>
    <n v="0.15"/>
    <n v="6"/>
    <s v="EUR"/>
    <m/>
    <m/>
    <x v="10"/>
    <n v="40"/>
    <x v="1"/>
    <x v="2"/>
    <m/>
    <m/>
    <n v="0"/>
    <n v="0"/>
    <n v="0"/>
    <x v="10"/>
    <n v="-40"/>
    <m/>
    <n v="422299"/>
    <n v="6.6823655913978506"/>
    <m/>
    <n v="0"/>
    <m/>
    <n v="6.6823655913978506"/>
    <n v="-6.6823655913978506"/>
    <m/>
    <n v="0"/>
  </r>
  <r>
    <m/>
    <m/>
    <m/>
    <m/>
    <m/>
    <x v="9"/>
    <s v="Grandiflora Roses"/>
    <s v="100CM"/>
    <m/>
    <m/>
    <m/>
    <m/>
    <m/>
    <m/>
    <m/>
    <m/>
    <x v="10"/>
    <n v="-200"/>
    <x v="0"/>
    <x v="4"/>
    <n v="200"/>
    <n v="0.37799999999999995"/>
    <n v="75.599999999999994"/>
    <n v="-6.7297794117647047"/>
    <n v="68.870220588235284"/>
    <x v="10"/>
    <n v="200"/>
    <m/>
    <n v="422299"/>
    <n v="0"/>
    <m/>
    <n v="4"/>
    <m/>
    <n v="4"/>
    <n v="64.870220588235284"/>
    <m/>
    <n v="200"/>
  </r>
  <r>
    <n v="1"/>
    <n v="2023"/>
    <s v="Auction"/>
    <s v="VROLIJK BLOEMEN"/>
    <s v="VROLIJK BLOEMEN"/>
    <x v="42"/>
    <s v="Floribunda Roses"/>
    <s v="70CM"/>
    <n v="10"/>
    <n v="120"/>
    <n v="3200"/>
    <n v="0.15"/>
    <n v="480"/>
    <s v="EUR"/>
    <m/>
    <m/>
    <x v="10"/>
    <n v="640"/>
    <x v="2"/>
    <x v="1"/>
    <n v="2560"/>
    <n v="0.265625"/>
    <n v="680"/>
    <n v="-100.07993803253288"/>
    <n v="579.92006196746706"/>
    <x v="10"/>
    <n v="-640"/>
    <m/>
    <s v="F077271"/>
    <n v="355.98813559322031"/>
    <m/>
    <n v="51.2"/>
    <m/>
    <n v="407.1881355932203"/>
    <n v="172.73192637424677"/>
    <m/>
    <n v="2560"/>
  </r>
  <r>
    <n v="1"/>
    <n v="2023"/>
    <s v="Auction"/>
    <s v="VROLIJK BLOEMEN"/>
    <s v="VROLIJK BLOEMEN"/>
    <x v="42"/>
    <s v="Floribunda Roses"/>
    <s v="80CM"/>
    <n v="5"/>
    <n v="60"/>
    <n v="1400"/>
    <n v="0.15"/>
    <n v="210"/>
    <s v="EUR"/>
    <m/>
    <m/>
    <x v="10"/>
    <n v="-120"/>
    <x v="2"/>
    <x v="2"/>
    <n v="1520"/>
    <n v="0.44552631578947371"/>
    <n v="677.2"/>
    <n v="-69.794307692307683"/>
    <n v="607.40569230769233"/>
    <x v="10"/>
    <n v="120"/>
    <m/>
    <s v="F077271"/>
    <n v="177.99406779661015"/>
    <m/>
    <n v="30.400000000000002"/>
    <m/>
    <n v="208.39406779661016"/>
    <n v="399.01162451108218"/>
    <m/>
    <n v="1520"/>
  </r>
  <r>
    <n v="1"/>
    <n v="2023"/>
    <s v="Auction"/>
    <s v="VROLIJK BLOEMEN"/>
    <s v="VROLIJK BLOEMEN"/>
    <x v="42"/>
    <s v="Floribunda Roses"/>
    <s v="90CM"/>
    <n v="5"/>
    <n v="60"/>
    <n v="1200"/>
    <n v="0.15"/>
    <n v="180"/>
    <s v="EUR"/>
    <m/>
    <m/>
    <x v="10"/>
    <n v="0"/>
    <x v="2"/>
    <x v="3"/>
    <n v="1200"/>
    <n v="0.39866666666666667"/>
    <n v="478.4"/>
    <n v="-46.912470952749786"/>
    <n v="431.48752904725018"/>
    <x v="10"/>
    <n v="0"/>
    <m/>
    <s v="F077271"/>
    <n v="177.99406779661015"/>
    <m/>
    <n v="24"/>
    <m/>
    <n v="201.99406779661015"/>
    <n v="229.49346125064002"/>
    <m/>
    <n v="1200"/>
  </r>
  <r>
    <n v="1"/>
    <n v="2023"/>
    <s v="Auction"/>
    <s v="VROLIJK BLOEMEN"/>
    <s v="VROLIJK BLOEMEN"/>
    <x v="42"/>
    <s v="Floribunda Roses"/>
    <s v="100CM"/>
    <n v="5"/>
    <n v="60"/>
    <n v="1000"/>
    <n v="0.15"/>
    <n v="150"/>
    <s v="EUR"/>
    <m/>
    <m/>
    <x v="10"/>
    <n v="0"/>
    <x v="2"/>
    <x v="4"/>
    <n v="1000"/>
    <n v="0.49439999999999995"/>
    <n v="494.4"/>
    <n v="-45.917307692307688"/>
    <n v="448.48269230769228"/>
    <x v="10"/>
    <n v="0"/>
    <m/>
    <s v="F077271"/>
    <n v="177.99406779661015"/>
    <m/>
    <n v="20"/>
    <m/>
    <n v="197.99406779661015"/>
    <n v="250.48862451108212"/>
    <m/>
    <n v="1000"/>
  </r>
  <r>
    <n v="1"/>
    <n v="2023"/>
    <s v="Auction"/>
    <s v="VROLIJK BLOEMEN"/>
    <s v="VROLIJK BLOEMEN"/>
    <x v="42"/>
    <s v="Floribunda Roses"/>
    <s v="110CM"/>
    <n v="4"/>
    <n v="48"/>
    <n v="640"/>
    <n v="0.15"/>
    <n v="96"/>
    <s v="EUR"/>
    <m/>
    <m/>
    <x v="10"/>
    <n v="0"/>
    <x v="2"/>
    <x v="6"/>
    <n v="640"/>
    <n v="0.70499999999999996"/>
    <n v="451.2"/>
    <n v="-25.01998450813322"/>
    <n v="426.18001549186675"/>
    <x v="10"/>
    <n v="0"/>
    <m/>
    <s v="F077271"/>
    <n v="142.39525423728813"/>
    <m/>
    <n v="12.8"/>
    <m/>
    <n v="155.19525423728814"/>
    <n v="270.98476125457864"/>
    <m/>
    <n v="640"/>
  </r>
  <r>
    <n v="1"/>
    <n v="2023"/>
    <s v="Auction"/>
    <s v="VROLIJK BLOEMEN"/>
    <s v="VROLIJK BLOEMEN"/>
    <x v="42"/>
    <s v="Grandiflora Roses"/>
    <s v="60CM"/>
    <n v="1"/>
    <n v="12"/>
    <n v="800"/>
    <n v="0.15"/>
    <n v="120"/>
    <s v="EUR"/>
    <m/>
    <m/>
    <x v="10"/>
    <n v="-760"/>
    <x v="0"/>
    <x v="0"/>
    <n v="1560"/>
    <n v="0.15871794871794873"/>
    <n v="247.60000000000002"/>
    <n v="-60.98621223857473"/>
    <n v="186.6137877614253"/>
    <x v="10"/>
    <n v="760"/>
    <m/>
    <s v="F077271"/>
    <n v="35.598813559322032"/>
    <m/>
    <n v="31.2"/>
    <m/>
    <n v="66.798813559322028"/>
    <n v="119.81497420210327"/>
    <m/>
    <n v="1560"/>
  </r>
  <r>
    <n v="1"/>
    <n v="2023"/>
    <s v="Auction"/>
    <s v="VROLIJK BLOEMEN"/>
    <s v="VROLIJK BLOEMEN"/>
    <x v="42"/>
    <s v="Grandiflora Roses"/>
    <s v="60CM"/>
    <n v="1"/>
    <n v="12"/>
    <n v="760"/>
    <n v="0.15"/>
    <n v="114"/>
    <s v="EUR"/>
    <m/>
    <m/>
    <x v="10"/>
    <n v="760"/>
    <x v="0"/>
    <x v="0"/>
    <m/>
    <m/>
    <n v="0"/>
    <n v="0"/>
    <n v="0"/>
    <x v="10"/>
    <n v="-760"/>
    <m/>
    <s v="F077271"/>
    <n v="35.598813559322032"/>
    <m/>
    <n v="0"/>
    <m/>
    <n v="35.598813559322032"/>
    <n v="-35.598813559322032"/>
    <m/>
    <n v="0"/>
  </r>
  <r>
    <n v="1"/>
    <n v="2023"/>
    <s v="Auction"/>
    <s v="VROLIJK BLOEMEN"/>
    <s v="VROLIJK BLOEMEN"/>
    <x v="42"/>
    <s v="Grandiflora Roses"/>
    <s v="70CM"/>
    <n v="3"/>
    <n v="36"/>
    <n v="1560"/>
    <n v="0.15"/>
    <n v="234"/>
    <s v="EUR"/>
    <m/>
    <m/>
    <x v="10"/>
    <n v="-40"/>
    <x v="0"/>
    <x v="1"/>
    <n v="1600"/>
    <n v="0.37975000000000003"/>
    <n v="607.6"/>
    <n v="-73.467692307692303"/>
    <n v="534.13230769230768"/>
    <x v="10"/>
    <n v="40"/>
    <m/>
    <s v="F077271"/>
    <n v="106.7964406779661"/>
    <m/>
    <n v="32"/>
    <m/>
    <n v="138.7964406779661"/>
    <n v="395.3358670143416"/>
    <m/>
    <n v="1600"/>
  </r>
  <r>
    <n v="1"/>
    <n v="2023"/>
    <s v="Auction"/>
    <s v="VROLIJK BLOEMEN"/>
    <s v="VROLIJK BLOEMEN"/>
    <x v="42"/>
    <s v="Grandiflora Roses"/>
    <s v="80CM"/>
    <n v="2"/>
    <n v="24"/>
    <n v="960"/>
    <n v="0.15"/>
    <n v="144"/>
    <s v="EUR"/>
    <m/>
    <m/>
    <x v="10"/>
    <n v="-320"/>
    <x v="0"/>
    <x v="2"/>
    <n v="1280"/>
    <n v="0.25437500000000002"/>
    <n v="325.60000000000002"/>
    <n v="-50.03996901626644"/>
    <n v="275.56003098373355"/>
    <x v="10"/>
    <n v="320"/>
    <m/>
    <s v="F077271"/>
    <n v="71.197627118644064"/>
    <m/>
    <n v="25.6"/>
    <m/>
    <n v="96.797627118644073"/>
    <n v="178.76240386508948"/>
    <m/>
    <n v="1280"/>
  </r>
  <r>
    <n v="1"/>
    <n v="2023"/>
    <s v="Auction"/>
    <s v="VROLIJK BLOEMEN"/>
    <s v="VROLIJK BLOEMEN"/>
    <x v="42"/>
    <s v="Grandiflora Roses"/>
    <s v="90CM"/>
    <n v="1"/>
    <n v="12"/>
    <n v="360"/>
    <n v="0.15"/>
    <n v="54"/>
    <s v="EUR"/>
    <m/>
    <m/>
    <x v="10"/>
    <n v="360"/>
    <x v="0"/>
    <x v="3"/>
    <m/>
    <m/>
    <n v="0"/>
    <n v="0"/>
    <n v="0"/>
    <x v="10"/>
    <n v="-360"/>
    <m/>
    <s v="F077271"/>
    <n v="35.598813559322032"/>
    <m/>
    <n v="0"/>
    <m/>
    <n v="35.598813559322032"/>
    <n v="-35.598813559322032"/>
    <m/>
    <n v="0"/>
  </r>
  <r>
    <n v="1"/>
    <n v="2023"/>
    <s v="Auction"/>
    <s v="VROLIJK BLOEMEN"/>
    <s v="VROLIJK BLOEMEN"/>
    <x v="42"/>
    <s v="Grandiflora Roses"/>
    <s v="90CM"/>
    <n v="1"/>
    <n v="12"/>
    <n v="400"/>
    <n v="0.15"/>
    <n v="60"/>
    <s v="EUR"/>
    <m/>
    <m/>
    <x v="10"/>
    <n v="-320"/>
    <x v="0"/>
    <x v="3"/>
    <n v="720"/>
    <n v="0.41555555555555557"/>
    <n v="299.2"/>
    <n v="-28.147482571649874"/>
    <n v="271.05251742835014"/>
    <x v="10"/>
    <n v="320"/>
    <m/>
    <s v="F077271"/>
    <n v="35.598813559322032"/>
    <m/>
    <n v="14.4"/>
    <m/>
    <n v="49.998813559322031"/>
    <n v="221.05370386902811"/>
    <m/>
    <n v="720"/>
  </r>
  <r>
    <n v="1"/>
    <n v="2023"/>
    <s v="Auction"/>
    <s v="VROLIJK BLOEMEN"/>
    <s v="VROLIJK BLOEMEN"/>
    <x v="42"/>
    <s v="Grandiflora Roses"/>
    <s v="100CM"/>
    <n v="1"/>
    <n v="12"/>
    <n v="320"/>
    <n v="0.15"/>
    <n v="48"/>
    <s v="EUR"/>
    <m/>
    <m/>
    <x v="10"/>
    <n v="0"/>
    <x v="0"/>
    <x v="4"/>
    <n v="320"/>
    <n v="0.55499999999999994"/>
    <n v="177.59999999999997"/>
    <n v="-12.50999225406661"/>
    <n v="165.09000774593335"/>
    <x v="10"/>
    <n v="0"/>
    <m/>
    <s v="F077271"/>
    <n v="35.598813559322032"/>
    <m/>
    <n v="6.4"/>
    <m/>
    <n v="41.998813559322031"/>
    <n v="123.09119418661132"/>
    <m/>
    <n v="320"/>
  </r>
  <r>
    <n v="1"/>
    <n v="2023"/>
    <s v="Auction"/>
    <s v="VROLIJK BLOEMEN"/>
    <s v="VROLIJK BLOEMEN"/>
    <x v="42"/>
    <s v="Grandiflora Roses"/>
    <s v="110CM"/>
    <n v="1"/>
    <n v="12"/>
    <n v="280"/>
    <n v="0.15"/>
    <n v="42"/>
    <s v="EUR"/>
    <m/>
    <m/>
    <x v="10"/>
    <n v="-40"/>
    <x v="0"/>
    <x v="6"/>
    <n v="320"/>
    <n v="0.63749999999999996"/>
    <n v="204"/>
    <n v="-12.50999225406661"/>
    <n v="191.49000774593338"/>
    <x v="10"/>
    <n v="40"/>
    <m/>
    <s v="F077271"/>
    <n v="35.598813559322032"/>
    <m/>
    <n v="6.4"/>
    <m/>
    <n v="41.998813559322031"/>
    <n v="149.49119418661135"/>
    <m/>
    <n v="320"/>
  </r>
  <r>
    <n v="1"/>
    <n v="2023"/>
    <s v="Auction"/>
    <s v="VROLIJK BLOEMEN"/>
    <s v="VROLIJK BLOEMEN"/>
    <x v="42"/>
    <s v="Polyantha Roses"/>
    <s v="70CM"/>
    <n v="1"/>
    <n v="12"/>
    <n v="320"/>
    <n v="0.15"/>
    <n v="48"/>
    <s v="EUR"/>
    <m/>
    <m/>
    <x v="10"/>
    <n v="0"/>
    <x v="3"/>
    <x v="1"/>
    <n v="320"/>
    <n v="0.45499999999999996"/>
    <n v="145.6"/>
    <n v="-12.50999225406661"/>
    <n v="133.09000774593338"/>
    <x v="10"/>
    <n v="0"/>
    <m/>
    <s v="F077271"/>
    <n v="35.598813559322032"/>
    <m/>
    <n v="6.4"/>
    <m/>
    <n v="41.998813559322031"/>
    <n v="91.091194186611347"/>
    <m/>
    <n v="320"/>
  </r>
  <r>
    <n v="1"/>
    <n v="2023"/>
    <s v="Auction"/>
    <s v="VROLIJK BLOEMEN"/>
    <s v="VROLIJK BLOEMEN"/>
    <x v="42"/>
    <s v="Polyantha Roses"/>
    <s v="80CM"/>
    <n v="1"/>
    <n v="12"/>
    <n v="280"/>
    <n v="0.15"/>
    <n v="42"/>
    <s v="EUR"/>
    <m/>
    <m/>
    <x v="10"/>
    <n v="0"/>
    <x v="3"/>
    <x v="2"/>
    <n v="280"/>
    <n v="0.61"/>
    <n v="170.79999999999998"/>
    <n v="-10.946243222308283"/>
    <n v="159.8537567776917"/>
    <x v="10"/>
    <n v="0"/>
    <m/>
    <s v="F077271"/>
    <n v="35.598813559322032"/>
    <m/>
    <n v="5.6000000000000005"/>
    <m/>
    <n v="41.198813559322033"/>
    <n v="118.65494321836967"/>
    <m/>
    <n v="280"/>
  </r>
  <r>
    <n v="1"/>
    <n v="2023"/>
    <s v="Auction"/>
    <s v="VROLIJK BLOEMEN"/>
    <s v="VROLIJK BLOEMEN"/>
    <x v="42"/>
    <s v="Polyantha Roses"/>
    <s v="110CM"/>
    <n v="1"/>
    <n v="12"/>
    <n v="160"/>
    <n v="0.15"/>
    <n v="24"/>
    <s v="EUR"/>
    <m/>
    <m/>
    <x v="10"/>
    <n v="-80"/>
    <x v="3"/>
    <x v="6"/>
    <n v="240"/>
    <n v="1.115"/>
    <n v="267.60000000000002"/>
    <n v="-9.3824941905499575"/>
    <n v="258.21750580945007"/>
    <x v="10"/>
    <n v="80"/>
    <m/>
    <s v="F077271"/>
    <n v="35.598813559322032"/>
    <m/>
    <n v="4.8"/>
    <m/>
    <n v="40.398813559322029"/>
    <n v="217.81869225012804"/>
    <m/>
    <n v="240"/>
  </r>
  <r>
    <n v="1"/>
    <n v="2023"/>
    <s v="Auction"/>
    <s v="VROLIJK BLOEMEN"/>
    <s v="VROLIJK BLOEMEN"/>
    <x v="42"/>
    <s v="English Roses"/>
    <s v="70CM"/>
    <n v="3"/>
    <n v="36"/>
    <n v="960"/>
    <n v="0.15"/>
    <n v="144"/>
    <s v="EUR"/>
    <m/>
    <m/>
    <x v="10"/>
    <n v="-120"/>
    <x v="1"/>
    <x v="1"/>
    <n v="1080"/>
    <n v="0.27629629629629626"/>
    <n v="298.39999999999998"/>
    <n v="-49.590692307692301"/>
    <n v="248.80930769230767"/>
    <x v="10"/>
    <n v="120"/>
    <m/>
    <s v="F077271"/>
    <n v="106.7964406779661"/>
    <m/>
    <n v="21.6"/>
    <m/>
    <n v="128.3964406779661"/>
    <n v="120.41286701434157"/>
    <m/>
    <n v="1080"/>
  </r>
  <r>
    <n v="1"/>
    <n v="2023"/>
    <s v="Auction"/>
    <s v="VROLIJK BLOEMEN"/>
    <s v="VROLIJK BLOEMEN"/>
    <x v="42"/>
    <s v="English Roses"/>
    <s v="80CM"/>
    <n v="3"/>
    <n v="36"/>
    <n v="840"/>
    <n v="0.15"/>
    <n v="126"/>
    <s v="EUR"/>
    <m/>
    <m/>
    <x v="10"/>
    <n v="0"/>
    <x v="1"/>
    <x v="2"/>
    <n v="840"/>
    <n v="0.2776190476190476"/>
    <n v="233.2"/>
    <n v="-32.838729666924849"/>
    <n v="200.36127033307514"/>
    <x v="10"/>
    <n v="0"/>
    <m/>
    <s v="F077271"/>
    <n v="106.7964406779661"/>
    <m/>
    <n v="16.8"/>
    <m/>
    <n v="123.5964406779661"/>
    <n v="76.76482965510904"/>
    <m/>
    <n v="840"/>
  </r>
  <r>
    <n v="1"/>
    <n v="2023"/>
    <s v="Auction"/>
    <s v="VROLIJK BLOEMEN"/>
    <s v="VROLIJK BLOEMEN"/>
    <x v="42"/>
    <s v="English Roses"/>
    <s v="90CM"/>
    <n v="1"/>
    <n v="12"/>
    <n v="240"/>
    <n v="0.15"/>
    <n v="36"/>
    <s v="EUR"/>
    <m/>
    <m/>
    <x v="10"/>
    <n v="-200"/>
    <x v="1"/>
    <x v="3"/>
    <n v="440"/>
    <n v="0.38909090909090904"/>
    <n v="171.2"/>
    <n v="-17.201239349341588"/>
    <n v="153.9987606506584"/>
    <x v="10"/>
    <n v="200"/>
    <m/>
    <s v="F077271"/>
    <n v="35.598813559322032"/>
    <m/>
    <n v="8.8000000000000007"/>
    <m/>
    <n v="44.398813559322036"/>
    <n v="109.59994709133636"/>
    <m/>
    <n v="440"/>
  </r>
  <r>
    <n v="1"/>
    <n v="2023"/>
    <s v="Auction"/>
    <s v="VROLIJK BLOEMEN"/>
    <s v="VROLIJK BLOEMEN"/>
    <x v="42"/>
    <s v="English Roses"/>
    <s v="90CM"/>
    <n v="1"/>
    <n v="12"/>
    <n v="200"/>
    <n v="0.15"/>
    <n v="30"/>
    <s v="EUR"/>
    <m/>
    <m/>
    <x v="10"/>
    <n v="200"/>
    <x v="1"/>
    <x v="3"/>
    <m/>
    <m/>
    <n v="0"/>
    <n v="0"/>
    <n v="0"/>
    <x v="10"/>
    <n v="-200"/>
    <m/>
    <s v="F077271"/>
    <n v="35.598813559322032"/>
    <m/>
    <n v="0"/>
    <m/>
    <n v="35.598813559322032"/>
    <n v="-35.598813559322032"/>
    <m/>
    <n v="0"/>
  </r>
  <r>
    <n v="1"/>
    <n v="2023"/>
    <s v="Auction"/>
    <s v="VROLIJK BLOEMEN"/>
    <s v="VROLIJK BLOEMEN"/>
    <x v="42"/>
    <s v="English Roses"/>
    <s v="110CM"/>
    <n v="1"/>
    <n v="12"/>
    <n v="160"/>
    <n v="0.15"/>
    <n v="24"/>
    <s v="EUR"/>
    <m/>
    <m/>
    <x v="10"/>
    <n v="-80"/>
    <x v="1"/>
    <x v="6"/>
    <n v="240"/>
    <n v="0.76"/>
    <n v="182.4"/>
    <n v="-9.3824941905499575"/>
    <n v="173.01750580945006"/>
    <x v="10"/>
    <n v="80"/>
    <m/>
    <s v="F077271"/>
    <n v="35.598813559322032"/>
    <m/>
    <n v="4.8"/>
    <m/>
    <n v="40.398813559322029"/>
    <n v="132.61869225012802"/>
    <m/>
    <n v="240"/>
  </r>
  <r>
    <n v="1"/>
    <n v="2023"/>
    <s v="Auction"/>
    <s v="VROLIJK BLOEMEN"/>
    <s v="VROLIJK BLOEMEN"/>
    <x v="42"/>
    <s v="Polyantha Roses"/>
    <s v="100CM"/>
    <n v="1"/>
    <n v="7.1999999999999993"/>
    <n v="120"/>
    <n v="0.15"/>
    <n v="18"/>
    <s v="EUR"/>
    <m/>
    <m/>
    <x v="10"/>
    <n v="-40"/>
    <x v="3"/>
    <x v="4"/>
    <n v="160"/>
    <n v="0.81500000000000006"/>
    <n v="130.4"/>
    <n v="-6.254996127033305"/>
    <n v="124.1450038729667"/>
    <x v="10"/>
    <n v="40"/>
    <m/>
    <s v="F077271"/>
    <n v="21.359288135593218"/>
    <m/>
    <n v="3.2"/>
    <m/>
    <n v="24.559288135593217"/>
    <n v="99.585715737373476"/>
    <m/>
    <n v="160"/>
  </r>
  <r>
    <n v="1"/>
    <n v="2023"/>
    <s v="Auction"/>
    <s v="VROLIJK BLOEMEN"/>
    <s v="VROLIJK BLOEMEN"/>
    <x v="42"/>
    <s v="Polyantha Roses"/>
    <s v="110CM"/>
    <m/>
    <n v="4.8000000000000007"/>
    <n v="80"/>
    <n v="0.15"/>
    <n v="12"/>
    <s v="EUR"/>
    <m/>
    <m/>
    <x v="10"/>
    <n v="80"/>
    <x v="3"/>
    <x v="6"/>
    <m/>
    <m/>
    <n v="0"/>
    <n v="0"/>
    <n v="0"/>
    <x v="10"/>
    <n v="-80"/>
    <m/>
    <s v="F077271"/>
    <n v="14.239525423728814"/>
    <m/>
    <n v="0"/>
    <m/>
    <n v="14.239525423728814"/>
    <n v="-14.239525423728814"/>
    <m/>
    <n v="0"/>
  </r>
  <r>
    <n v="1"/>
    <n v="2023"/>
    <s v="Auction"/>
    <s v="VROLIJK BLOEMEN"/>
    <s v="VROLIJK BLOEMEN"/>
    <x v="42"/>
    <s v="Polyantha Roses"/>
    <s v="100CM"/>
    <n v="1"/>
    <n v="2.4000000000000004"/>
    <n v="40"/>
    <n v="0.15"/>
    <n v="6"/>
    <s v="EUR"/>
    <m/>
    <m/>
    <x v="10"/>
    <n v="40"/>
    <x v="3"/>
    <x v="4"/>
    <m/>
    <m/>
    <n v="0"/>
    <n v="0"/>
    <n v="0"/>
    <x v="10"/>
    <n v="-40"/>
    <m/>
    <s v="F077271"/>
    <n v="7.1197627118644071"/>
    <m/>
    <n v="0"/>
    <m/>
    <n v="7.1197627118644071"/>
    <n v="-7.1197627118644071"/>
    <m/>
    <n v="0"/>
  </r>
  <r>
    <n v="1"/>
    <n v="2023"/>
    <s v="Auction"/>
    <s v="VROLIJK BLOEMEN"/>
    <s v="VROLIJK BLOEMEN"/>
    <x v="42"/>
    <s v="Polyantha Roses"/>
    <s v="90CM"/>
    <m/>
    <n v="9.6000000000000014"/>
    <n v="160"/>
    <n v="0.15"/>
    <n v="24"/>
    <s v="EUR"/>
    <m/>
    <m/>
    <x v="10"/>
    <n v="0"/>
    <x v="3"/>
    <x v="3"/>
    <n v="160"/>
    <n v="0.7"/>
    <n v="112"/>
    <n v="-6.254996127033305"/>
    <n v="105.74500387296669"/>
    <x v="10"/>
    <n v="0"/>
    <m/>
    <s v="F077271"/>
    <n v="28.479050847457628"/>
    <m/>
    <n v="3.2"/>
    <m/>
    <n v="31.679050847457628"/>
    <n v="74.06595302550906"/>
    <m/>
    <n v="160"/>
  </r>
  <r>
    <n v="1"/>
    <n v="2023"/>
    <s v="Auction"/>
    <s v="VROLIJK BLOEMEN"/>
    <s v="VROLIJK BLOEMEN"/>
    <x v="42"/>
    <s v="Grandiflora Roses"/>
    <s v="80CM"/>
    <n v="1"/>
    <n v="10.8"/>
    <n v="360"/>
    <n v="0.15"/>
    <n v="54"/>
    <s v="EUR"/>
    <m/>
    <m/>
    <x v="10"/>
    <n v="360"/>
    <x v="0"/>
    <x v="2"/>
    <m/>
    <m/>
    <n v="0"/>
    <n v="0"/>
    <n v="0"/>
    <x v="10"/>
    <n v="-360"/>
    <m/>
    <s v="F077271"/>
    <n v="32.038932203389834"/>
    <m/>
    <n v="0"/>
    <m/>
    <n v="32.038932203389834"/>
    <n v="-32.038932203389834"/>
    <m/>
    <n v="0"/>
  </r>
  <r>
    <n v="1"/>
    <n v="2023"/>
    <s v="Auction"/>
    <s v="VROLIJK BLOEMEN"/>
    <s v="VROLIJK BLOEMEN"/>
    <x v="42"/>
    <s v="Grandiflora Roses"/>
    <s v="110CM"/>
    <m/>
    <n v="1.2000000000000002"/>
    <n v="40"/>
    <n v="0.15"/>
    <n v="6"/>
    <s v="EUR"/>
    <m/>
    <m/>
    <x v="10"/>
    <n v="40"/>
    <x v="0"/>
    <x v="6"/>
    <m/>
    <m/>
    <n v="0"/>
    <n v="0"/>
    <n v="0"/>
    <x v="10"/>
    <n v="-40"/>
    <m/>
    <s v="F077271"/>
    <n v="3.5598813559322036"/>
    <m/>
    <n v="0"/>
    <m/>
    <n v="3.5598813559322036"/>
    <n v="-3.5598813559322036"/>
    <m/>
    <n v="0"/>
  </r>
  <r>
    <n v="1"/>
    <n v="2023"/>
    <s v="Auction"/>
    <s v="VROLIJK BLOEMEN"/>
    <s v="VROLIJK BLOEMEN"/>
    <x v="42"/>
    <s v="Floribunda Roses"/>
    <s v="70CM"/>
    <n v="1"/>
    <n v="8"/>
    <n v="240"/>
    <n v="0.15"/>
    <n v="36"/>
    <s v="EUR"/>
    <m/>
    <m/>
    <x v="10"/>
    <n v="-640"/>
    <x v="2"/>
    <x v="1"/>
    <n v="880"/>
    <n v="0.35454545454545455"/>
    <n v="312"/>
    <n v="-34.402478698683176"/>
    <n v="277.59752130131682"/>
    <x v="10"/>
    <n v="640"/>
    <m/>
    <s v="F077271"/>
    <n v="23.732542372881355"/>
    <m/>
    <n v="17.600000000000001"/>
    <m/>
    <n v="41.332542372881356"/>
    <n v="236.26497892843545"/>
    <m/>
    <n v="880"/>
  </r>
  <r>
    <n v="1"/>
    <n v="2023"/>
    <s v="Auction"/>
    <s v="VROLIJK BLOEMEN"/>
    <s v="VROLIJK BLOEMEN"/>
    <x v="42"/>
    <s v="Floribunda Roses"/>
    <s v="80CM"/>
    <m/>
    <n v="4"/>
    <n v="120"/>
    <n v="0.15"/>
    <n v="18"/>
    <s v="EUR"/>
    <m/>
    <m/>
    <x v="10"/>
    <n v="120"/>
    <x v="2"/>
    <x v="2"/>
    <m/>
    <m/>
    <n v="0"/>
    <n v="0"/>
    <n v="0"/>
    <x v="10"/>
    <n v="-120"/>
    <m/>
    <s v="F077271"/>
    <n v="11.866271186440677"/>
    <m/>
    <n v="0"/>
    <m/>
    <n v="11.866271186440677"/>
    <n v="-11.866271186440677"/>
    <m/>
    <n v="0"/>
  </r>
  <r>
    <n v="1"/>
    <n v="2023"/>
    <s v="Auction"/>
    <s v="VROLIJK BLOEMEN"/>
    <s v="VROLIJK BLOEMEN"/>
    <x v="42"/>
    <s v="Moss Roses"/>
    <s v="90CM"/>
    <n v="1"/>
    <n v="2.1818181818181817"/>
    <n v="80"/>
    <n v="0.15"/>
    <n v="12"/>
    <s v="EUR"/>
    <m/>
    <m/>
    <x v="10"/>
    <n v="0"/>
    <x v="4"/>
    <x v="3"/>
    <n v="80"/>
    <n v="0.51"/>
    <n v="40.799999999999997"/>
    <n v="-3.1274980635166525"/>
    <n v="37.672501936483343"/>
    <x v="10"/>
    <n v="0"/>
    <m/>
    <s v="F077271"/>
    <n v="6.4725115562403692"/>
    <m/>
    <n v="1.6"/>
    <m/>
    <n v="8.0725115562403698"/>
    <n v="29.599990380242971"/>
    <m/>
    <n v="80"/>
  </r>
  <r>
    <n v="1"/>
    <n v="2023"/>
    <s v="Auction"/>
    <s v="VROLIJK BLOEMEN"/>
    <s v="VROLIJK BLOEMEN"/>
    <x v="42"/>
    <s v="Moss Roses"/>
    <s v="70CM"/>
    <m/>
    <n v="5.4545454545454541"/>
    <n v="200"/>
    <n v="0.15"/>
    <n v="30"/>
    <s v="EUR"/>
    <m/>
    <m/>
    <x v="10"/>
    <n v="0"/>
    <x v="4"/>
    <x v="1"/>
    <n v="200"/>
    <n v="0.33"/>
    <n v="66"/>
    <n v="-7.8187451587916321"/>
    <n v="58.181254841208371"/>
    <x v="10"/>
    <n v="0"/>
    <m/>
    <s v="F077271"/>
    <n v="16.181278890600922"/>
    <m/>
    <n v="4"/>
    <m/>
    <n v="20.181278890600922"/>
    <n v="37.99997595060745"/>
    <m/>
    <n v="200"/>
  </r>
  <r>
    <n v="1"/>
    <n v="2023"/>
    <s v="Auction"/>
    <s v="VROLIJK BLOEMEN"/>
    <s v="VROLIJK BLOEMEN"/>
    <x v="42"/>
    <s v="Moss Roses"/>
    <s v="80CM"/>
    <m/>
    <n v="4.3636363636363633"/>
    <n v="160"/>
    <n v="0.15"/>
    <n v="24"/>
    <s v="EUR"/>
    <m/>
    <m/>
    <x v="10"/>
    <n v="0"/>
    <x v="4"/>
    <x v="2"/>
    <n v="160"/>
    <n v="0.32500000000000001"/>
    <n v="52"/>
    <n v="-6.254996127033305"/>
    <n v="45.745003872966691"/>
    <x v="10"/>
    <n v="0"/>
    <m/>
    <s v="F077271"/>
    <n v="12.945023112480738"/>
    <m/>
    <n v="3.2"/>
    <m/>
    <n v="16.14502311248074"/>
    <n v="29.599980760485952"/>
    <m/>
    <n v="160"/>
  </r>
  <r>
    <n v="1"/>
    <n v="2023"/>
    <s v="Auction"/>
    <s v="VROLIJK BLOEMEN"/>
    <s v="VROLIJK BLOEMEN"/>
    <x v="42"/>
    <s v="English Roses"/>
    <s v="70CM"/>
    <n v="1"/>
    <n v="5.1428571428571423"/>
    <n v="120"/>
    <n v="0.15"/>
    <n v="18"/>
    <s v="EUR"/>
    <m/>
    <m/>
    <x v="10"/>
    <n v="120"/>
    <x v="1"/>
    <x v="1"/>
    <m/>
    <m/>
    <n v="0"/>
    <n v="0"/>
    <n v="0"/>
    <x v="10"/>
    <n v="-120"/>
    <m/>
    <s v="F077271"/>
    <n v="15.256634382566585"/>
    <m/>
    <n v="0"/>
    <m/>
    <n v="15.256634382566585"/>
    <n v="-15.256634382566585"/>
    <m/>
    <n v="0"/>
  </r>
  <r>
    <n v="1"/>
    <n v="2023"/>
    <s v="Auction"/>
    <s v="VROLIJK BLOEMEN"/>
    <s v="VROLIJK BLOEMEN"/>
    <x v="42"/>
    <s v="English Roses"/>
    <s v="100CM"/>
    <m/>
    <n v="3.4285714285714284"/>
    <n v="80"/>
    <n v="0.15"/>
    <n v="12"/>
    <s v="EUR"/>
    <m/>
    <m/>
    <x v="10"/>
    <n v="0"/>
    <x v="1"/>
    <x v="4"/>
    <n v="80"/>
    <n v="0.59499999999999997"/>
    <n v="47.599999999999994"/>
    <n v="-3.1274980635166525"/>
    <n v="44.47250193648334"/>
    <x v="10"/>
    <n v="0"/>
    <m/>
    <s v="F077271"/>
    <n v="10.171089588377722"/>
    <m/>
    <n v="1.6"/>
    <m/>
    <n v="11.771089588377722"/>
    <n v="32.70141234810562"/>
    <m/>
    <n v="80"/>
  </r>
  <r>
    <n v="1"/>
    <n v="2023"/>
    <s v="Auction"/>
    <s v="VROLIJK BLOEMEN"/>
    <s v="VROLIJK BLOEMEN"/>
    <x v="42"/>
    <s v="English Roses"/>
    <s v="110CM"/>
    <m/>
    <n v="3.4285714285714284"/>
    <n v="80"/>
    <n v="0.15"/>
    <n v="12"/>
    <s v="EUR"/>
    <m/>
    <m/>
    <x v="10"/>
    <n v="80"/>
    <x v="1"/>
    <x v="6"/>
    <m/>
    <m/>
    <n v="0"/>
    <n v="0"/>
    <n v="0"/>
    <x v="10"/>
    <n v="-80"/>
    <m/>
    <s v="F077271"/>
    <n v="10.171089588377722"/>
    <m/>
    <n v="0"/>
    <m/>
    <n v="10.171089588377722"/>
    <n v="-10.171089588377722"/>
    <m/>
    <n v="0"/>
  </r>
  <r>
    <n v="1"/>
    <n v="2023"/>
    <s v="Auction"/>
    <s v="VROLIJK BLOEMEN"/>
    <s v="VROLIJK BLOEMEN"/>
    <x v="42"/>
    <s v="Miniature Roses"/>
    <s v="70CM"/>
    <n v="1"/>
    <n v="6"/>
    <n v="120"/>
    <n v="0.15"/>
    <n v="18"/>
    <s v="EUR"/>
    <m/>
    <m/>
    <x v="10"/>
    <n v="0"/>
    <x v="6"/>
    <x v="1"/>
    <n v="120"/>
    <n v="0.49"/>
    <n v="58.8"/>
    <n v="-4.6912470952749787"/>
    <n v="54.108752904725016"/>
    <x v="10"/>
    <n v="0"/>
    <m/>
    <s v="F077271"/>
    <n v="17.799406779661016"/>
    <m/>
    <n v="2.4"/>
    <m/>
    <n v="20.199406779661015"/>
    <n v="33.909346125064005"/>
    <m/>
    <n v="120"/>
  </r>
  <r>
    <n v="1"/>
    <n v="2023"/>
    <s v="Auction"/>
    <s v="VROLIJK BLOEMEN"/>
    <s v="VROLIJK BLOEMEN"/>
    <x v="42"/>
    <s v="Miniature Roses"/>
    <s v="80CM"/>
    <m/>
    <n v="2"/>
    <n v="40"/>
    <n v="0.15"/>
    <n v="6"/>
    <s v="EUR"/>
    <m/>
    <m/>
    <x v="10"/>
    <n v="0"/>
    <x v="6"/>
    <x v="2"/>
    <n v="40"/>
    <n v="0.59000000000000008"/>
    <n v="23.6"/>
    <n v="-1.5637490317583262"/>
    <n v="22.036250968241674"/>
    <x v="10"/>
    <n v="0"/>
    <m/>
    <s v="F077271"/>
    <n v="5.9331355932203387"/>
    <m/>
    <n v="0.8"/>
    <m/>
    <n v="6.7331355932203385"/>
    <n v="15.303115375021335"/>
    <m/>
    <n v="40"/>
  </r>
  <r>
    <n v="1"/>
    <n v="2023"/>
    <s v="Auction"/>
    <s v="VROLIJK BLOEMEN"/>
    <s v="VROLIJK BLOEMEN"/>
    <x v="42"/>
    <s v="Miniature Roses"/>
    <s v="90CM"/>
    <m/>
    <n v="2"/>
    <n v="40"/>
    <n v="0.15"/>
    <n v="6"/>
    <s v="EUR"/>
    <m/>
    <m/>
    <x v="10"/>
    <n v="0"/>
    <x v="6"/>
    <x v="3"/>
    <n v="40"/>
    <n v="0.78"/>
    <n v="31.200000000000003"/>
    <n v="-1.5637490317583262"/>
    <n v="29.636250968241676"/>
    <x v="10"/>
    <n v="0"/>
    <m/>
    <s v="F077271"/>
    <n v="5.9331355932203387"/>
    <m/>
    <n v="0.8"/>
    <m/>
    <n v="6.7331355932203385"/>
    <n v="22.903115375021336"/>
    <m/>
    <n v="40"/>
  </r>
  <r>
    <n v="1"/>
    <n v="2023"/>
    <s v="Auction"/>
    <s v="VROLIJK BLOEMEN"/>
    <s v="VROLIJK BLOEMEN"/>
    <x v="42"/>
    <s v="Miniature Roses"/>
    <s v="100CM"/>
    <m/>
    <n v="2"/>
    <n v="40"/>
    <n v="0.15"/>
    <n v="6"/>
    <s v="EUR"/>
    <m/>
    <m/>
    <x v="10"/>
    <n v="10"/>
    <x v="6"/>
    <x v="4"/>
    <n v="30"/>
    <n v="0.77"/>
    <n v="23.1"/>
    <n v="-1.1728117738187447"/>
    <n v="21.927188226181258"/>
    <x v="10"/>
    <n v="-10"/>
    <m/>
    <s v="F077271"/>
    <n v="5.9331355932203387"/>
    <m/>
    <n v="0.6"/>
    <m/>
    <n v="6.5331355932203383"/>
    <n v="15.39405263296092"/>
    <m/>
    <n v="30"/>
  </r>
  <r>
    <n v="1"/>
    <n v="2023"/>
    <s v="Auction"/>
    <s v="VROLIJK BLOEMEN"/>
    <s v="VROLIJK BLOEMEN"/>
    <x v="43"/>
    <s v="Floribunda Roses"/>
    <s v="70CM"/>
    <n v="13"/>
    <n v="156"/>
    <n v="4160"/>
    <n v="0.15"/>
    <n v="624"/>
    <s v="EUR"/>
    <m/>
    <m/>
    <x v="9"/>
    <n v="1840"/>
    <x v="2"/>
    <x v="1"/>
    <n v="2320"/>
    <n v="0.4013793103448276"/>
    <n v="931.2"/>
    <n v="-89.222578124999984"/>
    <n v="841.97742187500012"/>
    <x v="9"/>
    <n v="-1840"/>
    <m/>
    <s v="F077417"/>
    <n v="468.21734375000005"/>
    <m/>
    <n v="46.4"/>
    <m/>
    <n v="514.61734375000003"/>
    <n v="327.36007812500009"/>
    <m/>
    <n v="2320"/>
  </r>
  <r>
    <n v="1"/>
    <n v="2023"/>
    <s v="Auction"/>
    <s v="VROLIJK BLOEMEN"/>
    <s v="VROLIJK BLOEMEN"/>
    <x v="43"/>
    <s v="Floribunda Roses"/>
    <s v="80CM"/>
    <n v="8"/>
    <n v="96"/>
    <n v="2240"/>
    <n v="0.15"/>
    <n v="336"/>
    <s v="EUR"/>
    <m/>
    <m/>
    <x v="9"/>
    <n v="40"/>
    <x v="2"/>
    <x v="2"/>
    <n v="2200"/>
    <n v="0.50672727272727269"/>
    <n v="1114.8"/>
    <n v="-84.607617187499983"/>
    <n v="1030.1923828125"/>
    <x v="9"/>
    <n v="-40"/>
    <m/>
    <s v="F077417"/>
    <n v="288.13375000000002"/>
    <m/>
    <n v="44"/>
    <m/>
    <n v="332.13375000000002"/>
    <n v="698.05863281250004"/>
    <m/>
    <n v="2200"/>
  </r>
  <r>
    <n v="1"/>
    <n v="2023"/>
    <s v="Auction"/>
    <s v="VROLIJK BLOEMEN"/>
    <s v="VROLIJK BLOEMEN"/>
    <x v="43"/>
    <s v="Floribunda Roses"/>
    <s v="90CM"/>
    <n v="5"/>
    <n v="60"/>
    <n v="1200"/>
    <n v="0.15"/>
    <n v="180"/>
    <s v="EUR"/>
    <m/>
    <m/>
    <x v="9"/>
    <n v="-240"/>
    <x v="2"/>
    <x v="3"/>
    <n v="1440"/>
    <n v="0.28583333333333333"/>
    <n v="411.59999999999997"/>
    <n v="-55.379531249999992"/>
    <n v="356.22046874999995"/>
    <x v="9"/>
    <n v="240"/>
    <m/>
    <s v="F077417"/>
    <n v="180.08359375000001"/>
    <m/>
    <n v="28.8"/>
    <m/>
    <n v="208.88359375000002"/>
    <n v="147.33687499999994"/>
    <m/>
    <n v="1440"/>
  </r>
  <r>
    <n v="1"/>
    <n v="2023"/>
    <s v="Auction"/>
    <s v="VROLIJK BLOEMEN"/>
    <s v="VROLIJK BLOEMEN"/>
    <x v="43"/>
    <s v="Floribunda Roses"/>
    <s v="100CM"/>
    <n v="4"/>
    <n v="48"/>
    <n v="800"/>
    <n v="0.15"/>
    <n v="120"/>
    <s v="EUR"/>
    <m/>
    <m/>
    <x v="9"/>
    <n v="-40"/>
    <x v="2"/>
    <x v="4"/>
    <n v="840"/>
    <n v="0.35666666666666669"/>
    <n v="299.60000000000002"/>
    <n v="-32.304726562499994"/>
    <n v="267.29527343750004"/>
    <x v="9"/>
    <n v="40"/>
    <m/>
    <s v="F077417"/>
    <n v="144.06687500000001"/>
    <m/>
    <n v="16.8"/>
    <m/>
    <n v="160.86687500000002"/>
    <n v="106.42839843750002"/>
    <m/>
    <n v="840"/>
  </r>
  <r>
    <n v="1"/>
    <n v="2023"/>
    <s v="Auction"/>
    <s v="VROLIJK BLOEMEN"/>
    <s v="VROLIJK BLOEMEN"/>
    <x v="43"/>
    <s v="Floribunda Roses"/>
    <s v="110CM"/>
    <n v="5"/>
    <n v="60"/>
    <n v="800"/>
    <n v="0.15"/>
    <n v="120"/>
    <s v="EUR"/>
    <m/>
    <m/>
    <x v="9"/>
    <n v="-120"/>
    <x v="2"/>
    <x v="6"/>
    <n v="920"/>
    <n v="0.46913043478260874"/>
    <n v="431.6"/>
    <n v="-35.381367187499997"/>
    <n v="396.2186328125"/>
    <x v="9"/>
    <n v="120"/>
    <m/>
    <s v="F077417"/>
    <n v="180.08359375000001"/>
    <m/>
    <n v="18.400000000000002"/>
    <m/>
    <n v="198.48359375000001"/>
    <n v="197.73503906249999"/>
    <m/>
    <n v="920"/>
  </r>
  <r>
    <n v="1"/>
    <n v="2023"/>
    <s v="Auction"/>
    <s v="VROLIJK BLOEMEN"/>
    <s v="VROLIJK BLOEMEN"/>
    <x v="43"/>
    <s v="Grandiflora Roses"/>
    <s v="60CM"/>
    <n v="3"/>
    <n v="36"/>
    <n v="2160"/>
    <n v="0.15"/>
    <n v="324"/>
    <s v="EUR"/>
    <m/>
    <m/>
    <x v="9"/>
    <n v="80"/>
    <x v="0"/>
    <x v="0"/>
    <n v="2080"/>
    <n v="0.23288461538461538"/>
    <n v="484.4"/>
    <n v="-79.992656249999996"/>
    <n v="404.40734375"/>
    <x v="9"/>
    <n v="-80"/>
    <m/>
    <s v="F077417"/>
    <n v="108.05015625000001"/>
    <m/>
    <n v="41.6"/>
    <m/>
    <n v="149.65015625000001"/>
    <n v="254.75718749999999"/>
    <m/>
    <n v="2080"/>
  </r>
  <r>
    <n v="1"/>
    <n v="2023"/>
    <s v="Auction"/>
    <s v="VROLIJK BLOEMEN"/>
    <s v="VROLIJK BLOEMEN"/>
    <x v="43"/>
    <s v="Grandiflora Roses"/>
    <s v="100CM"/>
    <n v="1"/>
    <n v="12"/>
    <n v="320"/>
    <n v="0.15"/>
    <n v="48"/>
    <s v="EUR"/>
    <m/>
    <m/>
    <x v="9"/>
    <n v="-320"/>
    <x v="0"/>
    <x v="4"/>
    <n v="640"/>
    <n v="0.38250000000000001"/>
    <n v="244.8"/>
    <n v="-24.613124999999997"/>
    <n v="220.18687500000001"/>
    <x v="9"/>
    <n v="320"/>
    <m/>
    <s v="F077417"/>
    <n v="36.016718750000003"/>
    <m/>
    <n v="12.8"/>
    <m/>
    <n v="48.816718750000007"/>
    <n v="171.37015625000001"/>
    <m/>
    <n v="640"/>
  </r>
  <r>
    <n v="1"/>
    <n v="2023"/>
    <s v="Auction"/>
    <s v="VROLIJK BLOEMEN"/>
    <s v="VROLIJK BLOEMEN"/>
    <x v="43"/>
    <s v="Grandiflora Roses"/>
    <s v="70CM"/>
    <n v="4"/>
    <n v="48"/>
    <n v="2080"/>
    <n v="0.15"/>
    <n v="312"/>
    <s v="EUR"/>
    <m/>
    <m/>
    <x v="9"/>
    <n v="0"/>
    <x v="0"/>
    <x v="1"/>
    <n v="2080"/>
    <n v="0.33769230769230774"/>
    <n v="702.40000000000009"/>
    <n v="-79.992656249999996"/>
    <n v="622.40734375000011"/>
    <x v="9"/>
    <n v="0"/>
    <m/>
    <s v="F077417"/>
    <n v="144.06687500000001"/>
    <m/>
    <n v="41.6"/>
    <m/>
    <n v="185.666875"/>
    <n v="436.7404687500001"/>
    <m/>
    <n v="2080"/>
  </r>
  <r>
    <n v="1"/>
    <n v="2023"/>
    <s v="Auction"/>
    <s v="VROLIJK BLOEMEN"/>
    <s v="VROLIJK BLOEMEN"/>
    <x v="43"/>
    <s v="Grandiflora Roses"/>
    <s v="80CM"/>
    <n v="2"/>
    <n v="24"/>
    <n v="960"/>
    <n v="0.15"/>
    <n v="144"/>
    <s v="EUR"/>
    <m/>
    <m/>
    <x v="9"/>
    <n v="0"/>
    <x v="0"/>
    <x v="2"/>
    <n v="960"/>
    <n v="0.32333333333333331"/>
    <n v="310.39999999999998"/>
    <n v="-36.919687499999995"/>
    <n v="273.48031249999997"/>
    <x v="9"/>
    <n v="0"/>
    <m/>
    <s v="F077417"/>
    <n v="72.033437500000005"/>
    <m/>
    <n v="19.2"/>
    <m/>
    <n v="91.233437500000008"/>
    <n v="182.24687499999996"/>
    <m/>
    <n v="960"/>
  </r>
  <r>
    <n v="1"/>
    <n v="2023"/>
    <s v="Auction"/>
    <s v="VROLIJK BLOEMEN"/>
    <s v="VROLIJK BLOEMEN"/>
    <x v="43"/>
    <s v="Grandiflora Roses"/>
    <s v="90CM"/>
    <n v="1"/>
    <n v="12"/>
    <n v="440"/>
    <n v="0.15"/>
    <n v="66"/>
    <s v="EUR"/>
    <m/>
    <m/>
    <x v="9"/>
    <n v="-400"/>
    <x v="0"/>
    <x v="3"/>
    <n v="840"/>
    <n v="0.3133333333333333"/>
    <n v="263.2"/>
    <n v="-32.304726562499994"/>
    <n v="230.89527343750001"/>
    <x v="9"/>
    <n v="400"/>
    <m/>
    <s v="F077417"/>
    <n v="36.016718750000003"/>
    <m/>
    <n v="16.8"/>
    <m/>
    <n v="52.816718750000007"/>
    <n v="178.0785546875"/>
    <m/>
    <n v="840"/>
  </r>
  <r>
    <n v="1"/>
    <n v="2023"/>
    <s v="Auction"/>
    <s v="VROLIJK BLOEMEN"/>
    <s v="VROLIJK BLOEMEN"/>
    <x v="43"/>
    <s v="Grandiflora Roses"/>
    <s v="90CM"/>
    <n v="1"/>
    <n v="12"/>
    <n v="360"/>
    <n v="0.15"/>
    <n v="54"/>
    <s v="EUR"/>
    <m/>
    <m/>
    <x v="9"/>
    <n v="360"/>
    <x v="0"/>
    <x v="3"/>
    <m/>
    <m/>
    <n v="0"/>
    <n v="0"/>
    <n v="0"/>
    <x v="9"/>
    <n v="-360"/>
    <m/>
    <s v="F077417"/>
    <n v="36.016718750000003"/>
    <m/>
    <n v="0"/>
    <m/>
    <n v="36.016718750000003"/>
    <n v="-36.016718750000003"/>
    <m/>
    <n v="0"/>
  </r>
  <r>
    <n v="1"/>
    <n v="2023"/>
    <s v="Auction"/>
    <s v="VROLIJK BLOEMEN"/>
    <s v="VROLIJK BLOEMEN"/>
    <x v="43"/>
    <s v="Grandiflora Roses"/>
    <s v="100CM"/>
    <n v="1"/>
    <n v="12"/>
    <n v="360"/>
    <n v="0.15"/>
    <n v="54"/>
    <s v="EUR"/>
    <m/>
    <m/>
    <x v="9"/>
    <n v="360"/>
    <x v="0"/>
    <x v="4"/>
    <m/>
    <m/>
    <n v="0"/>
    <n v="0"/>
    <n v="0"/>
    <x v="9"/>
    <n v="-360"/>
    <m/>
    <s v="F077417"/>
    <n v="36.016718750000003"/>
    <m/>
    <n v="0"/>
    <m/>
    <n v="36.016718750000003"/>
    <n v="-36.016718750000003"/>
    <m/>
    <n v="0"/>
  </r>
  <r>
    <n v="1"/>
    <n v="2023"/>
    <s v="Auction"/>
    <s v="VROLIJK BLOEMEN"/>
    <s v="VROLIJK BLOEMEN"/>
    <x v="43"/>
    <s v="Grandiflora Roses"/>
    <s v="110CM"/>
    <n v="1"/>
    <n v="12"/>
    <n v="240"/>
    <n v="0.15"/>
    <n v="36"/>
    <s v="EUR"/>
    <m/>
    <m/>
    <x v="9"/>
    <n v="0"/>
    <x v="0"/>
    <x v="6"/>
    <n v="240"/>
    <n v="0.64"/>
    <n v="153.6"/>
    <n v="-9.2299218749999987"/>
    <n v="144.37007812499999"/>
    <x v="9"/>
    <n v="0"/>
    <m/>
    <s v="F077417"/>
    <n v="36.016718750000003"/>
    <m/>
    <n v="4.8"/>
    <m/>
    <n v="40.81671875"/>
    <n v="103.55335937499999"/>
    <m/>
    <n v="240"/>
  </r>
  <r>
    <n v="1"/>
    <n v="2023"/>
    <s v="Auction"/>
    <s v="VROLIJK BLOEMEN"/>
    <s v="VROLIJK BLOEMEN"/>
    <x v="43"/>
    <s v="English Roses"/>
    <s v="70CM"/>
    <n v="2"/>
    <n v="24"/>
    <n v="640"/>
    <n v="0.15"/>
    <n v="96"/>
    <s v="EUR"/>
    <m/>
    <m/>
    <x v="9"/>
    <n v="0"/>
    <x v="1"/>
    <x v="1"/>
    <n v="640"/>
    <n v="0.43062500000000004"/>
    <n v="275.60000000000002"/>
    <n v="-24.613124999999997"/>
    <n v="250.98687500000003"/>
    <x v="9"/>
    <n v="0"/>
    <m/>
    <s v="F077417"/>
    <n v="72.033437500000005"/>
    <m/>
    <n v="12.8"/>
    <m/>
    <n v="84.833437500000002"/>
    <n v="166.15343750000002"/>
    <m/>
    <n v="640"/>
  </r>
  <r>
    <n v="1"/>
    <n v="2023"/>
    <s v="Auction"/>
    <s v="VROLIJK BLOEMEN"/>
    <s v="VROLIJK BLOEMEN"/>
    <x v="43"/>
    <s v="English Roses"/>
    <s v="80CM"/>
    <n v="1"/>
    <n v="12"/>
    <n v="280"/>
    <n v="0.15"/>
    <n v="42"/>
    <s v="EUR"/>
    <m/>
    <m/>
    <x v="9"/>
    <n v="-320"/>
    <x v="1"/>
    <x v="2"/>
    <n v="600"/>
    <n v="0.47466666666666668"/>
    <n v="284.8"/>
    <n v="-23.074804687499999"/>
    <n v="261.72519531250003"/>
    <x v="9"/>
    <n v="320"/>
    <m/>
    <s v="F077417"/>
    <n v="36.016718750000003"/>
    <m/>
    <n v="12"/>
    <m/>
    <n v="48.016718750000003"/>
    <n v="213.70847656250004"/>
    <m/>
    <n v="600"/>
  </r>
  <r>
    <n v="1"/>
    <n v="2023"/>
    <s v="Auction"/>
    <s v="VROLIJK BLOEMEN"/>
    <s v="VROLIJK BLOEMEN"/>
    <x v="43"/>
    <s v="English Roses"/>
    <s v="90CM"/>
    <n v="1"/>
    <n v="12"/>
    <n v="240"/>
    <n v="0.15"/>
    <n v="36"/>
    <s v="EUR"/>
    <m/>
    <m/>
    <x v="9"/>
    <n v="240"/>
    <x v="1"/>
    <x v="3"/>
    <m/>
    <m/>
    <n v="0"/>
    <n v="0"/>
    <n v="0"/>
    <x v="9"/>
    <n v="-240"/>
    <m/>
    <s v="F077417"/>
    <n v="36.016718750000003"/>
    <m/>
    <n v="0"/>
    <m/>
    <n v="36.016718750000003"/>
    <n v="-36.016718750000003"/>
    <m/>
    <n v="0"/>
  </r>
  <r>
    <n v="1"/>
    <n v="2023"/>
    <s v="Auction"/>
    <s v="VROLIJK BLOEMEN"/>
    <s v="VROLIJK BLOEMEN"/>
    <x v="43"/>
    <s v="English Roses"/>
    <s v="90CM"/>
    <n v="1"/>
    <n v="12"/>
    <n v="200"/>
    <n v="0.15"/>
    <n v="30"/>
    <s v="EUR"/>
    <m/>
    <m/>
    <x v="9"/>
    <n v="200"/>
    <x v="1"/>
    <x v="3"/>
    <m/>
    <m/>
    <n v="0"/>
    <n v="0"/>
    <n v="0"/>
    <x v="9"/>
    <n v="-200"/>
    <m/>
    <s v="F077417"/>
    <n v="36.016718750000003"/>
    <m/>
    <n v="0"/>
    <m/>
    <n v="36.016718750000003"/>
    <n v="-36.016718750000003"/>
    <m/>
    <n v="0"/>
  </r>
  <r>
    <n v="1"/>
    <n v="2023"/>
    <s v="Auction"/>
    <s v="VROLIJK BLOEMEN"/>
    <s v="VROLIJK BLOEMEN"/>
    <x v="43"/>
    <s v="English Roses"/>
    <s v="110CM"/>
    <n v="1"/>
    <n v="12"/>
    <n v="160"/>
    <n v="0.15"/>
    <n v="24"/>
    <s v="EUR"/>
    <m/>
    <m/>
    <x v="9"/>
    <n v="160"/>
    <x v="1"/>
    <x v="6"/>
    <m/>
    <m/>
    <n v="0"/>
    <n v="0"/>
    <n v="0"/>
    <x v="9"/>
    <n v="-160"/>
    <m/>
    <s v="F077417"/>
    <n v="36.016718750000003"/>
    <m/>
    <n v="0"/>
    <m/>
    <n v="36.016718750000003"/>
    <n v="-36.016718750000003"/>
    <m/>
    <n v="0"/>
  </r>
  <r>
    <n v="1"/>
    <n v="2023"/>
    <s v="Auction"/>
    <s v="VROLIJK BLOEMEN"/>
    <s v="VROLIJK BLOEMEN"/>
    <x v="43"/>
    <s v="Polyantha Roses"/>
    <s v="70CM"/>
    <n v="1"/>
    <n v="9.3333333333333339"/>
    <n v="280"/>
    <n v="0.15"/>
    <n v="42"/>
    <s v="EUR"/>
    <m/>
    <m/>
    <x v="9"/>
    <n v="0"/>
    <x v="3"/>
    <x v="1"/>
    <n v="280"/>
    <n v="0.69714285714285706"/>
    <n v="195.2"/>
    <n v="-10.768242187499999"/>
    <n v="184.4317578125"/>
    <x v="9"/>
    <n v="0"/>
    <m/>
    <s v="F077417"/>
    <n v="28.013003472222223"/>
    <m/>
    <n v="5.6000000000000005"/>
    <m/>
    <n v="33.613003472222225"/>
    <n v="150.81875434027776"/>
    <m/>
    <n v="280"/>
  </r>
  <r>
    <n v="1"/>
    <n v="2023"/>
    <s v="Auction"/>
    <s v="VROLIJK BLOEMEN"/>
    <s v="VROLIJK BLOEMEN"/>
    <x v="43"/>
    <s v="Polyantha Roses"/>
    <s v="80CM"/>
    <m/>
    <n v="2.6666666666666665"/>
    <n v="80"/>
    <n v="0.15"/>
    <n v="12"/>
    <s v="EUR"/>
    <m/>
    <m/>
    <x v="9"/>
    <n v="0"/>
    <x v="3"/>
    <x v="2"/>
    <n v="80"/>
    <n v="0.83000000000000007"/>
    <n v="66.400000000000006"/>
    <n v="-3.0766406249999996"/>
    <n v="63.32335937500001"/>
    <x v="9"/>
    <n v="0"/>
    <m/>
    <s v="F077417"/>
    <n v="8.0037152777777774"/>
    <m/>
    <n v="1.6"/>
    <m/>
    <n v="9.603715277777777"/>
    <n v="53.719644097222229"/>
    <m/>
    <n v="80"/>
  </r>
  <r>
    <n v="1"/>
    <n v="2023"/>
    <s v="Auction"/>
    <s v="VROLIJK BLOEMEN"/>
    <s v="VROLIJK BLOEMEN"/>
    <x v="43"/>
    <s v="Floribunda Roses"/>
    <s v="110CM"/>
    <n v="1"/>
    <n v="2"/>
    <n v="40"/>
    <n v="0.15"/>
    <n v="6"/>
    <s v="EUR"/>
    <m/>
    <m/>
    <x v="9"/>
    <n v="40"/>
    <x v="2"/>
    <x v="6"/>
    <m/>
    <m/>
    <n v="0"/>
    <n v="0"/>
    <n v="0"/>
    <x v="9"/>
    <n v="-40"/>
    <m/>
    <s v="F077417"/>
    <n v="6.0027864583333335"/>
    <m/>
    <n v="0"/>
    <m/>
    <n v="6.0027864583333335"/>
    <n v="-6.0027864583333335"/>
    <m/>
    <n v="0"/>
  </r>
  <r>
    <n v="1"/>
    <n v="2023"/>
    <s v="Auction"/>
    <s v="VROLIJK BLOEMEN"/>
    <s v="VROLIJK BLOEMEN"/>
    <x v="43"/>
    <s v="Floribunda Roses"/>
    <s v="90CM"/>
    <m/>
    <n v="10"/>
    <n v="200"/>
    <n v="0.15"/>
    <n v="30"/>
    <s v="EUR"/>
    <m/>
    <m/>
    <x v="9"/>
    <n v="200"/>
    <x v="2"/>
    <x v="3"/>
    <m/>
    <m/>
    <n v="0"/>
    <n v="0"/>
    <n v="0"/>
    <x v="9"/>
    <n v="-200"/>
    <m/>
    <s v="F077417"/>
    <n v="30.01393229166667"/>
    <m/>
    <n v="0"/>
    <m/>
    <n v="30.01393229166667"/>
    <n v="-30.01393229166667"/>
    <m/>
    <n v="0"/>
  </r>
  <r>
    <n v="1"/>
    <n v="2023"/>
    <s v="Auction"/>
    <s v="VROLIJK BLOEMEN"/>
    <s v="VROLIJK BLOEMEN"/>
    <x v="43"/>
    <s v="Grandiflora Roses"/>
    <s v="60CM"/>
    <n v="1"/>
    <n v="7.8000000000000007"/>
    <n v="520"/>
    <n v="0.15"/>
    <n v="78"/>
    <s v="EUR"/>
    <m/>
    <m/>
    <x v="9"/>
    <n v="-80"/>
    <x v="0"/>
    <x v="0"/>
    <n v="600"/>
    <n v="0.16533333333333333"/>
    <n v="99.2"/>
    <n v="-23.074804687499999"/>
    <n v="76.125195312500011"/>
    <x v="9"/>
    <n v="80"/>
    <m/>
    <s v="F077417"/>
    <n v="23.410867187500003"/>
    <m/>
    <n v="12"/>
    <m/>
    <n v="35.410867187500003"/>
    <n v="40.714328125000009"/>
    <m/>
    <n v="600"/>
  </r>
  <r>
    <n v="1"/>
    <n v="2023"/>
    <s v="Auction"/>
    <s v="VROLIJK BLOEMEN"/>
    <s v="VROLIJK BLOEMEN"/>
    <x v="43"/>
    <s v="Moss Roses"/>
    <s v="70CM"/>
    <m/>
    <n v="3"/>
    <n v="200"/>
    <n v="0.15"/>
    <n v="30"/>
    <s v="EUR"/>
    <m/>
    <m/>
    <x v="9"/>
    <n v="0"/>
    <x v="4"/>
    <x v="1"/>
    <n v="200"/>
    <n v="0.41399999999999998"/>
    <n v="82.8"/>
    <n v="-7.6916015624999989"/>
    <n v="75.1083984375"/>
    <x v="9"/>
    <n v="0"/>
    <m/>
    <s v="F077417"/>
    <n v="9.0041796875000006"/>
    <m/>
    <n v="4"/>
    <m/>
    <n v="13.004179687500001"/>
    <n v="62.104218750000001"/>
    <m/>
    <n v="200"/>
  </r>
  <r>
    <n v="1"/>
    <n v="2023"/>
    <s v="Auction"/>
    <s v="VROLIJK BLOEMEN"/>
    <s v="VROLIJK BLOEMEN"/>
    <x v="43"/>
    <s v="Moss Roses"/>
    <s v="90CM"/>
    <m/>
    <n v="1.2000000000000002"/>
    <n v="80"/>
    <n v="0.15"/>
    <n v="12"/>
    <s v="EUR"/>
    <m/>
    <m/>
    <x v="9"/>
    <n v="0"/>
    <x v="4"/>
    <x v="3"/>
    <n v="80"/>
    <n v="0.53"/>
    <n v="42.400000000000006"/>
    <n v="-3.0766406249999996"/>
    <n v="39.32335937500001"/>
    <x v="9"/>
    <n v="0"/>
    <m/>
    <s v="F077417"/>
    <n v="3.601671875000001"/>
    <m/>
    <n v="1.6"/>
    <m/>
    <n v="5.2016718750000006"/>
    <n v="34.121687500000007"/>
    <m/>
    <n v="80"/>
  </r>
  <r>
    <n v="1"/>
    <n v="2023"/>
    <s v="Auction"/>
    <s v="VROLIJK BLOEMEN"/>
    <s v="VROLIJK BLOEMEN"/>
    <x v="43"/>
    <s v="Floribunda Roses"/>
    <s v="70CM"/>
    <n v="1"/>
    <n v="6.545454545454545"/>
    <n v="240"/>
    <n v="0.15"/>
    <n v="36"/>
    <s v="EUR"/>
    <m/>
    <m/>
    <x v="9"/>
    <n v="-1600"/>
    <x v="2"/>
    <x v="1"/>
    <n v="1840"/>
    <n v="0.22043478260869567"/>
    <n v="405.6"/>
    <n v="-70.762734374999994"/>
    <n v="334.83726562500004"/>
    <x v="9"/>
    <n v="1600"/>
    <m/>
    <s v="F077417"/>
    <n v="19.645482954545454"/>
    <m/>
    <n v="36.800000000000004"/>
    <m/>
    <n v="56.445482954545454"/>
    <n v="278.39178267045457"/>
    <m/>
    <n v="1840"/>
  </r>
  <r>
    <n v="1"/>
    <n v="2023"/>
    <s v="Auction"/>
    <s v="VROLIJK BLOEMEN"/>
    <s v="VROLIJK BLOEMEN"/>
    <x v="43"/>
    <s v="Polyantha Roses"/>
    <s v="60CM"/>
    <m/>
    <n v="5.4545454545454541"/>
    <n v="200"/>
    <n v="0.15"/>
    <n v="30"/>
    <s v="EUR"/>
    <m/>
    <m/>
    <x v="9"/>
    <n v="0"/>
    <x v="3"/>
    <x v="0"/>
    <n v="200"/>
    <n v="0.43"/>
    <n v="86"/>
    <n v="-7.6916015624999989"/>
    <n v="78.308398437500003"/>
    <x v="9"/>
    <n v="0"/>
    <m/>
    <s v="F077417"/>
    <n v="16.371235795454545"/>
    <m/>
    <n v="4"/>
    <m/>
    <n v="20.371235795454545"/>
    <n v="57.937162642045458"/>
    <m/>
    <n v="200"/>
  </r>
  <r>
    <n v="1"/>
    <n v="2023"/>
    <s v="Auction"/>
    <s v="VROLIJK BLOEMEN"/>
    <s v="VROLIJK BLOEMEN"/>
    <x v="43"/>
    <s v="Polyantha Roses"/>
    <s v="110CM"/>
    <n v="1"/>
    <n v="9.6000000000000014"/>
    <n v="160"/>
    <n v="0.15"/>
    <n v="24"/>
    <s v="EUR"/>
    <m/>
    <m/>
    <x v="9"/>
    <n v="120"/>
    <x v="3"/>
    <x v="6"/>
    <n v="40"/>
    <n v="1.27"/>
    <n v="50.8"/>
    <n v="-1.5383203124999998"/>
    <n v="49.261679687499999"/>
    <x v="9"/>
    <n v="-120"/>
    <m/>
    <s v="F077417"/>
    <n v="28.813375000000008"/>
    <m/>
    <n v="0.8"/>
    <m/>
    <n v="29.613375000000008"/>
    <n v="19.648304687499991"/>
    <m/>
    <n v="40"/>
  </r>
  <r>
    <n v="1"/>
    <n v="2023"/>
    <s v="Auction"/>
    <s v="VROLIJK BLOEMEN"/>
    <s v="VROLIJK BLOEMEN"/>
    <x v="43"/>
    <s v="English Roses"/>
    <s v="110CM"/>
    <m/>
    <n v="2.4000000000000004"/>
    <n v="40"/>
    <n v="0.15"/>
    <n v="6"/>
    <s v="EUR"/>
    <m/>
    <m/>
    <x v="9"/>
    <n v="40"/>
    <x v="1"/>
    <x v="6"/>
    <m/>
    <m/>
    <n v="0"/>
    <n v="0"/>
    <n v="0"/>
    <x v="9"/>
    <n v="-40"/>
    <m/>
    <s v="F077417"/>
    <n v="7.2033437500000019"/>
    <m/>
    <n v="0"/>
    <m/>
    <n v="7.2033437500000019"/>
    <n v="-7.2033437500000019"/>
    <m/>
    <n v="0"/>
  </r>
  <r>
    <n v="1"/>
    <n v="2023"/>
    <s v="Auction"/>
    <s v="VROLIJK BLOEMEN"/>
    <s v="VROLIJK BLOEMEN"/>
    <x v="43"/>
    <s v="English Roses"/>
    <s v="110CM"/>
    <n v="1"/>
    <n v="3"/>
    <n v="40"/>
    <n v="0.15"/>
    <n v="6"/>
    <s v="EUR"/>
    <m/>
    <m/>
    <x v="9"/>
    <n v="-160"/>
    <x v="1"/>
    <x v="6"/>
    <n v="200"/>
    <n v="0.64400000000000002"/>
    <n v="128.80000000000001"/>
    <n v="-7.6916015624999989"/>
    <n v="121.10839843750001"/>
    <x v="9"/>
    <n v="160"/>
    <m/>
    <s v="F077417"/>
    <n v="9.0041796875000006"/>
    <m/>
    <n v="4"/>
    <m/>
    <n v="13.004179687500001"/>
    <n v="108.10421875000002"/>
    <m/>
    <n v="200"/>
  </r>
  <r>
    <n v="1"/>
    <n v="2023"/>
    <s v="Auction"/>
    <s v="VROLIJK BLOEMEN"/>
    <s v="VROLIJK BLOEMEN"/>
    <x v="43"/>
    <s v="Floribunda Roses"/>
    <s v="110CM"/>
    <m/>
    <n v="9"/>
    <n v="120"/>
    <n v="0.15"/>
    <n v="18"/>
    <s v="EUR"/>
    <m/>
    <m/>
    <x v="9"/>
    <n v="120"/>
    <x v="2"/>
    <x v="6"/>
    <m/>
    <m/>
    <n v="0"/>
    <n v="0"/>
    <n v="0"/>
    <x v="9"/>
    <n v="-120"/>
    <m/>
    <s v="F077417"/>
    <n v="27.012539062500004"/>
    <m/>
    <n v="0"/>
    <m/>
    <n v="27.012539062500004"/>
    <n v="-27.012539062500004"/>
    <m/>
    <n v="0"/>
  </r>
  <r>
    <n v="1"/>
    <n v="2023"/>
    <s v="Auction"/>
    <s v="VROLIJK BLOEMEN"/>
    <s v="VROLIJK BLOEMEN"/>
    <x v="43"/>
    <s v="Floribunda Roses"/>
    <s v="90CM"/>
    <n v="1"/>
    <n v="2.4000000000000004"/>
    <n v="40"/>
    <n v="0.15"/>
    <n v="6"/>
    <s v="EUR"/>
    <m/>
    <m/>
    <x v="9"/>
    <n v="40"/>
    <x v="2"/>
    <x v="3"/>
    <m/>
    <m/>
    <n v="0"/>
    <n v="0"/>
    <n v="0"/>
    <x v="9"/>
    <n v="-40"/>
    <m/>
    <s v="F077417"/>
    <n v="7.2033437500000019"/>
    <m/>
    <n v="0"/>
    <m/>
    <n v="7.2033437500000019"/>
    <n v="-7.2033437500000019"/>
    <m/>
    <n v="0"/>
  </r>
  <r>
    <n v="1"/>
    <n v="2023"/>
    <s v="Auction"/>
    <s v="VROLIJK BLOEMEN"/>
    <s v="VROLIJK BLOEMEN"/>
    <x v="43"/>
    <s v="Polyantha Roses"/>
    <s v="90CM"/>
    <m/>
    <n v="9.6000000000000014"/>
    <n v="160"/>
    <n v="0.15"/>
    <n v="24"/>
    <s v="EUR"/>
    <m/>
    <m/>
    <x v="9"/>
    <n v="0"/>
    <x v="3"/>
    <x v="3"/>
    <n v="160"/>
    <n v="0.97249999999999992"/>
    <n v="155.6"/>
    <n v="-6.1532812499999991"/>
    <n v="149.44671875"/>
    <x v="9"/>
    <n v="0"/>
    <m/>
    <s v="F077417"/>
    <n v="28.813375000000008"/>
    <m/>
    <n v="3.2"/>
    <m/>
    <n v="32.013375000000011"/>
    <n v="117.43334374999999"/>
    <m/>
    <n v="160"/>
  </r>
  <r>
    <n v="1"/>
    <n v="2023"/>
    <s v="Auction"/>
    <s v="VROLIJK BLOEMEN"/>
    <s v="VROLIJK BLOEMEN"/>
    <x v="43"/>
    <s v="English Roses"/>
    <s v="90CM"/>
    <n v="1"/>
    <n v="8"/>
    <n v="160"/>
    <n v="0.15"/>
    <n v="24"/>
    <s v="EUR"/>
    <m/>
    <m/>
    <x v="9"/>
    <n v="-240"/>
    <x v="1"/>
    <x v="3"/>
    <n v="400"/>
    <n v="0.29699999999999999"/>
    <n v="118.8"/>
    <n v="-15.383203124999998"/>
    <n v="103.416796875"/>
    <x v="9"/>
    <n v="240"/>
    <m/>
    <s v="F077417"/>
    <n v="24.011145833333334"/>
    <m/>
    <n v="8"/>
    <m/>
    <n v="32.01114583333333"/>
    <n v="71.405651041666673"/>
    <m/>
    <n v="400"/>
  </r>
  <r>
    <n v="1"/>
    <n v="2023"/>
    <s v="Auction"/>
    <s v="VROLIJK BLOEMEN"/>
    <s v="VROLIJK BLOEMEN"/>
    <x v="43"/>
    <s v="English Roses"/>
    <s v="70CM"/>
    <m/>
    <n v="4"/>
    <n v="80"/>
    <n v="0.15"/>
    <n v="12"/>
    <s v="EUR"/>
    <m/>
    <m/>
    <x v="9"/>
    <n v="0"/>
    <x v="1"/>
    <x v="1"/>
    <n v="80"/>
    <n v="0.25"/>
    <n v="20"/>
    <n v="-3.0766406249999996"/>
    <n v="16.923359375"/>
    <x v="9"/>
    <n v="0"/>
    <m/>
    <s v="F077417"/>
    <n v="12.005572916666667"/>
    <m/>
    <n v="1.6"/>
    <m/>
    <n v="13.605572916666667"/>
    <n v="3.3177864583333339"/>
    <m/>
    <n v="80"/>
  </r>
  <r>
    <n v="1"/>
    <n v="2023"/>
    <s v="Auction"/>
    <s v="VROLIJK BLOEMEN"/>
    <s v="VROLIJK BLOEMEN"/>
    <x v="43"/>
    <s v="English Roses"/>
    <s v="100CM"/>
    <n v="1"/>
    <n v="4.8000000000000007"/>
    <n v="80"/>
    <n v="0.15"/>
    <n v="12"/>
    <s v="EUR"/>
    <m/>
    <m/>
    <x v="9"/>
    <n v="-160"/>
    <x v="1"/>
    <x v="4"/>
    <n v="240"/>
    <n v="0.52"/>
    <n v="124.80000000000001"/>
    <n v="-9.2299218749999987"/>
    <n v="115.57007812500001"/>
    <x v="9"/>
    <n v="160"/>
    <m/>
    <s v="F077417"/>
    <n v="14.406687500000004"/>
    <m/>
    <n v="4.8"/>
    <m/>
    <n v="19.206687500000005"/>
    <n v="96.363390625000008"/>
    <m/>
    <n v="240"/>
  </r>
  <r>
    <n v="1"/>
    <n v="2023"/>
    <s v="Auction"/>
    <s v="VROLIJK BLOEMEN"/>
    <s v="VROLIJK BLOEMEN"/>
    <x v="43"/>
    <s v="Miniature Roses"/>
    <s v="90CM"/>
    <m/>
    <n v="2.4000000000000004"/>
    <n v="40"/>
    <n v="0.15"/>
    <n v="6"/>
    <s v="EUR"/>
    <m/>
    <m/>
    <x v="9"/>
    <n v="0"/>
    <x v="6"/>
    <x v="3"/>
    <n v="40"/>
    <n v="0.89"/>
    <n v="35.6"/>
    <n v="-1.5383203124999998"/>
    <n v="34.061679687500003"/>
    <x v="9"/>
    <n v="0"/>
    <m/>
    <s v="F077417"/>
    <n v="7.2033437500000019"/>
    <m/>
    <n v="0.8"/>
    <m/>
    <n v="8.0033437500000026"/>
    <n v="26.058335937500001"/>
    <m/>
    <n v="40"/>
  </r>
  <r>
    <n v="1"/>
    <n v="2023"/>
    <s v="Auction"/>
    <s v="VROLIJK BLOEMEN"/>
    <s v="VROLIJK BLOEMEN"/>
    <x v="43"/>
    <s v="Miniature Roses"/>
    <s v="70CM"/>
    <m/>
    <n v="4.8000000000000007"/>
    <n v="80"/>
    <n v="0.15"/>
    <n v="12"/>
    <s v="EUR"/>
    <m/>
    <m/>
    <x v="9"/>
    <n v="0"/>
    <x v="6"/>
    <x v="1"/>
    <n v="80"/>
    <n v="0.875"/>
    <n v="70"/>
    <n v="-3.0766406249999996"/>
    <n v="66.923359375000004"/>
    <x v="9"/>
    <n v="0"/>
    <m/>
    <s v="F077417"/>
    <n v="14.406687500000004"/>
    <m/>
    <n v="1.6"/>
    <m/>
    <n v="16.006687500000005"/>
    <n v="50.916671874999999"/>
    <m/>
    <n v="80"/>
  </r>
  <r>
    <m/>
    <m/>
    <m/>
    <m/>
    <m/>
    <x v="9"/>
    <s v="Polyantha Roses"/>
    <s v="100CM"/>
    <m/>
    <m/>
    <m/>
    <m/>
    <m/>
    <m/>
    <m/>
    <m/>
    <x v="9"/>
    <n v="-160"/>
    <x v="3"/>
    <x v="4"/>
    <n v="160"/>
    <n v="1.2675000000000001"/>
    <n v="202.8"/>
    <n v="-6.1532812499999991"/>
    <n v="196.64671875000002"/>
    <x v="9"/>
    <n v="160"/>
    <m/>
    <s v="F077417"/>
    <n v="0"/>
    <m/>
    <n v="3.2"/>
    <m/>
    <n v="3.2"/>
    <n v="193.44671875000003"/>
    <m/>
    <n v="160"/>
  </r>
  <r>
    <n v="12"/>
    <n v="2024"/>
    <s v="Auction"/>
    <s v="VROLIJK BLOEMEN"/>
    <s v="VROLIJK BLOEMEN"/>
    <x v="44"/>
    <s v="Floribunda Roses"/>
    <s v="50CM"/>
    <n v="3"/>
    <n v="36"/>
    <n v="2280"/>
    <n v="0.38"/>
    <n v="866.4"/>
    <s v="EUR"/>
    <m/>
    <m/>
    <x v="11"/>
    <n v="-360"/>
    <x v="2"/>
    <x v="5"/>
    <n v="2640"/>
    <n v="0.24181818181818182"/>
    <n v="638.4"/>
    <n v="-93.300171919770719"/>
    <n v="545.09982808022926"/>
    <x v="11"/>
    <n v="360"/>
    <m/>
    <n v="433588"/>
    <n v="122.52100000000002"/>
    <m/>
    <n v="52.800000000000004"/>
    <m/>
    <n v="175.32100000000003"/>
    <n v="369.77882808022923"/>
    <m/>
    <n v="2640"/>
  </r>
  <r>
    <n v="12"/>
    <n v="2024"/>
    <s v="Auction"/>
    <s v="VROLIJK BLOEMEN"/>
    <s v="VROLIJK BLOEMEN"/>
    <x v="44"/>
    <s v="Floribunda Roses"/>
    <s v="60CM"/>
    <n v="5"/>
    <n v="60"/>
    <n v="2600"/>
    <n v="0.47"/>
    <n v="1222"/>
    <s v="EUR"/>
    <m/>
    <m/>
    <x v="11"/>
    <n v="40"/>
    <x v="2"/>
    <x v="0"/>
    <n v="2560"/>
    <n v="0.38921875"/>
    <n v="996.4"/>
    <n v="-90.47289398280796"/>
    <n v="905.92710601719205"/>
    <x v="11"/>
    <n v="-40"/>
    <m/>
    <n v="433588"/>
    <n v="204.20166666666665"/>
    <m/>
    <n v="51.2"/>
    <m/>
    <n v="255.40166666666664"/>
    <n v="650.5254393505254"/>
    <m/>
    <n v="2560"/>
  </r>
  <r>
    <n v="12"/>
    <n v="2024"/>
    <s v="Auction"/>
    <s v="VROLIJK BLOEMEN"/>
    <s v="VROLIJK BLOEMEN"/>
    <x v="44"/>
    <s v="Floribunda Roses"/>
    <s v="70CM"/>
    <n v="3"/>
    <n v="36"/>
    <n v="1200"/>
    <n v="0.52"/>
    <n v="624"/>
    <s v="EUR"/>
    <m/>
    <m/>
    <x v="11"/>
    <n v="-320"/>
    <x v="2"/>
    <x v="1"/>
    <n v="1520"/>
    <n v="0.55763157894736848"/>
    <n v="847.60000000000014"/>
    <n v="-53.718280802292227"/>
    <n v="793.88171919770787"/>
    <x v="11"/>
    <n v="320"/>
    <m/>
    <n v="433588"/>
    <n v="122.52100000000002"/>
    <m/>
    <n v="30.400000000000002"/>
    <m/>
    <n v="152.92100000000002"/>
    <n v="640.96071919770782"/>
    <m/>
    <n v="1520"/>
  </r>
  <r>
    <n v="12"/>
    <n v="2024"/>
    <s v="Auction"/>
    <s v="VROLIJK BLOEMEN"/>
    <s v="VROLIJK BLOEMEN"/>
    <x v="44"/>
    <s v="Floribunda Roses"/>
    <s v="70CM"/>
    <n v="1"/>
    <n v="12"/>
    <n v="320"/>
    <n v="0.52"/>
    <n v="166.4"/>
    <s v="EUR"/>
    <m/>
    <m/>
    <x v="11"/>
    <n v="320"/>
    <x v="2"/>
    <x v="1"/>
    <m/>
    <m/>
    <n v="0"/>
    <n v="0"/>
    <n v="0"/>
    <x v="11"/>
    <n v="-320"/>
    <m/>
    <n v="433588"/>
    <n v="40.840333333333334"/>
    <m/>
    <n v="0"/>
    <m/>
    <n v="40.840333333333334"/>
    <n v="-40.840333333333334"/>
    <m/>
    <n v="0"/>
  </r>
  <r>
    <n v="12"/>
    <n v="2024"/>
    <s v="Auction"/>
    <s v="VROLIJK BLOEMEN"/>
    <s v="VROLIJK BLOEMEN"/>
    <x v="44"/>
    <s v="Floribunda Roses"/>
    <s v="80CM"/>
    <n v="1"/>
    <n v="12"/>
    <n v="320"/>
    <n v="0.56999999999999995"/>
    <n v="182.4"/>
    <s v="EUR"/>
    <m/>
    <m/>
    <x v="11"/>
    <n v="-40"/>
    <x v="2"/>
    <x v="2"/>
    <n v="360"/>
    <n v="0.3066666666666667"/>
    <n v="110.4"/>
    <n v="-12.722750716332371"/>
    <n v="97.677249283667635"/>
    <x v="11"/>
    <n v="40"/>
    <m/>
    <n v="433588"/>
    <n v="40.840333333333334"/>
    <m/>
    <n v="7.2"/>
    <m/>
    <n v="48.040333333333336"/>
    <n v="49.636915950334298"/>
    <m/>
    <n v="360"/>
  </r>
  <r>
    <n v="12"/>
    <n v="2024"/>
    <s v="Auction"/>
    <s v="VROLIJK BLOEMEN"/>
    <s v="VROLIJK BLOEMEN"/>
    <x v="44"/>
    <s v="Floribunda Roses"/>
    <s v="90CM"/>
    <n v="1"/>
    <n v="12"/>
    <n v="240"/>
    <n v="0.75"/>
    <n v="180"/>
    <s v="EUR"/>
    <m/>
    <m/>
    <x v="11"/>
    <n v="-80"/>
    <x v="2"/>
    <x v="3"/>
    <n v="320"/>
    <n v="0.57125000000000004"/>
    <n v="182.8"/>
    <n v="-11.309111747850995"/>
    <n v="171.49088825214901"/>
    <x v="11"/>
    <n v="80"/>
    <m/>
    <n v="433588"/>
    <n v="40.840333333333334"/>
    <m/>
    <n v="6.4"/>
    <m/>
    <n v="47.240333333333332"/>
    <n v="124.25055491881568"/>
    <m/>
    <n v="320"/>
  </r>
  <r>
    <n v="12"/>
    <n v="2024"/>
    <s v="Auction"/>
    <s v="VROLIJK BLOEMEN"/>
    <s v="VROLIJK BLOEMEN"/>
    <x v="44"/>
    <s v="Floribunda Roses"/>
    <s v="100CM"/>
    <n v="1"/>
    <n v="12"/>
    <n v="200"/>
    <n v="0.94"/>
    <n v="188"/>
    <s v="EUR"/>
    <m/>
    <m/>
    <x v="11"/>
    <n v="0"/>
    <x v="2"/>
    <x v="4"/>
    <n v="200"/>
    <n v="0.77200000000000002"/>
    <n v="154.4"/>
    <n v="-7.0681948424068723"/>
    <n v="147.33180515759312"/>
    <x v="11"/>
    <n v="0"/>
    <m/>
    <n v="433588"/>
    <n v="40.840333333333334"/>
    <m/>
    <n v="4"/>
    <m/>
    <n v="44.840333333333334"/>
    <n v="102.49147182425979"/>
    <m/>
    <n v="200"/>
  </r>
  <r>
    <n v="12"/>
    <n v="2024"/>
    <s v="Auction"/>
    <s v="VROLIJK BLOEMEN"/>
    <s v="VROLIJK BLOEMEN"/>
    <x v="44"/>
    <s v="English Roses"/>
    <s v="50CM"/>
    <n v="1"/>
    <n v="12"/>
    <n v="600"/>
    <n v="0.38"/>
    <n v="228"/>
    <s v="EUR"/>
    <m/>
    <m/>
    <x v="11"/>
    <n v="-120"/>
    <x v="1"/>
    <x v="5"/>
    <n v="720"/>
    <n v="0.24555555555555558"/>
    <n v="176.8"/>
    <n v="-25.445501432664742"/>
    <n v="151.35449856733527"/>
    <x v="11"/>
    <n v="120"/>
    <m/>
    <n v="433588"/>
    <n v="40.840333333333334"/>
    <m/>
    <n v="14.4"/>
    <m/>
    <n v="55.240333333333332"/>
    <n v="96.114165234001945"/>
    <m/>
    <n v="720"/>
  </r>
  <r>
    <n v="12"/>
    <n v="2024"/>
    <s v="Auction"/>
    <s v="VROLIJK BLOEMEN"/>
    <s v="VROLIJK BLOEMEN"/>
    <x v="44"/>
    <s v="English Roses"/>
    <s v="60CM"/>
    <n v="1"/>
    <n v="12"/>
    <n v="480"/>
    <n v="0.47"/>
    <n v="225.6"/>
    <s v="EUR"/>
    <m/>
    <m/>
    <x v="11"/>
    <n v="-160"/>
    <x v="1"/>
    <x v="0"/>
    <n v="640"/>
    <n v="0.44124999999999998"/>
    <n v="282.39999999999998"/>
    <n v="-22.61822349570199"/>
    <n v="259.78177650429797"/>
    <x v="11"/>
    <n v="160"/>
    <m/>
    <n v="433588"/>
    <n v="40.840333333333334"/>
    <m/>
    <n v="12.8"/>
    <m/>
    <n v="53.640333333333331"/>
    <n v="206.14144317096464"/>
    <m/>
    <n v="640"/>
  </r>
  <r>
    <n v="12"/>
    <n v="2024"/>
    <s v="Auction"/>
    <s v="VROLIJK BLOEMEN"/>
    <s v="VROLIJK BLOEMEN"/>
    <x v="44"/>
    <s v="English Roses"/>
    <s v="70CM"/>
    <n v="1"/>
    <n v="12"/>
    <n v="400"/>
    <n v="0.52"/>
    <n v="208"/>
    <s v="EUR"/>
    <m/>
    <m/>
    <x v="11"/>
    <n v="-240"/>
    <x v="1"/>
    <x v="1"/>
    <n v="640"/>
    <n v="0.64249999999999996"/>
    <n v="411.2"/>
    <n v="-22.61822349570199"/>
    <n v="388.58177650429798"/>
    <x v="11"/>
    <n v="240"/>
    <m/>
    <n v="433588"/>
    <n v="40.840333333333334"/>
    <m/>
    <n v="12.8"/>
    <m/>
    <n v="53.640333333333331"/>
    <n v="334.94144317096465"/>
    <m/>
    <n v="640"/>
  </r>
  <r>
    <n v="12"/>
    <n v="2024"/>
    <s v="Auction"/>
    <s v="VROLIJK BLOEMEN"/>
    <s v="VROLIJK BLOEMEN"/>
    <x v="44"/>
    <s v="English Roses"/>
    <s v="70CM"/>
    <n v="1"/>
    <n v="12"/>
    <n v="320"/>
    <n v="0.52"/>
    <n v="166.4"/>
    <s v="EUR"/>
    <m/>
    <m/>
    <x v="11"/>
    <n v="320"/>
    <x v="1"/>
    <x v="1"/>
    <m/>
    <m/>
    <n v="0"/>
    <n v="0"/>
    <n v="0"/>
    <x v="11"/>
    <n v="-320"/>
    <m/>
    <n v="433588"/>
    <n v="40.840333333333334"/>
    <m/>
    <n v="0"/>
    <m/>
    <n v="40.840333333333334"/>
    <n v="-40.840333333333334"/>
    <m/>
    <n v="0"/>
  </r>
  <r>
    <n v="12"/>
    <n v="2024"/>
    <s v="Auction"/>
    <s v="VROLIJK BLOEMEN"/>
    <s v="VROLIJK BLOEMEN"/>
    <x v="44"/>
    <s v="English Roses"/>
    <s v="90CM"/>
    <n v="1"/>
    <n v="12"/>
    <n v="200"/>
    <n v="0.75"/>
    <n v="150"/>
    <s v="EUR"/>
    <m/>
    <m/>
    <x v="11"/>
    <n v="-80"/>
    <x v="1"/>
    <x v="3"/>
    <n v="280"/>
    <n v="0.55857142857142861"/>
    <n v="156.4"/>
    <n v="-9.8954727793696211"/>
    <n v="146.50452722063039"/>
    <x v="11"/>
    <n v="80"/>
    <m/>
    <n v="433588"/>
    <n v="40.840333333333334"/>
    <m/>
    <n v="5.6000000000000005"/>
    <m/>
    <n v="46.440333333333335"/>
    <n v="100.06419388729705"/>
    <m/>
    <n v="280"/>
  </r>
  <r>
    <n v="12"/>
    <n v="2024"/>
    <s v="Auction"/>
    <s v="VROLIJK BLOEMEN"/>
    <s v="VROLIJK BLOEMEN"/>
    <x v="44"/>
    <s v="English Roses"/>
    <s v="100CM"/>
    <n v="1"/>
    <n v="12"/>
    <n v="160"/>
    <n v="0.94"/>
    <n v="150.4"/>
    <s v="EUR"/>
    <m/>
    <m/>
    <x v="11"/>
    <n v="-40"/>
    <x v="1"/>
    <x v="4"/>
    <n v="200"/>
    <n v="0.70599999999999996"/>
    <n v="141.19999999999999"/>
    <n v="-7.0681948424068723"/>
    <n v="134.13180515759311"/>
    <x v="11"/>
    <n v="40"/>
    <m/>
    <n v="433588"/>
    <n v="40.840333333333334"/>
    <m/>
    <n v="4"/>
    <m/>
    <n v="44.840333333333334"/>
    <n v="89.291471824259773"/>
    <m/>
    <n v="200"/>
  </r>
  <r>
    <n v="12"/>
    <n v="2024"/>
    <s v="Auction"/>
    <s v="VROLIJK BLOEMEN"/>
    <s v="VROLIJK BLOEMEN"/>
    <x v="44"/>
    <s v="Grandiflora Roses"/>
    <s v="50CM"/>
    <n v="1"/>
    <n v="12"/>
    <n v="1000"/>
    <n v="0.14000000000000001"/>
    <n v="140"/>
    <s v="EUR"/>
    <m/>
    <m/>
    <x v="11"/>
    <n v="-40"/>
    <x v="0"/>
    <x v="5"/>
    <n v="1040"/>
    <n v="0.21269230769230768"/>
    <n v="221.2"/>
    <n v="-36.754613180515733"/>
    <n v="184.44538681948427"/>
    <x v="11"/>
    <n v="40"/>
    <m/>
    <n v="433588"/>
    <n v="40.840333333333334"/>
    <m/>
    <n v="20.8"/>
    <m/>
    <n v="61.640333333333331"/>
    <n v="122.80505348615094"/>
    <m/>
    <n v="1040"/>
  </r>
  <r>
    <n v="12"/>
    <n v="2024"/>
    <s v="Auction"/>
    <s v="VROLIJK BLOEMEN"/>
    <s v="VROLIJK BLOEMEN"/>
    <x v="44"/>
    <s v="Grandiflora Roses"/>
    <s v="60CM"/>
    <n v="1"/>
    <n v="12"/>
    <n v="720"/>
    <n v="0.24"/>
    <n v="172.8"/>
    <s v="EUR"/>
    <m/>
    <m/>
    <x v="11"/>
    <n v="-80"/>
    <x v="0"/>
    <x v="0"/>
    <n v="800"/>
    <n v="0.28999999999999998"/>
    <n v="231.99999999999997"/>
    <n v="-28.272779369627489"/>
    <n v="203.72722063037247"/>
    <x v="11"/>
    <n v="80"/>
    <m/>
    <n v="433588"/>
    <n v="40.840333333333334"/>
    <m/>
    <n v="16"/>
    <m/>
    <n v="56.840333333333334"/>
    <n v="146.88688729703915"/>
    <m/>
    <n v="800"/>
  </r>
  <r>
    <n v="12"/>
    <n v="2024"/>
    <s v="Auction"/>
    <s v="VROLIJK BLOEMEN"/>
    <s v="VROLIJK BLOEMEN"/>
    <x v="44"/>
    <s v="Grandiflora Roses"/>
    <s v="70CM"/>
    <n v="1"/>
    <n v="12"/>
    <n v="440"/>
    <n v="0.28000000000000003"/>
    <n v="123.2"/>
    <s v="EUR"/>
    <m/>
    <m/>
    <x v="11"/>
    <n v="-720"/>
    <x v="0"/>
    <x v="1"/>
    <n v="1160"/>
    <n v="0.39620689655172414"/>
    <n v="459.6"/>
    <n v="-40.995530085959857"/>
    <n v="418.60446991404018"/>
    <x v="11"/>
    <n v="720"/>
    <m/>
    <n v="433588"/>
    <n v="40.840333333333334"/>
    <m/>
    <n v="23.2"/>
    <m/>
    <n v="64.040333333333336"/>
    <n v="354.56413658070687"/>
    <m/>
    <n v="1160"/>
  </r>
  <r>
    <n v="12"/>
    <n v="2024"/>
    <s v="Auction"/>
    <s v="VROLIJK BLOEMEN"/>
    <s v="VROLIJK BLOEMEN"/>
    <x v="44"/>
    <s v="Grandiflora Roses"/>
    <s v="70CM"/>
    <n v="1"/>
    <n v="12"/>
    <n v="520"/>
    <n v="0.28000000000000003"/>
    <n v="145.6"/>
    <s v="EUR"/>
    <m/>
    <m/>
    <x v="11"/>
    <n v="520"/>
    <x v="0"/>
    <x v="1"/>
    <m/>
    <m/>
    <n v="0"/>
    <n v="0"/>
    <n v="0"/>
    <x v="11"/>
    <n v="-520"/>
    <m/>
    <n v="433588"/>
    <n v="40.840333333333334"/>
    <m/>
    <n v="0"/>
    <m/>
    <n v="40.840333333333334"/>
    <n v="-40.840333333333334"/>
    <m/>
    <n v="0"/>
  </r>
  <r>
    <n v="12"/>
    <n v="2024"/>
    <s v="Auction"/>
    <s v="VROLIJK BLOEMEN"/>
    <s v="VROLIJK BLOEMEN"/>
    <x v="44"/>
    <s v="Grandiflora Roses"/>
    <s v="90CM"/>
    <n v="1"/>
    <n v="12"/>
    <n v="320"/>
    <n v="0.38"/>
    <n v="121.6"/>
    <s v="EUR"/>
    <m/>
    <m/>
    <x v="11"/>
    <n v="0"/>
    <x v="0"/>
    <x v="3"/>
    <n v="320"/>
    <n v="0.57250000000000001"/>
    <n v="183.2"/>
    <n v="-11.309111747850995"/>
    <n v="171.89088825214898"/>
    <x v="11"/>
    <n v="0"/>
    <m/>
    <n v="433588"/>
    <n v="40.840333333333334"/>
    <m/>
    <n v="6.4"/>
    <m/>
    <n v="47.240333333333332"/>
    <n v="124.65055491881566"/>
    <m/>
    <n v="320"/>
  </r>
  <r>
    <n v="12"/>
    <n v="2024"/>
    <s v="Auction"/>
    <s v="VROLIJK BLOEMEN"/>
    <s v="VROLIJK BLOEMEN"/>
    <x v="44"/>
    <s v="English Roses"/>
    <s v="60CM"/>
    <n v="1"/>
    <n v="7.5"/>
    <n v="200"/>
    <n v="0.47"/>
    <n v="94"/>
    <s v="EUR"/>
    <m/>
    <m/>
    <x v="11"/>
    <n v="200"/>
    <x v="1"/>
    <x v="0"/>
    <m/>
    <m/>
    <n v="0"/>
    <n v="0"/>
    <n v="0"/>
    <x v="11"/>
    <n v="-200"/>
    <m/>
    <n v="433588"/>
    <n v="25.525208333333332"/>
    <m/>
    <n v="0"/>
    <m/>
    <n v="25.525208333333332"/>
    <n v="-25.525208333333332"/>
    <m/>
    <n v="0"/>
  </r>
  <r>
    <n v="12"/>
    <n v="2024"/>
    <s v="Auction"/>
    <s v="VROLIJK BLOEMEN"/>
    <s v="VROLIJK BLOEMEN"/>
    <x v="44"/>
    <s v="English Roses"/>
    <s v="90CM"/>
    <m/>
    <n v="3"/>
    <n v="80"/>
    <n v="0.75"/>
    <n v="60"/>
    <s v="EUR"/>
    <m/>
    <m/>
    <x v="11"/>
    <n v="80"/>
    <x v="1"/>
    <x v="3"/>
    <m/>
    <m/>
    <n v="0"/>
    <n v="0"/>
    <n v="0"/>
    <x v="11"/>
    <n v="-80"/>
    <m/>
    <n v="433588"/>
    <n v="10.210083333333333"/>
    <m/>
    <n v="0"/>
    <m/>
    <n v="10.210083333333333"/>
    <n v="-10.210083333333333"/>
    <m/>
    <n v="0"/>
  </r>
  <r>
    <n v="12"/>
    <n v="2024"/>
    <s v="Auction"/>
    <s v="VROLIJK BLOEMEN"/>
    <s v="VROLIJK BLOEMEN"/>
    <x v="44"/>
    <s v="English Roses"/>
    <s v="100CM"/>
    <m/>
    <n v="1.5"/>
    <n v="40"/>
    <n v="0.94"/>
    <n v="37.6"/>
    <s v="EUR"/>
    <m/>
    <m/>
    <x v="11"/>
    <n v="40"/>
    <x v="1"/>
    <x v="4"/>
    <m/>
    <m/>
    <n v="0"/>
    <n v="0"/>
    <n v="0"/>
    <x v="11"/>
    <n v="-40"/>
    <m/>
    <n v="433588"/>
    <n v="5.1050416666666667"/>
    <m/>
    <n v="0"/>
    <m/>
    <n v="5.1050416666666667"/>
    <n v="-5.1050416666666667"/>
    <m/>
    <n v="0"/>
  </r>
  <r>
    <n v="12"/>
    <n v="2024"/>
    <s v="Auction"/>
    <s v="VROLIJK BLOEMEN"/>
    <s v="VROLIJK BLOEMEN"/>
    <x v="44"/>
    <s v="Grandiflora Roses"/>
    <s v="60CM"/>
    <n v="1"/>
    <n v="3.2727272727272725"/>
    <n v="120"/>
    <n v="0.24"/>
    <n v="28.8"/>
    <s v="EUR"/>
    <m/>
    <m/>
    <x v="11"/>
    <n v="120"/>
    <x v="0"/>
    <x v="0"/>
    <m/>
    <m/>
    <n v="0"/>
    <n v="0"/>
    <n v="0"/>
    <x v="11"/>
    <n v="-120"/>
    <m/>
    <n v="433588"/>
    <n v="11.138272727272726"/>
    <m/>
    <n v="0"/>
    <m/>
    <n v="11.138272727272726"/>
    <n v="-11.138272727272726"/>
    <m/>
    <n v="0"/>
  </r>
  <r>
    <n v="12"/>
    <n v="2024"/>
    <s v="Auction"/>
    <s v="VROLIJK BLOEMEN"/>
    <s v="VROLIJK BLOEMEN"/>
    <x v="44"/>
    <s v="Grandiflora Roses"/>
    <s v="70CM"/>
    <m/>
    <n v="5.4545454545454541"/>
    <n v="200"/>
    <n v="0.28000000000000003"/>
    <n v="56"/>
    <s v="EUR"/>
    <m/>
    <m/>
    <x v="11"/>
    <n v="200"/>
    <x v="0"/>
    <x v="1"/>
    <m/>
    <m/>
    <n v="0"/>
    <n v="0"/>
    <n v="0"/>
    <x v="11"/>
    <n v="-200"/>
    <m/>
    <n v="433588"/>
    <n v="18.563787878787878"/>
    <m/>
    <n v="0"/>
    <m/>
    <n v="18.563787878787878"/>
    <n v="-18.563787878787878"/>
    <m/>
    <n v="0"/>
  </r>
  <r>
    <n v="12"/>
    <n v="2024"/>
    <s v="Auction"/>
    <s v="VROLIJK BLOEMEN"/>
    <s v="VROLIJK BLOEMEN"/>
    <x v="44"/>
    <s v="Grandiflora Roses"/>
    <s v="100CM"/>
    <m/>
    <n v="3.2727272727272725"/>
    <n v="120"/>
    <n v="0.47"/>
    <n v="56.4"/>
    <s v="EUR"/>
    <m/>
    <m/>
    <x v="11"/>
    <n v="0"/>
    <x v="0"/>
    <x v="4"/>
    <n v="120"/>
    <n v="0.53999999999999992"/>
    <n v="64.8"/>
    <n v="-4.2409169054441236"/>
    <n v="60.559083094555874"/>
    <x v="11"/>
    <n v="0"/>
    <m/>
    <n v="433588"/>
    <n v="11.138272727272726"/>
    <m/>
    <n v="2.4"/>
    <m/>
    <n v="13.538272727272727"/>
    <n v="47.020810367283147"/>
    <m/>
    <n v="120"/>
  </r>
  <r>
    <n v="12"/>
    <n v="2024"/>
    <s v="Auction"/>
    <s v="VROLIJK BLOEMEN"/>
    <s v="VROLIJK BLOEMEN"/>
    <x v="44"/>
    <s v="Polyantha Roses"/>
    <s v="50CM"/>
    <n v="1"/>
    <n v="2.1818181818181817"/>
    <n v="80"/>
    <n v="0.42"/>
    <n v="33.6"/>
    <s v="EUR"/>
    <m/>
    <m/>
    <x v="11"/>
    <n v="0"/>
    <x v="3"/>
    <x v="5"/>
    <n v="80"/>
    <n v="0.22000000000000003"/>
    <n v="17.600000000000001"/>
    <n v="-2.8272779369627488"/>
    <n v="14.772722063037254"/>
    <x v="11"/>
    <n v="0"/>
    <m/>
    <n v="433588"/>
    <n v="7.4255151515151505"/>
    <m/>
    <n v="1.6"/>
    <m/>
    <n v="9.025515151515151"/>
    <n v="5.7472069115221025"/>
    <m/>
    <n v="80"/>
  </r>
  <r>
    <n v="12"/>
    <n v="2024"/>
    <s v="Auction"/>
    <s v="VROLIJK BLOEMEN"/>
    <s v="VROLIJK BLOEMEN"/>
    <x v="44"/>
    <s v="Polyantha Roses"/>
    <s v="60CM"/>
    <m/>
    <n v="5.4545454545454541"/>
    <n v="200"/>
    <n v="0.52"/>
    <n v="104"/>
    <s v="EUR"/>
    <m/>
    <m/>
    <x v="11"/>
    <n v="0"/>
    <x v="3"/>
    <x v="0"/>
    <n v="200"/>
    <n v="0.51"/>
    <n v="102"/>
    <n v="-7.0681948424068723"/>
    <n v="94.931805157593132"/>
    <x v="11"/>
    <n v="0"/>
    <m/>
    <n v="433588"/>
    <n v="18.563787878787878"/>
    <m/>
    <n v="4"/>
    <m/>
    <n v="22.563787878787878"/>
    <n v="72.368017278805254"/>
    <m/>
    <n v="200"/>
  </r>
  <r>
    <n v="12"/>
    <n v="2024"/>
    <s v="Auction"/>
    <s v="VROLIJK BLOEMEN"/>
    <s v="VROLIJK BLOEMEN"/>
    <x v="44"/>
    <s v="Polyantha Roses"/>
    <s v="70CM"/>
    <m/>
    <n v="4.3636363636363633"/>
    <n v="160"/>
    <n v="0.61"/>
    <n v="97.6"/>
    <s v="EUR"/>
    <m/>
    <m/>
    <x v="11"/>
    <n v="0"/>
    <x v="3"/>
    <x v="1"/>
    <n v="160"/>
    <n v="0.75"/>
    <n v="120"/>
    <n v="-5.6545558739254975"/>
    <n v="114.3454441260745"/>
    <x v="11"/>
    <n v="0"/>
    <m/>
    <n v="433588"/>
    <n v="14.851030303030301"/>
    <m/>
    <n v="3.2"/>
    <m/>
    <n v="18.051030303030302"/>
    <n v="96.294413823044195"/>
    <m/>
    <n v="160"/>
  </r>
  <r>
    <n v="12"/>
    <n v="2024"/>
    <s v="Auction"/>
    <s v="VROLIJK BLOEMEN"/>
    <s v="VROLIJK BLOEMEN"/>
    <x v="44"/>
    <s v="Floribunda Roses"/>
    <s v="50CM"/>
    <n v="1"/>
    <n v="8.7272727272727266"/>
    <n v="320"/>
    <n v="0.38"/>
    <n v="121.6"/>
    <s v="EUR"/>
    <m/>
    <m/>
    <x v="11"/>
    <n v="320"/>
    <x v="2"/>
    <x v="5"/>
    <m/>
    <m/>
    <n v="0"/>
    <n v="0"/>
    <n v="0"/>
    <x v="11"/>
    <n v="-320"/>
    <m/>
    <n v="433588"/>
    <n v="29.702060606060602"/>
    <m/>
    <n v="0"/>
    <m/>
    <n v="29.702060606060602"/>
    <n v="-29.702060606060602"/>
    <m/>
    <n v="0"/>
  </r>
  <r>
    <n v="12"/>
    <n v="2024"/>
    <s v="Auction"/>
    <s v="VROLIJK BLOEMEN"/>
    <s v="VROLIJK BLOEMEN"/>
    <x v="44"/>
    <s v="Floribunda Roses"/>
    <s v="80CM"/>
    <m/>
    <n v="1.0909090909090908"/>
    <n v="40"/>
    <n v="0.56999999999999995"/>
    <n v="22.8"/>
    <s v="EUR"/>
    <m/>
    <m/>
    <x v="11"/>
    <n v="40"/>
    <x v="2"/>
    <x v="2"/>
    <m/>
    <m/>
    <n v="0"/>
    <n v="0"/>
    <n v="0"/>
    <x v="11"/>
    <n v="-40"/>
    <m/>
    <n v="433588"/>
    <n v="3.7127575757575753"/>
    <m/>
    <n v="0"/>
    <m/>
    <n v="3.7127575757575753"/>
    <n v="-3.7127575757575753"/>
    <m/>
    <n v="0"/>
  </r>
  <r>
    <n v="12"/>
    <n v="2024"/>
    <s v="Auction"/>
    <s v="VROLIJK BLOEMEN"/>
    <s v="VROLIJK BLOEMEN"/>
    <x v="44"/>
    <s v="Floribunda Roses"/>
    <s v="90CM"/>
    <m/>
    <n v="2.1818181818181817"/>
    <n v="80"/>
    <n v="0.75"/>
    <n v="60"/>
    <s v="EUR"/>
    <m/>
    <m/>
    <x v="11"/>
    <n v="80"/>
    <x v="2"/>
    <x v="3"/>
    <m/>
    <m/>
    <n v="0"/>
    <n v="0"/>
    <n v="0"/>
    <x v="11"/>
    <n v="-80"/>
    <m/>
    <n v="433588"/>
    <n v="7.4255151515151505"/>
    <m/>
    <n v="0"/>
    <m/>
    <n v="7.4255151515151505"/>
    <n v="-7.4255151515151505"/>
    <m/>
    <n v="0"/>
  </r>
  <r>
    <n v="12"/>
    <n v="2024"/>
    <s v="Auction"/>
    <s v="VROLIJK BLOEMEN"/>
    <s v="VROLIJK BLOEMEN"/>
    <x v="45"/>
    <s v="Grandiflora Roses"/>
    <s v="60CM"/>
    <n v="1"/>
    <n v="12"/>
    <n v="720"/>
    <n v="0.24"/>
    <n v="172.8"/>
    <s v="EUR"/>
    <m/>
    <m/>
    <x v="11"/>
    <n v="0"/>
    <x v="0"/>
    <x v="0"/>
    <n v="720"/>
    <n v="0.39555555555555555"/>
    <n v="284.8"/>
    <n v="-30.484384615384613"/>
    <n v="254.3156153846154"/>
    <x v="11"/>
    <n v="0"/>
    <m/>
    <s v="F082138"/>
    <n v="42.977600000000002"/>
    <m/>
    <n v="14.4"/>
    <m/>
    <n v="57.377600000000001"/>
    <n v="196.9380153846154"/>
    <m/>
    <n v="720"/>
  </r>
  <r>
    <n v="12"/>
    <n v="2024"/>
    <s v="Auction"/>
    <s v="VROLIJK BLOEMEN"/>
    <s v="VROLIJK BLOEMEN"/>
    <x v="45"/>
    <s v="Grandiflora Roses"/>
    <s v="70CM"/>
    <n v="1"/>
    <n v="12"/>
    <n v="520"/>
    <n v="0.28000000000000003"/>
    <n v="145.6"/>
    <s v="EUR"/>
    <m/>
    <m/>
    <x v="11"/>
    <n v="-200"/>
    <x v="0"/>
    <x v="1"/>
    <n v="720"/>
    <n v="0.5444444444444444"/>
    <n v="391.99999999999994"/>
    <n v="-30.484384615384613"/>
    <n v="361.51561538461533"/>
    <x v="11"/>
    <n v="200"/>
    <m/>
    <s v="F082138"/>
    <n v="42.977600000000002"/>
    <m/>
    <n v="14.4"/>
    <m/>
    <n v="57.377600000000001"/>
    <n v="304.1380153846153"/>
    <m/>
    <n v="720"/>
  </r>
  <r>
    <n v="12"/>
    <n v="2024"/>
    <s v="Auction"/>
    <s v="VROLIJK BLOEMEN"/>
    <s v="VROLIJK BLOEMEN"/>
    <x v="45"/>
    <s v="Grandiflora Roses"/>
    <s v="80CM"/>
    <n v="1"/>
    <n v="12"/>
    <n v="480"/>
    <n v="0.33"/>
    <n v="158.4"/>
    <s v="EUR"/>
    <m/>
    <m/>
    <x v="11"/>
    <n v="0"/>
    <x v="0"/>
    <x v="2"/>
    <n v="480"/>
    <n v="0.5691666666666666"/>
    <n v="273.2"/>
    <n v="-20.322923076923075"/>
    <n v="252.87707692307691"/>
    <x v="11"/>
    <n v="0"/>
    <m/>
    <s v="F082138"/>
    <n v="42.977600000000002"/>
    <m/>
    <n v="9.6"/>
    <m/>
    <n v="52.577600000000004"/>
    <n v="200.2994769230769"/>
    <m/>
    <n v="480"/>
  </r>
  <r>
    <n v="12"/>
    <n v="2024"/>
    <s v="Auction"/>
    <s v="VROLIJK BLOEMEN"/>
    <s v="VROLIJK BLOEMEN"/>
    <x v="45"/>
    <s v="Grandiflora Roses"/>
    <s v="90CM"/>
    <n v="1"/>
    <n v="12"/>
    <n v="320"/>
    <n v="0.38"/>
    <n v="121.6"/>
    <s v="EUR"/>
    <m/>
    <m/>
    <x v="11"/>
    <n v="0"/>
    <x v="0"/>
    <x v="3"/>
    <n v="320"/>
    <n v="0.59625000000000006"/>
    <n v="190.8"/>
    <n v="-13.548615384615383"/>
    <n v="177.25138461538464"/>
    <x v="11"/>
    <n v="0"/>
    <m/>
    <s v="F082138"/>
    <n v="42.977600000000002"/>
    <m/>
    <n v="6.4"/>
    <m/>
    <n v="49.377600000000001"/>
    <n v="127.87378461538464"/>
    <m/>
    <n v="320"/>
  </r>
  <r>
    <n v="12"/>
    <n v="2024"/>
    <s v="Auction"/>
    <s v="VROLIJK BLOEMEN"/>
    <s v="VROLIJK BLOEMEN"/>
    <x v="45"/>
    <s v="English Roses"/>
    <s v="60CM"/>
    <n v="1"/>
    <n v="12"/>
    <n v="480"/>
    <n v="0.47"/>
    <n v="225.6"/>
    <s v="EUR"/>
    <m/>
    <m/>
    <x v="11"/>
    <n v="-280"/>
    <x v="1"/>
    <x v="0"/>
    <n v="760"/>
    <n v="0.46052631578947367"/>
    <n v="350"/>
    <n v="-32.177961538461531"/>
    <n v="317.82203846153845"/>
    <x v="11"/>
    <n v="280"/>
    <m/>
    <s v="F082138"/>
    <n v="42.977600000000002"/>
    <m/>
    <n v="15.200000000000001"/>
    <m/>
    <n v="58.177600000000005"/>
    <n v="259.64443846153847"/>
    <m/>
    <n v="760"/>
  </r>
  <r>
    <n v="12"/>
    <n v="2024"/>
    <s v="Auction"/>
    <s v="VROLIJK BLOEMEN"/>
    <s v="VROLIJK BLOEMEN"/>
    <x v="45"/>
    <s v="English Roses"/>
    <s v="70CM"/>
    <n v="2"/>
    <n v="24"/>
    <n v="800"/>
    <n v="0.52"/>
    <n v="416"/>
    <s v="EUR"/>
    <m/>
    <m/>
    <x v="11"/>
    <n v="0"/>
    <x v="1"/>
    <x v="1"/>
    <n v="800"/>
    <n v="0.71"/>
    <n v="568"/>
    <n v="-33.871538461538456"/>
    <n v="534.12846153846158"/>
    <x v="11"/>
    <n v="0"/>
    <m/>
    <s v="F082138"/>
    <n v="85.955200000000005"/>
    <m/>
    <n v="16"/>
    <m/>
    <n v="101.9552"/>
    <n v="432.17326153846159"/>
    <m/>
    <n v="800"/>
  </r>
  <r>
    <n v="12"/>
    <n v="2024"/>
    <s v="Auction"/>
    <s v="VROLIJK BLOEMEN"/>
    <s v="VROLIJK BLOEMEN"/>
    <x v="45"/>
    <s v="Floribunda Roses"/>
    <s v="60CM"/>
    <n v="5"/>
    <n v="60"/>
    <n v="2600"/>
    <n v="0.47"/>
    <n v="1222"/>
    <s v="EUR"/>
    <m/>
    <m/>
    <x v="11"/>
    <n v="-400"/>
    <x v="2"/>
    <x v="0"/>
    <n v="3000"/>
    <n v="0.40640000000000004"/>
    <n v="1219.2"/>
    <n v="-127.01826923076921"/>
    <n v="1092.1817307692309"/>
    <x v="11"/>
    <n v="400"/>
    <m/>
    <s v="F082138"/>
    <n v="214.88800000000003"/>
    <m/>
    <n v="60"/>
    <m/>
    <n v="274.88800000000003"/>
    <n v="817.29373076923082"/>
    <m/>
    <n v="3000"/>
  </r>
  <r>
    <n v="12"/>
    <n v="2024"/>
    <s v="Auction"/>
    <s v="VROLIJK BLOEMEN"/>
    <s v="VROLIJK BLOEMEN"/>
    <x v="45"/>
    <s v="Floribunda Roses"/>
    <s v="70CM"/>
    <n v="3"/>
    <n v="36"/>
    <n v="1200"/>
    <n v="0.52"/>
    <n v="624"/>
    <s v="EUR"/>
    <m/>
    <m/>
    <x v="11"/>
    <n v="0"/>
    <x v="2"/>
    <x v="1"/>
    <n v="1200"/>
    <n v="0.56000000000000005"/>
    <n v="672.00000000000011"/>
    <n v="-50.807307692307681"/>
    <n v="621.19269230769248"/>
    <x v="11"/>
    <n v="0"/>
    <m/>
    <s v="F082138"/>
    <n v="128.93280000000001"/>
    <m/>
    <n v="24"/>
    <m/>
    <n v="152.93280000000001"/>
    <n v="468.25989230769244"/>
    <m/>
    <n v="1200"/>
  </r>
  <r>
    <n v="12"/>
    <n v="2024"/>
    <s v="Auction"/>
    <s v="VROLIJK BLOEMEN"/>
    <s v="VROLIJK BLOEMEN"/>
    <x v="45"/>
    <s v="Floribunda Roses"/>
    <s v="80CM"/>
    <n v="1"/>
    <n v="12"/>
    <n v="320"/>
    <n v="0.56999999999999995"/>
    <n v="182.4"/>
    <s v="EUR"/>
    <m/>
    <m/>
    <x v="11"/>
    <n v="-120"/>
    <x v="2"/>
    <x v="2"/>
    <n v="440"/>
    <n v="0.47000000000000003"/>
    <n v="206.8"/>
    <n v="-18.62934615384615"/>
    <n v="188.17065384615387"/>
    <x v="11"/>
    <n v="120"/>
    <m/>
    <s v="F082138"/>
    <n v="42.977600000000002"/>
    <m/>
    <n v="8.8000000000000007"/>
    <m/>
    <n v="51.777600000000007"/>
    <n v="136.39305384615386"/>
    <m/>
    <n v="440"/>
  </r>
  <r>
    <n v="12"/>
    <n v="2024"/>
    <s v="Auction"/>
    <s v="VROLIJK BLOEMEN"/>
    <s v="VROLIJK BLOEMEN"/>
    <x v="45"/>
    <s v="Floribunda Roses"/>
    <s v="90CM"/>
    <n v="2"/>
    <n v="24"/>
    <n v="480"/>
    <n v="0.75"/>
    <n v="360"/>
    <s v="EUR"/>
    <m/>
    <m/>
    <x v="11"/>
    <n v="0"/>
    <x v="2"/>
    <x v="3"/>
    <n v="480"/>
    <n v="0.48166666666666663"/>
    <n v="231.2"/>
    <n v="-20.322923076923075"/>
    <n v="210.87707692307691"/>
    <x v="11"/>
    <n v="0"/>
    <m/>
    <s v="F082138"/>
    <n v="85.955200000000005"/>
    <m/>
    <n v="9.6"/>
    <m/>
    <n v="95.555199999999999"/>
    <n v="115.32187692307691"/>
    <m/>
    <n v="480"/>
  </r>
  <r>
    <n v="12"/>
    <n v="2024"/>
    <s v="Auction"/>
    <s v="VROLIJK BLOEMEN"/>
    <s v="VROLIJK BLOEMEN"/>
    <x v="45"/>
    <s v="Floribunda Roses"/>
    <s v="100CM"/>
    <n v="1"/>
    <n v="12"/>
    <n v="160"/>
    <n v="0.94"/>
    <n v="150.4"/>
    <s v="EUR"/>
    <m/>
    <m/>
    <x v="11"/>
    <n v="-160"/>
    <x v="2"/>
    <x v="4"/>
    <n v="320"/>
    <n v="0.63500000000000001"/>
    <n v="203.2"/>
    <n v="-13.548615384615383"/>
    <n v="189.65138461538461"/>
    <x v="11"/>
    <n v="160"/>
    <m/>
    <s v="F082138"/>
    <n v="42.977600000000002"/>
    <m/>
    <n v="6.4"/>
    <m/>
    <n v="49.377600000000001"/>
    <n v="140.27378461538461"/>
    <m/>
    <n v="320"/>
  </r>
  <r>
    <n v="12"/>
    <n v="2024"/>
    <s v="Auction"/>
    <s v="VROLIJK BLOEMEN"/>
    <s v="VROLIJK BLOEMEN"/>
    <x v="45"/>
    <s v="Floribunda Roses"/>
    <s v="100CM"/>
    <n v="1"/>
    <n v="12"/>
    <n v="200"/>
    <n v="0.94"/>
    <n v="188"/>
    <s v="EUR"/>
    <m/>
    <m/>
    <x v="11"/>
    <n v="200"/>
    <x v="2"/>
    <x v="4"/>
    <m/>
    <m/>
    <n v="0"/>
    <n v="0"/>
    <n v="0"/>
    <x v="11"/>
    <n v="-200"/>
    <m/>
    <s v="F082138"/>
    <n v="42.977600000000002"/>
    <m/>
    <n v="0"/>
    <m/>
    <n v="42.977600000000002"/>
    <n v="-42.977600000000002"/>
    <m/>
    <n v="0"/>
  </r>
  <r>
    <n v="12"/>
    <n v="2024"/>
    <s v="Auction"/>
    <s v="VROLIJK BLOEMEN"/>
    <s v="VROLIJK BLOEMEN"/>
    <x v="45"/>
    <s v="Polyantha Roses"/>
    <s v="60CM"/>
    <n v="1"/>
    <n v="5"/>
    <n v="200"/>
    <n v="0.52"/>
    <n v="104"/>
    <s v="EUR"/>
    <m/>
    <m/>
    <x v="11"/>
    <n v="0"/>
    <x v="3"/>
    <x v="0"/>
    <n v="200"/>
    <n v="0.72"/>
    <n v="144"/>
    <n v="-8.4678846153846141"/>
    <n v="135.53211538461539"/>
    <x v="11"/>
    <n v="0"/>
    <m/>
    <s v="F082138"/>
    <n v="17.907333333333334"/>
    <m/>
    <n v="4"/>
    <m/>
    <n v="21.907333333333334"/>
    <n v="113.62478205128207"/>
    <m/>
    <n v="200"/>
  </r>
  <r>
    <n v="12"/>
    <n v="2024"/>
    <s v="Auction"/>
    <s v="VROLIJK BLOEMEN"/>
    <s v="VROLIJK BLOEMEN"/>
    <x v="45"/>
    <s v="Polyantha Roses"/>
    <s v="70CM"/>
    <m/>
    <n v="7"/>
    <n v="280"/>
    <n v="0.61"/>
    <n v="170.8"/>
    <s v="EUR"/>
    <m/>
    <m/>
    <x v="11"/>
    <n v="0"/>
    <x v="3"/>
    <x v="1"/>
    <n v="280"/>
    <n v="0.78285714285714281"/>
    <n v="219.2"/>
    <n v="-11.855038461538459"/>
    <n v="207.34496153846152"/>
    <x v="11"/>
    <n v="0"/>
    <m/>
    <s v="F082138"/>
    <n v="25.070266666666669"/>
    <m/>
    <n v="5.6000000000000005"/>
    <m/>
    <n v="30.67026666666667"/>
    <n v="176.67469487179486"/>
    <m/>
    <n v="280"/>
  </r>
  <r>
    <n v="12"/>
    <n v="2024"/>
    <s v="Auction"/>
    <s v="VROLIJK BLOEMEN"/>
    <s v="VROLIJK BLOEMEN"/>
    <x v="45"/>
    <s v="Grandiflora Roses"/>
    <s v="70CM"/>
    <n v="1"/>
    <n v="6"/>
    <n v="200"/>
    <n v="0.28000000000000003"/>
    <n v="56"/>
    <s v="EUR"/>
    <m/>
    <m/>
    <x v="11"/>
    <n v="200"/>
    <x v="0"/>
    <x v="1"/>
    <m/>
    <m/>
    <n v="0"/>
    <n v="0"/>
    <n v="0"/>
    <x v="11"/>
    <n v="-200"/>
    <m/>
    <s v="F082138"/>
    <n v="21.488800000000001"/>
    <m/>
    <n v="0"/>
    <m/>
    <n v="21.488800000000001"/>
    <n v="-21.488800000000001"/>
    <m/>
    <n v="0"/>
  </r>
  <r>
    <n v="12"/>
    <n v="2024"/>
    <s v="Auction"/>
    <s v="VROLIJK BLOEMEN"/>
    <s v="VROLIJK BLOEMEN"/>
    <x v="45"/>
    <s v="Grandiflora Roses"/>
    <s v="100CM"/>
    <m/>
    <n v="6"/>
    <n v="200"/>
    <n v="0.47"/>
    <n v="94"/>
    <s v="EUR"/>
    <m/>
    <m/>
    <x v="11"/>
    <n v="0"/>
    <x v="0"/>
    <x v="4"/>
    <n v="200"/>
    <n v="0.69400000000000006"/>
    <n v="138.80000000000001"/>
    <n v="-8.4678846153846141"/>
    <n v="130.33211538461541"/>
    <x v="11"/>
    <n v="0"/>
    <m/>
    <s v="F082138"/>
    <n v="21.488800000000001"/>
    <m/>
    <n v="4"/>
    <m/>
    <n v="25.488800000000001"/>
    <n v="104.84331538461541"/>
    <m/>
    <n v="200"/>
  </r>
  <r>
    <n v="12"/>
    <n v="2024"/>
    <s v="Auction"/>
    <s v="VROLIJK BLOEMEN"/>
    <s v="VROLIJK BLOEMEN"/>
    <x v="45"/>
    <s v="Floribunda Roses"/>
    <s v="60CM"/>
    <n v="1"/>
    <n v="10"/>
    <n v="400"/>
    <n v="0.47"/>
    <n v="188"/>
    <s v="EUR"/>
    <m/>
    <m/>
    <x v="11"/>
    <n v="400"/>
    <x v="2"/>
    <x v="0"/>
    <m/>
    <m/>
    <n v="0"/>
    <n v="0"/>
    <n v="0"/>
    <x v="11"/>
    <n v="-400"/>
    <m/>
    <s v="F082138"/>
    <n v="35.814666666666668"/>
    <m/>
    <n v="0"/>
    <m/>
    <n v="35.814666666666668"/>
    <n v="-35.814666666666668"/>
    <m/>
    <n v="0"/>
  </r>
  <r>
    <n v="12"/>
    <n v="2024"/>
    <s v="Auction"/>
    <s v="VROLIJK BLOEMEN"/>
    <s v="VROLIJK BLOEMEN"/>
    <x v="45"/>
    <s v="Floribunda Roses"/>
    <s v="80CM"/>
    <m/>
    <n v="2"/>
    <n v="80"/>
    <n v="0.56999999999999995"/>
    <n v="45.6"/>
    <s v="EUR"/>
    <m/>
    <m/>
    <x v="11"/>
    <n v="80"/>
    <x v="2"/>
    <x v="2"/>
    <m/>
    <m/>
    <n v="0"/>
    <n v="0"/>
    <n v="0"/>
    <x v="11"/>
    <n v="-80"/>
    <m/>
    <s v="F082138"/>
    <n v="7.162933333333334"/>
    <m/>
    <n v="0"/>
    <m/>
    <n v="7.162933333333334"/>
    <n v="-7.162933333333334"/>
    <m/>
    <n v="0"/>
  </r>
  <r>
    <n v="12"/>
    <n v="2024"/>
    <s v="Auction"/>
    <s v="VROLIJK BLOEMEN"/>
    <s v="VROLIJK BLOEMEN"/>
    <x v="45"/>
    <s v="English Roses"/>
    <s v="50CM"/>
    <n v="1"/>
    <n v="5"/>
    <n v="200"/>
    <n v="0.38"/>
    <n v="76"/>
    <s v="EUR"/>
    <m/>
    <m/>
    <x v="11"/>
    <n v="0"/>
    <x v="1"/>
    <x v="5"/>
    <n v="200"/>
    <n v="0.36"/>
    <n v="72"/>
    <n v="-8.4678846153846141"/>
    <n v="63.532115384615388"/>
    <x v="11"/>
    <n v="0"/>
    <m/>
    <s v="F082138"/>
    <n v="17.907333333333334"/>
    <m/>
    <n v="4"/>
    <m/>
    <n v="21.907333333333334"/>
    <n v="41.624782051282054"/>
    <m/>
    <n v="200"/>
  </r>
  <r>
    <n v="12"/>
    <n v="2024"/>
    <s v="Auction"/>
    <s v="VROLIJK BLOEMEN"/>
    <s v="VROLIJK BLOEMEN"/>
    <x v="45"/>
    <s v="English Roses"/>
    <s v="60CM"/>
    <m/>
    <n v="7"/>
    <n v="280"/>
    <n v="0.47"/>
    <n v="131.6"/>
    <s v="EUR"/>
    <m/>
    <m/>
    <x v="11"/>
    <n v="280"/>
    <x v="1"/>
    <x v="0"/>
    <m/>
    <m/>
    <n v="0"/>
    <n v="0"/>
    <n v="0"/>
    <x v="11"/>
    <n v="-280"/>
    <m/>
    <s v="F082138"/>
    <n v="25.070266666666669"/>
    <m/>
    <n v="0"/>
    <m/>
    <n v="25.070266666666669"/>
    <n v="-25.070266666666669"/>
    <m/>
    <n v="0"/>
  </r>
  <r>
    <n v="12"/>
    <n v="2024"/>
    <s v="Auction"/>
    <s v="VROLIJK BLOEMEN"/>
    <s v="VROLIJK BLOEMEN"/>
    <x v="45"/>
    <s v="English Roses"/>
    <s v="80CM"/>
    <n v="1"/>
    <n v="8.5714285714285712"/>
    <n v="200"/>
    <n v="0.56999999999999995"/>
    <n v="114"/>
    <s v="EUR"/>
    <m/>
    <m/>
    <x v="11"/>
    <n v="0"/>
    <x v="1"/>
    <x v="2"/>
    <n v="200"/>
    <n v="0.5"/>
    <n v="100"/>
    <n v="-8.4678846153846141"/>
    <n v="91.532115384615381"/>
    <x v="11"/>
    <n v="0"/>
    <m/>
    <s v="F082138"/>
    <n v="30.698285714285714"/>
    <m/>
    <n v="4"/>
    <m/>
    <n v="34.698285714285717"/>
    <n v="56.833829670329663"/>
    <m/>
    <n v="200"/>
  </r>
  <r>
    <n v="12"/>
    <n v="2024"/>
    <s v="Auction"/>
    <s v="VROLIJK BLOEMEN"/>
    <s v="VROLIJK BLOEMEN"/>
    <x v="45"/>
    <s v="English Roses"/>
    <s v="90CM"/>
    <m/>
    <n v="3.4285714285714284"/>
    <n v="80"/>
    <n v="0.75"/>
    <n v="60"/>
    <s v="EUR"/>
    <m/>
    <m/>
    <x v="11"/>
    <n v="0"/>
    <x v="1"/>
    <x v="3"/>
    <n v="80"/>
    <n v="0.6"/>
    <n v="48"/>
    <n v="-3.3871538461538457"/>
    <n v="44.612846153846156"/>
    <x v="11"/>
    <n v="0"/>
    <m/>
    <s v="F082138"/>
    <n v="12.279314285714287"/>
    <m/>
    <n v="1.6"/>
    <m/>
    <n v="13.879314285714287"/>
    <n v="30.73353186813187"/>
    <m/>
    <n v="80"/>
  </r>
  <r>
    <n v="12"/>
    <n v="2024"/>
    <s v="Auction"/>
    <s v="VROLIJK BLOEMEN"/>
    <s v="VROLIJK BLOEMEN"/>
    <x v="46"/>
    <s v="English Roses"/>
    <s v="70CM"/>
    <n v="1"/>
    <n v="12"/>
    <n v="360"/>
    <n v="0.52"/>
    <n v="187.2"/>
    <s v="EUR"/>
    <m/>
    <m/>
    <x v="11"/>
    <n v="0"/>
    <x v="1"/>
    <x v="1"/>
    <n v="360"/>
    <n v="0.59"/>
    <n v="212.39999999999998"/>
    <n v="-16.430847457627113"/>
    <n v="195.96915254237285"/>
    <x v="11"/>
    <n v="0"/>
    <m/>
    <s v="F082359"/>
    <n v="43.31315789473684"/>
    <m/>
    <n v="7.2"/>
    <m/>
    <n v="50.513157894736842"/>
    <n v="145.455994647636"/>
    <m/>
    <n v="360"/>
  </r>
  <r>
    <n v="12"/>
    <n v="2024"/>
    <s v="Auction"/>
    <s v="VROLIJK BLOEMEN"/>
    <s v="VROLIJK BLOEMEN"/>
    <x v="46"/>
    <s v="English Roses"/>
    <s v="80CM"/>
    <n v="1"/>
    <n v="12"/>
    <n v="280"/>
    <n v="0.56999999999999995"/>
    <n v="159.6"/>
    <s v="EUR"/>
    <m/>
    <m/>
    <x v="11"/>
    <n v="0"/>
    <x v="1"/>
    <x v="2"/>
    <n v="280"/>
    <n v="0.65"/>
    <n v="182"/>
    <n v="-12.779548022598865"/>
    <n v="169.22045197740113"/>
    <x v="11"/>
    <n v="0"/>
    <m/>
    <s v="F082359"/>
    <n v="43.31315789473684"/>
    <m/>
    <n v="5.6000000000000005"/>
    <m/>
    <n v="48.913157894736841"/>
    <n v="120.30729408266428"/>
    <m/>
    <n v="280"/>
  </r>
  <r>
    <n v="12"/>
    <n v="2024"/>
    <s v="Auction"/>
    <s v="VROLIJK BLOEMEN"/>
    <s v="VROLIJK BLOEMEN"/>
    <x v="46"/>
    <s v="English Roses"/>
    <s v="90CM"/>
    <n v="1"/>
    <n v="12"/>
    <n v="200"/>
    <n v="0.75"/>
    <n v="150"/>
    <s v="EUR"/>
    <m/>
    <m/>
    <x v="11"/>
    <n v="0"/>
    <x v="1"/>
    <x v="3"/>
    <n v="200"/>
    <n v="0.192"/>
    <n v="38.4"/>
    <n v="-9.1282485875706172"/>
    <n v="29.271751412429381"/>
    <x v="11"/>
    <n v="0"/>
    <m/>
    <s v="F082359"/>
    <n v="43.31315789473684"/>
    <m/>
    <n v="4"/>
    <m/>
    <n v="47.31315789473684"/>
    <n v="-18.041406482307458"/>
    <m/>
    <n v="200"/>
  </r>
  <r>
    <n v="12"/>
    <n v="2024"/>
    <s v="Auction"/>
    <s v="VROLIJK BLOEMEN"/>
    <s v="VROLIJK BLOEMEN"/>
    <x v="46"/>
    <s v="English Roses"/>
    <s v="100CM"/>
    <n v="1"/>
    <n v="12"/>
    <n v="160"/>
    <n v="0.94"/>
    <n v="150.4"/>
    <s v="EUR"/>
    <m/>
    <m/>
    <x v="11"/>
    <n v="0"/>
    <x v="1"/>
    <x v="4"/>
    <n v="160"/>
    <n v="0.51"/>
    <n v="81.599999999999994"/>
    <n v="-7.3025988700564941"/>
    <n v="74.297401129943495"/>
    <x v="11"/>
    <n v="0"/>
    <m/>
    <s v="F082359"/>
    <n v="43.31315789473684"/>
    <m/>
    <n v="3.2"/>
    <m/>
    <n v="46.513157894736842"/>
    <n v="27.784243235206652"/>
    <m/>
    <n v="160"/>
  </r>
  <r>
    <n v="12"/>
    <n v="2024"/>
    <s v="Auction"/>
    <s v="VROLIJK BLOEMEN"/>
    <s v="VROLIJK BLOEMEN"/>
    <x v="46"/>
    <s v="Floribunda Roses"/>
    <s v="60CM"/>
    <n v="2"/>
    <n v="24"/>
    <n v="1040"/>
    <n v="0.47"/>
    <n v="488.8"/>
    <s v="EUR"/>
    <m/>
    <m/>
    <x v="11"/>
    <n v="-400"/>
    <x v="2"/>
    <x v="0"/>
    <n v="1440"/>
    <n v="0.41"/>
    <n v="590.4"/>
    <n v="-65.723389830508452"/>
    <n v="524.67661016949148"/>
    <x v="11"/>
    <n v="400"/>
    <m/>
    <s v="F082359"/>
    <n v="86.626315789473679"/>
    <m/>
    <n v="28.8"/>
    <m/>
    <n v="115.42631578947368"/>
    <n v="409.25029438001781"/>
    <m/>
    <n v="1440"/>
  </r>
  <r>
    <n v="12"/>
    <n v="2024"/>
    <s v="Auction"/>
    <s v="VROLIJK BLOEMEN"/>
    <s v="VROLIJK BLOEMEN"/>
    <x v="46"/>
    <s v="Floribunda Roses"/>
    <s v="70CM"/>
    <n v="2"/>
    <n v="24"/>
    <n v="800"/>
    <n v="0.52"/>
    <n v="416"/>
    <s v="EUR"/>
    <m/>
    <m/>
    <x v="11"/>
    <n v="0"/>
    <x v="2"/>
    <x v="1"/>
    <n v="800"/>
    <n v="0.46649999999999997"/>
    <n v="373.2"/>
    <n v="-36.512994350282469"/>
    <n v="336.68700564971755"/>
    <x v="11"/>
    <n v="0"/>
    <m/>
    <s v="F082359"/>
    <n v="86.626315789473679"/>
    <m/>
    <n v="16"/>
    <m/>
    <n v="102.62631578947368"/>
    <n v="234.06068986024388"/>
    <m/>
    <n v="800"/>
  </r>
  <r>
    <n v="12"/>
    <n v="2024"/>
    <s v="Auction"/>
    <s v="VROLIJK BLOEMEN"/>
    <s v="VROLIJK BLOEMEN"/>
    <x v="46"/>
    <s v="Floribunda Roses"/>
    <s v="80CM"/>
    <n v="1"/>
    <n v="12"/>
    <n v="320"/>
    <n v="0.56999999999999995"/>
    <n v="182.4"/>
    <s v="EUR"/>
    <m/>
    <m/>
    <x v="11"/>
    <n v="0"/>
    <x v="2"/>
    <x v="2"/>
    <n v="320"/>
    <n v="0.70750000000000002"/>
    <n v="226.4"/>
    <n v="-14.605197740112988"/>
    <n v="211.79480225988701"/>
    <x v="11"/>
    <n v="0"/>
    <m/>
    <s v="F082359"/>
    <n v="43.31315789473684"/>
    <m/>
    <n v="6.4"/>
    <m/>
    <n v="49.713157894736838"/>
    <n v="162.08164436515017"/>
    <m/>
    <n v="320"/>
  </r>
  <r>
    <n v="12"/>
    <n v="2024"/>
    <s v="Auction"/>
    <s v="VROLIJK BLOEMEN"/>
    <s v="VROLIJK BLOEMEN"/>
    <x v="46"/>
    <s v="Floribunda Roses"/>
    <s v="100CM"/>
    <n v="2"/>
    <n v="24"/>
    <n v="400"/>
    <n v="0.94"/>
    <n v="376"/>
    <s v="EUR"/>
    <m/>
    <m/>
    <x v="11"/>
    <n v="-40"/>
    <x v="2"/>
    <x v="4"/>
    <n v="440"/>
    <n v="0.5918181818181818"/>
    <n v="260.39999999999998"/>
    <n v="-20.082146892655359"/>
    <n v="240.3178531073446"/>
    <x v="11"/>
    <n v="40"/>
    <m/>
    <s v="F082359"/>
    <n v="86.626315789473679"/>
    <m/>
    <n v="8.8000000000000007"/>
    <m/>
    <n v="95.426315789473676"/>
    <n v="144.89153731787093"/>
    <m/>
    <n v="440"/>
  </r>
  <r>
    <n v="12"/>
    <n v="2024"/>
    <s v="Auction"/>
    <s v="VROLIJK BLOEMEN"/>
    <s v="VROLIJK BLOEMEN"/>
    <x v="46"/>
    <s v="Polyantha Roses"/>
    <s v="100CM"/>
    <n v="1"/>
    <n v="12"/>
    <n v="200"/>
    <n v="1.04"/>
    <n v="208"/>
    <s v="EUR"/>
    <m/>
    <m/>
    <x v="11"/>
    <n v="0"/>
    <x v="3"/>
    <x v="4"/>
    <n v="200"/>
    <n v="0.72400000000000009"/>
    <n v="144.80000000000001"/>
    <n v="-9.1282485875706172"/>
    <n v="135.67175141242939"/>
    <x v="11"/>
    <n v="0"/>
    <m/>
    <s v="F082359"/>
    <n v="43.31315789473684"/>
    <m/>
    <n v="4"/>
    <m/>
    <n v="47.31315789473684"/>
    <n v="88.358593517692555"/>
    <m/>
    <n v="200"/>
  </r>
  <r>
    <n v="12"/>
    <n v="2024"/>
    <s v="Auction"/>
    <s v="VROLIJK BLOEMEN"/>
    <s v="VROLIJK BLOEMEN"/>
    <x v="46"/>
    <s v="English Roses"/>
    <s v="60CM"/>
    <n v="1"/>
    <n v="10.909090909090908"/>
    <n v="400"/>
    <n v="0.47"/>
    <n v="188"/>
    <s v="EUR"/>
    <m/>
    <m/>
    <x v="11"/>
    <n v="0"/>
    <x v="1"/>
    <x v="0"/>
    <n v="400"/>
    <n v="0.34"/>
    <n v="136"/>
    <n v="-18.256497175141234"/>
    <n v="117.74350282485877"/>
    <x v="11"/>
    <n v="0"/>
    <m/>
    <s v="F082359"/>
    <n v="39.375598086124405"/>
    <m/>
    <n v="8"/>
    <m/>
    <n v="47.375598086124405"/>
    <n v="70.367904738734353"/>
    <m/>
    <n v="400"/>
  </r>
  <r>
    <n v="12"/>
    <n v="2024"/>
    <s v="Auction"/>
    <s v="VROLIJK BLOEMEN"/>
    <s v="VROLIJK BLOEMEN"/>
    <x v="46"/>
    <s v="English Roses"/>
    <s v="50CM"/>
    <m/>
    <n v="1.0909090909090908"/>
    <n v="40"/>
    <n v="0.38"/>
    <n v="15.2"/>
    <s v="EUR"/>
    <m/>
    <m/>
    <x v="11"/>
    <n v="0"/>
    <x v="1"/>
    <x v="5"/>
    <n v="40"/>
    <n v="0.2"/>
    <n v="8"/>
    <n v="-1.8256497175141235"/>
    <n v="6.1743502824858769"/>
    <x v="11"/>
    <n v="0"/>
    <m/>
    <s v="F082359"/>
    <n v="3.9375598086124404"/>
    <m/>
    <n v="0.8"/>
    <m/>
    <n v="4.7375598086124402"/>
    <n v="1.4367904738734367"/>
    <m/>
    <n v="40"/>
  </r>
  <r>
    <n v="12"/>
    <n v="2024"/>
    <s v="Auction"/>
    <s v="VROLIJK BLOEMEN"/>
    <s v="VROLIJK BLOEMEN"/>
    <x v="46"/>
    <s v="Floribunda Roses"/>
    <s v="90CM"/>
    <n v="1"/>
    <n v="10"/>
    <n v="200"/>
    <n v="0.75"/>
    <n v="150"/>
    <s v="EUR"/>
    <m/>
    <m/>
    <x v="11"/>
    <n v="0"/>
    <x v="2"/>
    <x v="3"/>
    <n v="200"/>
    <n v="0.52"/>
    <n v="104"/>
    <n v="-9.1282485875706172"/>
    <n v="94.871751412429376"/>
    <x v="11"/>
    <n v="0"/>
    <m/>
    <s v="F082359"/>
    <n v="36.094298245614034"/>
    <m/>
    <n v="4"/>
    <m/>
    <n v="40.094298245614034"/>
    <n v="54.777453166815341"/>
    <m/>
    <n v="200"/>
  </r>
  <r>
    <n v="12"/>
    <n v="2024"/>
    <s v="Auction"/>
    <s v="VROLIJK BLOEMEN"/>
    <s v="VROLIJK BLOEMEN"/>
    <x v="46"/>
    <s v="Floribunda Roses"/>
    <s v="100CM"/>
    <m/>
    <n v="2"/>
    <n v="40"/>
    <n v="0.94"/>
    <n v="37.6"/>
    <s v="EUR"/>
    <m/>
    <m/>
    <x v="11"/>
    <n v="40"/>
    <x v="2"/>
    <x v="4"/>
    <m/>
    <m/>
    <n v="0"/>
    <n v="0"/>
    <n v="0"/>
    <x v="11"/>
    <n v="-40"/>
    <m/>
    <s v="F082359"/>
    <n v="7.2188596491228072"/>
    <m/>
    <n v="0"/>
    <m/>
    <n v="7.2188596491228072"/>
    <n v="-7.2188596491228072"/>
    <m/>
    <n v="0"/>
  </r>
  <r>
    <n v="12"/>
    <n v="2024"/>
    <s v="Auction"/>
    <s v="VROLIJK BLOEMEN"/>
    <s v="VROLIJK BLOEMEN"/>
    <x v="46"/>
    <s v="Floribunda Roses"/>
    <s v="60CM"/>
    <n v="1"/>
    <n v="7.5"/>
    <n v="400"/>
    <n v="0.47"/>
    <n v="188"/>
    <s v="EUR"/>
    <m/>
    <m/>
    <x v="11"/>
    <n v="400"/>
    <x v="2"/>
    <x v="0"/>
    <m/>
    <m/>
    <n v="0"/>
    <n v="0"/>
    <n v="0"/>
    <x v="11"/>
    <n v="-400"/>
    <m/>
    <s v="F082359"/>
    <n v="27.070723684210527"/>
    <m/>
    <n v="0"/>
    <m/>
    <n v="27.070723684210527"/>
    <n v="-27.070723684210527"/>
    <m/>
    <n v="0"/>
  </r>
  <r>
    <n v="12"/>
    <n v="2024"/>
    <s v="Auction"/>
    <s v="VROLIJK BLOEMEN"/>
    <s v="VROLIJK BLOEMEN"/>
    <x v="46"/>
    <s v="Floribunda Roses"/>
    <s v="50CM"/>
    <m/>
    <n v="4.5"/>
    <n v="240"/>
    <n v="0.38"/>
    <n v="91.2"/>
    <s v="EUR"/>
    <m/>
    <m/>
    <x v="11"/>
    <n v="0"/>
    <x v="2"/>
    <x v="5"/>
    <n v="240"/>
    <n v="0.37666666666666671"/>
    <n v="90.4"/>
    <n v="-10.953898305084742"/>
    <n v="79.446101694915257"/>
    <x v="11"/>
    <n v="0"/>
    <m/>
    <s v="F082359"/>
    <n v="16.242434210526316"/>
    <m/>
    <n v="4.8"/>
    <m/>
    <n v="21.042434210526316"/>
    <n v="58.40366748438894"/>
    <m/>
    <n v="240"/>
  </r>
  <r>
    <n v="12"/>
    <n v="2024"/>
    <s v="Auction"/>
    <s v="VROLIJK BLOEMEN"/>
    <s v="VROLIJK BLOEMEN"/>
    <x v="46"/>
    <s v="Grandiflora Roses"/>
    <s v="70CM"/>
    <n v="1"/>
    <n v="3.5999999999999996"/>
    <n v="240"/>
    <n v="0.28000000000000003"/>
    <n v="67.2"/>
    <s v="EUR"/>
    <m/>
    <m/>
    <x v="11"/>
    <n v="0"/>
    <x v="0"/>
    <x v="1"/>
    <n v="240"/>
    <n v="0.45"/>
    <n v="108"/>
    <n v="-10.953898305084742"/>
    <n v="97.046101694915251"/>
    <x v="11"/>
    <n v="0"/>
    <m/>
    <s v="F082359"/>
    <n v="12.99394736842105"/>
    <m/>
    <n v="4.8"/>
    <m/>
    <n v="17.793947368421051"/>
    <n v="79.252154326494207"/>
    <m/>
    <n v="240"/>
  </r>
  <r>
    <n v="12"/>
    <n v="2024"/>
    <s v="Auction"/>
    <s v="VROLIJK BLOEMEN"/>
    <s v="VROLIJK BLOEMEN"/>
    <x v="46"/>
    <s v="Grandiflora Roses"/>
    <s v="60CM"/>
    <m/>
    <n v="8.3999999999999986"/>
    <n v="560"/>
    <n v="0.24"/>
    <n v="134.4"/>
    <s v="EUR"/>
    <m/>
    <m/>
    <x v="11"/>
    <n v="0"/>
    <x v="0"/>
    <x v="0"/>
    <n v="560"/>
    <n v="0.43"/>
    <n v="240.79999999999998"/>
    <n v="-25.55909604519773"/>
    <n v="215.24090395480226"/>
    <x v="11"/>
    <n v="0"/>
    <m/>
    <s v="F082359"/>
    <n v="30.319210526315789"/>
    <m/>
    <n v="11.200000000000001"/>
    <m/>
    <n v="41.519210526315788"/>
    <n v="173.72169342848647"/>
    <m/>
    <n v="560"/>
  </r>
  <r>
    <n v="12"/>
    <n v="2024"/>
    <s v="Auction"/>
    <s v="VROLIJK BLOEMEN"/>
    <s v="VROLIJK BLOEMEN"/>
    <x v="46"/>
    <s v="Grandiflora Roses"/>
    <s v="80CM"/>
    <n v="1"/>
    <n v="5"/>
    <n v="200"/>
    <n v="0.33"/>
    <n v="66"/>
    <s v="EUR"/>
    <m/>
    <m/>
    <x v="11"/>
    <n v="0"/>
    <x v="0"/>
    <x v="2"/>
    <n v="200"/>
    <n v="0.51"/>
    <n v="102"/>
    <n v="-9.1282485875706172"/>
    <n v="92.871751412429376"/>
    <x v="11"/>
    <n v="0"/>
    <m/>
    <s v="F082359"/>
    <n v="18.047149122807017"/>
    <m/>
    <n v="4"/>
    <m/>
    <n v="22.047149122807017"/>
    <n v="70.824602289622362"/>
    <m/>
    <n v="200"/>
  </r>
  <r>
    <n v="12"/>
    <n v="2024"/>
    <s v="Auction"/>
    <s v="VROLIJK BLOEMEN"/>
    <s v="VROLIJK BLOEMEN"/>
    <x v="46"/>
    <s v="Grandiflora Roses"/>
    <s v="100CM"/>
    <m/>
    <n v="3"/>
    <n v="120"/>
    <n v="0.47"/>
    <n v="56.4"/>
    <s v="EUR"/>
    <m/>
    <m/>
    <x v="11"/>
    <n v="0"/>
    <x v="0"/>
    <x v="4"/>
    <n v="120"/>
    <n v="0.72000000000000008"/>
    <n v="86.4"/>
    <n v="-5.476949152542371"/>
    <n v="80.923050847457631"/>
    <x v="11"/>
    <n v="0"/>
    <m/>
    <s v="F082359"/>
    <n v="10.82828947368421"/>
    <m/>
    <n v="2.4"/>
    <m/>
    <n v="13.22828947368421"/>
    <n v="67.694761373773417"/>
    <m/>
    <n v="120"/>
  </r>
  <r>
    <n v="12"/>
    <n v="2024"/>
    <s v="Auction"/>
    <s v="VROLIJK BLOEMEN"/>
    <s v="VROLIJK BLOEMEN"/>
    <x v="46"/>
    <s v="Grandiflora Roses"/>
    <s v="90CM"/>
    <m/>
    <n v="4"/>
    <n v="160"/>
    <n v="0.38"/>
    <n v="60.8"/>
    <s v="EUR"/>
    <m/>
    <m/>
    <x v="11"/>
    <n v="0"/>
    <x v="0"/>
    <x v="3"/>
    <n v="160"/>
    <n v="0.57750000000000001"/>
    <n v="92.4"/>
    <n v="-7.3025988700564941"/>
    <n v="85.097401129943506"/>
    <x v="11"/>
    <n v="0"/>
    <m/>
    <s v="F082359"/>
    <n v="14.437719298245614"/>
    <m/>
    <n v="3.2"/>
    <m/>
    <n v="17.637719298245614"/>
    <n v="67.459681831697893"/>
    <m/>
    <n v="160"/>
  </r>
  <r>
    <n v="12"/>
    <n v="2024"/>
    <s v="Auction"/>
    <s v="VROLIJK BLOEMEN"/>
    <s v="VROLIJK BLOEMEN"/>
    <x v="46"/>
    <s v="Polyantha Roses"/>
    <s v="80CM"/>
    <n v="1"/>
    <n v="3.4285714285714284"/>
    <n v="80"/>
    <n v="0.66"/>
    <n v="52.8"/>
    <s v="EUR"/>
    <m/>
    <m/>
    <x v="11"/>
    <n v="0"/>
    <x v="3"/>
    <x v="2"/>
    <n v="80"/>
    <n v="0.65999999999999992"/>
    <n v="52.8"/>
    <n v="-3.6512994350282471"/>
    <n v="49.148700564971747"/>
    <x v="11"/>
    <n v="0"/>
    <m/>
    <s v="F082359"/>
    <n v="12.375187969924813"/>
    <m/>
    <n v="1.6"/>
    <m/>
    <n v="13.975187969924812"/>
    <n v="35.173512595046937"/>
    <m/>
    <n v="80"/>
  </r>
  <r>
    <n v="12"/>
    <n v="2024"/>
    <s v="Auction"/>
    <s v="VROLIJK BLOEMEN"/>
    <s v="VROLIJK BLOEMEN"/>
    <x v="46"/>
    <s v="Polyantha Roses"/>
    <s v="70CM"/>
    <m/>
    <n v="5.1428571428571423"/>
    <n v="120"/>
    <n v="0.61"/>
    <n v="73.2"/>
    <s v="EUR"/>
    <m/>
    <m/>
    <x v="11"/>
    <n v="0"/>
    <x v="3"/>
    <x v="1"/>
    <n v="120"/>
    <n v="0.56000000000000005"/>
    <n v="67.2"/>
    <n v="-5.476949152542371"/>
    <n v="61.723050847457628"/>
    <x v="11"/>
    <n v="0"/>
    <m/>
    <s v="F082359"/>
    <n v="18.562781954887217"/>
    <m/>
    <n v="2.4"/>
    <m/>
    <n v="20.962781954887216"/>
    <n v="40.760268892570409"/>
    <m/>
    <n v="120"/>
  </r>
  <r>
    <n v="12"/>
    <n v="2024"/>
    <s v="Auction"/>
    <s v="VROLIJK BLOEMEN"/>
    <s v="VROLIJK BLOEMEN"/>
    <x v="46"/>
    <s v="Polyantha Roses"/>
    <s v="90CM"/>
    <m/>
    <n v="3.4285714285714284"/>
    <n v="80"/>
    <n v="0.85"/>
    <n v="68"/>
    <s v="EUR"/>
    <m/>
    <m/>
    <x v="11"/>
    <n v="0"/>
    <x v="3"/>
    <x v="3"/>
    <n v="80"/>
    <n v="0.69000000000000006"/>
    <n v="55.2"/>
    <n v="-3.6512994350282471"/>
    <n v="51.548700564971753"/>
    <x v="11"/>
    <n v="0"/>
    <m/>
    <s v="F082359"/>
    <n v="12.375187969924813"/>
    <m/>
    <n v="1.6"/>
    <m/>
    <n v="13.975187969924812"/>
    <n v="37.573512595046942"/>
    <m/>
    <n v="80"/>
  </r>
  <r>
    <n v="12"/>
    <n v="2024"/>
    <s v="Auction"/>
    <s v="VROLIJK BLOEMEN"/>
    <s v="VROLIJK BLOEMEN"/>
    <x v="46"/>
    <s v="Moss Roses"/>
    <s v="50CM"/>
    <n v="1"/>
    <n v="3.2727272727272725"/>
    <n v="120"/>
    <n v="0.14000000000000001"/>
    <n v="16.8"/>
    <s v="EUR"/>
    <m/>
    <m/>
    <x v="11"/>
    <n v="0"/>
    <x v="4"/>
    <x v="5"/>
    <n v="120"/>
    <n v="0.11"/>
    <n v="13.2"/>
    <n v="-5.476949152542371"/>
    <n v="7.7230508474576283"/>
    <x v="11"/>
    <n v="0"/>
    <m/>
    <s v="F082359"/>
    <n v="11.81267942583732"/>
    <m/>
    <n v="2.4"/>
    <m/>
    <n v="14.212679425837321"/>
    <n v="-6.4896285783796923"/>
    <m/>
    <n v="120"/>
  </r>
  <r>
    <n v="12"/>
    <n v="2024"/>
    <s v="Auction"/>
    <s v="VROLIJK BLOEMEN"/>
    <s v="VROLIJK BLOEMEN"/>
    <x v="46"/>
    <s v="Moss Roses"/>
    <s v="60CM"/>
    <m/>
    <n v="5.4545454545454541"/>
    <n v="200"/>
    <n v="0.24"/>
    <n v="48"/>
    <s v="EUR"/>
    <m/>
    <m/>
    <x v="11"/>
    <n v="0"/>
    <x v="4"/>
    <x v="0"/>
    <n v="200"/>
    <n v="0.17"/>
    <n v="34"/>
    <n v="-9.1282485875706172"/>
    <n v="24.871751412429383"/>
    <x v="11"/>
    <n v="0"/>
    <m/>
    <s v="F082359"/>
    <n v="19.687799043062203"/>
    <m/>
    <n v="4"/>
    <m/>
    <n v="23.687799043062203"/>
    <n v="1.1839523693671801"/>
    <m/>
    <n v="200"/>
  </r>
  <r>
    <n v="12"/>
    <n v="2024"/>
    <s v="Auction"/>
    <s v="VROLIJK BLOEMEN"/>
    <s v="VROLIJK BLOEMEN"/>
    <x v="46"/>
    <s v="Moss Roses"/>
    <s v="70CM"/>
    <m/>
    <n v="2.1818181818181817"/>
    <n v="80"/>
    <n v="0.28000000000000003"/>
    <n v="22.4"/>
    <s v="EUR"/>
    <m/>
    <m/>
    <x v="11"/>
    <n v="0"/>
    <x v="4"/>
    <x v="1"/>
    <n v="80"/>
    <n v="0.26"/>
    <n v="20.8"/>
    <n v="-3.6512994350282471"/>
    <n v="17.148700564971755"/>
    <x v="11"/>
    <n v="0"/>
    <m/>
    <s v="F082359"/>
    <n v="7.8751196172248807"/>
    <m/>
    <m/>
    <m/>
    <m/>
    <n v="17.148700564971755"/>
    <m/>
    <m/>
  </r>
  <r>
    <n v="12"/>
    <n v="2024"/>
    <s v="Auction"/>
    <s v="VROLIJK BLOEMEN"/>
    <s v="VROLIJK BLOEMEN"/>
    <x v="46"/>
    <s v="Moss Roses"/>
    <s v="80CM"/>
    <m/>
    <n v="1.0909090909090908"/>
    <n v="40"/>
    <n v="0.33"/>
    <n v="13.2"/>
    <s v="EUR"/>
    <m/>
    <m/>
    <x v="11"/>
    <n v="0"/>
    <x v="4"/>
    <x v="2"/>
    <n v="40"/>
    <n v="0.47000000000000003"/>
    <n v="18.8"/>
    <n v="-1.8256497175141235"/>
    <n v="16.974350282485876"/>
    <x v="11"/>
    <n v="0"/>
    <m/>
    <s v="F082359"/>
    <n v="3.9375598086124404"/>
    <m/>
    <m/>
    <m/>
    <m/>
    <n v="16.974350282485876"/>
    <m/>
    <m/>
  </r>
  <r>
    <n v="12"/>
    <n v="2024"/>
    <s v="Auction"/>
    <s v="VROLIJK BLOEMEN"/>
    <s v="VROLIJK BLOEMEN"/>
    <x v="47"/>
    <s v="Polyantha Roses"/>
    <s v="100CM"/>
    <n v="1"/>
    <n v="12"/>
    <n v="200"/>
    <n v="1.04"/>
    <n v="208"/>
    <s v="EUR"/>
    <m/>
    <m/>
    <x v="12"/>
    <n v="0"/>
    <x v="3"/>
    <x v="4"/>
    <n v="200"/>
    <n v="1.048"/>
    <n v="209.60000000000002"/>
    <n v="-8.5360544217687089"/>
    <n v="201.06394557823131"/>
    <x v="12"/>
    <n v="0"/>
    <m/>
    <n v="434214"/>
    <n v="41.156451612903219"/>
    <m/>
    <n v="4"/>
    <m/>
    <n v="45.156451612903219"/>
    <n v="155.90749396532809"/>
    <m/>
    <n v="200"/>
  </r>
  <r>
    <n v="12"/>
    <n v="2024"/>
    <s v="Auction"/>
    <s v="VROLIJK BLOEMEN"/>
    <s v="VROLIJK BLOEMEN"/>
    <x v="47"/>
    <s v="Grandiflora Roses"/>
    <s v="60CM"/>
    <n v="1"/>
    <n v="12"/>
    <n v="720"/>
    <n v="0.24"/>
    <n v="172.8"/>
    <s v="EUR"/>
    <m/>
    <m/>
    <x v="12"/>
    <n v="0"/>
    <x v="0"/>
    <x v="0"/>
    <n v="720"/>
    <n v="0.41"/>
    <n v="295.2"/>
    <n v="-30.729795918367348"/>
    <n v="264.47020408163263"/>
    <x v="12"/>
    <n v="0"/>
    <m/>
    <n v="434214"/>
    <n v="41.156451612903219"/>
    <m/>
    <n v="14.4"/>
    <m/>
    <n v="55.556451612903217"/>
    <n v="208.9137524687294"/>
    <m/>
    <n v="720"/>
  </r>
  <r>
    <n v="12"/>
    <n v="2024"/>
    <s v="Auction"/>
    <s v="VROLIJK BLOEMEN"/>
    <s v="VROLIJK BLOEMEN"/>
    <x v="47"/>
    <s v="Grandiflora Roses"/>
    <s v="70CM"/>
    <n v="1"/>
    <n v="12"/>
    <n v="520"/>
    <n v="0.28000000000000003"/>
    <n v="145.6"/>
    <s v="EUR"/>
    <m/>
    <m/>
    <x v="12"/>
    <n v="0"/>
    <x v="0"/>
    <x v="1"/>
    <n v="520"/>
    <n v="0.47769230769230769"/>
    <n v="248.4"/>
    <n v="-22.193741496598641"/>
    <n v="226.20625850340136"/>
    <x v="12"/>
    <n v="0"/>
    <m/>
    <n v="434214"/>
    <n v="41.156451612903219"/>
    <m/>
    <n v="10.4"/>
    <m/>
    <n v="51.556451612903217"/>
    <n v="174.64980689049816"/>
    <m/>
    <n v="520"/>
  </r>
  <r>
    <n v="12"/>
    <n v="2024"/>
    <s v="Auction"/>
    <s v="VROLIJK BLOEMEN"/>
    <s v="VROLIJK BLOEMEN"/>
    <x v="47"/>
    <s v="Grandiflora Roses"/>
    <s v="80CM"/>
    <n v="1"/>
    <n v="12"/>
    <n v="440"/>
    <n v="0.33"/>
    <n v="145.19999999999999"/>
    <s v="EUR"/>
    <m/>
    <m/>
    <x v="12"/>
    <n v="0"/>
    <x v="0"/>
    <x v="2"/>
    <n v="440"/>
    <n v="0.51727272727272722"/>
    <n v="227.59999999999997"/>
    <n v="-18.77931972789116"/>
    <n v="208.8206802721088"/>
    <x v="12"/>
    <n v="0"/>
    <m/>
    <n v="434214"/>
    <n v="41.156451612903219"/>
    <m/>
    <n v="8.8000000000000007"/>
    <m/>
    <n v="49.956451612903223"/>
    <n v="158.86422865920559"/>
    <m/>
    <n v="440"/>
  </r>
  <r>
    <n v="12"/>
    <n v="2024"/>
    <s v="Auction"/>
    <s v="VROLIJK BLOEMEN"/>
    <s v="VROLIJK BLOEMEN"/>
    <x v="47"/>
    <s v="Grandiflora Roses"/>
    <s v="90CM"/>
    <n v="1"/>
    <n v="12"/>
    <n v="400"/>
    <n v="0.38"/>
    <n v="152"/>
    <s v="EUR"/>
    <m/>
    <m/>
    <x v="12"/>
    <n v="0"/>
    <x v="0"/>
    <x v="3"/>
    <n v="400"/>
    <n v="0.63600000000000001"/>
    <n v="254.4"/>
    <n v="-17.072108843537418"/>
    <n v="237.32789115646258"/>
    <x v="12"/>
    <n v="0"/>
    <m/>
    <n v="434214"/>
    <n v="41.156451612903219"/>
    <m/>
    <n v="8"/>
    <m/>
    <n v="49.156451612903219"/>
    <n v="188.17143954355936"/>
    <m/>
    <n v="400"/>
  </r>
  <r>
    <n v="12"/>
    <n v="2024"/>
    <s v="Auction"/>
    <s v="VROLIJK BLOEMEN"/>
    <s v="VROLIJK BLOEMEN"/>
    <x v="47"/>
    <s v="English Roses"/>
    <s v="60CM"/>
    <n v="1"/>
    <n v="12"/>
    <n v="480"/>
    <n v="0.47"/>
    <n v="225.6"/>
    <s v="EUR"/>
    <m/>
    <m/>
    <x v="12"/>
    <n v="-160"/>
    <x v="1"/>
    <x v="0"/>
    <n v="640"/>
    <n v="0.330625"/>
    <n v="211.6"/>
    <n v="-27.315374149659867"/>
    <n v="184.28462585034012"/>
    <x v="12"/>
    <n v="160"/>
    <m/>
    <n v="434214"/>
    <n v="41.156451612903219"/>
    <m/>
    <n v="12.8"/>
    <m/>
    <n v="53.956451612903223"/>
    <n v="130.32817423743688"/>
    <m/>
    <n v="640"/>
  </r>
  <r>
    <n v="12"/>
    <n v="2024"/>
    <s v="Auction"/>
    <s v="VROLIJK BLOEMEN"/>
    <s v="VROLIJK BLOEMEN"/>
    <x v="47"/>
    <s v="English Roses"/>
    <s v="70CM"/>
    <n v="1"/>
    <n v="12"/>
    <n v="400"/>
    <n v="0.52"/>
    <n v="208"/>
    <s v="EUR"/>
    <m/>
    <m/>
    <x v="12"/>
    <n v="400"/>
    <x v="1"/>
    <x v="1"/>
    <m/>
    <m/>
    <n v="0"/>
    <n v="0"/>
    <n v="0"/>
    <x v="12"/>
    <n v="-400"/>
    <m/>
    <n v="434214"/>
    <n v="41.156451612903219"/>
    <m/>
    <n v="0"/>
    <m/>
    <n v="41.156451612903219"/>
    <n v="-41.156451612903219"/>
    <m/>
    <n v="0"/>
  </r>
  <r>
    <n v="12"/>
    <n v="2024"/>
    <s v="Auction"/>
    <s v="VROLIJK BLOEMEN"/>
    <s v="VROLIJK BLOEMEN"/>
    <x v="47"/>
    <s v="English Roses"/>
    <s v="80CM"/>
    <n v="1"/>
    <n v="12"/>
    <n v="320"/>
    <n v="0.56999999999999995"/>
    <n v="182.4"/>
    <s v="EUR"/>
    <m/>
    <m/>
    <x v="12"/>
    <n v="320"/>
    <x v="1"/>
    <x v="2"/>
    <m/>
    <m/>
    <n v="0"/>
    <n v="0"/>
    <n v="0"/>
    <x v="12"/>
    <n v="-320"/>
    <m/>
    <n v="434214"/>
    <n v="41.156451612903219"/>
    <m/>
    <n v="0"/>
    <m/>
    <n v="41.156451612903219"/>
    <n v="-41.156451612903219"/>
    <m/>
    <n v="0"/>
  </r>
  <r>
    <n v="12"/>
    <n v="2024"/>
    <s v="Auction"/>
    <s v="VROLIJK BLOEMEN"/>
    <s v="VROLIJK BLOEMEN"/>
    <x v="47"/>
    <s v="English Roses"/>
    <s v="90CM"/>
    <n v="1"/>
    <n v="12"/>
    <n v="240"/>
    <n v="0.75"/>
    <n v="180"/>
    <s v="EUR"/>
    <m/>
    <m/>
    <x v="12"/>
    <n v="-120"/>
    <x v="1"/>
    <x v="3"/>
    <n v="360"/>
    <n v="0.69777777777777772"/>
    <n v="251.2"/>
    <n v="-15.364897959183674"/>
    <n v="235.83510204081631"/>
    <x v="12"/>
    <n v="120"/>
    <m/>
    <n v="434214"/>
    <n v="41.156451612903219"/>
    <m/>
    <n v="7.2"/>
    <m/>
    <n v="48.356451612903221"/>
    <n v="187.4786504279131"/>
    <m/>
    <n v="360"/>
  </r>
  <r>
    <n v="12"/>
    <n v="2024"/>
    <s v="Auction"/>
    <s v="VROLIJK BLOEMEN"/>
    <s v="VROLIJK BLOEMEN"/>
    <x v="47"/>
    <s v="English Roses"/>
    <s v="100CM"/>
    <n v="1"/>
    <n v="12"/>
    <n v="200"/>
    <n v="0.94"/>
    <n v="188"/>
    <s v="EUR"/>
    <m/>
    <m/>
    <x v="12"/>
    <n v="-120"/>
    <x v="1"/>
    <x v="4"/>
    <n v="320"/>
    <n v="0.74"/>
    <n v="236.8"/>
    <n v="-13.657687074829933"/>
    <n v="223.14231292517007"/>
    <x v="12"/>
    <n v="120"/>
    <m/>
    <n v="434214"/>
    <n v="41.156451612903219"/>
    <m/>
    <n v="6.4"/>
    <m/>
    <n v="47.556451612903217"/>
    <n v="175.58586131226684"/>
    <m/>
    <n v="320"/>
  </r>
  <r>
    <n v="12"/>
    <n v="2024"/>
    <s v="Auction"/>
    <s v="VROLIJK BLOEMEN"/>
    <s v="VROLIJK BLOEMEN"/>
    <x v="47"/>
    <s v="Floribunda Roses"/>
    <s v="60CM"/>
    <n v="3"/>
    <n v="36"/>
    <n v="1560"/>
    <n v="0.47"/>
    <n v="733.2"/>
    <s v="EUR"/>
    <m/>
    <m/>
    <x v="12"/>
    <n v="1560"/>
    <x v="2"/>
    <x v="0"/>
    <m/>
    <m/>
    <n v="0"/>
    <n v="0"/>
    <n v="0"/>
    <x v="12"/>
    <n v="-1560"/>
    <m/>
    <n v="434214"/>
    <n v="123.46935483870966"/>
    <m/>
    <n v="0"/>
    <m/>
    <n v="123.46935483870966"/>
    <n v="-123.46935483870966"/>
    <m/>
    <n v="0"/>
  </r>
  <r>
    <n v="12"/>
    <n v="2024"/>
    <s v="Auction"/>
    <s v="VROLIJK BLOEMEN"/>
    <s v="VROLIJK BLOEMEN"/>
    <x v="47"/>
    <s v="Floribunda Roses"/>
    <s v="70CM"/>
    <n v="3"/>
    <n v="36"/>
    <n v="1200"/>
    <n v="0.52"/>
    <n v="624"/>
    <s v="EUR"/>
    <m/>
    <m/>
    <x v="12"/>
    <n v="-120"/>
    <x v="2"/>
    <x v="1"/>
    <n v="1320"/>
    <n v="0.58393939393939387"/>
    <n v="770.8"/>
    <n v="-56.337959183673483"/>
    <n v="714.46204081632652"/>
    <x v="12"/>
    <n v="120"/>
    <m/>
    <n v="434214"/>
    <n v="123.46935483870966"/>
    <m/>
    <n v="26.400000000000002"/>
    <m/>
    <n v="149.86935483870965"/>
    <n v="564.59268597761684"/>
    <m/>
    <n v="1320"/>
  </r>
  <r>
    <n v="12"/>
    <n v="2024"/>
    <s v="Auction"/>
    <s v="VROLIJK BLOEMEN"/>
    <s v="VROLIJK BLOEMEN"/>
    <x v="47"/>
    <s v="Floribunda Roses"/>
    <s v="80CM"/>
    <n v="3"/>
    <n v="36"/>
    <n v="960"/>
    <n v="0.56999999999999995"/>
    <n v="547.20000000000005"/>
    <s v="EUR"/>
    <m/>
    <m/>
    <x v="12"/>
    <n v="-120"/>
    <x v="2"/>
    <x v="2"/>
    <n v="1080"/>
    <n v="0.66296296296296298"/>
    <n v="716"/>
    <n v="-46.09469387755103"/>
    <n v="669.90530612244902"/>
    <x v="12"/>
    <n v="120"/>
    <m/>
    <n v="434214"/>
    <n v="123.46935483870966"/>
    <m/>
    <n v="21.6"/>
    <m/>
    <n v="145.06935483870967"/>
    <n v="524.8359512837394"/>
    <m/>
    <n v="1080"/>
  </r>
  <r>
    <n v="12"/>
    <n v="2024"/>
    <s v="Auction"/>
    <s v="VROLIJK BLOEMEN"/>
    <s v="VROLIJK BLOEMEN"/>
    <x v="47"/>
    <s v="Floribunda Roses"/>
    <s v="90CM"/>
    <n v="3"/>
    <n v="36"/>
    <n v="720"/>
    <n v="0.75"/>
    <n v="540"/>
    <s v="EUR"/>
    <m/>
    <m/>
    <x v="12"/>
    <n v="160"/>
    <x v="2"/>
    <x v="3"/>
    <n v="560"/>
    <n v="0.69928571428571429"/>
    <n v="391.6"/>
    <n v="-23.900952380952386"/>
    <n v="367.69904761904763"/>
    <x v="12"/>
    <n v="-160"/>
    <m/>
    <n v="434214"/>
    <n v="123.46935483870966"/>
    <m/>
    <n v="11.200000000000001"/>
    <m/>
    <n v="134.66935483870967"/>
    <n v="233.02969278033797"/>
    <m/>
    <n v="560"/>
  </r>
  <r>
    <n v="12"/>
    <n v="2024"/>
    <s v="Auction"/>
    <s v="VROLIJK BLOEMEN"/>
    <s v="VROLIJK BLOEMEN"/>
    <x v="47"/>
    <s v="Floribunda Roses"/>
    <s v="100CM"/>
    <n v="1"/>
    <n v="12"/>
    <n v="200"/>
    <n v="0.94"/>
    <n v="188"/>
    <s v="EUR"/>
    <m/>
    <m/>
    <x v="12"/>
    <n v="-320"/>
    <x v="2"/>
    <x v="4"/>
    <n v="520"/>
    <n v="0.74230769230769234"/>
    <n v="386"/>
    <n v="-22.193741496598641"/>
    <n v="363.80625850340135"/>
    <x v="12"/>
    <n v="320"/>
    <m/>
    <n v="434214"/>
    <n v="41.156451612903219"/>
    <m/>
    <n v="10.4"/>
    <m/>
    <n v="51.556451612903217"/>
    <n v="312.24980689049812"/>
    <m/>
    <n v="520"/>
  </r>
  <r>
    <n v="12"/>
    <n v="2024"/>
    <s v="Auction"/>
    <s v="VROLIJK BLOEMEN"/>
    <s v="VROLIJK BLOEMEN"/>
    <x v="47"/>
    <s v="Climbing Roses"/>
    <s v="60CM"/>
    <n v="1"/>
    <n v="12"/>
    <n v="600"/>
    <n v="0.14000000000000001"/>
    <n v="84"/>
    <s v="EUR"/>
    <m/>
    <m/>
    <x v="12"/>
    <n v="0"/>
    <x v="5"/>
    <x v="0"/>
    <n v="600"/>
    <n v="0.1"/>
    <n v="60"/>
    <n v="-25.608163265306128"/>
    <n v="34.391836734693868"/>
    <x v="12"/>
    <n v="0"/>
    <m/>
    <n v="434214"/>
    <n v="41.156451612903219"/>
    <m/>
    <n v="12"/>
    <m/>
    <n v="53.156451612903219"/>
    <n v="-18.76461487820935"/>
    <m/>
    <n v="600"/>
  </r>
  <r>
    <n v="12"/>
    <n v="2024"/>
    <s v="Auction"/>
    <s v="VROLIJK BLOEMEN"/>
    <s v="VROLIJK BLOEMEN"/>
    <x v="47"/>
    <s v="Climbing Roses"/>
    <s v="70CM"/>
    <n v="2"/>
    <n v="24"/>
    <n v="1040"/>
    <n v="0.17"/>
    <n v="176.8"/>
    <s v="EUR"/>
    <m/>
    <m/>
    <x v="12"/>
    <n v="-400"/>
    <x v="5"/>
    <x v="1"/>
    <n v="1440"/>
    <n v="6.9999999999999993E-2"/>
    <n v="100.79999999999998"/>
    <n v="-61.459591836734695"/>
    <n v="39.340408163265288"/>
    <x v="12"/>
    <n v="400"/>
    <m/>
    <n v="434214"/>
    <n v="82.312903225806437"/>
    <m/>
    <n v="28.8"/>
    <m/>
    <n v="111.11290322580643"/>
    <n v="-71.77249506254114"/>
    <m/>
    <n v="1440"/>
  </r>
  <r>
    <n v="12"/>
    <n v="2024"/>
    <s v="Auction"/>
    <s v="VROLIJK BLOEMEN"/>
    <s v="VROLIJK BLOEMEN"/>
    <x v="47"/>
    <s v="Climbing Roses"/>
    <s v="70CM"/>
    <n v="1"/>
    <n v="12"/>
    <n v="400"/>
    <n v="0.17"/>
    <n v="68"/>
    <s v="EUR"/>
    <m/>
    <m/>
    <x v="12"/>
    <n v="400"/>
    <x v="5"/>
    <x v="1"/>
    <m/>
    <m/>
    <n v="0"/>
    <n v="0"/>
    <n v="0"/>
    <x v="12"/>
    <n v="-400"/>
    <m/>
    <n v="434214"/>
    <n v="41.156451612903219"/>
    <m/>
    <n v="0"/>
    <m/>
    <n v="41.156451612903219"/>
    <n v="-41.156451612903219"/>
    <m/>
    <n v="0"/>
  </r>
  <r>
    <n v="12"/>
    <n v="2024"/>
    <s v="Auction"/>
    <s v="VROLIJK BLOEMEN"/>
    <s v="VROLIJK BLOEMEN"/>
    <x v="47"/>
    <s v="English Roses"/>
    <s v="50CM"/>
    <n v="1"/>
    <n v="4"/>
    <n v="160"/>
    <n v="0.38"/>
    <n v="60.8"/>
    <s v="EUR"/>
    <m/>
    <m/>
    <x v="12"/>
    <n v="0"/>
    <x v="1"/>
    <x v="5"/>
    <n v="160"/>
    <n v="0.22999999999999998"/>
    <n v="36.799999999999997"/>
    <n v="-6.8288435374149667"/>
    <n v="29.971156462585029"/>
    <x v="12"/>
    <n v="0"/>
    <m/>
    <n v="434214"/>
    <n v="13.718817204301075"/>
    <m/>
    <n v="3.2"/>
    <m/>
    <n v="16.918817204301074"/>
    <n v="13.052339258283954"/>
    <m/>
    <n v="160"/>
  </r>
  <r>
    <n v="12"/>
    <n v="2024"/>
    <s v="Auction"/>
    <s v="VROLIJK BLOEMEN"/>
    <s v="VROLIJK BLOEMEN"/>
    <x v="47"/>
    <s v="English Roses"/>
    <s v="60CM"/>
    <m/>
    <n v="4"/>
    <n v="160"/>
    <n v="0.47"/>
    <n v="75.2"/>
    <s v="EUR"/>
    <m/>
    <m/>
    <x v="12"/>
    <n v="160"/>
    <x v="1"/>
    <x v="0"/>
    <m/>
    <m/>
    <n v="0"/>
    <n v="0"/>
    <n v="0"/>
    <x v="12"/>
    <n v="-160"/>
    <m/>
    <n v="434214"/>
    <n v="13.718817204301075"/>
    <m/>
    <n v="0"/>
    <m/>
    <n v="13.718817204301075"/>
    <n v="-13.718817204301075"/>
    <m/>
    <n v="0"/>
  </r>
  <r>
    <n v="12"/>
    <n v="2024"/>
    <s v="Auction"/>
    <s v="VROLIJK BLOEMEN"/>
    <s v="VROLIJK BLOEMEN"/>
    <x v="47"/>
    <s v="English Roses"/>
    <s v="70CM"/>
    <m/>
    <n v="1"/>
    <n v="40"/>
    <n v="0.52"/>
    <n v="20.8"/>
    <s v="EUR"/>
    <m/>
    <m/>
    <x v="12"/>
    <n v="-400"/>
    <x v="1"/>
    <x v="1"/>
    <n v="440"/>
    <n v="0.56818181818181823"/>
    <n v="250.00000000000003"/>
    <n v="-18.77931972789116"/>
    <n v="231.22068027210886"/>
    <x v="12"/>
    <n v="400"/>
    <m/>
    <n v="434214"/>
    <n v="3.4297043010752688"/>
    <m/>
    <n v="8.8000000000000007"/>
    <m/>
    <n v="12.22970430107527"/>
    <n v="218.99097597103361"/>
    <m/>
    <n v="440"/>
  </r>
  <r>
    <n v="12"/>
    <n v="2024"/>
    <s v="Auction"/>
    <s v="VROLIJK BLOEMEN"/>
    <s v="VROLIJK BLOEMEN"/>
    <x v="47"/>
    <s v="English Roses"/>
    <s v="80CM"/>
    <m/>
    <n v="3"/>
    <n v="120"/>
    <n v="0.56999999999999995"/>
    <n v="68.400000000000006"/>
    <s v="EUR"/>
    <m/>
    <m/>
    <x v="12"/>
    <n v="-320"/>
    <x v="1"/>
    <x v="2"/>
    <n v="440"/>
    <n v="0.64909090909090916"/>
    <n v="285.60000000000002"/>
    <n v="-18.77931972789116"/>
    <n v="266.82068027210886"/>
    <x v="12"/>
    <n v="320"/>
    <m/>
    <n v="434214"/>
    <n v="10.289112903225805"/>
    <m/>
    <n v="8.8000000000000007"/>
    <m/>
    <n v="19.089112903225804"/>
    <n v="247.73156736888305"/>
    <m/>
    <n v="440"/>
  </r>
  <r>
    <n v="12"/>
    <n v="2024"/>
    <s v="Auction"/>
    <s v="VROLIJK BLOEMEN"/>
    <s v="VROLIJK BLOEMEN"/>
    <x v="47"/>
    <s v="Floribunda Roses"/>
    <s v="90CM"/>
    <n v="1"/>
    <n v="2.4000000000000004"/>
    <n v="40"/>
    <n v="0.75"/>
    <n v="30"/>
    <s v="EUR"/>
    <m/>
    <m/>
    <x v="12"/>
    <n v="40"/>
    <x v="2"/>
    <x v="3"/>
    <m/>
    <m/>
    <n v="0"/>
    <n v="0"/>
    <n v="0"/>
    <x v="12"/>
    <n v="-40"/>
    <m/>
    <n v="434214"/>
    <n v="8.2312903225806462"/>
    <m/>
    <n v="0"/>
    <m/>
    <n v="8.2312903225806462"/>
    <n v="-8.2312903225806462"/>
    <m/>
    <n v="0"/>
  </r>
  <r>
    <n v="12"/>
    <n v="2024"/>
    <s v="Auction"/>
    <s v="VROLIJK BLOEMEN"/>
    <s v="VROLIJK BLOEMEN"/>
    <x v="47"/>
    <s v="Floribunda Roses"/>
    <s v="100CM"/>
    <m/>
    <n v="9.6000000000000014"/>
    <n v="160"/>
    <n v="0.94"/>
    <n v="150.4"/>
    <s v="EUR"/>
    <m/>
    <m/>
    <x v="12"/>
    <n v="160"/>
    <x v="2"/>
    <x v="4"/>
    <m/>
    <m/>
    <n v="0"/>
    <n v="0"/>
    <n v="0"/>
    <x v="12"/>
    <n v="-160"/>
    <m/>
    <n v="434214"/>
    <n v="32.925161290322585"/>
    <m/>
    <n v="0"/>
    <m/>
    <n v="32.925161290322585"/>
    <n v="-32.925161290322585"/>
    <m/>
    <n v="0"/>
  </r>
  <r>
    <n v="12"/>
    <n v="2024"/>
    <s v="Auction"/>
    <s v="VROLIJK BLOEMEN"/>
    <s v="VROLIJK BLOEMEN"/>
    <x v="47"/>
    <s v="English Roses"/>
    <s v="90CM"/>
    <n v="1"/>
    <n v="6"/>
    <n v="120"/>
    <n v="0.75"/>
    <n v="90"/>
    <s v="EUR"/>
    <m/>
    <m/>
    <x v="12"/>
    <n v="120"/>
    <x v="1"/>
    <x v="3"/>
    <m/>
    <m/>
    <n v="0"/>
    <n v="0"/>
    <n v="0"/>
    <x v="12"/>
    <n v="-120"/>
    <m/>
    <n v="434214"/>
    <n v="20.578225806451609"/>
    <m/>
    <n v="0"/>
    <m/>
    <n v="20.578225806451609"/>
    <n v="-20.578225806451609"/>
    <m/>
    <n v="0"/>
  </r>
  <r>
    <n v="12"/>
    <n v="2024"/>
    <s v="Auction"/>
    <s v="VROLIJK BLOEMEN"/>
    <s v="VROLIJK BLOEMEN"/>
    <x v="47"/>
    <s v="English Roses"/>
    <s v="100CM"/>
    <m/>
    <n v="6"/>
    <n v="120"/>
    <n v="0.94"/>
    <n v="112.8"/>
    <s v="EUR"/>
    <m/>
    <m/>
    <x v="12"/>
    <n v="120"/>
    <x v="1"/>
    <x v="4"/>
    <m/>
    <m/>
    <n v="0"/>
    <n v="0"/>
    <n v="0"/>
    <x v="12"/>
    <n v="-120"/>
    <m/>
    <n v="434214"/>
    <n v="20.578225806451609"/>
    <m/>
    <n v="0"/>
    <m/>
    <n v="20.578225806451609"/>
    <n v="-20.578225806451609"/>
    <m/>
    <n v="0"/>
  </r>
  <r>
    <n v="12"/>
    <n v="2024"/>
    <s v="Auction"/>
    <s v="VROLIJK BLOEMEN"/>
    <s v="VROLIJK BLOEMEN"/>
    <x v="47"/>
    <s v="Floribunda Roses"/>
    <s v="60CM"/>
    <n v="1"/>
    <n v="1.7142857142857142"/>
    <n v="40"/>
    <n v="0.47"/>
    <n v="18.8"/>
    <s v="EUR"/>
    <m/>
    <m/>
    <x v="12"/>
    <n v="-1560"/>
    <x v="2"/>
    <x v="0"/>
    <n v="1600"/>
    <n v="0.41125"/>
    <n v="658"/>
    <n v="-68.288435374149671"/>
    <n v="589.71156462585031"/>
    <x v="12"/>
    <n v="1560"/>
    <m/>
    <n v="434214"/>
    <n v="5.879493087557603"/>
    <m/>
    <n v="32"/>
    <m/>
    <n v="37.879493087557606"/>
    <n v="551.83207153829267"/>
    <m/>
    <n v="1600"/>
  </r>
  <r>
    <n v="12"/>
    <n v="2024"/>
    <s v="Auction"/>
    <s v="VROLIJK BLOEMEN"/>
    <s v="VROLIJK BLOEMEN"/>
    <x v="47"/>
    <s v="Floribunda Roses"/>
    <s v="70CM"/>
    <m/>
    <n v="5.1428571428571423"/>
    <n v="120"/>
    <n v="0.52"/>
    <n v="62.4"/>
    <s v="EUR"/>
    <m/>
    <m/>
    <x v="12"/>
    <n v="120"/>
    <x v="2"/>
    <x v="1"/>
    <m/>
    <m/>
    <n v="0"/>
    <n v="0"/>
    <n v="0"/>
    <x v="12"/>
    <n v="-120"/>
    <m/>
    <n v="434214"/>
    <n v="17.63847926267281"/>
    <m/>
    <n v="0"/>
    <m/>
    <n v="17.63847926267281"/>
    <n v="-17.63847926267281"/>
    <m/>
    <n v="0"/>
  </r>
  <r>
    <m/>
    <m/>
    <m/>
    <m/>
    <m/>
    <x v="9"/>
    <s v="Floribunda Roses"/>
    <s v="80CM"/>
    <m/>
    <n v="5.1428571428571423"/>
    <n v="120"/>
    <n v="0.56999999999999995"/>
    <n v="68.400000000000006"/>
    <s v="EUR"/>
    <m/>
    <m/>
    <x v="12"/>
    <n v="120"/>
    <x v="2"/>
    <x v="2"/>
    <m/>
    <m/>
    <n v="0"/>
    <n v="0"/>
    <n v="0"/>
    <x v="12"/>
    <n v="-120"/>
    <m/>
    <n v="434214"/>
    <n v="17.63847926267281"/>
    <m/>
    <n v="0"/>
    <m/>
    <n v="17.63847926267281"/>
    <n v="-17.63847926267281"/>
    <m/>
    <n v="0"/>
  </r>
  <r>
    <n v="13"/>
    <n v="2024"/>
    <s v="Auction"/>
    <s v="VROLIJK BLOEMEN"/>
    <s v="VROLIJK BLOEMEN"/>
    <x v="48"/>
    <s v="Grandiflora Roses"/>
    <s v="60CM"/>
    <n v="1"/>
    <n v="12"/>
    <n v="720"/>
    <n v="0.24"/>
    <n v="172.8"/>
    <s v="EUR"/>
    <m/>
    <m/>
    <x v="12"/>
    <n v="-120"/>
    <x v="0"/>
    <x v="0"/>
    <n v="840"/>
    <n v="0.41761904761904761"/>
    <n v="350.8"/>
    <n v="-36.162682926829262"/>
    <n v="314.63731707317072"/>
    <x v="12"/>
    <n v="120"/>
    <m/>
    <s v="F082746"/>
    <n v="47.916363636363641"/>
    <m/>
    <n v="16.8"/>
    <m/>
    <n v="64.716363636363639"/>
    <n v="249.92095343680708"/>
    <m/>
    <n v="840"/>
  </r>
  <r>
    <n v="13"/>
    <n v="2024"/>
    <s v="Auction"/>
    <s v="VROLIJK BLOEMEN"/>
    <s v="VROLIJK BLOEMEN"/>
    <x v="48"/>
    <s v="Floribunda Roses"/>
    <s v="60CM"/>
    <n v="3"/>
    <n v="36"/>
    <n v="1560"/>
    <n v="0.47"/>
    <n v="733.2"/>
    <s v="EUR"/>
    <m/>
    <m/>
    <x v="12"/>
    <n v="0"/>
    <x v="2"/>
    <x v="0"/>
    <n v="1560"/>
    <n v="0.31589743589743591"/>
    <n v="492.8"/>
    <n v="-67.15926829268291"/>
    <n v="425.64073170731712"/>
    <x v="12"/>
    <n v="0"/>
    <m/>
    <s v="F082746"/>
    <n v="143.74909090909091"/>
    <m/>
    <n v="31.2"/>
    <m/>
    <n v="174.9490909090909"/>
    <n v="250.69164079822622"/>
    <m/>
    <n v="1560"/>
  </r>
  <r>
    <n v="13"/>
    <n v="2024"/>
    <s v="Auction"/>
    <s v="VROLIJK BLOEMEN"/>
    <s v="VROLIJK BLOEMEN"/>
    <x v="48"/>
    <s v="Floribunda Roses"/>
    <s v="70CM"/>
    <n v="2"/>
    <n v="24"/>
    <n v="800"/>
    <n v="0.52"/>
    <n v="416"/>
    <s v="EUR"/>
    <m/>
    <m/>
    <x v="12"/>
    <n v="0"/>
    <x v="2"/>
    <x v="1"/>
    <n v="800"/>
    <n v="0.47299999999999998"/>
    <n v="378.4"/>
    <n v="-34.440650406504055"/>
    <n v="343.95934959349592"/>
    <x v="12"/>
    <n v="0"/>
    <m/>
    <s v="F082746"/>
    <n v="95.832727272727283"/>
    <m/>
    <n v="16"/>
    <m/>
    <n v="111.83272727272728"/>
    <n v="232.12662232076863"/>
    <m/>
    <n v="800"/>
  </r>
  <r>
    <n v="13"/>
    <n v="2024"/>
    <s v="Auction"/>
    <s v="VROLIJK BLOEMEN"/>
    <s v="VROLIJK BLOEMEN"/>
    <x v="48"/>
    <s v="Floribunda Roses"/>
    <s v="100CM"/>
    <n v="1"/>
    <n v="12"/>
    <n v="200"/>
    <n v="0.94"/>
    <n v="188"/>
    <s v="EUR"/>
    <m/>
    <m/>
    <x v="12"/>
    <n v="0"/>
    <x v="2"/>
    <x v="4"/>
    <n v="200"/>
    <n v="0.40200000000000002"/>
    <n v="80.400000000000006"/>
    <n v="-8.6101626016260138"/>
    <n v="71.78983739837399"/>
    <x v="12"/>
    <n v="0"/>
    <m/>
    <s v="F082746"/>
    <n v="47.916363636363641"/>
    <m/>
    <n v="4"/>
    <m/>
    <n v="51.916363636363641"/>
    <n v="19.873473762010349"/>
    <m/>
    <n v="200"/>
  </r>
  <r>
    <n v="13"/>
    <n v="2024"/>
    <s v="Auction"/>
    <s v="VROLIJK BLOEMEN"/>
    <s v="VROLIJK BLOEMEN"/>
    <x v="48"/>
    <s v="Floribunda Roses"/>
    <s v="80CM"/>
    <n v="1"/>
    <n v="6.666666666666667"/>
    <n v="200"/>
    <n v="0.56999999999999995"/>
    <n v="114"/>
    <s v="EUR"/>
    <m/>
    <m/>
    <x v="12"/>
    <n v="0"/>
    <x v="2"/>
    <x v="2"/>
    <n v="200"/>
    <n v="0.68"/>
    <n v="136"/>
    <n v="-8.6101626016260138"/>
    <n v="127.38983739837398"/>
    <x v="12"/>
    <n v="0"/>
    <m/>
    <s v="F082746"/>
    <n v="26.620202020202022"/>
    <m/>
    <n v="4"/>
    <m/>
    <n v="30.620202020202022"/>
    <n v="96.769635378171955"/>
    <m/>
    <n v="200"/>
  </r>
  <r>
    <n v="13"/>
    <n v="2024"/>
    <s v="Auction"/>
    <s v="VROLIJK BLOEMEN"/>
    <s v="VROLIJK BLOEMEN"/>
    <x v="48"/>
    <s v="Floribunda Roses"/>
    <s v="90CM"/>
    <m/>
    <n v="5.333333333333333"/>
    <n v="160"/>
    <n v="0.75"/>
    <n v="120"/>
    <s v="EUR"/>
    <m/>
    <m/>
    <x v="12"/>
    <n v="0"/>
    <x v="2"/>
    <x v="3"/>
    <n v="160"/>
    <n v="0.46500000000000002"/>
    <n v="74.400000000000006"/>
    <n v="-6.8881300813008108"/>
    <n v="67.51186991869919"/>
    <x v="12"/>
    <n v="0"/>
    <m/>
    <s v="F082746"/>
    <n v="21.296161616161616"/>
    <m/>
    <n v="3.2"/>
    <m/>
    <n v="24.496161616161615"/>
    <n v="43.015708302537575"/>
    <m/>
    <n v="160"/>
  </r>
  <r>
    <n v="13"/>
    <n v="2024"/>
    <s v="Auction"/>
    <s v="VROLIJK BLOEMEN"/>
    <s v="VROLIJK BLOEMEN"/>
    <x v="48"/>
    <s v="English Roses"/>
    <s v="60CM"/>
    <n v="1"/>
    <n v="6"/>
    <n v="160"/>
    <n v="0.47"/>
    <n v="75.2"/>
    <s v="EUR"/>
    <m/>
    <m/>
    <x v="12"/>
    <n v="0"/>
    <x v="1"/>
    <x v="0"/>
    <n v="160"/>
    <n v="0.47750000000000004"/>
    <n v="76.400000000000006"/>
    <n v="-6.8881300813008108"/>
    <n v="69.51186991869919"/>
    <x v="12"/>
    <n v="0"/>
    <m/>
    <s v="F082746"/>
    <n v="23.958181818181821"/>
    <m/>
    <n v="3.2"/>
    <m/>
    <n v="27.15818181818182"/>
    <n v="42.353688100517374"/>
    <m/>
    <n v="160"/>
  </r>
  <r>
    <n v="13"/>
    <n v="2024"/>
    <s v="Auction"/>
    <s v="VROLIJK BLOEMEN"/>
    <s v="VROLIJK BLOEMEN"/>
    <x v="48"/>
    <s v="English Roses"/>
    <s v="90CM"/>
    <m/>
    <n v="1.5"/>
    <n v="40"/>
    <n v="0.75"/>
    <n v="30"/>
    <s v="EUR"/>
    <m/>
    <m/>
    <x v="12"/>
    <n v="0"/>
    <x v="1"/>
    <x v="3"/>
    <n v="40"/>
    <n v="0.54"/>
    <n v="21.6"/>
    <n v="-1.7220325203252027"/>
    <n v="19.877967479674798"/>
    <x v="12"/>
    <n v="0"/>
    <m/>
    <s v="F082746"/>
    <n v="5.9895454545454552"/>
    <m/>
    <n v="0.8"/>
    <m/>
    <n v="6.789545454545455"/>
    <n v="13.088422025129343"/>
    <m/>
    <n v="40"/>
  </r>
  <r>
    <n v="13"/>
    <n v="2024"/>
    <s v="Auction"/>
    <s v="VROLIJK BLOEMEN"/>
    <s v="VROLIJK BLOEMEN"/>
    <x v="48"/>
    <s v="English Roses"/>
    <s v="100CM"/>
    <m/>
    <n v="4.5"/>
    <n v="120"/>
    <n v="0.94"/>
    <n v="112.8"/>
    <s v="EUR"/>
    <m/>
    <m/>
    <x v="12"/>
    <n v="0"/>
    <x v="1"/>
    <x v="4"/>
    <n v="120"/>
    <n v="0.59"/>
    <n v="70.8"/>
    <n v="-5.1660975609756088"/>
    <n v="65.633902439024382"/>
    <x v="12"/>
    <n v="0"/>
    <m/>
    <s v="F082746"/>
    <n v="17.968636363636364"/>
    <m/>
    <n v="2.4"/>
    <m/>
    <n v="20.368636363636362"/>
    <n v="45.26526607538802"/>
    <m/>
    <n v="120"/>
  </r>
  <r>
    <n v="13"/>
    <n v="2024"/>
    <s v="Auction"/>
    <s v="VROLIJK BLOEMEN"/>
    <s v="VROLIJK BLOEMEN"/>
    <x v="48"/>
    <s v="Grandiflora Roses"/>
    <s v="80CM"/>
    <n v="1"/>
    <n v="7.1999999999999993"/>
    <n v="240"/>
    <n v="0.33"/>
    <n v="79.2"/>
    <s v="EUR"/>
    <m/>
    <m/>
    <x v="12"/>
    <n v="-40"/>
    <x v="0"/>
    <x v="2"/>
    <n v="280"/>
    <n v="0.17"/>
    <n v="47.6"/>
    <n v="-12.05422764227642"/>
    <n v="35.545772357723578"/>
    <x v="12"/>
    <n v="40"/>
    <m/>
    <s v="F082746"/>
    <n v="28.749818181818181"/>
    <m/>
    <n v="5.6000000000000005"/>
    <m/>
    <n v="34.349818181818179"/>
    <n v="1.1959541759053991"/>
    <m/>
    <n v="280"/>
  </r>
  <r>
    <n v="13"/>
    <n v="2024"/>
    <s v="Auction"/>
    <s v="VROLIJK BLOEMEN"/>
    <s v="VROLIJK BLOEMEN"/>
    <x v="48"/>
    <s v="Grandiflora Roses"/>
    <s v="90CM"/>
    <m/>
    <n v="4.8000000000000007"/>
    <n v="160"/>
    <n v="0.38"/>
    <n v="60.8"/>
    <s v="EUR"/>
    <m/>
    <m/>
    <x v="12"/>
    <n v="0"/>
    <x v="0"/>
    <x v="3"/>
    <n v="160"/>
    <n v="0.20499999999999999"/>
    <n v="32.799999999999997"/>
    <n v="-6.8881300813008108"/>
    <n v="25.911869918699185"/>
    <x v="12"/>
    <n v="0"/>
    <m/>
    <s v="F082746"/>
    <n v="19.16654545454546"/>
    <m/>
    <n v="3.2"/>
    <m/>
    <n v="22.366545454545459"/>
    <n v="3.545324464153726"/>
    <m/>
    <n v="160"/>
  </r>
  <r>
    <n v="13"/>
    <n v="2024"/>
    <s v="Auction"/>
    <s v="VROLIJK BLOEMEN"/>
    <s v="VROLIJK BLOEMEN"/>
    <x v="48"/>
    <s v="Grandiflora Roses"/>
    <s v="60CM"/>
    <n v="1"/>
    <n v="2.7692307692307692"/>
    <n v="120"/>
    <n v="0.24"/>
    <n v="28.8"/>
    <s v="EUR"/>
    <m/>
    <m/>
    <x v="12"/>
    <n v="120"/>
    <x v="0"/>
    <x v="0"/>
    <m/>
    <m/>
    <n v="0"/>
    <n v="0"/>
    <n v="0"/>
    <x v="12"/>
    <n v="-120"/>
    <m/>
    <s v="F082746"/>
    <n v="11.057622377622378"/>
    <m/>
    <n v="0"/>
    <m/>
    <n v="11.057622377622378"/>
    <n v="-11.057622377622378"/>
    <m/>
    <n v="0"/>
  </r>
  <r>
    <n v="13"/>
    <n v="2024"/>
    <s v="Auction"/>
    <s v="VROLIJK BLOEMEN"/>
    <s v="VROLIJK BLOEMEN"/>
    <x v="48"/>
    <s v="Grandiflora Roses"/>
    <s v="70CM"/>
    <m/>
    <n v="8.3076923076923066"/>
    <n v="360"/>
    <n v="0.28000000000000003"/>
    <n v="100.8"/>
    <s v="EUR"/>
    <m/>
    <m/>
    <x v="12"/>
    <n v="0"/>
    <x v="0"/>
    <x v="1"/>
    <n v="360"/>
    <n v="0.50555555555555554"/>
    <n v="182"/>
    <n v="-15.498292682926824"/>
    <n v="166.50170731707317"/>
    <x v="12"/>
    <n v="0"/>
    <m/>
    <s v="F082746"/>
    <n v="33.172867132867133"/>
    <m/>
    <n v="7.2"/>
    <m/>
    <n v="40.372867132867135"/>
    <n v="126.12884018420604"/>
    <m/>
    <n v="360"/>
  </r>
  <r>
    <n v="13"/>
    <n v="2024"/>
    <s v="Auction"/>
    <s v="VROLIJK BLOEMEN"/>
    <s v="VROLIJK BLOEMEN"/>
    <x v="48"/>
    <s v="Grandiflora Roses"/>
    <s v="100CM"/>
    <m/>
    <n v="0.92307692307692313"/>
    <n v="40"/>
    <n v="0.47"/>
    <n v="18.8"/>
    <s v="EUR"/>
    <m/>
    <m/>
    <x v="12"/>
    <n v="0"/>
    <x v="0"/>
    <x v="4"/>
    <n v="40"/>
    <n v="0.32999999999999996"/>
    <n v="13.2"/>
    <n v="-1.7220325203252027"/>
    <n v="11.477967479674797"/>
    <x v="12"/>
    <n v="0"/>
    <m/>
    <s v="F082746"/>
    <n v="3.6858741258741263"/>
    <m/>
    <n v="0.8"/>
    <m/>
    <n v="4.4858741258741262"/>
    <n v="6.9920933538006711"/>
    <m/>
    <n v="40"/>
  </r>
  <r>
    <n v="13"/>
    <n v="2024"/>
    <s v="Auction"/>
    <s v="VROLIJK BLOEMEN"/>
    <s v="VROLIJK BLOEMEN"/>
    <x v="48"/>
    <s v="Grandiflora Roses"/>
    <s v="90CM"/>
    <m/>
    <m/>
    <m/>
    <m/>
    <m/>
    <s v="EUR"/>
    <m/>
    <m/>
    <x v="12"/>
    <n v="0"/>
    <x v="0"/>
    <x v="3"/>
    <m/>
    <m/>
    <n v="-106"/>
    <n v="0"/>
    <n v="-106"/>
    <x v="12"/>
    <n v="0"/>
    <m/>
    <s v="F082746"/>
    <n v="0"/>
    <m/>
    <n v="0"/>
    <m/>
    <n v="0"/>
    <n v="-106"/>
    <m/>
    <n v="0"/>
  </r>
  <r>
    <n v="13"/>
    <n v="2024"/>
    <s v="Auction"/>
    <s v="VROLIJK BLOEMEN"/>
    <s v="VROLIJK BLOEMEN"/>
    <x v="49"/>
    <s v="Grandiflora Roses"/>
    <s v="60CM"/>
    <n v="1"/>
    <n v="12"/>
    <n v="720"/>
    <n v="0.24"/>
    <n v="172.8"/>
    <s v="EUR"/>
    <m/>
    <m/>
    <x v="12"/>
    <n v="-320"/>
    <x v="0"/>
    <x v="0"/>
    <n v="1040"/>
    <n v="0.15884615384615383"/>
    <n v="165.2"/>
    <n v="-39.171768953068586"/>
    <n v="126.02823104693141"/>
    <x v="12"/>
    <n v="320"/>
    <m/>
    <s v="F082866"/>
    <n v="42.936923076923073"/>
    <m/>
    <n v="20.8"/>
    <m/>
    <n v="63.736923076923077"/>
    <n v="62.291307970008333"/>
    <m/>
    <n v="1040"/>
  </r>
  <r>
    <n v="13"/>
    <n v="2024"/>
    <s v="Auction"/>
    <s v="VROLIJK BLOEMEN"/>
    <s v="VROLIJK BLOEMEN"/>
    <x v="49"/>
    <s v="Grandiflora Roses"/>
    <s v="70CM"/>
    <n v="1"/>
    <n v="12"/>
    <n v="520"/>
    <n v="0.28000000000000003"/>
    <n v="145.6"/>
    <s v="EUR"/>
    <m/>
    <m/>
    <x v="12"/>
    <n v="-120"/>
    <x v="0"/>
    <x v="1"/>
    <n v="640"/>
    <n v="0.24"/>
    <n v="153.6"/>
    <n v="-24.10570397111913"/>
    <n v="129.49429602888085"/>
    <x v="12"/>
    <n v="120"/>
    <m/>
    <s v="F082866"/>
    <n v="42.936923076923073"/>
    <m/>
    <n v="12.8"/>
    <m/>
    <n v="55.736923076923077"/>
    <n v="73.757372951957777"/>
    <m/>
    <n v="640"/>
  </r>
  <r>
    <n v="13"/>
    <n v="2024"/>
    <s v="Auction"/>
    <s v="VROLIJK BLOEMEN"/>
    <s v="VROLIJK BLOEMEN"/>
    <x v="49"/>
    <s v="Grandiflora Roses"/>
    <s v="80CM"/>
    <n v="1"/>
    <n v="12"/>
    <n v="400"/>
    <n v="0.33"/>
    <n v="132"/>
    <s v="EUR"/>
    <m/>
    <m/>
    <x v="12"/>
    <n v="-240"/>
    <x v="0"/>
    <x v="2"/>
    <n v="640"/>
    <n v="0.30437500000000001"/>
    <n v="194.8"/>
    <n v="-24.10570397111913"/>
    <n v="170.69429602888087"/>
    <x v="12"/>
    <n v="240"/>
    <m/>
    <s v="F082866"/>
    <n v="42.936923076923073"/>
    <m/>
    <n v="12.8"/>
    <m/>
    <n v="55.736923076923077"/>
    <n v="114.95737295195779"/>
    <m/>
    <n v="640"/>
  </r>
  <r>
    <n v="13"/>
    <n v="2024"/>
    <s v="Auction"/>
    <s v="VROLIJK BLOEMEN"/>
    <s v="VROLIJK BLOEMEN"/>
    <x v="49"/>
    <s v="Grandiflora Roses"/>
    <s v="90CM"/>
    <n v="1"/>
    <n v="12"/>
    <n v="360"/>
    <n v="0.38"/>
    <n v="136.80000000000001"/>
    <s v="EUR"/>
    <m/>
    <m/>
    <x v="12"/>
    <n v="-120"/>
    <x v="0"/>
    <x v="3"/>
    <n v="480"/>
    <n v="0.46333333333333332"/>
    <n v="222.4"/>
    <n v="-18.079277978339348"/>
    <n v="204.32072202166066"/>
    <x v="12"/>
    <n v="120"/>
    <m/>
    <s v="F082866"/>
    <n v="42.936923076923073"/>
    <m/>
    <n v="9.6"/>
    <m/>
    <n v="52.536923076923074"/>
    <n v="151.78379894473758"/>
    <m/>
    <n v="480"/>
  </r>
  <r>
    <n v="13"/>
    <n v="2024"/>
    <s v="Auction"/>
    <s v="VROLIJK BLOEMEN"/>
    <s v="VROLIJK BLOEMEN"/>
    <x v="49"/>
    <s v="Grandiflora Roses"/>
    <s v="100CM"/>
    <n v="1"/>
    <n v="12"/>
    <n v="320"/>
    <n v="0.47"/>
    <n v="150.4"/>
    <s v="EUR"/>
    <m/>
    <m/>
    <x v="12"/>
    <n v="320"/>
    <x v="0"/>
    <x v="4"/>
    <m/>
    <m/>
    <n v="0"/>
    <n v="0"/>
    <n v="0"/>
    <x v="12"/>
    <n v="-320"/>
    <m/>
    <s v="F082866"/>
    <n v="42.936923076923073"/>
    <m/>
    <n v="0"/>
    <m/>
    <n v="42.936923076923073"/>
    <n v="-42.936923076923073"/>
    <m/>
    <n v="0"/>
  </r>
  <r>
    <n v="13"/>
    <n v="2024"/>
    <s v="Auction"/>
    <s v="VROLIJK BLOEMEN"/>
    <s v="VROLIJK BLOEMEN"/>
    <x v="49"/>
    <s v="Polyantha Roses"/>
    <s v="60CM"/>
    <n v="1"/>
    <n v="12"/>
    <n v="560"/>
    <n v="0.52"/>
    <n v="291.2"/>
    <s v="EUR"/>
    <m/>
    <m/>
    <x v="12"/>
    <n v="0"/>
    <x v="3"/>
    <x v="0"/>
    <n v="560"/>
    <n v="0.34"/>
    <n v="190.4"/>
    <n v="-21.092490974729238"/>
    <n v="169.30750902527078"/>
    <x v="12"/>
    <n v="0"/>
    <m/>
    <s v="F082866"/>
    <n v="42.936923076923073"/>
    <m/>
    <n v="11.200000000000001"/>
    <m/>
    <n v="54.136923076923075"/>
    <n v="115.17058594834771"/>
    <m/>
    <n v="560"/>
  </r>
  <r>
    <n v="13"/>
    <n v="2024"/>
    <s v="Auction"/>
    <s v="VROLIJK BLOEMEN"/>
    <s v="VROLIJK BLOEMEN"/>
    <x v="49"/>
    <s v="English Roses"/>
    <s v="60CM"/>
    <n v="1"/>
    <n v="12"/>
    <n v="440"/>
    <n v="0.47"/>
    <n v="206.8"/>
    <s v="EUR"/>
    <m/>
    <m/>
    <x v="12"/>
    <n v="440"/>
    <x v="1"/>
    <x v="0"/>
    <m/>
    <m/>
    <n v="0"/>
    <n v="0"/>
    <n v="0"/>
    <x v="12"/>
    <n v="-440"/>
    <m/>
    <s v="F082866"/>
    <n v="42.936923076923073"/>
    <m/>
    <n v="0"/>
    <m/>
    <n v="42.936923076923073"/>
    <n v="-42.936923076923073"/>
    <m/>
    <n v="0"/>
  </r>
  <r>
    <n v="13"/>
    <n v="2024"/>
    <s v="Auction"/>
    <s v="VROLIJK BLOEMEN"/>
    <s v="VROLIJK BLOEMEN"/>
    <x v="49"/>
    <s v="English Roses"/>
    <s v="60CM"/>
    <n v="1"/>
    <n v="12"/>
    <n v="480"/>
    <n v="0.47"/>
    <n v="225.6"/>
    <s v="EUR"/>
    <m/>
    <m/>
    <x v="12"/>
    <n v="-440"/>
    <x v="1"/>
    <x v="0"/>
    <n v="920"/>
    <n v="0.48304347826086952"/>
    <n v="444.4"/>
    <n v="-34.651949458483749"/>
    <n v="409.74805054151625"/>
    <x v="12"/>
    <n v="440"/>
    <m/>
    <s v="F082866"/>
    <n v="42.936923076923073"/>
    <m/>
    <n v="18.400000000000002"/>
    <m/>
    <n v="61.336923076923071"/>
    <n v="348.41112746459316"/>
    <m/>
    <n v="920"/>
  </r>
  <r>
    <n v="13"/>
    <n v="2024"/>
    <s v="Auction"/>
    <s v="VROLIJK BLOEMEN"/>
    <s v="VROLIJK BLOEMEN"/>
    <x v="49"/>
    <s v="English Roses"/>
    <s v="90CM"/>
    <n v="1"/>
    <n v="12"/>
    <n v="240"/>
    <n v="0.75"/>
    <n v="180"/>
    <s v="EUR"/>
    <m/>
    <m/>
    <x v="12"/>
    <n v="-120"/>
    <x v="1"/>
    <x v="3"/>
    <n v="360"/>
    <n v="0.68555555555555558"/>
    <n v="246.8"/>
    <n v="-13.559458483754511"/>
    <n v="233.24054151624551"/>
    <x v="12"/>
    <n v="120"/>
    <m/>
    <s v="F082866"/>
    <n v="42.936923076923073"/>
    <m/>
    <n v="7.2"/>
    <m/>
    <n v="50.136923076923075"/>
    <n v="183.10361843932245"/>
    <m/>
    <n v="360"/>
  </r>
  <r>
    <n v="13"/>
    <n v="2024"/>
    <s v="Auction"/>
    <s v="VROLIJK BLOEMEN"/>
    <s v="VROLIJK BLOEMEN"/>
    <x v="49"/>
    <s v="English Roses"/>
    <s v="100CM"/>
    <n v="1"/>
    <n v="12"/>
    <n v="200"/>
    <n v="0.94"/>
    <n v="188"/>
    <s v="EUR"/>
    <m/>
    <m/>
    <x v="12"/>
    <n v="0"/>
    <x v="1"/>
    <x v="4"/>
    <n v="200"/>
    <n v="0.66"/>
    <n v="132"/>
    <n v="-7.5330324909747279"/>
    <n v="124.46696750902527"/>
    <x v="12"/>
    <n v="0"/>
    <m/>
    <s v="F082866"/>
    <n v="42.936923076923073"/>
    <m/>
    <n v="4"/>
    <m/>
    <n v="46.936923076923073"/>
    <n v="77.530044432102187"/>
    <m/>
    <n v="200"/>
  </r>
  <r>
    <n v="13"/>
    <n v="2024"/>
    <s v="Auction"/>
    <s v="VROLIJK BLOEMEN"/>
    <s v="VROLIJK BLOEMEN"/>
    <x v="49"/>
    <s v="Floribunda Roses"/>
    <s v="50CM"/>
    <n v="1"/>
    <n v="12"/>
    <n v="760"/>
    <n v="0.38"/>
    <n v="288.8"/>
    <s v="EUR"/>
    <m/>
    <m/>
    <x v="12"/>
    <n v="760"/>
    <x v="2"/>
    <x v="5"/>
    <m/>
    <m/>
    <n v="0"/>
    <n v="0"/>
    <n v="0"/>
    <x v="12"/>
    <n v="-760"/>
    <m/>
    <s v="F082866"/>
    <n v="42.936923076923073"/>
    <m/>
    <n v="0"/>
    <m/>
    <n v="42.936923076923073"/>
    <n v="-42.936923076923073"/>
    <m/>
    <n v="0"/>
  </r>
  <r>
    <n v="13"/>
    <n v="2024"/>
    <s v="Auction"/>
    <s v="VROLIJK BLOEMEN"/>
    <s v="VROLIJK BLOEMEN"/>
    <x v="49"/>
    <s v="Floribunda Roses"/>
    <s v="50CM"/>
    <n v="1"/>
    <n v="12"/>
    <n v="640"/>
    <n v="0.38"/>
    <n v="243.2"/>
    <s v="EUR"/>
    <m/>
    <m/>
    <x v="12"/>
    <n v="-760"/>
    <x v="2"/>
    <x v="5"/>
    <n v="1400"/>
    <n v="0.22828571428571431"/>
    <n v="319.60000000000002"/>
    <n v="-52.731227436823097"/>
    <n v="266.86877256317695"/>
    <x v="12"/>
    <n v="760"/>
    <m/>
    <s v="F082866"/>
    <n v="42.936923076923073"/>
    <m/>
    <n v="28"/>
    <m/>
    <n v="70.93692307692308"/>
    <n v="195.93184948625387"/>
    <m/>
    <n v="1400"/>
  </r>
  <r>
    <n v="13"/>
    <n v="2024"/>
    <s v="Auction"/>
    <s v="VROLIJK BLOEMEN"/>
    <s v="VROLIJK BLOEMEN"/>
    <x v="49"/>
    <s v="Floribunda Roses"/>
    <s v="60CM"/>
    <n v="3"/>
    <n v="36"/>
    <n v="1560"/>
    <n v="0.47"/>
    <n v="733.2"/>
    <s v="EUR"/>
    <m/>
    <m/>
    <x v="12"/>
    <n v="-160"/>
    <x v="2"/>
    <x v="0"/>
    <n v="1720"/>
    <n v="0.36534883720930234"/>
    <n v="628.4"/>
    <n v="-64.784079422382661"/>
    <n v="563.61592057761732"/>
    <x v="12"/>
    <n v="160"/>
    <m/>
    <s v="F082866"/>
    <n v="128.81076923076924"/>
    <m/>
    <n v="34.4"/>
    <m/>
    <n v="163.21076923076924"/>
    <n v="400.40515134684807"/>
    <m/>
    <n v="1720"/>
  </r>
  <r>
    <n v="13"/>
    <n v="2024"/>
    <s v="Auction"/>
    <s v="VROLIJK BLOEMEN"/>
    <s v="VROLIJK BLOEMEN"/>
    <x v="49"/>
    <s v="Floribunda Roses"/>
    <s v="70CM"/>
    <n v="1"/>
    <n v="12"/>
    <n v="400"/>
    <n v="0.52"/>
    <n v="208"/>
    <s v="EUR"/>
    <m/>
    <m/>
    <x v="12"/>
    <n v="400"/>
    <x v="2"/>
    <x v="1"/>
    <m/>
    <m/>
    <n v="0"/>
    <n v="0"/>
    <n v="0"/>
    <x v="12"/>
    <n v="-400"/>
    <m/>
    <s v="F082866"/>
    <n v="42.936923076923073"/>
    <m/>
    <n v="0"/>
    <m/>
    <n v="42.936923076923073"/>
    <n v="-42.936923076923073"/>
    <m/>
    <n v="0"/>
  </r>
  <r>
    <n v="13"/>
    <n v="2024"/>
    <s v="Auction"/>
    <s v="VROLIJK BLOEMEN"/>
    <s v="VROLIJK BLOEMEN"/>
    <x v="49"/>
    <s v="Floribunda Roses"/>
    <s v="90CM"/>
    <n v="1"/>
    <n v="12"/>
    <n v="200"/>
    <n v="0.75"/>
    <n v="150"/>
    <s v="EUR"/>
    <m/>
    <m/>
    <x v="12"/>
    <n v="200"/>
    <x v="2"/>
    <x v="3"/>
    <m/>
    <m/>
    <n v="0"/>
    <n v="0"/>
    <n v="0"/>
    <x v="12"/>
    <n v="-200"/>
    <m/>
    <s v="F082866"/>
    <n v="42.936923076923073"/>
    <m/>
    <n v="0"/>
    <m/>
    <n v="42.936923076923073"/>
    <n v="-42.936923076923073"/>
    <m/>
    <n v="0"/>
  </r>
  <r>
    <n v="13"/>
    <n v="2024"/>
    <s v="Auction"/>
    <s v="VROLIJK BLOEMEN"/>
    <s v="VROLIJK BLOEMEN"/>
    <x v="49"/>
    <s v="Floribunda Roses"/>
    <s v="90CM"/>
    <n v="1"/>
    <n v="12"/>
    <n v="240"/>
    <n v="0.75"/>
    <n v="180"/>
    <s v="EUR"/>
    <m/>
    <m/>
    <x v="12"/>
    <n v="-200"/>
    <x v="2"/>
    <x v="3"/>
    <n v="440"/>
    <n v="0.69272727272727275"/>
    <n v="304.8"/>
    <n v="-16.5726714801444"/>
    <n v="288.22732851985563"/>
    <x v="12"/>
    <n v="200"/>
    <m/>
    <s v="F082866"/>
    <n v="42.936923076923073"/>
    <m/>
    <n v="8.8000000000000007"/>
    <m/>
    <n v="51.736923076923077"/>
    <n v="236.49040544293257"/>
    <m/>
    <n v="440"/>
  </r>
  <r>
    <n v="13"/>
    <n v="2024"/>
    <s v="Auction"/>
    <s v="VROLIJK BLOEMEN"/>
    <s v="VROLIJK BLOEMEN"/>
    <x v="49"/>
    <s v="Floribunda Roses"/>
    <s v="100CM"/>
    <n v="2"/>
    <n v="24"/>
    <n v="400"/>
    <n v="0.94"/>
    <n v="376"/>
    <s v="EUR"/>
    <m/>
    <m/>
    <x v="12"/>
    <n v="-80"/>
    <x v="2"/>
    <x v="4"/>
    <n v="480"/>
    <n v="0.77250000000000008"/>
    <n v="370.8"/>
    <n v="-18.079277978339348"/>
    <n v="352.72072202166066"/>
    <x v="12"/>
    <n v="80"/>
    <m/>
    <s v="F082866"/>
    <n v="85.873846153846145"/>
    <m/>
    <n v="9.6"/>
    <m/>
    <n v="95.473846153846139"/>
    <n v="257.24687586781454"/>
    <m/>
    <n v="480"/>
  </r>
  <r>
    <n v="13"/>
    <n v="2024"/>
    <s v="Auction"/>
    <s v="VROLIJK BLOEMEN"/>
    <s v="VROLIJK BLOEMEN"/>
    <x v="49"/>
    <s v="English Roses"/>
    <s v="80CM"/>
    <n v="1"/>
    <n v="4.8000000000000007"/>
    <n v="160"/>
    <n v="0.56999999999999995"/>
    <n v="91.2"/>
    <s v="EUR"/>
    <m/>
    <m/>
    <x v="12"/>
    <n v="40"/>
    <x v="1"/>
    <x v="2"/>
    <n v="120"/>
    <n v="0.94"/>
    <n v="112.8"/>
    <n v="-4.5198194945848371"/>
    <n v="108.28018050541516"/>
    <x v="12"/>
    <n v="-40"/>
    <m/>
    <s v="F082866"/>
    <n v="17.174769230769233"/>
    <m/>
    <n v="2.4"/>
    <m/>
    <n v="19.574769230769231"/>
    <n v="88.705411274645925"/>
    <m/>
    <n v="120"/>
  </r>
  <r>
    <n v="13"/>
    <n v="2024"/>
    <s v="Auction"/>
    <s v="VROLIJK BLOEMEN"/>
    <s v="VROLIJK BLOEMEN"/>
    <x v="49"/>
    <s v="English Roses"/>
    <s v="70CM"/>
    <m/>
    <n v="7.1999999999999993"/>
    <n v="240"/>
    <n v="0.52"/>
    <n v="124.8"/>
    <s v="EUR"/>
    <m/>
    <m/>
    <x v="12"/>
    <n v="0"/>
    <x v="1"/>
    <x v="1"/>
    <n v="240"/>
    <n v="0.73166666666666669"/>
    <n v="175.6"/>
    <n v="-9.0396389891696742"/>
    <n v="166.56036101083032"/>
    <x v="12"/>
    <n v="0"/>
    <m/>
    <s v="F082866"/>
    <n v="25.76215384615384"/>
    <m/>
    <n v="4.8"/>
    <m/>
    <n v="30.562153846153841"/>
    <n v="135.99820716467647"/>
    <m/>
    <n v="240"/>
  </r>
  <r>
    <n v="13"/>
    <n v="2024"/>
    <s v="Auction"/>
    <s v="VROLIJK BLOEMEN"/>
    <s v="VROLIJK BLOEMEN"/>
    <x v="49"/>
    <s v="Floribunda Roses"/>
    <s v="70CM"/>
    <n v="1"/>
    <n v="9"/>
    <n v="240"/>
    <n v="0.52"/>
    <n v="124.8"/>
    <s v="EUR"/>
    <m/>
    <m/>
    <x v="12"/>
    <n v="-400"/>
    <x v="2"/>
    <x v="1"/>
    <n v="640"/>
    <n v="0.66562500000000002"/>
    <n v="426"/>
    <n v="-24.10570397111913"/>
    <n v="401.89429602888089"/>
    <x v="12"/>
    <n v="400"/>
    <m/>
    <s v="F082866"/>
    <n v="32.20269230769231"/>
    <m/>
    <n v="12.8"/>
    <m/>
    <n v="45.002692307692314"/>
    <n v="356.89160372118857"/>
    <m/>
    <n v="640"/>
  </r>
  <r>
    <n v="13"/>
    <n v="2024"/>
    <s v="Auction"/>
    <s v="VROLIJK BLOEMEN"/>
    <s v="VROLIJK BLOEMEN"/>
    <x v="49"/>
    <s v="Floribunda Roses"/>
    <s v="100CM"/>
    <m/>
    <n v="3"/>
    <n v="80"/>
    <n v="0.94"/>
    <n v="75.2"/>
    <s v="EUR"/>
    <m/>
    <m/>
    <x v="12"/>
    <n v="80"/>
    <x v="2"/>
    <x v="4"/>
    <m/>
    <m/>
    <n v="0"/>
    <n v="0"/>
    <n v="0"/>
    <x v="12"/>
    <n v="-80"/>
    <m/>
    <s v="F082866"/>
    <n v="10.734230769230768"/>
    <m/>
    <n v="0"/>
    <m/>
    <n v="10.734230769230768"/>
    <n v="-10.734230769230768"/>
    <m/>
    <n v="0"/>
  </r>
  <r>
    <n v="13"/>
    <n v="2024"/>
    <s v="Auction"/>
    <s v="VROLIJK BLOEMEN"/>
    <s v="VROLIJK BLOEMEN"/>
    <x v="49"/>
    <s v="Floribunda Roses"/>
    <s v="60CM"/>
    <n v="1"/>
    <n v="4.8000000000000007"/>
    <n v="160"/>
    <n v="0.47"/>
    <n v="75.2"/>
    <s v="EUR"/>
    <m/>
    <m/>
    <x v="12"/>
    <n v="160"/>
    <x v="2"/>
    <x v="0"/>
    <m/>
    <m/>
    <n v="0"/>
    <n v="0"/>
    <n v="0"/>
    <x v="12"/>
    <n v="-160"/>
    <m/>
    <s v="F082866"/>
    <n v="17.174769230769233"/>
    <m/>
    <n v="0"/>
    <m/>
    <n v="17.174769230769233"/>
    <n v="-17.174769230769233"/>
    <m/>
    <n v="0"/>
  </r>
  <r>
    <n v="13"/>
    <n v="2024"/>
    <s v="Auction"/>
    <s v="VROLIJK BLOEMEN"/>
    <s v="VROLIJK BLOEMEN"/>
    <x v="49"/>
    <s v="Floribunda Roses"/>
    <s v="80CM"/>
    <m/>
    <n v="7.1999999999999993"/>
    <n v="240"/>
    <n v="0.56999999999999995"/>
    <n v="136.80000000000001"/>
    <s v="EUR"/>
    <m/>
    <m/>
    <x v="12"/>
    <n v="0"/>
    <x v="2"/>
    <x v="2"/>
    <n v="240"/>
    <n v="0.79666666666666663"/>
    <n v="191.2"/>
    <n v="-9.0396389891696742"/>
    <n v="182.16036101083031"/>
    <x v="12"/>
    <n v="0"/>
    <m/>
    <s v="F082866"/>
    <n v="25.76215384615384"/>
    <m/>
    <n v="4.8"/>
    <m/>
    <n v="30.562153846153841"/>
    <n v="151.59820716467647"/>
    <m/>
    <n v="240"/>
  </r>
  <r>
    <n v="13"/>
    <n v="2024"/>
    <s v="Auction"/>
    <s v="VROLIJK BLOEMEN"/>
    <s v="VROLIJK BLOEMEN"/>
    <x v="49"/>
    <s v="English Roses"/>
    <s v="50CM"/>
    <n v="1"/>
    <n v="9"/>
    <n v="360"/>
    <n v="0.38"/>
    <n v="136.80000000000001"/>
    <s v="EUR"/>
    <m/>
    <m/>
    <x v="12"/>
    <n v="0"/>
    <x v="1"/>
    <x v="5"/>
    <n v="360"/>
    <n v="0.22555555555555556"/>
    <n v="81.2"/>
    <n v="-13.559458483754511"/>
    <n v="67.640541516245491"/>
    <x v="12"/>
    <n v="0"/>
    <m/>
    <s v="F082866"/>
    <n v="32.20269230769231"/>
    <m/>
    <n v="7.2"/>
    <m/>
    <n v="39.402692307692313"/>
    <n v="28.237849208553179"/>
    <m/>
    <n v="360"/>
  </r>
  <r>
    <n v="13"/>
    <n v="2024"/>
    <s v="Auction"/>
    <s v="VROLIJK BLOEMEN"/>
    <s v="VROLIJK BLOEMEN"/>
    <x v="49"/>
    <s v="English Roses"/>
    <s v="90CM"/>
    <m/>
    <n v="3"/>
    <n v="120"/>
    <n v="0.75"/>
    <n v="90"/>
    <s v="EUR"/>
    <m/>
    <m/>
    <x v="12"/>
    <n v="120"/>
    <x v="1"/>
    <x v="3"/>
    <m/>
    <m/>
    <n v="0"/>
    <n v="0"/>
    <n v="0"/>
    <x v="12"/>
    <n v="-120"/>
    <m/>
    <s v="F082866"/>
    <n v="10.734230769230768"/>
    <m/>
    <n v="0"/>
    <m/>
    <n v="10.734230769230768"/>
    <n v="-10.734230769230768"/>
    <m/>
    <n v="0"/>
  </r>
  <r>
    <n v="13"/>
    <n v="2024"/>
    <s v="Auction"/>
    <s v="VROLIJK BLOEMEN"/>
    <s v="VROLIJK BLOEMEN"/>
    <x v="49"/>
    <s v="Grandiflora Roses"/>
    <s v="80CM"/>
    <n v="1"/>
    <n v="8.3999999999999986"/>
    <n v="280"/>
    <n v="0.33"/>
    <n v="92.4"/>
    <s v="EUR"/>
    <m/>
    <m/>
    <x v="12"/>
    <n v="280"/>
    <x v="0"/>
    <x v="2"/>
    <m/>
    <m/>
    <n v="0"/>
    <n v="0"/>
    <n v="0"/>
    <x v="12"/>
    <n v="-280"/>
    <m/>
    <s v="F082866"/>
    <n v="30.055846153846144"/>
    <m/>
    <n v="0"/>
    <m/>
    <n v="30.055846153846144"/>
    <n v="-30.055846153846144"/>
    <m/>
    <n v="0"/>
  </r>
  <r>
    <n v="13"/>
    <n v="2024"/>
    <s v="Auction"/>
    <s v="VROLIJK BLOEMEN"/>
    <s v="VROLIJK BLOEMEN"/>
    <x v="49"/>
    <s v="Grandiflora Roses"/>
    <s v="90CM"/>
    <m/>
    <n v="3.5999999999999996"/>
    <n v="120"/>
    <n v="0.38"/>
    <n v="45.6"/>
    <s v="EUR"/>
    <m/>
    <m/>
    <x v="12"/>
    <n v="120"/>
    <x v="0"/>
    <x v="3"/>
    <m/>
    <m/>
    <n v="0"/>
    <n v="0"/>
    <n v="0"/>
    <x v="12"/>
    <n v="-120"/>
    <m/>
    <s v="F082866"/>
    <n v="12.88107692307692"/>
    <m/>
    <n v="0"/>
    <m/>
    <n v="12.88107692307692"/>
    <n v="-12.88107692307692"/>
    <m/>
    <n v="0"/>
  </r>
  <r>
    <n v="13"/>
    <n v="2024"/>
    <s v="Auction"/>
    <s v="VROLIJK BLOEMEN"/>
    <s v="VROLIJK BLOEMEN"/>
    <x v="49"/>
    <s v="Grandiflora Roses"/>
    <s v="60CM"/>
    <n v="1"/>
    <n v="5.6470588235294112"/>
    <n v="320"/>
    <n v="0.24"/>
    <n v="76.8"/>
    <s v="EUR"/>
    <m/>
    <m/>
    <x v="12"/>
    <n v="320"/>
    <x v="0"/>
    <x v="0"/>
    <m/>
    <m/>
    <n v="0"/>
    <n v="0"/>
    <n v="0"/>
    <x v="12"/>
    <n v="-320"/>
    <m/>
    <s v="F082866"/>
    <n v="20.205610859728502"/>
    <m/>
    <n v="0"/>
    <m/>
    <n v="20.205610859728502"/>
    <n v="-20.205610859728502"/>
    <m/>
    <n v="0"/>
  </r>
  <r>
    <n v="13"/>
    <n v="2024"/>
    <s v="Auction"/>
    <s v="VROLIJK BLOEMEN"/>
    <s v="VROLIJK BLOEMEN"/>
    <x v="49"/>
    <s v="Grandiflora Roses"/>
    <s v="70CM"/>
    <m/>
    <n v="4.2352941176470589"/>
    <n v="240"/>
    <n v="0.28000000000000003"/>
    <n v="67.2"/>
    <s v="EUR"/>
    <m/>
    <m/>
    <x v="12"/>
    <n v="80"/>
    <x v="0"/>
    <x v="1"/>
    <n v="160"/>
    <n v="0.315"/>
    <n v="50.4"/>
    <n v="-6.0264259927797825"/>
    <n v="44.373574007220213"/>
    <x v="12"/>
    <n v="-80"/>
    <m/>
    <s v="F082866"/>
    <n v="15.15420814479638"/>
    <m/>
    <n v="3.2"/>
    <m/>
    <n v="18.354208144796381"/>
    <n v="26.019365862423832"/>
    <m/>
    <n v="160"/>
  </r>
  <r>
    <n v="13"/>
    <n v="2024"/>
    <s v="Auction"/>
    <s v="VROLIJK BLOEMEN"/>
    <s v="VROLIJK BLOEMEN"/>
    <x v="49"/>
    <s v="Grandiflora Roses"/>
    <s v="100CM"/>
    <m/>
    <n v="2.1176470588235294"/>
    <n v="120"/>
    <n v="0.47"/>
    <n v="56.4"/>
    <s v="EUR"/>
    <m/>
    <m/>
    <x v="12"/>
    <n v="-320"/>
    <x v="0"/>
    <x v="4"/>
    <n v="440"/>
    <n v="0.58272727272727265"/>
    <n v="256.39999999999998"/>
    <n v="-16.5726714801444"/>
    <n v="239.82732851985557"/>
    <x v="12"/>
    <n v="320"/>
    <m/>
    <s v="F082866"/>
    <n v="7.5771040723981899"/>
    <m/>
    <n v="8.8000000000000007"/>
    <m/>
    <n v="16.37710407239819"/>
    <n v="223.45022444745737"/>
    <m/>
    <n v="440"/>
  </r>
  <r>
    <n v="13"/>
    <n v="2024"/>
    <s v="Auction"/>
    <s v="VROLIJK BLOEMEN"/>
    <s v="VROLIJK BLOEMEN"/>
    <x v="50"/>
    <s v="Floribunda Roses"/>
    <s v="60CM"/>
    <n v="1"/>
    <n v="12"/>
    <n v="520"/>
    <n v="0.47"/>
    <n v="244.4"/>
    <s v="EUR"/>
    <m/>
    <m/>
    <x v="12"/>
    <n v="-120"/>
    <x v="2"/>
    <x v="0"/>
    <n v="640"/>
    <n v="0.52812499999999996"/>
    <n v="338"/>
    <n v="-32.501759999999948"/>
    <n v="305.49824000000007"/>
    <x v="12"/>
    <n v="120"/>
    <m/>
    <s v="F082962"/>
    <n v="47.019090909090913"/>
    <m/>
    <n v="12.8"/>
    <m/>
    <n v="59.819090909090917"/>
    <n v="245.67914909090916"/>
    <m/>
    <n v="640"/>
  </r>
  <r>
    <n v="13"/>
    <n v="2024"/>
    <s v="Auction"/>
    <s v="VROLIJK BLOEMEN"/>
    <s v="VROLIJK BLOEMEN"/>
    <x v="50"/>
    <s v="Floribunda Roses"/>
    <s v="70CM"/>
    <n v="1"/>
    <n v="12"/>
    <n v="400"/>
    <n v="0.52"/>
    <n v="208"/>
    <s v="EUR"/>
    <m/>
    <m/>
    <x v="12"/>
    <n v="-40"/>
    <x v="2"/>
    <x v="1"/>
    <n v="440"/>
    <n v="0.60363636363636364"/>
    <n v="265.60000000000002"/>
    <n v="-22.344959999999965"/>
    <n v="243.25504000000006"/>
    <x v="12"/>
    <n v="40"/>
    <m/>
    <s v="F082962"/>
    <n v="47.019090909090913"/>
    <m/>
    <n v="8.8000000000000007"/>
    <m/>
    <n v="55.819090909090917"/>
    <n v="187.43594909090916"/>
    <m/>
    <n v="440"/>
  </r>
  <r>
    <n v="13"/>
    <n v="2024"/>
    <s v="Auction"/>
    <s v="VROLIJK BLOEMEN"/>
    <s v="VROLIJK BLOEMEN"/>
    <x v="50"/>
    <s v="Floribunda Roses"/>
    <s v="90CM"/>
    <n v="1"/>
    <n v="12"/>
    <n v="200"/>
    <n v="0.75"/>
    <n v="150"/>
    <s v="EUR"/>
    <m/>
    <m/>
    <x v="12"/>
    <n v="40"/>
    <x v="2"/>
    <x v="3"/>
    <n v="160"/>
    <n v="0.97750000000000004"/>
    <n v="156.4"/>
    <n v="-8.1254399999999869"/>
    <n v="148.27456000000001"/>
    <x v="12"/>
    <n v="-40"/>
    <m/>
    <s v="F082962"/>
    <n v="47.019090909090913"/>
    <m/>
    <n v="3.2"/>
    <m/>
    <n v="50.219090909090916"/>
    <n v="98.055469090909099"/>
    <m/>
    <n v="160"/>
  </r>
  <r>
    <n v="13"/>
    <n v="2024"/>
    <s v="Auction"/>
    <s v="VROLIJK BLOEMEN"/>
    <s v="VROLIJK BLOEMEN"/>
    <x v="50"/>
    <s v="English Roses"/>
    <s v="80CM"/>
    <n v="1"/>
    <n v="12"/>
    <n v="320"/>
    <n v="0.56999999999999995"/>
    <n v="182.4"/>
    <s v="EUR"/>
    <m/>
    <m/>
    <x v="12"/>
    <n v="-40"/>
    <x v="1"/>
    <x v="2"/>
    <n v="360"/>
    <n v="0.91111111111111109"/>
    <n v="328"/>
    <n v="-18.282239999999973"/>
    <n v="309.71776"/>
    <x v="12"/>
    <n v="40"/>
    <m/>
    <s v="F082962"/>
    <n v="47.019090909090913"/>
    <m/>
    <n v="7.2"/>
    <m/>
    <n v="54.219090909090916"/>
    <n v="255.49866909090909"/>
    <m/>
    <n v="360"/>
  </r>
  <r>
    <n v="13"/>
    <n v="2024"/>
    <s v="Auction"/>
    <s v="VROLIJK BLOEMEN"/>
    <s v="VROLIJK BLOEMEN"/>
    <x v="50"/>
    <s v="English Roses"/>
    <s v="90CM"/>
    <n v="1"/>
    <n v="4"/>
    <n v="120"/>
    <n v="0.75"/>
    <n v="90"/>
    <s v="EUR"/>
    <m/>
    <m/>
    <x v="12"/>
    <n v="0"/>
    <x v="1"/>
    <x v="3"/>
    <n v="120"/>
    <n v="0.85"/>
    <n v="102"/>
    <n v="-6.0940799999999911"/>
    <n v="95.905920000000009"/>
    <x v="12"/>
    <n v="0"/>
    <m/>
    <s v="F082962"/>
    <n v="15.673030303030304"/>
    <m/>
    <n v="2.4"/>
    <m/>
    <n v="18.073030303030304"/>
    <n v="77.832889696969701"/>
    <m/>
    <n v="120"/>
  </r>
  <r>
    <n v="13"/>
    <n v="2024"/>
    <s v="Auction"/>
    <s v="VROLIJK BLOEMEN"/>
    <s v="VROLIJK BLOEMEN"/>
    <x v="50"/>
    <s v="English Roses"/>
    <s v="70CM"/>
    <m/>
    <n v="8"/>
    <n v="240"/>
    <n v="0.52"/>
    <n v="124.8"/>
    <s v="EUR"/>
    <m/>
    <m/>
    <x v="12"/>
    <n v="0"/>
    <x v="1"/>
    <x v="1"/>
    <n v="240"/>
    <n v="0.70833333333333337"/>
    <n v="170"/>
    <n v="-12.188159999999982"/>
    <n v="157.81184000000002"/>
    <x v="12"/>
    <n v="0"/>
    <m/>
    <s v="F082962"/>
    <n v="31.346060606060608"/>
    <m/>
    <n v="4.8"/>
    <m/>
    <n v="36.146060606060608"/>
    <n v="121.6657793939394"/>
    <m/>
    <n v="240"/>
  </r>
  <r>
    <n v="13"/>
    <n v="2024"/>
    <s v="Auction"/>
    <s v="VROLIJK BLOEMEN"/>
    <s v="VROLIJK BLOEMEN"/>
    <x v="50"/>
    <s v="English Roses"/>
    <s v="60CM"/>
    <n v="1"/>
    <n v="7.384615384615385"/>
    <n v="320"/>
    <n v="0.47"/>
    <n v="150.4"/>
    <s v="EUR"/>
    <m/>
    <m/>
    <x v="12"/>
    <n v="0"/>
    <x v="1"/>
    <x v="0"/>
    <n v="320"/>
    <n v="0.36249999999999999"/>
    <n v="116"/>
    <n v="-16.250879999999974"/>
    <n v="99.749120000000033"/>
    <x v="12"/>
    <n v="0"/>
    <m/>
    <s v="F082962"/>
    <n v="28.934825174825178"/>
    <m/>
    <n v="6.4"/>
    <m/>
    <n v="35.334825174825177"/>
    <n v="64.414294825174863"/>
    <m/>
    <n v="320"/>
  </r>
  <r>
    <n v="13"/>
    <n v="2024"/>
    <s v="Auction"/>
    <s v="VROLIJK BLOEMEN"/>
    <s v="VROLIJK BLOEMEN"/>
    <x v="50"/>
    <s v="English Roses"/>
    <s v="50CM"/>
    <m/>
    <n v="2.7692307692307692"/>
    <n v="120"/>
    <n v="0.38"/>
    <n v="45.6"/>
    <s v="EUR"/>
    <m/>
    <m/>
    <x v="12"/>
    <n v="0"/>
    <x v="1"/>
    <x v="5"/>
    <n v="120"/>
    <n v="0.26"/>
    <n v="31.200000000000003"/>
    <n v="-6.0940799999999911"/>
    <n v="25.105920000000012"/>
    <x v="12"/>
    <n v="0"/>
    <m/>
    <s v="F082962"/>
    <n v="10.850559440559442"/>
    <m/>
    <n v="2.4"/>
    <m/>
    <n v="13.250559440559442"/>
    <n v="11.85536055944057"/>
    <m/>
    <n v="120"/>
  </r>
  <r>
    <n v="13"/>
    <n v="2024"/>
    <s v="Auction"/>
    <s v="VROLIJK BLOEMEN"/>
    <s v="VROLIJK BLOEMEN"/>
    <x v="50"/>
    <s v="English Roses"/>
    <s v="100CM"/>
    <m/>
    <n v="1.8461538461538463"/>
    <n v="80"/>
    <n v="0.94"/>
    <n v="75.2"/>
    <s v="EUR"/>
    <m/>
    <m/>
    <x v="12"/>
    <n v="0"/>
    <x v="1"/>
    <x v="4"/>
    <n v="80"/>
    <n v="0.89"/>
    <n v="71.2"/>
    <n v="-4.0627199999999934"/>
    <n v="67.137280000000004"/>
    <x v="12"/>
    <n v="0"/>
    <m/>
    <s v="F082962"/>
    <n v="7.2337062937062946"/>
    <m/>
    <n v="1.6"/>
    <m/>
    <n v="8.8337062937062942"/>
    <n v="58.303573706293712"/>
    <m/>
    <n v="80"/>
  </r>
  <r>
    <n v="13"/>
    <n v="2024"/>
    <s v="Auction"/>
    <s v="VROLIJK BLOEMEN"/>
    <s v="VROLIJK BLOEMEN"/>
    <x v="50"/>
    <s v="Floribunda Roses"/>
    <s v="50CM"/>
    <n v="1"/>
    <n v="10.105263157894736"/>
    <n v="640"/>
    <n v="0.38"/>
    <n v="243.2"/>
    <s v="EUR"/>
    <m/>
    <m/>
    <x v="12"/>
    <n v="0"/>
    <x v="2"/>
    <x v="5"/>
    <n v="640"/>
    <n v="0.27937500000000004"/>
    <n v="178.8"/>
    <n v="-32.501759999999948"/>
    <n v="146.29824000000008"/>
    <x v="12"/>
    <n v="0"/>
    <m/>
    <s v="F082962"/>
    <n v="39.595023923444977"/>
    <m/>
    <n v="12.8"/>
    <m/>
    <n v="52.395023923444981"/>
    <n v="93.903216076555097"/>
    <m/>
    <n v="640"/>
  </r>
  <r>
    <n v="13"/>
    <n v="2024"/>
    <s v="Auction"/>
    <s v="VROLIJK BLOEMEN"/>
    <s v="VROLIJK BLOEMEN"/>
    <x v="50"/>
    <s v="Floribunda Roses"/>
    <s v="60CM"/>
    <m/>
    <n v="1.8947368421052631"/>
    <n v="120"/>
    <n v="0.47"/>
    <n v="56.4"/>
    <s v="EUR"/>
    <m/>
    <m/>
    <x v="12"/>
    <n v="120"/>
    <x v="2"/>
    <x v="0"/>
    <m/>
    <m/>
    <n v="0"/>
    <n v="0"/>
    <n v="0"/>
    <x v="12"/>
    <n v="-120"/>
    <m/>
    <s v="F082962"/>
    <n v="7.4240669856459327"/>
    <m/>
    <n v="0"/>
    <m/>
    <n v="7.4240669856459327"/>
    <n v="-7.4240669856459327"/>
    <m/>
    <n v="0"/>
  </r>
  <r>
    <n v="13"/>
    <n v="2024"/>
    <s v="Auction"/>
    <s v="VROLIJK BLOEMEN"/>
    <s v="VROLIJK BLOEMEN"/>
    <x v="50"/>
    <s v="Floribunda Roses"/>
    <s v="70CM"/>
    <n v="1"/>
    <n v="1.7142857142857142"/>
    <n v="40"/>
    <n v="0.52"/>
    <n v="20.8"/>
    <s v="EUR"/>
    <m/>
    <m/>
    <x v="12"/>
    <n v="40"/>
    <x v="2"/>
    <x v="1"/>
    <m/>
    <m/>
    <n v="0"/>
    <n v="0"/>
    <n v="0"/>
    <x v="12"/>
    <n v="-40"/>
    <m/>
    <s v="F082962"/>
    <n v="6.7170129870129873"/>
    <m/>
    <n v="0"/>
    <m/>
    <n v="6.7170129870129873"/>
    <n v="-6.7170129870129873"/>
    <m/>
    <n v="0"/>
  </r>
  <r>
    <n v="13"/>
    <n v="2024"/>
    <s v="Auction"/>
    <s v="VROLIJK BLOEMEN"/>
    <s v="VROLIJK BLOEMEN"/>
    <x v="50"/>
    <s v="Floribunda Roses"/>
    <s v="80CM"/>
    <m/>
    <n v="10.285714285714285"/>
    <n v="240"/>
    <n v="0.56999999999999995"/>
    <n v="136.80000000000001"/>
    <s v="EUR"/>
    <m/>
    <m/>
    <x v="12"/>
    <n v="40"/>
    <x v="2"/>
    <x v="2"/>
    <n v="200"/>
    <n v="0.90400000000000003"/>
    <n v="180.8"/>
    <n v="-10.156799999999986"/>
    <n v="170.64320000000004"/>
    <x v="12"/>
    <n v="-40"/>
    <m/>
    <s v="F082962"/>
    <n v="40.302077922077927"/>
    <m/>
    <n v="4"/>
    <m/>
    <n v="44.302077922077927"/>
    <n v="126.34112207792211"/>
    <m/>
    <n v="200"/>
  </r>
  <r>
    <n v="13"/>
    <n v="2024"/>
    <s v="Auction"/>
    <s v="VROLIJK BLOEMEN"/>
    <s v="VROLIJK BLOEMEN"/>
    <x v="50"/>
    <s v="Grandiflora Roses"/>
    <s v="80CM"/>
    <n v="1"/>
    <n v="8"/>
    <n v="240"/>
    <n v="0.33"/>
    <n v="79.2"/>
    <s v="EUR"/>
    <m/>
    <m/>
    <x v="12"/>
    <n v="0"/>
    <x v="0"/>
    <x v="2"/>
    <n v="240"/>
    <n v="0.51833333333333331"/>
    <n v="124.39999999999999"/>
    <n v="-12.188159999999982"/>
    <n v="112.21184000000001"/>
    <x v="12"/>
    <n v="0"/>
    <m/>
    <s v="F082962"/>
    <n v="31.346060606060608"/>
    <m/>
    <n v="4.8"/>
    <m/>
    <n v="36.146060606060608"/>
    <n v="76.065779393939408"/>
    <m/>
    <n v="240"/>
  </r>
  <r>
    <n v="13"/>
    <n v="2024"/>
    <s v="Auction"/>
    <s v="VROLIJK BLOEMEN"/>
    <s v="VROLIJK BLOEMEN"/>
    <x v="50"/>
    <s v="Grandiflora Roses"/>
    <s v="90CM"/>
    <m/>
    <n v="2.6666666666666665"/>
    <n v="80"/>
    <n v="0.38"/>
    <n v="30.4"/>
    <s v="EUR"/>
    <m/>
    <m/>
    <x v="12"/>
    <n v="0"/>
    <x v="0"/>
    <x v="3"/>
    <n v="80"/>
    <n v="0.57499999999999996"/>
    <n v="46"/>
    <n v="-4.0627199999999934"/>
    <n v="41.937280000000008"/>
    <x v="12"/>
    <n v="0"/>
    <m/>
    <s v="F082962"/>
    <n v="10.448686868686869"/>
    <m/>
    <n v="1.6"/>
    <m/>
    <n v="12.048686868686868"/>
    <n v="29.88859313131314"/>
    <m/>
    <n v="80"/>
  </r>
  <r>
    <n v="13"/>
    <n v="2024"/>
    <s v="Auction"/>
    <s v="VROLIJK BLOEMEN"/>
    <s v="VROLIJK BLOEMEN"/>
    <x v="50"/>
    <s v="Grandiflora Roses"/>
    <s v="100CM"/>
    <m/>
    <n v="1.3333333333333333"/>
    <n v="40"/>
    <n v="0.47"/>
    <n v="18.8"/>
    <s v="EUR"/>
    <m/>
    <m/>
    <x v="12"/>
    <n v="0"/>
    <x v="0"/>
    <x v="4"/>
    <n v="40"/>
    <n v="0.67"/>
    <n v="26.8"/>
    <n v="-2.0313599999999967"/>
    <n v="24.768640000000005"/>
    <x v="12"/>
    <n v="0"/>
    <m/>
    <s v="F082962"/>
    <n v="5.2243434343434343"/>
    <m/>
    <n v="0.8"/>
    <m/>
    <n v="6.0243434343434341"/>
    <n v="18.744296565656569"/>
    <m/>
    <n v="40"/>
  </r>
  <r>
    <n v="13"/>
    <n v="2024"/>
    <s v="Auction"/>
    <s v="VROLIJK BLOEMEN"/>
    <s v="VROLIJK BLOEMEN"/>
    <x v="50"/>
    <s v="Polyantha Roses"/>
    <s v="50CM"/>
    <n v="1"/>
    <n v="2.1818181818181817"/>
    <n v="80"/>
    <n v="0.42"/>
    <n v="33.6"/>
    <s v="EUR"/>
    <m/>
    <m/>
    <x v="12"/>
    <n v="0"/>
    <x v="3"/>
    <x v="5"/>
    <n v="80"/>
    <n v="0.27999999999999997"/>
    <n v="22.4"/>
    <n v="-4.0627199999999934"/>
    <n v="18.337280000000007"/>
    <x v="12"/>
    <n v="0"/>
    <m/>
    <s v="F082962"/>
    <n v="8.5489256198347121"/>
    <m/>
    <n v="1.6"/>
    <m/>
    <n v="10.148925619834712"/>
    <n v="8.1883543801652952"/>
    <m/>
    <n v="80"/>
  </r>
  <r>
    <n v="13"/>
    <n v="2024"/>
    <s v="Auction"/>
    <s v="VROLIJK BLOEMEN"/>
    <s v="VROLIJK BLOEMEN"/>
    <x v="50"/>
    <s v="Polyantha Roses"/>
    <s v="60CM"/>
    <m/>
    <n v="2.1818181818181817"/>
    <n v="80"/>
    <n v="0.52"/>
    <n v="41.6"/>
    <s v="EUR"/>
    <m/>
    <m/>
    <x v="12"/>
    <n v="0"/>
    <x v="3"/>
    <x v="0"/>
    <n v="80"/>
    <n v="0.67"/>
    <n v="53.6"/>
    <n v="-4.0627199999999934"/>
    <n v="49.53728000000001"/>
    <x v="12"/>
    <n v="0"/>
    <m/>
    <s v="F082962"/>
    <n v="8.5489256198347121"/>
    <m/>
    <n v="1.6"/>
    <m/>
    <n v="10.148925619834712"/>
    <n v="39.388354380165296"/>
    <m/>
    <n v="80"/>
  </r>
  <r>
    <n v="13"/>
    <n v="2024"/>
    <s v="Auction"/>
    <s v="VROLIJK BLOEMEN"/>
    <s v="VROLIJK BLOEMEN"/>
    <x v="50"/>
    <s v="Polyantha Roses"/>
    <s v="70CM"/>
    <m/>
    <n v="3.2727272727272725"/>
    <n v="120"/>
    <n v="0.61"/>
    <n v="73.2"/>
    <s v="EUR"/>
    <m/>
    <m/>
    <x v="12"/>
    <n v="0"/>
    <x v="3"/>
    <x v="1"/>
    <n v="120"/>
    <n v="0.77"/>
    <n v="92.4"/>
    <n v="-6.0940799999999911"/>
    <n v="86.305920000000015"/>
    <x v="12"/>
    <n v="0"/>
    <m/>
    <s v="F082962"/>
    <n v="12.823388429752066"/>
    <m/>
    <n v="2.4"/>
    <m/>
    <n v="15.223388429752067"/>
    <n v="71.082531570247951"/>
    <m/>
    <n v="120"/>
  </r>
  <r>
    <n v="13"/>
    <n v="2024"/>
    <s v="Auction"/>
    <s v="VROLIJK BLOEMEN"/>
    <s v="VROLIJK BLOEMEN"/>
    <x v="50"/>
    <s v="Polyantha Roses"/>
    <s v="80CM"/>
    <m/>
    <n v="3.2727272727272725"/>
    <n v="120"/>
    <n v="0.66"/>
    <n v="79.2"/>
    <s v="EUR"/>
    <m/>
    <m/>
    <x v="12"/>
    <n v="0"/>
    <x v="3"/>
    <x v="2"/>
    <n v="120"/>
    <n v="0.75"/>
    <n v="90"/>
    <n v="-6.0940799999999911"/>
    <n v="83.905920000000009"/>
    <x v="12"/>
    <n v="0"/>
    <m/>
    <s v="F082962"/>
    <n v="12.823388429752066"/>
    <m/>
    <n v="2.4"/>
    <m/>
    <n v="15.223388429752067"/>
    <n v="68.682531570247946"/>
    <m/>
    <n v="120"/>
  </r>
  <r>
    <n v="13"/>
    <n v="2024"/>
    <s v="Auction"/>
    <s v="VROLIJK BLOEMEN"/>
    <s v="VROLIJK BLOEMEN"/>
    <x v="50"/>
    <s v="Polyantha Roses"/>
    <s v="100CM"/>
    <m/>
    <n v="1.0909090909090908"/>
    <n v="40"/>
    <n v="1.04"/>
    <n v="41.6"/>
    <s v="EUR"/>
    <m/>
    <m/>
    <x v="12"/>
    <n v="0"/>
    <x v="3"/>
    <x v="4"/>
    <n v="40"/>
    <n v="0.96"/>
    <n v="38.4"/>
    <n v="-2.0313599999999967"/>
    <n v="36.368639999999999"/>
    <x v="12"/>
    <n v="0"/>
    <m/>
    <s v="F082962"/>
    <n v="4.2744628099173561"/>
    <m/>
    <n v="0.8"/>
    <m/>
    <n v="5.0744628099173559"/>
    <n v="31.294177190082642"/>
    <m/>
    <n v="40"/>
  </r>
  <r>
    <n v="13"/>
    <n v="2024"/>
    <s v="Auction"/>
    <s v="VROLIJK BLOEMEN"/>
    <s v="VROLIJK BLOEMEN"/>
    <x v="50"/>
    <s v="Grandiflora Roses"/>
    <s v="60CM"/>
    <n v="1"/>
    <n v="4.9090909090909092"/>
    <n v="360"/>
    <n v="0.24"/>
    <n v="86.4"/>
    <s v="EUR"/>
    <m/>
    <m/>
    <x v="12"/>
    <n v="0"/>
    <x v="0"/>
    <x v="0"/>
    <n v="360"/>
    <n v="0.49"/>
    <n v="176.4"/>
    <n v="-18.282239999999973"/>
    <n v="158.11776000000003"/>
    <x v="12"/>
    <n v="0"/>
    <m/>
    <s v="F082962"/>
    <n v="19.2350826446281"/>
    <m/>
    <n v="7.2"/>
    <m/>
    <n v="26.4350826446281"/>
    <n v="131.68267735537194"/>
    <m/>
    <n v="360"/>
  </r>
  <r>
    <n v="13"/>
    <n v="2024"/>
    <s v="Auction"/>
    <s v="VROLIJK BLOEMEN"/>
    <s v="VROLIJK BLOEMEN"/>
    <x v="50"/>
    <s v="Grandiflora Roses"/>
    <s v="70CM"/>
    <m/>
    <n v="3.8181818181818183"/>
    <n v="280"/>
    <n v="0.28000000000000003"/>
    <n v="78.400000000000006"/>
    <s v="EUR"/>
    <m/>
    <m/>
    <x v="12"/>
    <n v="0"/>
    <x v="0"/>
    <x v="1"/>
    <n v="280"/>
    <n v="0.47285714285714286"/>
    <n v="132.4"/>
    <n v="-14.219519999999978"/>
    <n v="118.18048000000003"/>
    <x v="12"/>
    <n v="0"/>
    <m/>
    <s v="F082962"/>
    <n v="14.960619834710744"/>
    <m/>
    <n v="5.6000000000000005"/>
    <m/>
    <n v="20.560619834710746"/>
    <n v="97.619860165289282"/>
    <m/>
    <n v="280"/>
  </r>
  <r>
    <n v="13"/>
    <n v="2024"/>
    <s v="Auction"/>
    <s v="VROLIJK BLOEMEN"/>
    <s v="VROLIJK BLOEMEN"/>
    <x v="50"/>
    <s v="Grandiflora Roses"/>
    <s v="50CM"/>
    <m/>
    <n v="3.2727272727272725"/>
    <n v="240"/>
    <n v="0.14000000000000001"/>
    <n v="33.6"/>
    <s v="EUR"/>
    <m/>
    <m/>
    <x v="12"/>
    <n v="0"/>
    <x v="0"/>
    <x v="5"/>
    <n v="240"/>
    <n v="8.4999999999999992E-2"/>
    <n v="20.399999999999999"/>
    <n v="-12.188159999999982"/>
    <n v="8.2118400000000165"/>
    <x v="12"/>
    <n v="0"/>
    <m/>
    <s v="F082962"/>
    <n v="12.823388429752066"/>
    <m/>
    <n v="4.8"/>
    <m/>
    <n v="17.623388429752065"/>
    <n v="-9.4115484297520489"/>
    <m/>
    <n v="240"/>
  </r>
  <r>
    <n v="13"/>
    <n v="2024"/>
    <s v="Auction"/>
    <s v="VROLIJK BLOEMEN"/>
    <s v="VROLIJK BLOEMEN"/>
    <x v="51"/>
    <s v="Grandiflora Roses"/>
    <s v="100CM"/>
    <n v="1"/>
    <n v="12"/>
    <n v="320"/>
    <n v="0.47"/>
    <n v="150.4"/>
    <s v="EUR"/>
    <m/>
    <m/>
    <x v="13"/>
    <n v="0"/>
    <x v="0"/>
    <x v="4"/>
    <n v="320"/>
    <n v="0.64749999999999996"/>
    <n v="207.2"/>
    <n v="-18.301276595744678"/>
    <n v="188.89872340425532"/>
    <x v="13"/>
    <n v="0"/>
    <m/>
    <n v="434894"/>
    <n v="46.478000000000002"/>
    <m/>
    <n v="6.4"/>
    <m/>
    <n v="52.878"/>
    <n v="136.02072340425531"/>
    <m/>
    <n v="320"/>
  </r>
  <r>
    <n v="13"/>
    <n v="2024"/>
    <s v="Auction"/>
    <s v="VROLIJK BLOEMEN"/>
    <s v="VROLIJK BLOEMEN"/>
    <x v="51"/>
    <s v="Grandiflora Roses"/>
    <s v="80CM"/>
    <n v="1"/>
    <n v="12"/>
    <n v="400"/>
    <n v="0.33"/>
    <n v="132"/>
    <s v="EUR"/>
    <m/>
    <m/>
    <x v="13"/>
    <n v="0"/>
    <x v="0"/>
    <x v="2"/>
    <n v="400"/>
    <n v="0.58200000000000007"/>
    <n v="232.80000000000004"/>
    <n v="-22.876595744680849"/>
    <n v="209.92340425531918"/>
    <x v="13"/>
    <n v="0"/>
    <m/>
    <n v="434894"/>
    <n v="46.478000000000002"/>
    <m/>
    <n v="8"/>
    <m/>
    <n v="54.478000000000002"/>
    <n v="155.44540425531918"/>
    <m/>
    <n v="400"/>
  </r>
  <r>
    <n v="13"/>
    <n v="2024"/>
    <s v="Auction"/>
    <s v="VROLIJK BLOEMEN"/>
    <s v="VROLIJK BLOEMEN"/>
    <x v="51"/>
    <s v="English Roses"/>
    <s v="100CM"/>
    <n v="1"/>
    <n v="12"/>
    <n v="200"/>
    <n v="0.94"/>
    <n v="188"/>
    <s v="EUR"/>
    <m/>
    <m/>
    <x v="13"/>
    <n v="-120"/>
    <x v="1"/>
    <x v="4"/>
    <n v="320"/>
    <n v="0.98000000000000009"/>
    <n v="313.60000000000002"/>
    <n v="-18.301276595744678"/>
    <n v="295.29872340425533"/>
    <x v="13"/>
    <n v="120"/>
    <m/>
    <n v="434894"/>
    <n v="46.478000000000002"/>
    <m/>
    <n v="6.4"/>
    <m/>
    <n v="52.878"/>
    <n v="242.42072340425534"/>
    <m/>
    <n v="320"/>
  </r>
  <r>
    <n v="13"/>
    <n v="2024"/>
    <s v="Auction"/>
    <s v="VROLIJK BLOEMEN"/>
    <s v="VROLIJK BLOEMEN"/>
    <x v="51"/>
    <s v="English Roses"/>
    <s v="80CM"/>
    <n v="1"/>
    <n v="12"/>
    <n v="320"/>
    <n v="0.56999999999999995"/>
    <n v="182.4"/>
    <s v="EUR"/>
    <m/>
    <m/>
    <x v="13"/>
    <n v="0"/>
    <x v="1"/>
    <x v="2"/>
    <n v="320"/>
    <n v="0.94374999999999998"/>
    <n v="302"/>
    <n v="-18.301276595744678"/>
    <n v="283.6987234042553"/>
    <x v="13"/>
    <n v="0"/>
    <m/>
    <n v="434894"/>
    <n v="46.478000000000002"/>
    <m/>
    <n v="6.4"/>
    <m/>
    <n v="52.878"/>
    <n v="230.82072340425532"/>
    <m/>
    <n v="320"/>
  </r>
  <r>
    <n v="13"/>
    <n v="2024"/>
    <s v="Auction"/>
    <s v="VROLIJK BLOEMEN"/>
    <s v="VROLIJK BLOEMEN"/>
    <x v="51"/>
    <s v="Floribunda Roses"/>
    <s v="70CM"/>
    <n v="1"/>
    <n v="12"/>
    <n v="400"/>
    <n v="0.52"/>
    <n v="208"/>
    <s v="EUR"/>
    <m/>
    <m/>
    <x v="13"/>
    <n v="0"/>
    <x v="2"/>
    <x v="1"/>
    <n v="400"/>
    <n v="0.78599999999999992"/>
    <n v="314.39999999999998"/>
    <n v="-22.876595744680849"/>
    <n v="291.52340425531912"/>
    <x v="13"/>
    <n v="0"/>
    <m/>
    <n v="434894"/>
    <n v="46.478000000000002"/>
    <m/>
    <n v="8"/>
    <m/>
    <n v="54.478000000000002"/>
    <n v="237.04540425531911"/>
    <m/>
    <n v="400"/>
  </r>
  <r>
    <n v="13"/>
    <n v="2024"/>
    <s v="Auction"/>
    <s v="VROLIJK BLOEMEN"/>
    <s v="VROLIJK BLOEMEN"/>
    <x v="51"/>
    <s v="Floribunda Roses"/>
    <s v="80CM"/>
    <n v="1"/>
    <n v="12"/>
    <n v="320"/>
    <n v="0.56999999999999995"/>
    <n v="182.4"/>
    <s v="EUR"/>
    <m/>
    <m/>
    <x v="13"/>
    <n v="0"/>
    <x v="2"/>
    <x v="2"/>
    <n v="320"/>
    <n v="0.88000000000000012"/>
    <n v="281.60000000000002"/>
    <n v="-18.301276595744678"/>
    <n v="263.29872340425533"/>
    <x v="13"/>
    <n v="0"/>
    <m/>
    <n v="434894"/>
    <n v="46.478000000000002"/>
    <m/>
    <n v="6.4"/>
    <m/>
    <n v="52.878"/>
    <n v="210.42072340425534"/>
    <m/>
    <n v="320"/>
  </r>
  <r>
    <n v="13"/>
    <n v="2024"/>
    <s v="Auction"/>
    <s v="VROLIJK BLOEMEN"/>
    <s v="VROLIJK BLOEMEN"/>
    <x v="51"/>
    <s v="Floribunda Roses"/>
    <s v="90CM"/>
    <n v="1"/>
    <n v="12"/>
    <n v="240"/>
    <n v="0.75"/>
    <n v="180"/>
    <s v="EUR"/>
    <m/>
    <m/>
    <x v="13"/>
    <n v="0"/>
    <x v="2"/>
    <x v="3"/>
    <n v="240"/>
    <n v="0.80166666666666664"/>
    <n v="192.4"/>
    <n v="-13.725957446808508"/>
    <n v="178.6740425531915"/>
    <x v="13"/>
    <n v="0"/>
    <m/>
    <n v="434894"/>
    <n v="46.478000000000002"/>
    <m/>
    <n v="4.8"/>
    <m/>
    <n v="51.277999999999999"/>
    <n v="127.39604255319151"/>
    <m/>
    <n v="240"/>
  </r>
  <r>
    <n v="13"/>
    <n v="2024"/>
    <s v="Auction"/>
    <s v="VROLIJK BLOEMEN"/>
    <s v="VROLIJK BLOEMEN"/>
    <x v="51"/>
    <s v="English Roses"/>
    <s v="50CM"/>
    <n v="1"/>
    <n v="4.6153846153846159"/>
    <n v="200"/>
    <n v="0.38"/>
    <n v="76"/>
    <s v="EUR"/>
    <m/>
    <m/>
    <x v="13"/>
    <n v="0"/>
    <x v="1"/>
    <x v="5"/>
    <n v="200"/>
    <n v="0.65"/>
    <n v="130"/>
    <n v="-11.438297872340424"/>
    <n v="118.56170212765957"/>
    <x v="13"/>
    <n v="0"/>
    <m/>
    <n v="434894"/>
    <n v="17.876153846153848"/>
    <m/>
    <n v="4"/>
    <m/>
    <n v="21.876153846153848"/>
    <n v="96.685548281505731"/>
    <m/>
    <n v="200"/>
  </r>
  <r>
    <n v="13"/>
    <n v="2024"/>
    <s v="Auction"/>
    <s v="VROLIJK BLOEMEN"/>
    <s v="VROLIJK BLOEMEN"/>
    <x v="51"/>
    <s v="English Roses"/>
    <s v="60CM"/>
    <m/>
    <n v="4.6153846153846159"/>
    <n v="200"/>
    <n v="0.47"/>
    <n v="94"/>
    <s v="EUR"/>
    <m/>
    <m/>
    <x v="13"/>
    <n v="0"/>
    <x v="1"/>
    <x v="0"/>
    <n v="200"/>
    <n v="0.82599999999999996"/>
    <n v="165.2"/>
    <n v="-11.438297872340424"/>
    <n v="153.76170212765956"/>
    <x v="13"/>
    <n v="0"/>
    <m/>
    <n v="434894"/>
    <n v="17.876153846153848"/>
    <m/>
    <n v="4"/>
    <m/>
    <n v="21.876153846153848"/>
    <n v="131.88554828150572"/>
    <m/>
    <n v="200"/>
  </r>
  <r>
    <n v="13"/>
    <n v="2024"/>
    <s v="Auction"/>
    <s v="VROLIJK BLOEMEN"/>
    <s v="VROLIJK BLOEMEN"/>
    <x v="51"/>
    <s v="English Roses"/>
    <s v="100CM"/>
    <m/>
    <n v="2.7692307692307692"/>
    <n v="120"/>
    <n v="0.94"/>
    <n v="112.8"/>
    <s v="EUR"/>
    <m/>
    <m/>
    <x v="13"/>
    <n v="120"/>
    <x v="1"/>
    <x v="4"/>
    <m/>
    <m/>
    <n v="0"/>
    <n v="0"/>
    <n v="0"/>
    <x v="13"/>
    <n v="-120"/>
    <m/>
    <n v="434894"/>
    <n v="10.725692307692306"/>
    <m/>
    <n v="0"/>
    <m/>
    <n v="10.725692307692306"/>
    <n v="-10.725692307692306"/>
    <m/>
    <n v="0"/>
  </r>
  <r>
    <n v="13"/>
    <n v="2024"/>
    <s v="Auction"/>
    <s v="VROLIJK BLOEMEN"/>
    <s v="VROLIJK BLOEMEN"/>
    <x v="51"/>
    <s v="Floribunda Roses"/>
    <s v="60CM"/>
    <n v="1"/>
    <n v="10"/>
    <n v="400"/>
    <n v="0.47"/>
    <n v="188"/>
    <s v="EUR"/>
    <m/>
    <m/>
    <x v="13"/>
    <n v="0"/>
    <x v="2"/>
    <x v="0"/>
    <n v="400"/>
    <n v="0.66"/>
    <n v="264"/>
    <n v="-22.876595744680849"/>
    <n v="241.12340425531914"/>
    <x v="13"/>
    <n v="0"/>
    <m/>
    <n v="434894"/>
    <n v="38.731666666666662"/>
    <m/>
    <n v="8"/>
    <m/>
    <n v="46.731666666666662"/>
    <n v="194.39173758865249"/>
    <m/>
    <n v="400"/>
  </r>
  <r>
    <n v="13"/>
    <n v="2024"/>
    <s v="Auction"/>
    <s v="VROLIJK BLOEMEN"/>
    <s v="VROLIJK BLOEMEN"/>
    <x v="51"/>
    <s v="Floribunda Roses"/>
    <s v="100CM"/>
    <m/>
    <n v="2"/>
    <n v="80"/>
    <n v="0.94"/>
    <n v="75.2"/>
    <s v="EUR"/>
    <m/>
    <m/>
    <x v="13"/>
    <n v="0"/>
    <x v="2"/>
    <x v="4"/>
    <n v="80"/>
    <n v="0.78499999999999992"/>
    <n v="62.8"/>
    <n v="-4.5753191489361695"/>
    <n v="58.22468085106383"/>
    <x v="13"/>
    <n v="0"/>
    <m/>
    <n v="434894"/>
    <n v="7.7463333333333324"/>
    <m/>
    <n v="1.6"/>
    <m/>
    <n v="9.346333333333332"/>
    <n v="48.878347517730496"/>
    <m/>
    <n v="80"/>
  </r>
  <r>
    <n v="13"/>
    <n v="2024"/>
    <s v="Auction"/>
    <s v="VROLIJK BLOEMEN"/>
    <s v="VROLIJK BLOEMEN"/>
    <x v="51"/>
    <s v="Grandiflora Roses"/>
    <s v="90CM"/>
    <n v="1"/>
    <n v="4.2857142857142856"/>
    <n v="200"/>
    <n v="0.38"/>
    <n v="76"/>
    <s v="EUR"/>
    <m/>
    <m/>
    <x v="13"/>
    <n v="0"/>
    <x v="0"/>
    <x v="3"/>
    <n v="200"/>
    <n v="0.60399999999999998"/>
    <n v="120.8"/>
    <n v="-11.438297872340424"/>
    <n v="109.36170212765957"/>
    <x v="13"/>
    <n v="0"/>
    <m/>
    <n v="434894"/>
    <n v="16.599285714285713"/>
    <m/>
    <n v="4"/>
    <m/>
    <n v="20.599285714285713"/>
    <n v="88.762416413373856"/>
    <m/>
    <n v="200"/>
  </r>
  <r>
    <n v="13"/>
    <n v="2024"/>
    <s v="Auction"/>
    <s v="VROLIJK BLOEMEN"/>
    <s v="VROLIJK BLOEMEN"/>
    <x v="51"/>
    <s v="Grandiflora Roses"/>
    <s v="60CM"/>
    <m/>
    <n v="7.7142857142857153"/>
    <n v="360"/>
    <n v="0.24"/>
    <n v="86.4"/>
    <s v="EUR"/>
    <m/>
    <m/>
    <x v="13"/>
    <n v="0"/>
    <x v="0"/>
    <x v="0"/>
    <n v="360"/>
    <n v="0.36"/>
    <n v="129.6"/>
    <n v="-20.588936170212765"/>
    <n v="109.01106382978723"/>
    <x v="13"/>
    <n v="0"/>
    <m/>
    <n v="434894"/>
    <n v="29.878714285714288"/>
    <m/>
    <n v="7.2"/>
    <m/>
    <n v="37.078714285714291"/>
    <n v="71.932349544072935"/>
    <m/>
    <n v="360"/>
  </r>
  <r>
    <n v="14"/>
    <n v="2024"/>
    <s v="Auction"/>
    <s v="VROLIJK BLOEMEN"/>
    <s v="VROLIJK BLOEMEN"/>
    <x v="52"/>
    <s v="Floribunda Roses"/>
    <s v="60CM"/>
    <n v="2"/>
    <n v="24"/>
    <n v="1040"/>
    <n v="0.47"/>
    <n v="488.8"/>
    <s v="EUR"/>
    <m/>
    <m/>
    <x v="13"/>
    <n v="-160"/>
    <x v="2"/>
    <x v="0"/>
    <n v="1200"/>
    <n v="0.54600000000000004"/>
    <n v="655.20000000000005"/>
    <n v="-58.582105263157892"/>
    <n v="596.61789473684212"/>
    <x v="13"/>
    <n v="160"/>
    <m/>
    <n v="434898"/>
    <n v="77.832000000000008"/>
    <m/>
    <n v="24"/>
    <m/>
    <n v="101.83200000000001"/>
    <n v="494.78589473684212"/>
    <m/>
    <n v="1200"/>
  </r>
  <r>
    <n v="14"/>
    <n v="2024"/>
    <s v="Auction"/>
    <s v="VROLIJK BLOEMEN"/>
    <s v="VROLIJK BLOEMEN"/>
    <x v="52"/>
    <s v="English Roses"/>
    <s v="60CM"/>
    <n v="1"/>
    <n v="12"/>
    <n v="480"/>
    <n v="0.47"/>
    <n v="225.6"/>
    <s v="EUR"/>
    <m/>
    <m/>
    <x v="13"/>
    <n v="-120"/>
    <x v="1"/>
    <x v="0"/>
    <n v="600"/>
    <n v="0.5"/>
    <n v="300"/>
    <n v="-29.291052631578946"/>
    <n v="270.70894736842104"/>
    <x v="13"/>
    <n v="120"/>
    <m/>
    <n v="434898"/>
    <n v="38.916000000000004"/>
    <m/>
    <n v="12"/>
    <m/>
    <n v="50.916000000000004"/>
    <n v="219.79294736842104"/>
    <m/>
    <n v="600"/>
  </r>
  <r>
    <n v="14"/>
    <n v="2024"/>
    <s v="Auction"/>
    <s v="VROLIJK BLOEMEN"/>
    <s v="VROLIJK BLOEMEN"/>
    <x v="52"/>
    <s v="English Roses"/>
    <s v="90CM"/>
    <n v="1"/>
    <n v="12"/>
    <n v="200"/>
    <n v="0.75"/>
    <n v="150"/>
    <s v="EUR"/>
    <m/>
    <m/>
    <x v="13"/>
    <n v="0"/>
    <x v="1"/>
    <x v="3"/>
    <n v="200"/>
    <n v="0.66400000000000003"/>
    <n v="132.80000000000001"/>
    <n v="-9.763684210526316"/>
    <n v="123.03631578947369"/>
    <x v="13"/>
    <n v="0"/>
    <m/>
    <n v="434898"/>
    <n v="38.916000000000004"/>
    <m/>
    <n v="4"/>
    <m/>
    <n v="42.916000000000004"/>
    <n v="80.120315789473693"/>
    <m/>
    <n v="200"/>
  </r>
  <r>
    <n v="14"/>
    <n v="2024"/>
    <s v="Auction"/>
    <s v="VROLIJK BLOEMEN"/>
    <s v="VROLIJK BLOEMEN"/>
    <x v="52"/>
    <s v="English Roses"/>
    <s v="100CM"/>
    <n v="1"/>
    <n v="12"/>
    <n v="120"/>
    <n v="0.94"/>
    <n v="112.8"/>
    <s v="EUR"/>
    <m/>
    <m/>
    <x v="13"/>
    <n v="0"/>
    <x v="1"/>
    <x v="4"/>
    <n v="120"/>
    <n v="0.78333333333333333"/>
    <n v="94"/>
    <n v="-5.8582105263157889"/>
    <n v="88.141789473684213"/>
    <x v="13"/>
    <n v="0"/>
    <m/>
    <n v="434898"/>
    <n v="38.916000000000004"/>
    <m/>
    <n v="2.4"/>
    <m/>
    <n v="41.316000000000003"/>
    <n v="46.82578947368421"/>
    <m/>
    <n v="120"/>
  </r>
  <r>
    <n v="14"/>
    <n v="2024"/>
    <s v="Auction"/>
    <s v="VROLIJK BLOEMEN"/>
    <s v="VROLIJK BLOEMEN"/>
    <x v="52"/>
    <s v="Grandiflora Roses"/>
    <s v="90CM"/>
    <n v="1"/>
    <n v="12"/>
    <n v="280"/>
    <n v="0.38"/>
    <n v="106.4"/>
    <s v="EUR"/>
    <m/>
    <m/>
    <x v="13"/>
    <n v="0"/>
    <x v="0"/>
    <x v="3"/>
    <n v="280"/>
    <n v="0.39857142857142858"/>
    <n v="111.6"/>
    <n v="-13.669157894736841"/>
    <n v="97.930842105263153"/>
    <x v="13"/>
    <n v="0"/>
    <m/>
    <n v="434898"/>
    <n v="38.916000000000004"/>
    <m/>
    <n v="5.6000000000000005"/>
    <m/>
    <n v="44.516000000000005"/>
    <n v="53.414842105263148"/>
    <m/>
    <n v="280"/>
  </r>
  <r>
    <n v="14"/>
    <n v="2024"/>
    <s v="Auction"/>
    <s v="VROLIJK BLOEMEN"/>
    <s v="VROLIJK BLOEMEN"/>
    <x v="52"/>
    <s v="Floribunda Roses"/>
    <s v="70CM"/>
    <n v="1"/>
    <n v="8"/>
    <n v="240"/>
    <n v="0.52"/>
    <n v="124.8"/>
    <s v="EUR"/>
    <m/>
    <m/>
    <x v="13"/>
    <n v="0"/>
    <x v="2"/>
    <x v="1"/>
    <n v="240"/>
    <n v="0.7433333333333334"/>
    <n v="178.4"/>
    <n v="-11.716421052631578"/>
    <n v="166.68357894736843"/>
    <x v="13"/>
    <n v="0"/>
    <m/>
    <n v="434898"/>
    <n v="25.944000000000003"/>
    <m/>
    <n v="4.8"/>
    <m/>
    <n v="30.744000000000003"/>
    <n v="135.93957894736843"/>
    <m/>
    <n v="240"/>
  </r>
  <r>
    <n v="14"/>
    <n v="2024"/>
    <s v="Auction"/>
    <s v="VROLIJK BLOEMEN"/>
    <s v="VROLIJK BLOEMEN"/>
    <x v="52"/>
    <s v="Floribunda Roses"/>
    <s v="90CM"/>
    <m/>
    <n v="4"/>
    <n v="120"/>
    <n v="0.75"/>
    <n v="90"/>
    <s v="EUR"/>
    <m/>
    <m/>
    <x v="13"/>
    <n v="0"/>
    <x v="2"/>
    <x v="3"/>
    <n v="120"/>
    <n v="0.82333333333333336"/>
    <n v="98.8"/>
    <n v="-5.8582105263157889"/>
    <n v="92.94178947368421"/>
    <x v="13"/>
    <n v="0"/>
    <m/>
    <n v="434898"/>
    <n v="12.972000000000001"/>
    <m/>
    <n v="2.4"/>
    <m/>
    <n v="15.372000000000002"/>
    <n v="77.56978947368421"/>
    <m/>
    <n v="120"/>
  </r>
  <r>
    <n v="14"/>
    <n v="2024"/>
    <s v="Auction"/>
    <s v="VROLIJK BLOEMEN"/>
    <s v="VROLIJK BLOEMEN"/>
    <x v="52"/>
    <s v="English Roses"/>
    <s v="50CM"/>
    <n v="1"/>
    <n v="4.6153846153846159"/>
    <n v="200"/>
    <n v="0.38"/>
    <n v="76"/>
    <s v="EUR"/>
    <m/>
    <m/>
    <x v="13"/>
    <n v="0"/>
    <x v="1"/>
    <x v="5"/>
    <n v="200"/>
    <n v="0.21"/>
    <n v="42"/>
    <n v="-9.763684210526316"/>
    <n v="32.236315789473686"/>
    <x v="13"/>
    <n v="0"/>
    <m/>
    <n v="434898"/>
    <n v="14.96769230769231"/>
    <m/>
    <n v="4"/>
    <m/>
    <n v="18.96769230769231"/>
    <n v="13.268623481781376"/>
    <m/>
    <n v="200"/>
  </r>
  <r>
    <n v="14"/>
    <n v="2024"/>
    <s v="Auction"/>
    <s v="VROLIJK BLOEMEN"/>
    <s v="VROLIJK BLOEMEN"/>
    <x v="52"/>
    <s v="English Roses"/>
    <s v="60CM"/>
    <m/>
    <n v="2.7692307692307692"/>
    <n v="120"/>
    <n v="0.47"/>
    <n v="56.4"/>
    <s v="EUR"/>
    <m/>
    <m/>
    <x v="13"/>
    <n v="120"/>
    <x v="1"/>
    <x v="0"/>
    <m/>
    <m/>
    <n v="0"/>
    <n v="0"/>
    <n v="0"/>
    <x v="13"/>
    <n v="-120"/>
    <m/>
    <n v="434898"/>
    <n v="8.9806153846153851"/>
    <m/>
    <n v="0"/>
    <m/>
    <n v="8.9806153846153851"/>
    <n v="-8.9806153846153851"/>
    <m/>
    <n v="0"/>
  </r>
  <r>
    <n v="14"/>
    <n v="2024"/>
    <s v="Auction"/>
    <s v="VROLIJK BLOEMEN"/>
    <s v="VROLIJK BLOEMEN"/>
    <x v="52"/>
    <s v="English Roses"/>
    <s v="70CM"/>
    <m/>
    <n v="0.92307692307692313"/>
    <n v="40"/>
    <n v="0.52"/>
    <n v="20.8"/>
    <s v="EUR"/>
    <m/>
    <m/>
    <x v="13"/>
    <n v="0"/>
    <x v="1"/>
    <x v="1"/>
    <n v="40"/>
    <n v="0.57999999999999996"/>
    <n v="23.2"/>
    <n v="-1.9527368421052631"/>
    <n v="21.247263157894736"/>
    <x v="13"/>
    <n v="0"/>
    <m/>
    <n v="434898"/>
    <n v="2.9935384615384617"/>
    <m/>
    <n v="0.8"/>
    <m/>
    <n v="3.7935384615384615"/>
    <n v="17.453724696356275"/>
    <m/>
    <n v="40"/>
  </r>
  <r>
    <n v="14"/>
    <n v="2024"/>
    <s v="Auction"/>
    <s v="VROLIJK BLOEMEN"/>
    <s v="VROLIJK BLOEMEN"/>
    <x v="52"/>
    <s v="English Roses"/>
    <s v="80CM"/>
    <m/>
    <n v="3.6923076923076925"/>
    <n v="160"/>
    <n v="0.56999999999999995"/>
    <n v="91.2"/>
    <s v="EUR"/>
    <m/>
    <m/>
    <x v="13"/>
    <n v="0"/>
    <x v="1"/>
    <x v="2"/>
    <n v="160"/>
    <n v="0.7"/>
    <n v="112"/>
    <n v="-7.8109473684210524"/>
    <n v="104.18905263157895"/>
    <x v="13"/>
    <n v="0"/>
    <m/>
    <n v="434898"/>
    <n v="11.974153846153847"/>
    <m/>
    <n v="3.2"/>
    <m/>
    <n v="15.174153846153846"/>
    <n v="89.014898785425103"/>
    <m/>
    <n v="160"/>
  </r>
  <r>
    <n v="14"/>
    <n v="2024"/>
    <s v="Auction"/>
    <s v="VROLIJK BLOEMEN"/>
    <s v="VROLIJK BLOEMEN"/>
    <x v="52"/>
    <s v="Grandiflora Roses"/>
    <s v="60CM"/>
    <n v="1"/>
    <n v="8"/>
    <n v="320"/>
    <n v="0.24"/>
    <n v="76.8"/>
    <s v="EUR"/>
    <m/>
    <m/>
    <x v="13"/>
    <n v="0"/>
    <x v="0"/>
    <x v="0"/>
    <n v="320"/>
    <n v="0.16999999999999998"/>
    <n v="54.399999999999991"/>
    <n v="-15.621894736842105"/>
    <n v="38.778105263157883"/>
    <x v="13"/>
    <n v="0"/>
    <m/>
    <n v="434898"/>
    <n v="25.944000000000003"/>
    <m/>
    <n v="6.4"/>
    <m/>
    <n v="32.344000000000001"/>
    <n v="6.4341052631578819"/>
    <m/>
    <n v="320"/>
  </r>
  <r>
    <n v="14"/>
    <n v="2024"/>
    <s v="Auction"/>
    <s v="VROLIJK BLOEMEN"/>
    <s v="VROLIJK BLOEMEN"/>
    <x v="52"/>
    <s v="Grandiflora Roses"/>
    <s v="100CM"/>
    <m/>
    <n v="4"/>
    <n v="160"/>
    <n v="0.47"/>
    <n v="75.2"/>
    <s v="EUR"/>
    <m/>
    <m/>
    <x v="13"/>
    <n v="0"/>
    <x v="0"/>
    <x v="4"/>
    <n v="160"/>
    <n v="0.61"/>
    <n v="97.6"/>
    <n v="-7.8109473684210524"/>
    <n v="89.78905263157894"/>
    <x v="13"/>
    <n v="0"/>
    <m/>
    <n v="434898"/>
    <n v="12.972000000000001"/>
    <m/>
    <n v="3.2"/>
    <m/>
    <n v="16.172000000000001"/>
    <n v="73.617052631578943"/>
    <m/>
    <n v="160"/>
  </r>
  <r>
    <n v="14"/>
    <n v="2024"/>
    <s v="Auction"/>
    <s v="VROLIJK BLOEMEN"/>
    <s v="VROLIJK BLOEMEN"/>
    <x v="52"/>
    <s v="Floribunda Roses"/>
    <s v="60CM"/>
    <n v="1"/>
    <n v="6"/>
    <n v="160"/>
    <n v="0.47"/>
    <n v="75.2"/>
    <s v="EUR"/>
    <m/>
    <m/>
    <x v="13"/>
    <n v="160"/>
    <x v="2"/>
    <x v="0"/>
    <m/>
    <m/>
    <n v="0"/>
    <n v="0"/>
    <n v="0"/>
    <x v="13"/>
    <n v="-160"/>
    <m/>
    <n v="434898"/>
    <n v="19.458000000000002"/>
    <m/>
    <n v="0"/>
    <m/>
    <n v="19.458000000000002"/>
    <n v="-19.458000000000002"/>
    <m/>
    <n v="0"/>
  </r>
  <r>
    <n v="14"/>
    <n v="2024"/>
    <s v="Auction"/>
    <s v="VROLIJK BLOEMEN"/>
    <s v="VROLIJK BLOEMEN"/>
    <x v="52"/>
    <s v="Floribunda Roses"/>
    <s v="100CM"/>
    <m/>
    <n v="6"/>
    <n v="160"/>
    <n v="0.94"/>
    <n v="150.4"/>
    <s v="EUR"/>
    <m/>
    <m/>
    <x v="13"/>
    <n v="0"/>
    <x v="2"/>
    <x v="4"/>
    <n v="160"/>
    <n v="0.77"/>
    <n v="123.2"/>
    <n v="-7.8109473684210524"/>
    <n v="115.38905263157895"/>
    <x v="13"/>
    <n v="0"/>
    <m/>
    <n v="434898"/>
    <n v="19.458000000000002"/>
    <m/>
    <n v="3.2"/>
    <m/>
    <n v="22.658000000000001"/>
    <n v="92.731052631578947"/>
    <m/>
    <n v="160"/>
  </r>
  <r>
    <n v="14"/>
    <n v="2024"/>
    <s v="Auction"/>
    <s v="VROLIJK BLOEMEN"/>
    <s v="VROLIJK BLOEMEN"/>
    <x v="53"/>
    <s v="Grandiflora Roses"/>
    <s v="70CM"/>
    <n v="1"/>
    <n v="12"/>
    <n v="520"/>
    <n v="0.28000000000000003"/>
    <n v="145.6"/>
    <s v="EUR"/>
    <m/>
    <m/>
    <x v="13"/>
    <n v="-160"/>
    <x v="0"/>
    <x v="1"/>
    <n v="680"/>
    <n v="0.41882352941176471"/>
    <n v="284.8"/>
    <n v="-35.035327868852434"/>
    <n v="249.76467213114756"/>
    <x v="13"/>
    <n v="160"/>
    <m/>
    <s v="F083668"/>
    <n v="44.735833333333332"/>
    <m/>
    <n v="13.6"/>
    <m/>
    <n v="58.335833333333333"/>
    <n v="191.42883879781422"/>
    <m/>
    <n v="680"/>
  </r>
  <r>
    <n v="14"/>
    <n v="2024"/>
    <s v="Auction"/>
    <s v="VROLIJK BLOEMEN"/>
    <s v="VROLIJK BLOEMEN"/>
    <x v="53"/>
    <s v="Grandiflora Roses"/>
    <s v="80CM"/>
    <n v="1"/>
    <n v="12"/>
    <n v="400"/>
    <n v="0.33"/>
    <n v="132"/>
    <s v="EUR"/>
    <m/>
    <m/>
    <x v="13"/>
    <n v="-40"/>
    <x v="0"/>
    <x v="2"/>
    <n v="440"/>
    <n v="0.57999999999999996"/>
    <n v="255.2"/>
    <n v="-22.669918032786871"/>
    <n v="232.53008196721311"/>
    <x v="13"/>
    <n v="40"/>
    <m/>
    <s v="F083668"/>
    <n v="44.735833333333332"/>
    <m/>
    <n v="8.8000000000000007"/>
    <m/>
    <n v="53.535833333333329"/>
    <n v="178.99424863387978"/>
    <m/>
    <n v="440"/>
  </r>
  <r>
    <n v="14"/>
    <n v="2024"/>
    <s v="Auction"/>
    <s v="VROLIJK BLOEMEN"/>
    <s v="VROLIJK BLOEMEN"/>
    <x v="53"/>
    <s v="Grandiflora Roses"/>
    <s v="90CM"/>
    <n v="1"/>
    <n v="12"/>
    <n v="320"/>
    <n v="0.38"/>
    <n v="121.6"/>
    <s v="EUR"/>
    <m/>
    <m/>
    <x v="13"/>
    <n v="0"/>
    <x v="0"/>
    <x v="3"/>
    <n v="320"/>
    <n v="0.59625000000000006"/>
    <n v="190.8"/>
    <n v="-16.487213114754088"/>
    <n v="174.31278688524591"/>
    <x v="13"/>
    <n v="0"/>
    <m/>
    <s v="F083668"/>
    <n v="44.735833333333332"/>
    <m/>
    <n v="6.4"/>
    <m/>
    <n v="51.135833333333331"/>
    <n v="123.17695355191259"/>
    <m/>
    <n v="320"/>
  </r>
  <r>
    <n v="14"/>
    <n v="2024"/>
    <s v="Auction"/>
    <s v="VROLIJK BLOEMEN"/>
    <s v="VROLIJK BLOEMEN"/>
    <x v="53"/>
    <s v="English Roses"/>
    <s v="70CM"/>
    <n v="1"/>
    <n v="12"/>
    <n v="400"/>
    <n v="0.52"/>
    <n v="208"/>
    <s v="EUR"/>
    <m/>
    <m/>
    <x v="13"/>
    <n v="0"/>
    <x v="1"/>
    <x v="1"/>
    <n v="400"/>
    <n v="0.65200000000000002"/>
    <n v="260.8"/>
    <n v="-20.609016393442612"/>
    <n v="240.19098360655741"/>
    <x v="13"/>
    <n v="0"/>
    <m/>
    <s v="F083668"/>
    <n v="44.735833333333332"/>
    <m/>
    <n v="8"/>
    <m/>
    <n v="52.735833333333332"/>
    <n v="187.45515027322409"/>
    <m/>
    <n v="400"/>
  </r>
  <r>
    <n v="14"/>
    <n v="2024"/>
    <s v="Auction"/>
    <s v="VROLIJK BLOEMEN"/>
    <s v="VROLIJK BLOEMEN"/>
    <x v="53"/>
    <s v="English Roses"/>
    <s v="60CM"/>
    <n v="1"/>
    <n v="12"/>
    <n v="480"/>
    <n v="0.47"/>
    <n v="225.6"/>
    <s v="EUR"/>
    <m/>
    <m/>
    <x v="13"/>
    <n v="0"/>
    <x v="1"/>
    <x v="0"/>
    <n v="480"/>
    <n v="0.64666666666666661"/>
    <n v="310.39999999999998"/>
    <n v="-24.73081967213113"/>
    <n v="285.66918032786884"/>
    <x v="13"/>
    <n v="0"/>
    <m/>
    <s v="F083668"/>
    <n v="44.735833333333332"/>
    <m/>
    <n v="9.6"/>
    <m/>
    <n v="54.335833333333333"/>
    <n v="231.3333469945355"/>
    <m/>
    <n v="480"/>
  </r>
  <r>
    <n v="14"/>
    <n v="2024"/>
    <s v="Auction"/>
    <s v="VROLIJK BLOEMEN"/>
    <s v="VROLIJK BLOEMEN"/>
    <x v="53"/>
    <s v="Floribunda Roses"/>
    <s v="60CM"/>
    <n v="1"/>
    <n v="12"/>
    <n v="520"/>
    <n v="0.47"/>
    <n v="244.4"/>
    <s v="EUR"/>
    <m/>
    <m/>
    <x v="13"/>
    <n v="0"/>
    <x v="2"/>
    <x v="0"/>
    <n v="520"/>
    <n v="0.62846153846153852"/>
    <n v="326.8"/>
    <n v="-26.791721311475392"/>
    <n v="300.00827868852463"/>
    <x v="13"/>
    <n v="0"/>
    <m/>
    <s v="F083668"/>
    <n v="44.735833333333332"/>
    <m/>
    <n v="10.4"/>
    <m/>
    <n v="55.135833333333331"/>
    <n v="244.8724453551913"/>
    <m/>
    <n v="520"/>
  </r>
  <r>
    <n v="14"/>
    <n v="2024"/>
    <s v="Auction"/>
    <s v="VROLIJK BLOEMEN"/>
    <s v="VROLIJK BLOEMEN"/>
    <x v="53"/>
    <s v="Floribunda Roses"/>
    <s v="70CM"/>
    <n v="1"/>
    <n v="12"/>
    <n v="360"/>
    <n v="0.52"/>
    <n v="187.2"/>
    <s v="EUR"/>
    <m/>
    <m/>
    <x v="13"/>
    <n v="-400"/>
    <x v="2"/>
    <x v="1"/>
    <n v="760"/>
    <n v="0.75842105263157888"/>
    <n v="576.4"/>
    <n v="-39.157131147540959"/>
    <n v="537.24286885245897"/>
    <x v="13"/>
    <n v="400"/>
    <m/>
    <s v="F083668"/>
    <n v="44.735833333333332"/>
    <m/>
    <n v="15.200000000000001"/>
    <m/>
    <n v="59.935833333333335"/>
    <n v="477.30703551912563"/>
    <m/>
    <n v="760"/>
  </r>
  <r>
    <n v="14"/>
    <n v="2024"/>
    <s v="Auction"/>
    <s v="VROLIJK BLOEMEN"/>
    <s v="VROLIJK BLOEMEN"/>
    <x v="53"/>
    <s v="Floribunda Roses"/>
    <s v="70CM"/>
    <n v="1"/>
    <n v="12"/>
    <n v="400"/>
    <n v="0.52"/>
    <n v="208"/>
    <s v="EUR"/>
    <m/>
    <m/>
    <x v="13"/>
    <n v="400"/>
    <x v="2"/>
    <x v="1"/>
    <m/>
    <m/>
    <n v="0"/>
    <n v="0"/>
    <n v="0"/>
    <x v="13"/>
    <n v="-400"/>
    <m/>
    <s v="F083668"/>
    <n v="44.735833333333332"/>
    <m/>
    <n v="0"/>
    <m/>
    <n v="44.735833333333332"/>
    <n v="-44.735833333333332"/>
    <m/>
    <n v="0"/>
  </r>
  <r>
    <n v="14"/>
    <n v="2024"/>
    <s v="Auction"/>
    <s v="VROLIJK BLOEMEN"/>
    <s v="VROLIJK BLOEMEN"/>
    <x v="53"/>
    <s v="Floribunda Roses"/>
    <s v="90CM"/>
    <n v="1"/>
    <n v="12"/>
    <n v="240"/>
    <n v="0.75"/>
    <n v="180"/>
    <s v="EUR"/>
    <m/>
    <m/>
    <x v="13"/>
    <n v="0"/>
    <x v="2"/>
    <x v="3"/>
    <n v="240"/>
    <n v="0.79500000000000004"/>
    <n v="190.8"/>
    <n v="-12.365409836065565"/>
    <n v="178.43459016393444"/>
    <x v="13"/>
    <n v="0"/>
    <m/>
    <s v="F083668"/>
    <n v="44.735833333333332"/>
    <m/>
    <n v="4.8"/>
    <m/>
    <n v="49.535833333333329"/>
    <n v="128.89875683060112"/>
    <m/>
    <n v="240"/>
  </r>
  <r>
    <n v="14"/>
    <n v="2024"/>
    <s v="Auction"/>
    <s v="VROLIJK BLOEMEN"/>
    <s v="VROLIJK BLOEMEN"/>
    <x v="53"/>
    <s v="Floribunda Roses"/>
    <s v="100CM"/>
    <n v="1"/>
    <n v="12"/>
    <n v="200"/>
    <n v="0.94"/>
    <n v="188"/>
    <s v="EUR"/>
    <m/>
    <m/>
    <x v="13"/>
    <n v="0"/>
    <x v="2"/>
    <x v="4"/>
    <n v="200"/>
    <n v="0.81"/>
    <n v="162"/>
    <n v="-10.304508196721306"/>
    <n v="151.69549180327868"/>
    <x v="13"/>
    <n v="0"/>
    <m/>
    <s v="F083668"/>
    <n v="44.735833333333332"/>
    <m/>
    <n v="4"/>
    <m/>
    <n v="48.735833333333332"/>
    <n v="102.95965846994535"/>
    <m/>
    <n v="200"/>
  </r>
  <r>
    <n v="14"/>
    <n v="2024"/>
    <s v="Auction"/>
    <s v="VROLIJK BLOEMEN"/>
    <s v="VROLIJK BLOEMEN"/>
    <x v="53"/>
    <s v="Grandiflora Roses"/>
    <s v="60CM"/>
    <n v="1"/>
    <n v="4.2857142857142856"/>
    <n v="200"/>
    <n v="0.24"/>
    <n v="48"/>
    <s v="EUR"/>
    <m/>
    <m/>
    <x v="13"/>
    <n v="0"/>
    <x v="0"/>
    <x v="0"/>
    <n v="200"/>
    <n v="0.20399999999999999"/>
    <n v="40.799999999999997"/>
    <n v="-10.304508196721306"/>
    <n v="30.495491803278689"/>
    <x v="13"/>
    <n v="0"/>
    <m/>
    <s v="F083668"/>
    <n v="15.977083333333333"/>
    <m/>
    <n v="4"/>
    <m/>
    <n v="19.977083333333333"/>
    <n v="10.518408469945356"/>
    <m/>
    <n v="200"/>
  </r>
  <r>
    <n v="14"/>
    <n v="2024"/>
    <s v="Auction"/>
    <s v="VROLIJK BLOEMEN"/>
    <s v="VROLIJK BLOEMEN"/>
    <x v="53"/>
    <s v="Grandiflora Roses"/>
    <s v="70CM"/>
    <m/>
    <n v="3.4285714285714284"/>
    <n v="160"/>
    <n v="0.28000000000000003"/>
    <n v="44.8"/>
    <s v="EUR"/>
    <m/>
    <m/>
    <x v="13"/>
    <n v="160"/>
    <x v="0"/>
    <x v="1"/>
    <m/>
    <m/>
    <n v="0"/>
    <n v="0"/>
    <n v="0"/>
    <x v="13"/>
    <n v="-160"/>
    <m/>
    <s v="F083668"/>
    <n v="12.781666666666666"/>
    <m/>
    <n v="0"/>
    <m/>
    <n v="12.781666666666666"/>
    <n v="-12.781666666666666"/>
    <m/>
    <n v="0"/>
  </r>
  <r>
    <n v="14"/>
    <n v="2024"/>
    <s v="Auction"/>
    <s v="VROLIJK BLOEMEN"/>
    <s v="VROLIJK BLOEMEN"/>
    <x v="53"/>
    <s v="Grandiflora Roses"/>
    <s v="80CM"/>
    <m/>
    <n v="0.8571428571428571"/>
    <n v="40"/>
    <n v="0.33"/>
    <n v="13.2"/>
    <s v="EUR"/>
    <m/>
    <m/>
    <x v="13"/>
    <n v="40"/>
    <x v="0"/>
    <x v="2"/>
    <m/>
    <m/>
    <n v="0"/>
    <n v="0"/>
    <n v="0"/>
    <x v="13"/>
    <n v="-40"/>
    <m/>
    <s v="F083668"/>
    <n v="3.1954166666666666"/>
    <m/>
    <n v="0"/>
    <m/>
    <n v="3.1954166666666666"/>
    <n v="-3.1954166666666666"/>
    <m/>
    <n v="0"/>
  </r>
  <r>
    <n v="14"/>
    <n v="2024"/>
    <s v="Auction"/>
    <s v="VROLIJK BLOEMEN"/>
    <s v="VROLIJK BLOEMEN"/>
    <x v="53"/>
    <s v="Grandiflora Roses"/>
    <s v="100CM"/>
    <m/>
    <n v="3.4285714285714284"/>
    <n v="160"/>
    <n v="0.47"/>
    <n v="75.2"/>
    <s v="EUR"/>
    <m/>
    <m/>
    <x v="13"/>
    <n v="0"/>
    <x v="0"/>
    <x v="4"/>
    <n v="160"/>
    <n v="0.67500000000000004"/>
    <n v="108"/>
    <n v="-8.2436065573770438"/>
    <n v="99.756393442622951"/>
    <x v="13"/>
    <n v="0"/>
    <m/>
    <s v="F083668"/>
    <n v="12.781666666666666"/>
    <m/>
    <n v="3.2"/>
    <m/>
    <n v="15.981666666666666"/>
    <n v="83.774726775956282"/>
    <m/>
    <n v="160"/>
  </r>
  <r>
    <n v="14"/>
    <n v="2024"/>
    <s v="Auction"/>
    <s v="VROLIJK BLOEMEN"/>
    <s v="VROLIJK BLOEMEN"/>
    <x v="53"/>
    <s v="Polyantha Roses"/>
    <s v="60CM"/>
    <n v="1"/>
    <n v="10"/>
    <n v="400"/>
    <n v="0.52"/>
    <n v="208"/>
    <s v="EUR"/>
    <m/>
    <m/>
    <x v="13"/>
    <n v="0"/>
    <x v="3"/>
    <x v="0"/>
    <n v="400"/>
    <n v="0.75099999999999989"/>
    <n v="300.39999999999998"/>
    <n v="-20.609016393442612"/>
    <n v="279.79098360655735"/>
    <x v="13"/>
    <n v="0"/>
    <m/>
    <s v="F083668"/>
    <n v="37.279861111111117"/>
    <m/>
    <n v="8"/>
    <m/>
    <n v="45.279861111111117"/>
    <n v="234.51112249544622"/>
    <m/>
    <n v="400"/>
  </r>
  <r>
    <n v="14"/>
    <n v="2024"/>
    <s v="Auction"/>
    <s v="VROLIJK BLOEMEN"/>
    <s v="VROLIJK BLOEMEN"/>
    <x v="53"/>
    <s v="Polyantha Roses"/>
    <s v="70CM"/>
    <m/>
    <n v="1"/>
    <n v="40"/>
    <n v="0.61"/>
    <n v="24.4"/>
    <s v="EUR"/>
    <m/>
    <m/>
    <x v="13"/>
    <n v="0"/>
    <x v="3"/>
    <x v="1"/>
    <n v="40"/>
    <n v="0.82"/>
    <n v="32.799999999999997"/>
    <n v="-2.060901639344261"/>
    <n v="30.739098360655735"/>
    <x v="13"/>
    <n v="0"/>
    <m/>
    <s v="F083668"/>
    <n v="3.727986111111111"/>
    <m/>
    <n v="0.8"/>
    <m/>
    <n v="4.5279861111111108"/>
    <n v="26.211112249544623"/>
    <m/>
    <n v="40"/>
  </r>
  <r>
    <n v="14"/>
    <n v="2024"/>
    <s v="Auction"/>
    <s v="VROLIJK BLOEMEN"/>
    <s v="VROLIJK BLOEMEN"/>
    <x v="53"/>
    <s v="Polyantha Roses"/>
    <s v="50CM"/>
    <m/>
    <n v="1"/>
    <n v="40"/>
    <n v="0.42"/>
    <n v="16.8"/>
    <s v="EUR"/>
    <m/>
    <m/>
    <x v="13"/>
    <n v="0"/>
    <x v="3"/>
    <x v="5"/>
    <n v="40"/>
    <n v="0.55000000000000004"/>
    <n v="22"/>
    <n v="-2.060901639344261"/>
    <n v="19.939098360655738"/>
    <x v="13"/>
    <n v="0"/>
    <m/>
    <s v="F083668"/>
    <n v="3.727986111111111"/>
    <m/>
    <n v="0.8"/>
    <m/>
    <n v="4.5279861111111108"/>
    <n v="15.411112249544626"/>
    <m/>
    <n v="40"/>
  </r>
  <r>
    <n v="14"/>
    <n v="2024"/>
    <s v="Auction"/>
    <s v="VROLIJK BLOEMEN"/>
    <s v="VROLIJK BLOEMEN"/>
    <x v="54"/>
    <s v="Floribunda Roses"/>
    <s v="60CM"/>
    <n v="1"/>
    <n v="9.75"/>
    <n v="520"/>
    <n v="0.47"/>
    <n v="244.4"/>
    <s v="EUR"/>
    <m/>
    <m/>
    <x v="13"/>
    <n v="400"/>
    <x v="2"/>
    <x v="0"/>
    <n v="120"/>
    <n v="0.76"/>
    <n v="91.2"/>
    <n v="-6.0942391304347785"/>
    <n v="85.105760869565231"/>
    <x v="13"/>
    <n v="-400"/>
    <m/>
    <s v="F083669"/>
    <n v="46.978750000000005"/>
    <m/>
    <n v="2.4"/>
    <m/>
    <n v="49.378750000000004"/>
    <n v="35.727010869565227"/>
    <m/>
    <n v="120"/>
  </r>
  <r>
    <n v="14"/>
    <n v="2024"/>
    <s v="Auction"/>
    <s v="VROLIJK BLOEMEN"/>
    <s v="VROLIJK BLOEMEN"/>
    <x v="54"/>
    <s v="Floribunda Roses"/>
    <s v="50CM"/>
    <m/>
    <n v="2.25"/>
    <n v="120"/>
    <n v="0.38"/>
    <n v="45.6"/>
    <s v="EUR"/>
    <m/>
    <m/>
    <x v="13"/>
    <n v="-400"/>
    <x v="2"/>
    <x v="5"/>
    <n v="520"/>
    <n v="0.53"/>
    <n v="275.60000000000002"/>
    <n v="-26.408369565217374"/>
    <n v="249.19163043478264"/>
    <x v="13"/>
    <n v="400"/>
    <m/>
    <s v="F083669"/>
    <n v="10.84125"/>
    <m/>
    <n v="10.4"/>
    <m/>
    <n v="21.241250000000001"/>
    <n v="227.95038043478263"/>
    <m/>
    <n v="520"/>
  </r>
  <r>
    <n v="14"/>
    <n v="2024"/>
    <s v="Auction"/>
    <s v="VROLIJK BLOEMEN"/>
    <s v="VROLIJK BLOEMEN"/>
    <x v="54"/>
    <s v="Floribunda Roses"/>
    <s v="70CM"/>
    <n v="1"/>
    <n v="8"/>
    <n v="320"/>
    <n v="0.52"/>
    <n v="166.4"/>
    <s v="EUR"/>
    <m/>
    <m/>
    <x v="13"/>
    <n v="0"/>
    <x v="2"/>
    <x v="1"/>
    <n v="320"/>
    <n v="0.94124999999999992"/>
    <n v="301.2"/>
    <n v="-16.251304347826075"/>
    <n v="284.94869565217391"/>
    <x v="13"/>
    <n v="0"/>
    <m/>
    <s v="F083669"/>
    <n v="38.546666666666667"/>
    <m/>
    <n v="6.4"/>
    <m/>
    <n v="44.946666666666665"/>
    <n v="240.00202898550725"/>
    <m/>
    <n v="320"/>
  </r>
  <r>
    <n v="14"/>
    <n v="2024"/>
    <s v="Auction"/>
    <s v="VROLIJK BLOEMEN"/>
    <s v="VROLIJK BLOEMEN"/>
    <x v="54"/>
    <s v="Floribunda Roses"/>
    <s v="80CM"/>
    <m/>
    <n v="4"/>
    <n v="160"/>
    <n v="0.56999999999999995"/>
    <n v="91.2"/>
    <s v="EUR"/>
    <m/>
    <m/>
    <x v="13"/>
    <n v="0"/>
    <x v="2"/>
    <x v="2"/>
    <n v="160"/>
    <n v="1.1800000000000002"/>
    <n v="188.8"/>
    <n v="-8.1256521739130374"/>
    <n v="180.67434782608697"/>
    <x v="13"/>
    <n v="0"/>
    <m/>
    <s v="F083669"/>
    <n v="19.273333333333333"/>
    <m/>
    <n v="3.2"/>
    <m/>
    <n v="22.473333333333333"/>
    <n v="158.20101449275364"/>
    <m/>
    <n v="160"/>
  </r>
  <r>
    <n v="14"/>
    <n v="2024"/>
    <s v="Auction"/>
    <s v="VROLIJK BLOEMEN"/>
    <s v="VROLIJK BLOEMEN"/>
    <x v="54"/>
    <s v="Floribunda Roses"/>
    <s v="90CM"/>
    <n v="1"/>
    <n v="8"/>
    <n v="160"/>
    <n v="0.75"/>
    <n v="120"/>
    <s v="EUR"/>
    <m/>
    <m/>
    <x v="13"/>
    <n v="0"/>
    <x v="2"/>
    <x v="3"/>
    <n v="160"/>
    <n v="0.83000000000000007"/>
    <n v="132.80000000000001"/>
    <n v="-8.1256521739130374"/>
    <n v="124.67434782608697"/>
    <x v="13"/>
    <n v="0"/>
    <m/>
    <s v="F083669"/>
    <n v="38.546666666666667"/>
    <m/>
    <n v="3.2"/>
    <m/>
    <n v="41.74666666666667"/>
    <n v="82.927681159420302"/>
    <m/>
    <n v="160"/>
  </r>
  <r>
    <n v="14"/>
    <n v="2024"/>
    <s v="Auction"/>
    <s v="VROLIJK BLOEMEN"/>
    <s v="VROLIJK BLOEMEN"/>
    <x v="54"/>
    <s v="Floribunda Roses"/>
    <s v="100CM"/>
    <m/>
    <n v="4"/>
    <n v="80"/>
    <n v="0.94"/>
    <n v="75.2"/>
    <s v="EUR"/>
    <m/>
    <m/>
    <x v="13"/>
    <n v="0"/>
    <x v="2"/>
    <x v="4"/>
    <n v="80"/>
    <n v="0.91999999999999993"/>
    <n v="73.599999999999994"/>
    <n v="-4.0628260869565187"/>
    <n v="69.537173913043475"/>
    <x v="13"/>
    <n v="0"/>
    <m/>
    <s v="F083669"/>
    <n v="19.273333333333333"/>
    <m/>
    <n v="1.6"/>
    <m/>
    <n v="20.873333333333335"/>
    <n v="48.66384057971014"/>
    <m/>
    <n v="80"/>
  </r>
  <r>
    <n v="14"/>
    <n v="2024"/>
    <s v="Auction"/>
    <s v="VROLIJK BLOEMEN"/>
    <s v="VROLIJK BLOEMEN"/>
    <x v="54"/>
    <s v="Grandiflora Roses"/>
    <s v="60CM"/>
    <n v="1"/>
    <n v="6.666666666666667"/>
    <n v="400"/>
    <n v="0.24"/>
    <n v="96"/>
    <s v="EUR"/>
    <m/>
    <m/>
    <x v="13"/>
    <n v="0"/>
    <x v="0"/>
    <x v="0"/>
    <n v="400"/>
    <n v="0.40299999999999997"/>
    <n v="161.19999999999999"/>
    <n v="-20.314130434782594"/>
    <n v="140.8858695652174"/>
    <x v="13"/>
    <n v="0"/>
    <m/>
    <s v="F083669"/>
    <n v="32.122222222222227"/>
    <m/>
    <n v="8"/>
    <m/>
    <n v="40.122222222222227"/>
    <n v="100.76364734299517"/>
    <m/>
    <n v="400"/>
  </r>
  <r>
    <n v="14"/>
    <n v="2024"/>
    <s v="Auction"/>
    <s v="VROLIJK BLOEMEN"/>
    <s v="VROLIJK BLOEMEN"/>
    <x v="54"/>
    <s v="Grandiflora Roses"/>
    <s v="70CM"/>
    <m/>
    <n v="5.333333333333333"/>
    <n v="320"/>
    <n v="0.28000000000000003"/>
    <n v="89.6"/>
    <s v="EUR"/>
    <m/>
    <m/>
    <x v="13"/>
    <n v="0"/>
    <x v="0"/>
    <x v="1"/>
    <n v="320"/>
    <n v="0.26"/>
    <n v="83.2"/>
    <n v="-16.251304347826075"/>
    <n v="66.948695652173924"/>
    <x v="13"/>
    <n v="0"/>
    <m/>
    <s v="F083669"/>
    <n v="25.697777777777777"/>
    <m/>
    <n v="6.4"/>
    <m/>
    <n v="32.097777777777779"/>
    <n v="34.850917874396146"/>
    <m/>
    <n v="320"/>
  </r>
  <r>
    <n v="14"/>
    <n v="2024"/>
    <s v="Auction"/>
    <s v="VROLIJK BLOEMEN"/>
    <s v="VROLIJK BLOEMEN"/>
    <x v="54"/>
    <s v="Grandiflora Roses"/>
    <s v="80CM"/>
    <n v="1"/>
    <n v="7.384615384615385"/>
    <n v="320"/>
    <n v="0.33"/>
    <n v="105.6"/>
    <s v="EUR"/>
    <m/>
    <m/>
    <x v="13"/>
    <n v="0"/>
    <x v="0"/>
    <x v="2"/>
    <n v="320"/>
    <n v="0.28999999999999998"/>
    <n v="92.8"/>
    <n v="-16.251304347826075"/>
    <n v="76.548695652173919"/>
    <x v="13"/>
    <n v="0"/>
    <m/>
    <s v="F083669"/>
    <n v="35.581538461538464"/>
    <m/>
    <n v="6.4"/>
    <m/>
    <n v="41.981538461538463"/>
    <n v="34.567157190635456"/>
    <m/>
    <n v="320"/>
  </r>
  <r>
    <n v="14"/>
    <n v="2024"/>
    <s v="Auction"/>
    <s v="VROLIJK BLOEMEN"/>
    <s v="VROLIJK BLOEMEN"/>
    <x v="54"/>
    <s v="Grandiflora Roses"/>
    <s v="90CM"/>
    <m/>
    <n v="0.92307692307692313"/>
    <n v="40"/>
    <n v="0.38"/>
    <n v="15.2"/>
    <s v="EUR"/>
    <m/>
    <m/>
    <x v="13"/>
    <n v="0"/>
    <x v="0"/>
    <x v="3"/>
    <n v="40"/>
    <n v="0.27999999999999997"/>
    <n v="11.2"/>
    <n v="-2.0314130434782594"/>
    <n v="9.1685869565217395"/>
    <x v="13"/>
    <n v="0"/>
    <m/>
    <s v="F083669"/>
    <n v="4.4476923076923081"/>
    <m/>
    <n v="0.8"/>
    <m/>
    <n v="5.2476923076923079"/>
    <n v="3.9208946488294316"/>
    <m/>
    <n v="40"/>
  </r>
  <r>
    <n v="14"/>
    <n v="2024"/>
    <s v="Auction"/>
    <s v="VROLIJK BLOEMEN"/>
    <s v="VROLIJK BLOEMEN"/>
    <x v="54"/>
    <s v="Grandiflora Roses"/>
    <s v="100CM"/>
    <m/>
    <n v="3.6923076923076925"/>
    <n v="160"/>
    <n v="0.47"/>
    <n v="75.2"/>
    <s v="EUR"/>
    <m/>
    <m/>
    <x v="13"/>
    <n v="0"/>
    <x v="0"/>
    <x v="4"/>
    <n v="160"/>
    <n v="0.66749999999999998"/>
    <n v="106.8"/>
    <n v="-8.1256521739130374"/>
    <n v="98.674347826086958"/>
    <x v="13"/>
    <n v="0"/>
    <m/>
    <s v="F083669"/>
    <n v="17.790769230769232"/>
    <m/>
    <n v="3.2"/>
    <m/>
    <n v="20.990769230769232"/>
    <n v="77.683578595317726"/>
    <m/>
    <n v="160"/>
  </r>
  <r>
    <n v="14"/>
    <n v="2024"/>
    <s v="Auction"/>
    <s v="VROLIJK BLOEMEN"/>
    <s v="VROLIJK BLOEMEN"/>
    <x v="54"/>
    <s v="English Roses"/>
    <s v="60CM"/>
    <n v="1"/>
    <n v="12"/>
    <n v="480"/>
    <n v="0.47"/>
    <n v="225.6"/>
    <s v="EUR"/>
    <m/>
    <m/>
    <x v="13"/>
    <n v="0"/>
    <x v="1"/>
    <x v="0"/>
    <n v="480"/>
    <n v="0.57833333333333337"/>
    <n v="277.60000000000002"/>
    <n v="-24.376956521739114"/>
    <n v="253.22304347826091"/>
    <x v="13"/>
    <n v="0"/>
    <m/>
    <s v="F083669"/>
    <n v="57.82"/>
    <m/>
    <n v="9.6"/>
    <m/>
    <n v="67.42"/>
    <n v="185.80304347826092"/>
    <m/>
    <n v="480"/>
  </r>
  <r>
    <n v="14"/>
    <n v="2024"/>
    <s v="Auction"/>
    <s v="VROLIJK BLOEMEN"/>
    <s v="VROLIJK BLOEMEN"/>
    <x v="54"/>
    <s v="English Roses"/>
    <s v="70CM"/>
    <n v="1"/>
    <n v="8"/>
    <n v="400"/>
    <n v="0.52"/>
    <n v="208"/>
    <s v="EUR"/>
    <m/>
    <m/>
    <x v="13"/>
    <n v="200"/>
    <x v="1"/>
    <x v="1"/>
    <n v="200"/>
    <n v="0.48399999999999999"/>
    <n v="96.8"/>
    <n v="-10.157065217391297"/>
    <n v="86.642934782608705"/>
    <x v="13"/>
    <n v="-200"/>
    <m/>
    <s v="F083669"/>
    <n v="38.546666666666667"/>
    <m/>
    <n v="4"/>
    <m/>
    <n v="42.546666666666667"/>
    <n v="44.096268115942038"/>
    <m/>
    <n v="200"/>
  </r>
  <r>
    <n v="14"/>
    <n v="2024"/>
    <s v="Auction"/>
    <s v="VROLIJK BLOEMEN"/>
    <s v="VROLIJK BLOEMEN"/>
    <x v="54"/>
    <s v="English Roses"/>
    <s v="50CM"/>
    <m/>
    <n v="4"/>
    <n v="200"/>
    <n v="0.38"/>
    <n v="76"/>
    <s v="EUR"/>
    <m/>
    <m/>
    <x v="13"/>
    <n v="-200"/>
    <x v="1"/>
    <x v="5"/>
    <n v="400"/>
    <n v="0.38"/>
    <n v="152"/>
    <n v="-20.314130434782594"/>
    <n v="131.68586956521742"/>
    <x v="13"/>
    <n v="200"/>
    <m/>
    <s v="F083669"/>
    <n v="19.273333333333333"/>
    <m/>
    <n v="8"/>
    <m/>
    <n v="27.273333333333333"/>
    <n v="104.41253623188408"/>
    <m/>
    <n v="400"/>
  </r>
  <r>
    <n v="14"/>
    <n v="2024"/>
    <s v="Auction"/>
    <s v="VROLIJK BLOEMEN"/>
    <s v="VROLIJK BLOEMEN"/>
    <x v="55"/>
    <s v="English Roses"/>
    <s v="90CM"/>
    <n v="1"/>
    <n v="12"/>
    <n v="200"/>
    <n v="0.75"/>
    <n v="150"/>
    <s v="EUR"/>
    <m/>
    <m/>
    <x v="14"/>
    <n v="-200"/>
    <x v="1"/>
    <x v="3"/>
    <n v="400"/>
    <n v="1.135"/>
    <n v="454"/>
    <n v="-19.061805555555541"/>
    <n v="434.93819444444443"/>
    <x v="14"/>
    <n v="200"/>
    <m/>
    <n v="435844"/>
    <n v="41.037333333333329"/>
    <m/>
    <n v="8"/>
    <m/>
    <n v="49.037333333333329"/>
    <n v="385.90086111111111"/>
    <m/>
    <n v="400"/>
  </r>
  <r>
    <n v="14"/>
    <n v="2024"/>
    <s v="Auction"/>
    <s v="VROLIJK BLOEMEN"/>
    <s v="VROLIJK BLOEMEN"/>
    <x v="55"/>
    <s v="English Roses"/>
    <s v="90CM"/>
    <n v="1"/>
    <n v="12"/>
    <n v="240"/>
    <n v="0.75"/>
    <n v="180"/>
    <s v="EUR"/>
    <m/>
    <m/>
    <x v="14"/>
    <n v="240"/>
    <x v="1"/>
    <x v="3"/>
    <m/>
    <m/>
    <n v="0"/>
    <n v="0"/>
    <n v="0"/>
    <x v="14"/>
    <n v="-240"/>
    <m/>
    <n v="435844"/>
    <n v="41.037333333333329"/>
    <m/>
    <n v="0"/>
    <m/>
    <n v="41.037333333333329"/>
    <n v="-41.037333333333329"/>
    <m/>
    <n v="0"/>
  </r>
  <r>
    <n v="14"/>
    <n v="2024"/>
    <s v="Auction"/>
    <s v="VROLIJK BLOEMEN"/>
    <s v="VROLIJK BLOEMEN"/>
    <x v="55"/>
    <s v="English Roses"/>
    <s v="100CM"/>
    <n v="1"/>
    <n v="12"/>
    <n v="160"/>
    <n v="0.94"/>
    <n v="150.4"/>
    <s v="EUR"/>
    <m/>
    <m/>
    <x v="14"/>
    <n v="160"/>
    <x v="1"/>
    <x v="4"/>
    <m/>
    <m/>
    <n v="0"/>
    <n v="0"/>
    <n v="0"/>
    <x v="14"/>
    <n v="-160"/>
    <m/>
    <n v="435844"/>
    <n v="41.037333333333329"/>
    <m/>
    <n v="0"/>
    <m/>
    <n v="41.037333333333329"/>
    <n v="-41.037333333333329"/>
    <m/>
    <n v="0"/>
  </r>
  <r>
    <n v="14"/>
    <n v="2024"/>
    <s v="Auction"/>
    <s v="VROLIJK BLOEMEN"/>
    <s v="VROLIJK BLOEMEN"/>
    <x v="55"/>
    <s v="English Roses"/>
    <s v="100CM"/>
    <n v="1"/>
    <n v="12"/>
    <n v="200"/>
    <n v="0.94"/>
    <n v="188"/>
    <s v="EUR"/>
    <m/>
    <m/>
    <x v="14"/>
    <n v="-160"/>
    <x v="1"/>
    <x v="4"/>
    <n v="360"/>
    <n v="0.93"/>
    <n v="334.8"/>
    <n v="-17.155624999999986"/>
    <n v="317.64437500000003"/>
    <x v="14"/>
    <n v="160"/>
    <m/>
    <n v="435844"/>
    <n v="41.037333333333329"/>
    <m/>
    <n v="7.2"/>
    <m/>
    <n v="48.237333333333332"/>
    <n v="269.40704166666671"/>
    <m/>
    <n v="360"/>
  </r>
  <r>
    <n v="14"/>
    <n v="2024"/>
    <s v="Auction"/>
    <s v="VROLIJK BLOEMEN"/>
    <s v="VROLIJK BLOEMEN"/>
    <x v="55"/>
    <s v="Floribunda Roses"/>
    <s v="60CM"/>
    <n v="2"/>
    <n v="24"/>
    <n v="1040"/>
    <n v="0.47"/>
    <n v="488.8"/>
    <s v="EUR"/>
    <m/>
    <m/>
    <x v="14"/>
    <n v="-400"/>
    <x v="2"/>
    <x v="0"/>
    <n v="1440"/>
    <n v="0.64083333333333325"/>
    <n v="922.79999999999984"/>
    <n v="-68.622499999999945"/>
    <n v="854.1774999999999"/>
    <x v="14"/>
    <n v="400"/>
    <m/>
    <n v="435844"/>
    <n v="82.074666666666658"/>
    <m/>
    <n v="28.8"/>
    <m/>
    <n v="110.87466666666666"/>
    <n v="743.30283333333318"/>
    <m/>
    <n v="1440"/>
  </r>
  <r>
    <n v="14"/>
    <n v="2024"/>
    <s v="Auction"/>
    <s v="VROLIJK BLOEMEN"/>
    <s v="VROLIJK BLOEMEN"/>
    <x v="55"/>
    <s v="Floribunda Roses"/>
    <s v="100CM"/>
    <n v="1"/>
    <n v="12"/>
    <n v="200"/>
    <n v="0.94"/>
    <n v="188"/>
    <s v="EUR"/>
    <m/>
    <m/>
    <x v="14"/>
    <n v="0"/>
    <x v="2"/>
    <x v="4"/>
    <n v="200"/>
    <n v="1"/>
    <n v="200"/>
    <n v="-9.5309027777777704"/>
    <n v="190.46909722222222"/>
    <x v="14"/>
    <n v="0"/>
    <m/>
    <n v="435844"/>
    <n v="41.037333333333329"/>
    <m/>
    <n v="4"/>
    <m/>
    <n v="45.037333333333329"/>
    <n v="145.4317638888889"/>
    <m/>
    <n v="200"/>
  </r>
  <r>
    <n v="14"/>
    <n v="2024"/>
    <s v="Auction"/>
    <s v="VROLIJK BLOEMEN"/>
    <s v="VROLIJK BLOEMEN"/>
    <x v="55"/>
    <s v="Grandiflora Roses"/>
    <s v="60CM"/>
    <n v="1"/>
    <n v="12"/>
    <n v="720"/>
    <n v="0.24"/>
    <n v="172.8"/>
    <s v="EUR"/>
    <m/>
    <m/>
    <x v="14"/>
    <n v="0"/>
    <x v="0"/>
    <x v="0"/>
    <n v="720"/>
    <n v="0.30555555555555558"/>
    <n v="220.00000000000003"/>
    <n v="-34.311249999999973"/>
    <n v="185.68875000000006"/>
    <x v="14"/>
    <n v="0"/>
    <m/>
    <n v="435844"/>
    <n v="41.037333333333329"/>
    <m/>
    <n v="14.4"/>
    <m/>
    <n v="55.437333333333328"/>
    <n v="130.25141666666673"/>
    <m/>
    <n v="720"/>
  </r>
  <r>
    <n v="14"/>
    <n v="2024"/>
    <s v="Auction"/>
    <s v="VROLIJK BLOEMEN"/>
    <s v="VROLIJK BLOEMEN"/>
    <x v="55"/>
    <s v="Grandiflora Roses"/>
    <s v="70CM"/>
    <n v="1"/>
    <n v="12"/>
    <n v="520"/>
    <n v="0.28000000000000003"/>
    <n v="145.6"/>
    <s v="EUR"/>
    <m/>
    <m/>
    <x v="14"/>
    <n v="0"/>
    <x v="0"/>
    <x v="1"/>
    <n v="520"/>
    <n v="0.4276923076923077"/>
    <n v="222.4"/>
    <n v="-24.780347222222201"/>
    <n v="197.61965277777782"/>
    <x v="14"/>
    <n v="0"/>
    <m/>
    <n v="435844"/>
    <n v="41.037333333333329"/>
    <m/>
    <n v="10.4"/>
    <m/>
    <n v="51.437333333333328"/>
    <n v="146.18231944444449"/>
    <m/>
    <n v="520"/>
  </r>
  <r>
    <n v="14"/>
    <n v="2024"/>
    <s v="Auction"/>
    <s v="VROLIJK BLOEMEN"/>
    <s v="VROLIJK BLOEMEN"/>
    <x v="55"/>
    <s v="Grandiflora Roses"/>
    <s v="80CM"/>
    <n v="1"/>
    <n v="12"/>
    <n v="440"/>
    <n v="0.33"/>
    <n v="145.19999999999999"/>
    <s v="EUR"/>
    <m/>
    <m/>
    <x v="14"/>
    <n v="0"/>
    <x v="0"/>
    <x v="2"/>
    <n v="440"/>
    <n v="0.43181818181818182"/>
    <n v="190"/>
    <n v="-20.967986111111095"/>
    <n v="169.03201388888891"/>
    <x v="14"/>
    <n v="0"/>
    <m/>
    <n v="435844"/>
    <n v="41.037333333333329"/>
    <m/>
    <n v="8.8000000000000007"/>
    <m/>
    <n v="49.837333333333333"/>
    <n v="119.19468055555558"/>
    <m/>
    <n v="440"/>
  </r>
  <r>
    <n v="14"/>
    <n v="2024"/>
    <s v="Auction"/>
    <s v="VROLIJK BLOEMEN"/>
    <s v="VROLIJK BLOEMEN"/>
    <x v="55"/>
    <s v="Grandiflora Roses"/>
    <s v="100CM"/>
    <n v="1"/>
    <n v="12"/>
    <n v="320"/>
    <n v="0.47"/>
    <n v="150.4"/>
    <s v="EUR"/>
    <m/>
    <m/>
    <x v="14"/>
    <n v="-80"/>
    <x v="0"/>
    <x v="4"/>
    <n v="400"/>
    <n v="0.66400000000000003"/>
    <n v="265.60000000000002"/>
    <n v="-19.061805555555541"/>
    <n v="246.53819444444449"/>
    <x v="14"/>
    <n v="80"/>
    <m/>
    <n v="435844"/>
    <n v="41.037333333333329"/>
    <m/>
    <n v="8"/>
    <m/>
    <n v="49.037333333333329"/>
    <n v="197.50086111111116"/>
    <m/>
    <n v="400"/>
  </r>
  <r>
    <n v="14"/>
    <n v="2024"/>
    <s v="Auction"/>
    <s v="VROLIJK BLOEMEN"/>
    <s v="VROLIJK BLOEMEN"/>
    <x v="55"/>
    <s v="Polyantha Roses"/>
    <s v="50CM"/>
    <n v="1"/>
    <n v="1.3333333333333333"/>
    <n v="40"/>
    <n v="0.42"/>
    <n v="16.8"/>
    <s v="EUR"/>
    <m/>
    <m/>
    <x v="14"/>
    <n v="0"/>
    <x v="3"/>
    <x v="5"/>
    <n v="40"/>
    <n v="0.52"/>
    <n v="20.8"/>
    <n v="-1.906180555555554"/>
    <n v="18.893819444444446"/>
    <x v="14"/>
    <n v="0"/>
    <m/>
    <n v="435844"/>
    <n v="4.5597037037037031"/>
    <m/>
    <n v="0.8"/>
    <m/>
    <n v="5.359703703703703"/>
    <n v="13.534115740740743"/>
    <m/>
    <n v="40"/>
  </r>
  <r>
    <n v="14"/>
    <n v="2024"/>
    <s v="Auction"/>
    <s v="VROLIJK BLOEMEN"/>
    <s v="VROLIJK BLOEMEN"/>
    <x v="55"/>
    <s v="Polyantha Roses"/>
    <s v="60CM"/>
    <m/>
    <n v="10.666666666666666"/>
    <n v="320"/>
    <n v="0.52"/>
    <n v="166.4"/>
    <s v="EUR"/>
    <m/>
    <m/>
    <x v="14"/>
    <n v="0"/>
    <x v="3"/>
    <x v="0"/>
    <n v="320"/>
    <n v="0.63500000000000001"/>
    <n v="203.2"/>
    <n v="-15.249444444444432"/>
    <n v="187.95055555555555"/>
    <x v="14"/>
    <n v="0"/>
    <m/>
    <n v="435844"/>
    <n v="36.477629629629625"/>
    <m/>
    <n v="6.4"/>
    <m/>
    <n v="42.877629629629624"/>
    <n v="145.07292592592592"/>
    <m/>
    <n v="320"/>
  </r>
  <r>
    <n v="14"/>
    <n v="2024"/>
    <s v="Auction"/>
    <s v="VROLIJK BLOEMEN"/>
    <s v="VROLIJK BLOEMEN"/>
    <x v="55"/>
    <s v="English Roses"/>
    <s v="50CM"/>
    <n v="1"/>
    <n v="10"/>
    <n v="400"/>
    <n v="0.38"/>
    <n v="152"/>
    <s v="EUR"/>
    <m/>
    <m/>
    <x v="14"/>
    <n v="0"/>
    <x v="1"/>
    <x v="5"/>
    <n v="400"/>
    <n v="0.40799999999999997"/>
    <n v="163.19999999999999"/>
    <n v="-19.061805555555541"/>
    <n v="144.13819444444445"/>
    <x v="14"/>
    <n v="0"/>
    <m/>
    <n v="435844"/>
    <n v="34.197777777777773"/>
    <m/>
    <n v="8"/>
    <m/>
    <n v="42.197777777777773"/>
    <n v="101.94041666666668"/>
    <m/>
    <n v="400"/>
  </r>
  <r>
    <n v="14"/>
    <n v="2024"/>
    <s v="Auction"/>
    <s v="VROLIJK BLOEMEN"/>
    <s v="VROLIJK BLOEMEN"/>
    <x v="55"/>
    <s v="English Roses"/>
    <s v="60CM"/>
    <m/>
    <n v="2"/>
    <n v="80"/>
    <n v="0.47"/>
    <n v="37.6"/>
    <s v="EUR"/>
    <m/>
    <m/>
    <x v="14"/>
    <n v="0"/>
    <x v="1"/>
    <x v="0"/>
    <n v="80"/>
    <n v="0.55999999999999994"/>
    <n v="44.8"/>
    <n v="-3.812361111111108"/>
    <n v="40.987638888888888"/>
    <x v="14"/>
    <n v="0"/>
    <m/>
    <n v="435844"/>
    <n v="6.8395555555555552"/>
    <m/>
    <n v="1.6"/>
    <m/>
    <n v="8.4395555555555557"/>
    <n v="32.548083333333331"/>
    <m/>
    <n v="80"/>
  </r>
  <r>
    <n v="14"/>
    <n v="2024"/>
    <s v="Auction"/>
    <s v="VROLIJK BLOEMEN"/>
    <s v="VROLIJK BLOEMEN"/>
    <x v="55"/>
    <s v="Grandiflora Roses"/>
    <s v="90CM"/>
    <n v="1"/>
    <n v="8.5714285714285712"/>
    <n v="200"/>
    <n v="0.38"/>
    <n v="76"/>
    <s v="EUR"/>
    <m/>
    <m/>
    <x v="14"/>
    <n v="0"/>
    <x v="0"/>
    <x v="3"/>
    <n v="200"/>
    <n v="0.54600000000000004"/>
    <n v="109.2"/>
    <n v="-9.5309027777777704"/>
    <n v="99.669097222222234"/>
    <x v="14"/>
    <n v="0"/>
    <m/>
    <n v="435844"/>
    <n v="29.312380952380948"/>
    <m/>
    <n v="4"/>
    <m/>
    <n v="33.312380952380948"/>
    <n v="66.356716269841286"/>
    <m/>
    <n v="200"/>
  </r>
  <r>
    <n v="14"/>
    <n v="2024"/>
    <s v="Auction"/>
    <s v="VROLIJK BLOEMEN"/>
    <s v="VROLIJK BLOEMEN"/>
    <x v="55"/>
    <s v="Grandiflora Roses"/>
    <s v="100CM"/>
    <m/>
    <n v="3.4285714285714284"/>
    <n v="80"/>
    <n v="0.47"/>
    <n v="37.6"/>
    <s v="EUR"/>
    <m/>
    <m/>
    <x v="14"/>
    <n v="80"/>
    <x v="0"/>
    <x v="4"/>
    <m/>
    <m/>
    <n v="0"/>
    <n v="0"/>
    <n v="0"/>
    <x v="14"/>
    <n v="-80"/>
    <m/>
    <n v="435844"/>
    <n v="11.724952380952379"/>
    <m/>
    <n v="0"/>
    <m/>
    <n v="11.724952380952379"/>
    <n v="-11.724952380952379"/>
    <m/>
    <n v="0"/>
  </r>
  <r>
    <n v="14"/>
    <n v="2024"/>
    <s v="Auction"/>
    <s v="VROLIJK BLOEMEN"/>
    <s v="VROLIJK BLOEMEN"/>
    <x v="55"/>
    <s v="Floribunda Roses"/>
    <s v="60CM"/>
    <n v="1"/>
    <n v="7.764705882352942"/>
    <n v="440"/>
    <n v="0.47"/>
    <n v="206.8"/>
    <s v="EUR"/>
    <m/>
    <m/>
    <x v="14"/>
    <n v="440"/>
    <x v="2"/>
    <x v="0"/>
    <m/>
    <m/>
    <n v="0"/>
    <n v="0"/>
    <n v="0"/>
    <x v="14"/>
    <n v="-440"/>
    <m/>
    <n v="435844"/>
    <n v="26.553568627450982"/>
    <m/>
    <n v="0"/>
    <m/>
    <n v="26.553568627450982"/>
    <n v="-26.553568627450982"/>
    <m/>
    <n v="0"/>
  </r>
  <r>
    <n v="14"/>
    <n v="2024"/>
    <s v="Auction"/>
    <s v="VROLIJK BLOEMEN"/>
    <s v="VROLIJK BLOEMEN"/>
    <x v="55"/>
    <s v="Floribunda Roses"/>
    <s v="50CM"/>
    <m/>
    <n v="4.2352941176470589"/>
    <n v="240"/>
    <n v="0.38"/>
    <n v="91.2"/>
    <s v="EUR"/>
    <m/>
    <m/>
    <x v="14"/>
    <n v="0"/>
    <x v="2"/>
    <x v="5"/>
    <n v="240"/>
    <n v="0.53833333333333333"/>
    <n v="129.19999999999999"/>
    <n v="-11.437083333333325"/>
    <n v="117.76291666666667"/>
    <x v="14"/>
    <n v="0"/>
    <m/>
    <n v="435844"/>
    <n v="14.483764705882351"/>
    <m/>
    <n v="4.8"/>
    <m/>
    <n v="19.283764705882351"/>
    <n v="98.479151960784321"/>
    <m/>
    <n v="240"/>
  </r>
  <r>
    <n v="15"/>
    <n v="2024"/>
    <s v="Auction"/>
    <s v="VROLIJK BLOEMEN"/>
    <s v="VROLIJK BLOEMEN"/>
    <x v="56"/>
    <s v="English Roses"/>
    <s v="60CM"/>
    <n v="1"/>
    <n v="12"/>
    <n v="480"/>
    <n v="0.47"/>
    <n v="225.6"/>
    <s v="EUR"/>
    <m/>
    <m/>
    <x v="14"/>
    <n v="-120"/>
    <x v="1"/>
    <x v="0"/>
    <n v="600"/>
    <n v="0.61733333333333329"/>
    <n v="370.4"/>
    <n v="-25.161538461538491"/>
    <n v="345.23846153846148"/>
    <x v="14"/>
    <n v="120"/>
    <m/>
    <n v="434898"/>
    <n v="35.378181818181822"/>
    <m/>
    <n v="12"/>
    <m/>
    <n v="47.378181818181822"/>
    <n v="297.86027972027966"/>
    <m/>
    <n v="600"/>
  </r>
  <r>
    <n v="15"/>
    <n v="2024"/>
    <s v="Auction"/>
    <s v="VROLIJK BLOEMEN"/>
    <s v="VROLIJK BLOEMEN"/>
    <x v="56"/>
    <s v="English Roses"/>
    <s v="90CM"/>
    <n v="1"/>
    <n v="12"/>
    <n v="240"/>
    <n v="0.75"/>
    <n v="180"/>
    <s v="EUR"/>
    <m/>
    <m/>
    <x v="14"/>
    <n v="0"/>
    <x v="1"/>
    <x v="3"/>
    <n v="240"/>
    <n v="0.98"/>
    <n v="235.2"/>
    <n v="-10.064615384615395"/>
    <n v="225.1353846153846"/>
    <x v="14"/>
    <n v="0"/>
    <m/>
    <n v="434898"/>
    <n v="35.378181818181822"/>
    <m/>
    <n v="4.8"/>
    <m/>
    <n v="40.17818181818182"/>
    <n v="184.95720279720277"/>
    <m/>
    <n v="240"/>
  </r>
  <r>
    <n v="15"/>
    <n v="2024"/>
    <s v="Auction"/>
    <s v="VROLIJK BLOEMEN"/>
    <s v="VROLIJK BLOEMEN"/>
    <x v="56"/>
    <s v="Grandiflora Roses"/>
    <s v="70CM"/>
    <n v="1"/>
    <n v="12"/>
    <n v="520"/>
    <n v="0.28000000000000003"/>
    <n v="145.6"/>
    <s v="EUR"/>
    <m/>
    <m/>
    <x v="14"/>
    <n v="0"/>
    <x v="0"/>
    <x v="1"/>
    <n v="520"/>
    <n v="0.19"/>
    <n v="98.8"/>
    <n v="-21.80666666666669"/>
    <n v="76.993333333333311"/>
    <x v="14"/>
    <n v="0"/>
    <m/>
    <n v="434898"/>
    <n v="35.378181818181822"/>
    <m/>
    <n v="10.4"/>
    <m/>
    <n v="45.778181818181821"/>
    <n v="31.21515151515149"/>
    <m/>
    <n v="520"/>
  </r>
  <r>
    <n v="15"/>
    <n v="2024"/>
    <s v="Auction"/>
    <s v="VROLIJK BLOEMEN"/>
    <s v="VROLIJK BLOEMEN"/>
    <x v="56"/>
    <s v="Grandiflora Roses"/>
    <s v="80CM"/>
    <n v="1"/>
    <n v="12"/>
    <n v="480"/>
    <n v="0.33"/>
    <n v="158.4"/>
    <s v="EUR"/>
    <m/>
    <m/>
    <x v="14"/>
    <n v="-120"/>
    <x v="0"/>
    <x v="2"/>
    <n v="600"/>
    <n v="0.21466666666666667"/>
    <n v="128.80000000000001"/>
    <n v="-25.161538461538491"/>
    <n v="103.63846153846151"/>
    <x v="14"/>
    <n v="120"/>
    <m/>
    <n v="434898"/>
    <n v="35.378181818181822"/>
    <m/>
    <n v="12"/>
    <m/>
    <n v="47.378181818181822"/>
    <n v="56.260279720279691"/>
    <m/>
    <n v="600"/>
  </r>
  <r>
    <n v="15"/>
    <n v="2024"/>
    <s v="Auction"/>
    <s v="VROLIJK BLOEMEN"/>
    <s v="VROLIJK BLOEMEN"/>
    <x v="56"/>
    <s v="Floribunda Roses"/>
    <s v="60CM"/>
    <n v="2"/>
    <n v="24"/>
    <n v="1040"/>
    <n v="0.47"/>
    <n v="488.8"/>
    <s v="EUR"/>
    <m/>
    <m/>
    <x v="14"/>
    <n v="0"/>
    <x v="2"/>
    <x v="0"/>
    <n v="1040"/>
    <n v="0.6711538461538461"/>
    <n v="698"/>
    <n v="-43.613333333333379"/>
    <n v="654.38666666666666"/>
    <x v="14"/>
    <n v="0"/>
    <m/>
    <n v="434898"/>
    <n v="70.756363636363645"/>
    <m/>
    <n v="20.8"/>
    <m/>
    <n v="91.556363636363642"/>
    <n v="562.83030303030296"/>
    <m/>
    <n v="1040"/>
  </r>
  <r>
    <n v="15"/>
    <n v="2024"/>
    <s v="Auction"/>
    <s v="VROLIJK BLOEMEN"/>
    <s v="VROLIJK BLOEMEN"/>
    <x v="56"/>
    <s v="Floribunda Roses"/>
    <s v="50CM"/>
    <n v="1"/>
    <n v="12"/>
    <n v="760"/>
    <n v="0.38"/>
    <n v="288.8"/>
    <s v="EUR"/>
    <m/>
    <m/>
    <x v="14"/>
    <n v="-40"/>
    <x v="2"/>
    <x v="5"/>
    <n v="800"/>
    <n v="0.44850000000000001"/>
    <n v="358.8"/>
    <n v="-33.548717948717986"/>
    <n v="325.25128205128203"/>
    <x v="14"/>
    <n v="40"/>
    <m/>
    <n v="434898"/>
    <n v="35.378181818181822"/>
    <m/>
    <n v="16"/>
    <m/>
    <n v="51.378181818181822"/>
    <n v="273.87310023310022"/>
    <m/>
    <n v="800"/>
  </r>
  <r>
    <n v="15"/>
    <n v="2024"/>
    <s v="Auction"/>
    <s v="VROLIJK BLOEMEN"/>
    <s v="VROLIJK BLOEMEN"/>
    <x v="56"/>
    <s v="Grandiflora Roses"/>
    <s v="90CM"/>
    <n v="1"/>
    <n v="7.6363636363636367"/>
    <n v="280"/>
    <n v="0.38"/>
    <n v="106.4"/>
    <s v="EUR"/>
    <m/>
    <m/>
    <x v="14"/>
    <n v="0"/>
    <x v="0"/>
    <x v="3"/>
    <n v="280"/>
    <n v="0.22"/>
    <n v="61.6"/>
    <n v="-11.742051282051294"/>
    <n v="49.857948717948709"/>
    <x v="14"/>
    <n v="0"/>
    <m/>
    <n v="434898"/>
    <n v="22.513388429752069"/>
    <m/>
    <n v="5.6000000000000005"/>
    <m/>
    <n v="28.113388429752071"/>
    <n v="21.744560288196638"/>
    <m/>
    <n v="280"/>
  </r>
  <r>
    <n v="15"/>
    <n v="2024"/>
    <s v="Auction"/>
    <s v="VROLIJK BLOEMEN"/>
    <s v="VROLIJK BLOEMEN"/>
    <x v="56"/>
    <s v="Grandiflora Roses"/>
    <s v="100CM"/>
    <m/>
    <n v="1.0909090909090908"/>
    <n v="40"/>
    <n v="0.47"/>
    <n v="18.8"/>
    <s v="EUR"/>
    <m/>
    <m/>
    <x v="14"/>
    <n v="0"/>
    <x v="0"/>
    <x v="4"/>
    <n v="40"/>
    <n v="0.26"/>
    <n v="10.4"/>
    <n v="-1.6774358974358994"/>
    <n v="8.7225641025641014"/>
    <x v="14"/>
    <n v="0"/>
    <m/>
    <n v="434898"/>
    <n v="3.2161983471074382"/>
    <m/>
    <n v="0.8"/>
    <m/>
    <n v="4.0161983471074381"/>
    <n v="4.7063657554566634"/>
    <m/>
    <n v="40"/>
  </r>
  <r>
    <n v="15"/>
    <n v="2024"/>
    <s v="Auction"/>
    <s v="VROLIJK BLOEMEN"/>
    <s v="VROLIJK BLOEMEN"/>
    <x v="56"/>
    <s v="Grandiflora Roses"/>
    <s v="80CM"/>
    <m/>
    <n v="3.2727272727272725"/>
    <n v="120"/>
    <n v="0.33"/>
    <n v="39.6"/>
    <s v="EUR"/>
    <m/>
    <m/>
    <x v="14"/>
    <n v="120"/>
    <x v="0"/>
    <x v="2"/>
    <m/>
    <m/>
    <n v="0"/>
    <n v="0"/>
    <n v="0"/>
    <x v="14"/>
    <n v="-120"/>
    <m/>
    <n v="434898"/>
    <n v="9.6485950413223129"/>
    <m/>
    <n v="0"/>
    <m/>
    <n v="9.6485950413223129"/>
    <n v="-9.6485950413223129"/>
    <m/>
    <n v="0"/>
  </r>
  <r>
    <n v="15"/>
    <n v="2024"/>
    <s v="Auction"/>
    <s v="VROLIJK BLOEMEN"/>
    <s v="VROLIJK BLOEMEN"/>
    <x v="56"/>
    <s v="Floribunda Roses"/>
    <s v="90CM"/>
    <n v="1"/>
    <n v="7.1999999999999993"/>
    <n v="120"/>
    <n v="0.75"/>
    <n v="90"/>
    <s v="EUR"/>
    <m/>
    <m/>
    <x v="14"/>
    <n v="0"/>
    <x v="2"/>
    <x v="3"/>
    <n v="120"/>
    <n v="0.6166666666666667"/>
    <n v="74"/>
    <n v="-5.0323076923076977"/>
    <n v="68.967692307692303"/>
    <x v="14"/>
    <n v="0"/>
    <m/>
    <n v="434898"/>
    <n v="21.226909090909093"/>
    <m/>
    <n v="2.4"/>
    <m/>
    <n v="23.626909090909091"/>
    <n v="45.340783216783208"/>
    <m/>
    <n v="120"/>
  </r>
  <r>
    <n v="15"/>
    <n v="2024"/>
    <s v="Auction"/>
    <s v="VROLIJK BLOEMEN"/>
    <s v="VROLIJK BLOEMEN"/>
    <x v="56"/>
    <s v="Floribunda Roses"/>
    <s v="100CM"/>
    <m/>
    <n v="4.8000000000000007"/>
    <n v="80"/>
    <n v="0.94"/>
    <n v="75.2"/>
    <s v="EUR"/>
    <m/>
    <m/>
    <x v="14"/>
    <n v="0"/>
    <x v="2"/>
    <x v="4"/>
    <n v="80"/>
    <n v="1.0150000000000001"/>
    <n v="81.200000000000017"/>
    <n v="-3.3548717948717988"/>
    <n v="77.845128205128219"/>
    <x v="14"/>
    <n v="0"/>
    <m/>
    <n v="434898"/>
    <n v="14.15127272727273"/>
    <m/>
    <n v="1.6"/>
    <m/>
    <n v="15.751272727272729"/>
    <n v="62.093855477855492"/>
    <m/>
    <n v="80"/>
  </r>
  <r>
    <n v="15"/>
    <n v="2024"/>
    <s v="Auction"/>
    <s v="VROLIJK BLOEMEN"/>
    <s v="VROLIJK BLOEMEN"/>
    <x v="56"/>
    <s v="English Roses"/>
    <s v="50CM"/>
    <n v="1"/>
    <n v="9"/>
    <n v="360"/>
    <n v="0.38"/>
    <n v="136.80000000000001"/>
    <s v="EUR"/>
    <m/>
    <m/>
    <x v="14"/>
    <n v="0"/>
    <x v="1"/>
    <x v="5"/>
    <n v="360"/>
    <n v="0.38"/>
    <n v="136.80000000000001"/>
    <n v="-15.096923076923094"/>
    <n v="121.70307692307692"/>
    <x v="14"/>
    <n v="0"/>
    <m/>
    <n v="434898"/>
    <n v="26.533636363636365"/>
    <m/>
    <n v="7.2"/>
    <m/>
    <n v="33.733636363636364"/>
    <n v="87.969440559440557"/>
    <m/>
    <n v="360"/>
  </r>
  <r>
    <n v="15"/>
    <n v="2024"/>
    <s v="Auction"/>
    <s v="VROLIJK BLOEMEN"/>
    <s v="VROLIJK BLOEMEN"/>
    <x v="56"/>
    <s v="English Roses"/>
    <s v="60CM"/>
    <m/>
    <n v="3"/>
    <n v="120"/>
    <n v="0.47"/>
    <n v="56.4"/>
    <s v="EUR"/>
    <m/>
    <m/>
    <x v="14"/>
    <n v="120"/>
    <x v="1"/>
    <x v="0"/>
    <m/>
    <m/>
    <n v="0"/>
    <n v="0"/>
    <n v="0"/>
    <x v="14"/>
    <n v="-120"/>
    <m/>
    <n v="434898"/>
    <n v="8.8445454545454556"/>
    <m/>
    <n v="0"/>
    <m/>
    <n v="8.8445454545454556"/>
    <n v="-8.8445454545454556"/>
    <m/>
    <n v="0"/>
  </r>
  <r>
    <n v="15"/>
    <n v="2024"/>
    <s v="Auction"/>
    <s v="VROLIJK BLOEMEN"/>
    <s v="VROLIJK BLOEMEN"/>
    <x v="56"/>
    <s v="Floribunda Roses"/>
    <s v="90CM"/>
    <n v="1"/>
    <n v="3"/>
    <n v="40"/>
    <n v="0.75"/>
    <n v="30"/>
    <s v="EUR"/>
    <m/>
    <m/>
    <x v="14"/>
    <n v="40"/>
    <x v="2"/>
    <x v="3"/>
    <m/>
    <m/>
    <n v="0"/>
    <n v="0"/>
    <n v="0"/>
    <x v="14"/>
    <n v="-40"/>
    <m/>
    <n v="434898"/>
    <n v="8.8445454545454556"/>
    <m/>
    <n v="0"/>
    <m/>
    <n v="8.8445454545454556"/>
    <n v="-8.8445454545454556"/>
    <m/>
    <n v="0"/>
  </r>
  <r>
    <n v="15"/>
    <n v="2024"/>
    <s v="Auction"/>
    <s v="VROLIJK BLOEMEN"/>
    <s v="VROLIJK BLOEMEN"/>
    <x v="56"/>
    <s v="Grandiflora Roses"/>
    <s v="90CM"/>
    <m/>
    <n v="3"/>
    <n v="40"/>
    <n v="0.38"/>
    <n v="15.2"/>
    <s v="EUR"/>
    <m/>
    <m/>
    <x v="14"/>
    <n v="40"/>
    <x v="0"/>
    <x v="3"/>
    <m/>
    <m/>
    <n v="0"/>
    <n v="0"/>
    <n v="0"/>
    <x v="14"/>
    <n v="-40"/>
    <m/>
    <n v="434898"/>
    <n v="8.8445454545454556"/>
    <m/>
    <n v="0"/>
    <m/>
    <n v="8.8445454545454556"/>
    <n v="-8.8445454545454556"/>
    <m/>
    <n v="0"/>
  </r>
  <r>
    <n v="15"/>
    <n v="2024"/>
    <s v="Auction"/>
    <s v="VROLIJK BLOEMEN"/>
    <s v="VROLIJK BLOEMEN"/>
    <x v="56"/>
    <s v="English Roses"/>
    <s v="90CM"/>
    <m/>
    <n v="3"/>
    <n v="40"/>
    <n v="0.75"/>
    <n v="30"/>
    <s v="EUR"/>
    <m/>
    <m/>
    <x v="14"/>
    <n v="40"/>
    <x v="1"/>
    <x v="3"/>
    <m/>
    <m/>
    <n v="0"/>
    <n v="0"/>
    <n v="0"/>
    <x v="14"/>
    <n v="-40"/>
    <m/>
    <n v="434898"/>
    <n v="8.8445454545454556"/>
    <m/>
    <n v="0"/>
    <m/>
    <n v="8.8445454545454556"/>
    <n v="-8.8445454545454556"/>
    <m/>
    <n v="0"/>
  </r>
  <r>
    <n v="15"/>
    <n v="2024"/>
    <s v="Auction"/>
    <s v="VROLIJK BLOEMEN"/>
    <s v="VROLIJK BLOEMEN"/>
    <x v="56"/>
    <s v="Polyantha Roses"/>
    <s v="90CM"/>
    <m/>
    <n v="3"/>
    <n v="40"/>
    <n v="0.85"/>
    <n v="34"/>
    <s v="EUR"/>
    <m/>
    <m/>
    <x v="14"/>
    <n v="40"/>
    <x v="3"/>
    <x v="3"/>
    <m/>
    <m/>
    <n v="0"/>
    <n v="0"/>
    <n v="0"/>
    <x v="14"/>
    <n v="-40"/>
    <m/>
    <n v="434898"/>
    <n v="8.8445454545454556"/>
    <m/>
    <n v="0"/>
    <m/>
    <n v="8.8445454545454556"/>
    <n v="-8.8445454545454556"/>
    <m/>
    <n v="0"/>
  </r>
  <r>
    <n v="15"/>
    <n v="2024"/>
    <s v="Auction"/>
    <s v="VROLIJK BLOEMEN"/>
    <s v="VROLIJK BLOEMEN"/>
    <x v="57"/>
    <s v="Floribunda Roses"/>
    <s v="50CM"/>
    <n v="2"/>
    <n v="24"/>
    <n v="1520"/>
    <n v="0.38"/>
    <n v="577.6"/>
    <s v="EUR"/>
    <m/>
    <m/>
    <x v="14"/>
    <n v="0"/>
    <x v="2"/>
    <x v="5"/>
    <n v="1520"/>
    <n v="0.44763157894736838"/>
    <n v="680.4"/>
    <n v="-72.514604651162912"/>
    <n v="607.88539534883705"/>
    <x v="14"/>
    <n v="0"/>
    <m/>
    <s v="F083668"/>
    <n v="89.106666666666669"/>
    <m/>
    <n v="30.400000000000002"/>
    <m/>
    <n v="119.50666666666667"/>
    <n v="488.37872868217039"/>
    <m/>
    <n v="1520"/>
  </r>
  <r>
    <n v="15"/>
    <n v="2024"/>
    <s v="Auction"/>
    <s v="VROLIJK BLOEMEN"/>
    <s v="VROLIJK BLOEMEN"/>
    <x v="57"/>
    <s v="Floribunda Roses"/>
    <s v="60CM"/>
    <n v="2"/>
    <n v="24"/>
    <n v="1040"/>
    <n v="0.47"/>
    <n v="488.8"/>
    <s v="EUR"/>
    <m/>
    <m/>
    <x v="14"/>
    <n v="-200"/>
    <x v="2"/>
    <x v="0"/>
    <n v="1240"/>
    <n v="0.64129032258064522"/>
    <n v="795.2"/>
    <n v="-59.156651162790794"/>
    <n v="736.04334883720924"/>
    <x v="14"/>
    <n v="200"/>
    <m/>
    <s v="F083668"/>
    <n v="89.106666666666669"/>
    <m/>
    <n v="24.8"/>
    <m/>
    <n v="113.90666666666667"/>
    <n v="622.1366821705426"/>
    <m/>
    <n v="1240"/>
  </r>
  <r>
    <n v="15"/>
    <n v="2024"/>
    <s v="Auction"/>
    <s v="VROLIJK BLOEMEN"/>
    <s v="VROLIJK BLOEMEN"/>
    <x v="57"/>
    <s v="Floribunda Roses"/>
    <s v="70CM"/>
    <n v="1"/>
    <n v="12"/>
    <n v="400"/>
    <n v="0.52"/>
    <n v="208"/>
    <s v="EUR"/>
    <m/>
    <m/>
    <x v="14"/>
    <n v="-120"/>
    <x v="2"/>
    <x v="1"/>
    <n v="520"/>
    <n v="0.7"/>
    <n v="364"/>
    <n v="-24.807627906976784"/>
    <n v="339.19237209302321"/>
    <x v="14"/>
    <n v="120"/>
    <m/>
    <s v="F083668"/>
    <n v="44.553333333333335"/>
    <m/>
    <n v="10.4"/>
    <m/>
    <n v="54.953333333333333"/>
    <n v="284.23903875968989"/>
    <m/>
    <n v="520"/>
  </r>
  <r>
    <n v="15"/>
    <n v="2024"/>
    <s v="Auction"/>
    <s v="VROLIJK BLOEMEN"/>
    <s v="VROLIJK BLOEMEN"/>
    <x v="57"/>
    <s v="Floribunda Roses"/>
    <s v="100CM"/>
    <n v="1"/>
    <n v="12"/>
    <n v="200"/>
    <n v="0.94"/>
    <n v="188"/>
    <s v="EUR"/>
    <m/>
    <m/>
    <x v="14"/>
    <n v="-40"/>
    <x v="2"/>
    <x v="4"/>
    <n v="240"/>
    <n v="0.89666666666666661"/>
    <n v="215.2"/>
    <n v="-11.449674418604669"/>
    <n v="203.75032558139532"/>
    <x v="14"/>
    <n v="40"/>
    <m/>
    <s v="F083668"/>
    <n v="44.553333333333335"/>
    <m/>
    <n v="4.8"/>
    <m/>
    <n v="49.353333333333332"/>
    <n v="154.39699224806199"/>
    <m/>
    <n v="240"/>
  </r>
  <r>
    <n v="15"/>
    <n v="2024"/>
    <s v="Auction"/>
    <s v="VROLIJK BLOEMEN"/>
    <s v="VROLIJK BLOEMEN"/>
    <x v="57"/>
    <s v="Polyantha Roses"/>
    <s v="100CM"/>
    <n v="1"/>
    <n v="12"/>
    <n v="200"/>
    <n v="1.04"/>
    <n v="208"/>
    <s v="EUR"/>
    <m/>
    <m/>
    <x v="14"/>
    <n v="0"/>
    <x v="3"/>
    <x v="4"/>
    <n v="200"/>
    <n v="1.28"/>
    <n v="256"/>
    <n v="-9.5413953488372254"/>
    <n v="246.45860465116277"/>
    <x v="14"/>
    <n v="0"/>
    <m/>
    <s v="F083668"/>
    <n v="44.553333333333335"/>
    <m/>
    <n v="4"/>
    <m/>
    <n v="48.553333333333335"/>
    <n v="197.90527131782943"/>
    <m/>
    <n v="200"/>
  </r>
  <r>
    <n v="15"/>
    <n v="2024"/>
    <s v="Auction"/>
    <s v="VROLIJK BLOEMEN"/>
    <s v="VROLIJK BLOEMEN"/>
    <x v="57"/>
    <s v="English Roses"/>
    <s v="60CM"/>
    <n v="1"/>
    <n v="12"/>
    <n v="480"/>
    <n v="0.47"/>
    <n v="225.6"/>
    <s v="EUR"/>
    <m/>
    <m/>
    <x v="14"/>
    <n v="-320"/>
    <x v="1"/>
    <x v="0"/>
    <n v="800"/>
    <n v="0.5645"/>
    <n v="451.6"/>
    <n v="-38.165581395348902"/>
    <n v="413.43441860465111"/>
    <x v="14"/>
    <n v="320"/>
    <m/>
    <s v="F083668"/>
    <n v="44.553333333333335"/>
    <m/>
    <n v="16"/>
    <m/>
    <n v="60.553333333333335"/>
    <n v="352.88108527131777"/>
    <m/>
    <n v="800"/>
  </r>
  <r>
    <n v="15"/>
    <n v="2024"/>
    <s v="Auction"/>
    <s v="VROLIJK BLOEMEN"/>
    <s v="VROLIJK BLOEMEN"/>
    <x v="57"/>
    <s v="English Roses"/>
    <s v="70CM"/>
    <n v="1"/>
    <n v="12"/>
    <n v="400"/>
    <n v="0.52"/>
    <n v="208"/>
    <s v="EUR"/>
    <m/>
    <m/>
    <x v="14"/>
    <n v="-80"/>
    <x v="1"/>
    <x v="1"/>
    <n v="480"/>
    <n v="0.63"/>
    <n v="302.39999999999998"/>
    <n v="-22.899348837209338"/>
    <n v="279.50065116279063"/>
    <x v="14"/>
    <n v="80"/>
    <m/>
    <s v="F083668"/>
    <n v="44.553333333333335"/>
    <m/>
    <n v="9.6"/>
    <m/>
    <n v="54.153333333333336"/>
    <n v="225.3473178294573"/>
    <m/>
    <n v="480"/>
  </r>
  <r>
    <n v="15"/>
    <n v="2024"/>
    <s v="Auction"/>
    <s v="VROLIJK BLOEMEN"/>
    <s v="VROLIJK BLOEMEN"/>
    <x v="57"/>
    <s v="English Roses"/>
    <s v="90CM"/>
    <n v="1"/>
    <n v="12"/>
    <n v="200"/>
    <n v="0.75"/>
    <n v="150"/>
    <s v="EUR"/>
    <m/>
    <m/>
    <x v="14"/>
    <n v="0"/>
    <x v="1"/>
    <x v="3"/>
    <n v="200"/>
    <n v="0.63"/>
    <n v="126"/>
    <n v="-9.5413953488372254"/>
    <n v="116.45860465116277"/>
    <x v="14"/>
    <n v="0"/>
    <m/>
    <s v="F083668"/>
    <n v="44.553333333333335"/>
    <m/>
    <n v="4"/>
    <m/>
    <n v="48.553333333333335"/>
    <n v="67.905271317829431"/>
    <m/>
    <n v="200"/>
  </r>
  <r>
    <n v="15"/>
    <n v="2024"/>
    <s v="Auction"/>
    <s v="VROLIJK BLOEMEN"/>
    <s v="VROLIJK BLOEMEN"/>
    <x v="57"/>
    <s v="English Roses"/>
    <s v="100CM"/>
    <n v="2"/>
    <n v="24"/>
    <n v="400"/>
    <n v="0.94"/>
    <n v="376"/>
    <s v="EUR"/>
    <m/>
    <m/>
    <x v="14"/>
    <n v="0"/>
    <x v="1"/>
    <x v="4"/>
    <n v="400"/>
    <n v="0.79700000000000004"/>
    <n v="318.8"/>
    <n v="-19.082790697674451"/>
    <n v="299.71720930232556"/>
    <x v="14"/>
    <n v="0"/>
    <m/>
    <s v="F083668"/>
    <n v="89.106666666666669"/>
    <m/>
    <n v="8"/>
    <m/>
    <n v="97.106666666666669"/>
    <n v="202.61054263565887"/>
    <m/>
    <n v="400"/>
  </r>
  <r>
    <n v="15"/>
    <n v="2024"/>
    <s v="Auction"/>
    <s v="VROLIJK BLOEMEN"/>
    <s v="VROLIJK BLOEMEN"/>
    <x v="57"/>
    <s v="Grandiflora Roses"/>
    <s v="70CM"/>
    <n v="1"/>
    <n v="12"/>
    <n v="520"/>
    <n v="0.28000000000000003"/>
    <n v="145.6"/>
    <s v="EUR"/>
    <m/>
    <m/>
    <x v="14"/>
    <n v="0"/>
    <x v="0"/>
    <x v="1"/>
    <n v="520"/>
    <n v="0.36923076923076925"/>
    <n v="192"/>
    <n v="-24.807627906976784"/>
    <n v="167.19237209302321"/>
    <x v="14"/>
    <n v="0"/>
    <m/>
    <s v="F083668"/>
    <n v="44.553333333333335"/>
    <m/>
    <n v="10.4"/>
    <m/>
    <n v="54.953333333333333"/>
    <n v="112.23903875968988"/>
    <m/>
    <n v="520"/>
  </r>
  <r>
    <n v="15"/>
    <n v="2024"/>
    <s v="Auction"/>
    <s v="VROLIJK BLOEMEN"/>
    <s v="VROLIJK BLOEMEN"/>
    <x v="57"/>
    <s v="Grandiflora Roses"/>
    <s v="80CM"/>
    <n v="1"/>
    <n v="12"/>
    <n v="480"/>
    <n v="0.33"/>
    <n v="158.4"/>
    <s v="EUR"/>
    <m/>
    <m/>
    <x v="14"/>
    <n v="-40"/>
    <x v="0"/>
    <x v="2"/>
    <n v="520"/>
    <n v="0.39846153846153842"/>
    <n v="207.2"/>
    <n v="-24.807627906976784"/>
    <n v="182.3923720930232"/>
    <x v="14"/>
    <n v="40"/>
    <m/>
    <s v="F083668"/>
    <n v="44.553333333333335"/>
    <m/>
    <n v="10.4"/>
    <m/>
    <n v="54.953333333333333"/>
    <n v="127.43903875968986"/>
    <m/>
    <n v="520"/>
  </r>
  <r>
    <n v="15"/>
    <n v="2024"/>
    <s v="Auction"/>
    <s v="VROLIJK BLOEMEN"/>
    <s v="VROLIJK BLOEMEN"/>
    <x v="57"/>
    <s v="Grandiflora Roses"/>
    <s v="100CM"/>
    <n v="1"/>
    <n v="12"/>
    <n v="360"/>
    <n v="0.47"/>
    <n v="169.2"/>
    <s v="EUR"/>
    <m/>
    <m/>
    <x v="14"/>
    <n v="360"/>
    <x v="0"/>
    <x v="4"/>
    <m/>
    <m/>
    <n v="0"/>
    <n v="0"/>
    <n v="0"/>
    <x v="14"/>
    <n v="-360"/>
    <m/>
    <s v="F083668"/>
    <n v="44.553333333333335"/>
    <m/>
    <n v="0"/>
    <m/>
    <n v="44.553333333333335"/>
    <n v="-44.553333333333335"/>
    <m/>
    <n v="0"/>
  </r>
  <r>
    <n v="15"/>
    <n v="2024"/>
    <s v="Auction"/>
    <s v="VROLIJK BLOEMEN"/>
    <s v="VROLIJK BLOEMEN"/>
    <x v="57"/>
    <s v="Floribunda Roses"/>
    <s v="100CM"/>
    <n v="1"/>
    <n v="2"/>
    <n v="40"/>
    <n v="0.94"/>
    <n v="37.6"/>
    <s v="EUR"/>
    <m/>
    <m/>
    <x v="14"/>
    <n v="40"/>
    <x v="2"/>
    <x v="4"/>
    <m/>
    <m/>
    <n v="0"/>
    <n v="0"/>
    <n v="0"/>
    <x v="14"/>
    <n v="-40"/>
    <m/>
    <s v="F083668"/>
    <n v="7.4255555555555555"/>
    <m/>
    <n v="0"/>
    <m/>
    <n v="7.4255555555555555"/>
    <n v="-7.4255555555555555"/>
    <m/>
    <n v="0"/>
  </r>
  <r>
    <n v="15"/>
    <n v="2024"/>
    <s v="Auction"/>
    <s v="VROLIJK BLOEMEN"/>
    <s v="VROLIJK BLOEMEN"/>
    <x v="57"/>
    <s v="Floribunda Roses"/>
    <s v="90CM"/>
    <m/>
    <n v="10"/>
    <n v="200"/>
    <n v="0.75"/>
    <n v="150"/>
    <s v="EUR"/>
    <m/>
    <m/>
    <x v="14"/>
    <n v="0"/>
    <x v="2"/>
    <x v="3"/>
    <n v="200"/>
    <n v="0.82"/>
    <n v="164"/>
    <n v="-9.5413953488372254"/>
    <n v="154.45860465116277"/>
    <x v="14"/>
    <n v="0"/>
    <m/>
    <s v="F083668"/>
    <n v="37.127777777777773"/>
    <m/>
    <n v="4"/>
    <m/>
    <n v="41.127777777777773"/>
    <n v="113.33082687338501"/>
    <m/>
    <n v="200"/>
  </r>
  <r>
    <n v="15"/>
    <n v="2024"/>
    <s v="Auction"/>
    <s v="VROLIJK BLOEMEN"/>
    <s v="VROLIJK BLOEMEN"/>
    <x v="57"/>
    <s v="English Roses"/>
    <s v="50CM"/>
    <n v="1"/>
    <n v="8"/>
    <n v="400"/>
    <n v="0.38"/>
    <n v="152"/>
    <s v="EUR"/>
    <m/>
    <m/>
    <x v="14"/>
    <n v="0"/>
    <x v="1"/>
    <x v="5"/>
    <n v="400"/>
    <n v="0.39"/>
    <n v="156"/>
    <n v="-19.082790697674451"/>
    <n v="136.91720930232555"/>
    <x v="14"/>
    <n v="0"/>
    <m/>
    <s v="F083668"/>
    <n v="29.702222222222222"/>
    <m/>
    <n v="8"/>
    <m/>
    <n v="37.702222222222218"/>
    <n v="99.214987080103327"/>
    <m/>
    <n v="400"/>
  </r>
  <r>
    <n v="15"/>
    <n v="2024"/>
    <s v="Auction"/>
    <s v="VROLIJK BLOEMEN"/>
    <s v="VROLIJK BLOEMEN"/>
    <x v="57"/>
    <s v="English Roses"/>
    <s v="80CM"/>
    <m/>
    <n v="4"/>
    <n v="200"/>
    <n v="0.56999999999999995"/>
    <n v="114"/>
    <s v="EUR"/>
    <m/>
    <m/>
    <x v="14"/>
    <n v="0"/>
    <x v="1"/>
    <x v="2"/>
    <n v="200"/>
    <n v="0.67200000000000004"/>
    <n v="134.4"/>
    <n v="-9.5413953488372254"/>
    <n v="124.85860465116278"/>
    <x v="14"/>
    <n v="0"/>
    <m/>
    <s v="F083668"/>
    <n v="14.851111111111111"/>
    <m/>
    <n v="4"/>
    <m/>
    <n v="18.851111111111109"/>
    <n v="106.00749354005167"/>
    <m/>
    <n v="200"/>
  </r>
  <r>
    <n v="15"/>
    <n v="2024"/>
    <s v="Auction"/>
    <s v="VROLIJK BLOEMEN"/>
    <s v="VROLIJK BLOEMEN"/>
    <x v="57"/>
    <s v="English Roses"/>
    <s v="70CM"/>
    <n v="1"/>
    <n v="2.4000000000000004"/>
    <n v="80"/>
    <n v="0.52"/>
    <n v="41.6"/>
    <s v="EUR"/>
    <m/>
    <m/>
    <x v="14"/>
    <n v="80"/>
    <x v="1"/>
    <x v="1"/>
    <m/>
    <m/>
    <n v="0"/>
    <n v="0"/>
    <n v="0"/>
    <x v="14"/>
    <n v="-80"/>
    <m/>
    <s v="F083668"/>
    <n v="8.9106666666666676"/>
    <m/>
    <n v="0"/>
    <m/>
    <n v="8.9106666666666676"/>
    <n v="-8.9106666666666676"/>
    <m/>
    <n v="0"/>
  </r>
  <r>
    <n v="15"/>
    <n v="2024"/>
    <s v="Auction"/>
    <s v="VROLIJK BLOEMEN"/>
    <s v="VROLIJK BLOEMEN"/>
    <x v="57"/>
    <s v="English Roses"/>
    <s v="60CM"/>
    <m/>
    <n v="9.6000000000000014"/>
    <n v="320"/>
    <n v="0.47"/>
    <n v="150.4"/>
    <s v="EUR"/>
    <m/>
    <m/>
    <x v="14"/>
    <n v="320"/>
    <x v="1"/>
    <x v="0"/>
    <m/>
    <m/>
    <n v="0"/>
    <n v="0"/>
    <n v="0"/>
    <x v="14"/>
    <n v="-320"/>
    <m/>
    <s v="F083668"/>
    <n v="35.64266666666667"/>
    <m/>
    <n v="0"/>
    <m/>
    <n v="35.64266666666667"/>
    <n v="-35.64266666666667"/>
    <m/>
    <n v="0"/>
  </r>
  <r>
    <n v="15"/>
    <n v="2024"/>
    <s v="Auction"/>
    <s v="VROLIJK BLOEMEN"/>
    <s v="VROLIJK BLOEMEN"/>
    <x v="57"/>
    <s v="Grandiflora Roses"/>
    <s v="80CM"/>
    <n v="1"/>
    <n v="1.2000000000000002"/>
    <n v="40"/>
    <n v="0.33"/>
    <n v="13.2"/>
    <s v="EUR"/>
    <m/>
    <m/>
    <x v="14"/>
    <n v="-320"/>
    <x v="0"/>
    <x v="2"/>
    <n v="360"/>
    <n v="0.52444444444444449"/>
    <n v="188.8"/>
    <n v="-17.174511627907002"/>
    <n v="171.625488372093"/>
    <x v="14"/>
    <n v="320"/>
    <m/>
    <s v="F083668"/>
    <n v="4.4553333333333338"/>
    <m/>
    <n v="7.2"/>
    <m/>
    <n v="11.655333333333335"/>
    <n v="159.97015503875966"/>
    <m/>
    <n v="360"/>
  </r>
  <r>
    <n v="15"/>
    <n v="2024"/>
    <s v="Auction"/>
    <s v="VROLIJK BLOEMEN"/>
    <s v="VROLIJK BLOEMEN"/>
    <x v="57"/>
    <s v="Grandiflora Roses"/>
    <s v="90CM"/>
    <m/>
    <n v="10.8"/>
    <n v="360"/>
    <n v="0.38"/>
    <n v="136.80000000000001"/>
    <s v="EUR"/>
    <m/>
    <m/>
    <x v="14"/>
    <n v="0"/>
    <x v="0"/>
    <x v="3"/>
    <n v="360"/>
    <n v="0.57666666666666666"/>
    <n v="207.6"/>
    <n v="-17.174511627907002"/>
    <n v="190.42548837209299"/>
    <x v="14"/>
    <n v="0"/>
    <m/>
    <s v="F083668"/>
    <n v="40.097999999999999"/>
    <m/>
    <n v="7.2"/>
    <m/>
    <n v="47.298000000000002"/>
    <n v="143.12748837209298"/>
    <m/>
    <n v="360"/>
  </r>
  <r>
    <n v="15"/>
    <n v="2024"/>
    <s v="Auction"/>
    <s v="VROLIJK BLOEMEN"/>
    <s v="VROLIJK BLOEMEN"/>
    <x v="57"/>
    <s v="Floribunda Roses"/>
    <s v="60CM"/>
    <n v="1"/>
    <n v="6"/>
    <n v="200"/>
    <n v="0.47"/>
    <n v="94"/>
    <s v="EUR"/>
    <m/>
    <m/>
    <x v="14"/>
    <n v="200"/>
    <x v="2"/>
    <x v="0"/>
    <m/>
    <m/>
    <n v="0"/>
    <n v="0"/>
    <n v="0"/>
    <x v="14"/>
    <n v="-200"/>
    <m/>
    <s v="F083668"/>
    <n v="22.276666666666667"/>
    <m/>
    <n v="0"/>
    <m/>
    <n v="22.276666666666667"/>
    <n v="-22.276666666666667"/>
    <m/>
    <n v="0"/>
  </r>
  <r>
    <n v="15"/>
    <n v="2024"/>
    <s v="Auction"/>
    <s v="VROLIJK BLOEMEN"/>
    <s v="VROLIJK BLOEMEN"/>
    <x v="57"/>
    <s v="Floribunda Roses"/>
    <s v="70CM"/>
    <m/>
    <n v="3.5999999999999996"/>
    <n v="120"/>
    <n v="0.52"/>
    <n v="62.4"/>
    <s v="EUR"/>
    <m/>
    <m/>
    <x v="14"/>
    <n v="120"/>
    <x v="2"/>
    <x v="1"/>
    <m/>
    <m/>
    <n v="0"/>
    <n v="0"/>
    <n v="0"/>
    <x v="14"/>
    <n v="-120"/>
    <m/>
    <s v="F083668"/>
    <n v="13.365999999999998"/>
    <m/>
    <n v="0"/>
    <m/>
    <n v="13.365999999999998"/>
    <n v="-13.365999999999998"/>
    <m/>
    <n v="0"/>
  </r>
  <r>
    <n v="15"/>
    <n v="2024"/>
    <s v="Auction"/>
    <s v="VROLIJK BLOEMEN"/>
    <s v="VROLIJK BLOEMEN"/>
    <x v="57"/>
    <s v="Floribunda Roses"/>
    <s v="80CM"/>
    <m/>
    <n v="2.4000000000000004"/>
    <n v="80"/>
    <n v="0.56999999999999995"/>
    <n v="45.6"/>
    <s v="EUR"/>
    <m/>
    <m/>
    <x v="14"/>
    <n v="0"/>
    <x v="2"/>
    <x v="2"/>
    <n v="80"/>
    <n v="0.85"/>
    <n v="68"/>
    <n v="-3.81655813953489"/>
    <n v="64.183441860465109"/>
    <x v="14"/>
    <n v="0"/>
    <m/>
    <s v="F083668"/>
    <n v="8.9106666666666676"/>
    <m/>
    <n v="1.6"/>
    <m/>
    <n v="10.510666666666667"/>
    <n v="53.672775193798444"/>
    <m/>
    <n v="80"/>
  </r>
  <r>
    <n v="15"/>
    <n v="2024"/>
    <s v="Auction"/>
    <s v="VROLIJK BLOEMEN"/>
    <s v="VROLIJK BLOEMEN"/>
    <x v="57"/>
    <s v="Polyantha Roses"/>
    <s v="60CM"/>
    <n v="1"/>
    <n v="6.666666666666667"/>
    <n v="200"/>
    <n v="0.52"/>
    <n v="104"/>
    <s v="EUR"/>
    <m/>
    <m/>
    <x v="14"/>
    <n v="0"/>
    <x v="3"/>
    <x v="0"/>
    <n v="200"/>
    <n v="0.72"/>
    <n v="144"/>
    <n v="-9.5413953488372254"/>
    <n v="134.45860465116277"/>
    <x v="14"/>
    <n v="0"/>
    <m/>
    <s v="F083668"/>
    <n v="24.751851851851853"/>
    <m/>
    <n v="4"/>
    <m/>
    <n v="28.751851851851853"/>
    <n v="105.70675279931092"/>
    <m/>
    <n v="200"/>
  </r>
  <r>
    <n v="15"/>
    <n v="2024"/>
    <s v="Auction"/>
    <s v="VROLIJK BLOEMEN"/>
    <s v="VROLIJK BLOEMEN"/>
    <x v="57"/>
    <s v="Polyantha Roses"/>
    <s v="70CM"/>
    <m/>
    <n v="4"/>
    <n v="120"/>
    <n v="0.61"/>
    <n v="73.2"/>
    <s v="EUR"/>
    <m/>
    <m/>
    <x v="14"/>
    <n v="0"/>
    <x v="3"/>
    <x v="1"/>
    <n v="120"/>
    <n v="0.85"/>
    <n v="102"/>
    <n v="-5.7248372093023345"/>
    <n v="96.275162790697664"/>
    <x v="14"/>
    <n v="0"/>
    <m/>
    <s v="F083668"/>
    <n v="14.851111111111111"/>
    <m/>
    <n v="2.4"/>
    <m/>
    <n v="17.251111111111111"/>
    <n v="79.024051679586549"/>
    <m/>
    <n v="120"/>
  </r>
  <r>
    <n v="15"/>
    <n v="2024"/>
    <s v="Auction"/>
    <s v="VROLIJK BLOEMEN"/>
    <s v="VROLIJK BLOEMEN"/>
    <x v="57"/>
    <s v="Polyantha Roses"/>
    <s v="90CM"/>
    <m/>
    <n v="1.3333333333333333"/>
    <n v="40"/>
    <n v="0.85"/>
    <n v="34"/>
    <s v="EUR"/>
    <m/>
    <m/>
    <x v="14"/>
    <n v="0"/>
    <x v="3"/>
    <x v="3"/>
    <n v="40"/>
    <n v="1.1000000000000001"/>
    <n v="44"/>
    <n v="-1.908279069767445"/>
    <n v="42.091720930232555"/>
    <x v="14"/>
    <n v="0"/>
    <m/>
    <s v="F083668"/>
    <n v="4.9503703703703703"/>
    <m/>
    <n v="0.8"/>
    <m/>
    <n v="5.7503703703703701"/>
    <n v="36.341350559862185"/>
    <m/>
    <n v="40"/>
  </r>
  <r>
    <n v="15"/>
    <n v="2024"/>
    <s v="Auction"/>
    <s v="VROLIJK BLOEMEN"/>
    <s v="VROLIJK BLOEMEN"/>
    <x v="57"/>
    <s v="Floribunda Roses"/>
    <s v="80CM"/>
    <m/>
    <m/>
    <m/>
    <m/>
    <m/>
    <s v="EUR"/>
    <m/>
    <m/>
    <x v="14"/>
    <n v="0"/>
    <x v="2"/>
    <x v="2"/>
    <m/>
    <m/>
    <n v="-40"/>
    <n v="-4.4139999999999988"/>
    <n v="-44.414000000000001"/>
    <x v="14"/>
    <n v="0"/>
    <m/>
    <s v="F083668"/>
    <n v="0"/>
    <m/>
    <n v="0"/>
    <m/>
    <n v="0"/>
    <n v="-44.414000000000001"/>
    <m/>
    <n v="0"/>
  </r>
  <r>
    <n v="15"/>
    <n v="2024"/>
    <s v="Auction"/>
    <s v="VROLIJK BLOEMEN"/>
    <s v="VROLIJK BLOEMEN"/>
    <x v="57"/>
    <s v="Floribunda Roses"/>
    <s v="50CM"/>
    <m/>
    <m/>
    <m/>
    <m/>
    <m/>
    <s v="EUR"/>
    <m/>
    <m/>
    <x v="14"/>
    <n v="0"/>
    <x v="2"/>
    <x v="5"/>
    <m/>
    <m/>
    <n v="-102.4"/>
    <n v="-17.655999999999995"/>
    <n v="-120.056"/>
    <x v="14"/>
    <n v="0"/>
    <m/>
    <s v="F083668"/>
    <n v="0"/>
    <m/>
    <n v="0"/>
    <m/>
    <n v="0"/>
    <n v="-120.056"/>
    <m/>
    <n v="0"/>
  </r>
  <r>
    <n v="15"/>
    <n v="2024"/>
    <s v="Auction"/>
    <s v="VROLIJK BLOEMEN"/>
    <s v="VROLIJK BLOEMEN"/>
    <x v="58"/>
    <s v="Floribunda Roses"/>
    <s v="50CM"/>
    <n v="1"/>
    <n v="12"/>
    <n v="760"/>
    <n v="0.38"/>
    <n v="288.8"/>
    <s v="EUR"/>
    <m/>
    <m/>
    <x v="15"/>
    <n v="0"/>
    <x v="2"/>
    <x v="5"/>
    <n v="760"/>
    <n v="0.38"/>
    <n v="288.8"/>
    <n v="-35.303551020408129"/>
    <n v="253.49644897959189"/>
    <x v="15"/>
    <n v="0"/>
    <m/>
    <n v="435844"/>
    <n v="24.622399999999999"/>
    <m/>
    <n v="15.200000000000001"/>
    <m/>
    <n v="39.822400000000002"/>
    <n v="213.67404897959187"/>
    <m/>
    <n v="760"/>
  </r>
  <r>
    <n v="15"/>
    <n v="2024"/>
    <s v="Auction"/>
    <s v="VROLIJK BLOEMEN"/>
    <s v="VROLIJK BLOEMEN"/>
    <x v="58"/>
    <s v="Floribunda Roses"/>
    <s v="60CM"/>
    <n v="3"/>
    <n v="36"/>
    <n v="1560"/>
    <n v="0.47"/>
    <n v="733.2"/>
    <s v="EUR"/>
    <m/>
    <m/>
    <x v="15"/>
    <n v="-240"/>
    <x v="2"/>
    <x v="0"/>
    <n v="1800"/>
    <n v="0.5762222222222223"/>
    <n v="1037.2"/>
    <n v="-83.613673469387678"/>
    <n v="953.58632653061238"/>
    <x v="15"/>
    <n v="240"/>
    <m/>
    <n v="435844"/>
    <n v="73.867199999999997"/>
    <m/>
    <n v="36"/>
    <m/>
    <n v="109.8672"/>
    <n v="843.71912653061236"/>
    <m/>
    <n v="1800"/>
  </r>
  <r>
    <n v="15"/>
    <n v="2024"/>
    <s v="Auction"/>
    <s v="VROLIJK BLOEMEN"/>
    <s v="VROLIJK BLOEMEN"/>
    <x v="58"/>
    <s v="Floribunda Roses"/>
    <s v="90CM"/>
    <n v="1"/>
    <n v="12"/>
    <n v="240"/>
    <n v="0.75"/>
    <n v="180"/>
    <s v="EUR"/>
    <m/>
    <m/>
    <x v="15"/>
    <n v="-80"/>
    <x v="2"/>
    <x v="3"/>
    <n v="320"/>
    <n v="0.98000000000000009"/>
    <n v="313.60000000000002"/>
    <n v="-14.864653061224475"/>
    <n v="298.73534693877554"/>
    <x v="15"/>
    <n v="80"/>
    <m/>
    <n v="435844"/>
    <n v="24.622399999999999"/>
    <m/>
    <n v="6.4"/>
    <m/>
    <n v="31.022399999999998"/>
    <n v="267.71294693877553"/>
    <m/>
    <n v="320"/>
  </r>
  <r>
    <n v="15"/>
    <n v="2024"/>
    <s v="Auction"/>
    <s v="VROLIJK BLOEMEN"/>
    <s v="VROLIJK BLOEMEN"/>
    <x v="58"/>
    <s v="Floribunda Roses"/>
    <s v="100CM"/>
    <n v="2"/>
    <n v="24"/>
    <n v="400"/>
    <n v="0.94"/>
    <n v="376"/>
    <s v="EUR"/>
    <m/>
    <m/>
    <x v="15"/>
    <n v="-80"/>
    <x v="2"/>
    <x v="4"/>
    <n v="480"/>
    <n v="1.0549999999999999"/>
    <n v="506.4"/>
    <n v="-22.296979591836713"/>
    <n v="484.10302040816327"/>
    <x v="15"/>
    <n v="80"/>
    <m/>
    <n v="435844"/>
    <n v="49.244799999999998"/>
    <m/>
    <n v="9.6"/>
    <m/>
    <n v="58.844799999999999"/>
    <n v="425.25822040816325"/>
    <m/>
    <n v="480"/>
  </r>
  <r>
    <n v="15"/>
    <n v="2024"/>
    <s v="Auction"/>
    <s v="VROLIJK BLOEMEN"/>
    <s v="VROLIJK BLOEMEN"/>
    <x v="58"/>
    <s v="English Roses"/>
    <s v="60CM"/>
    <n v="2"/>
    <n v="24"/>
    <n v="960"/>
    <n v="0.47"/>
    <n v="451.2"/>
    <s v="EUR"/>
    <m/>
    <m/>
    <x v="15"/>
    <n v="0"/>
    <x v="1"/>
    <x v="0"/>
    <n v="960"/>
    <n v="0.51249999999999996"/>
    <n v="491.99999999999994"/>
    <n v="-44.593959183673427"/>
    <n v="447.40604081632654"/>
    <x v="15"/>
    <n v="0"/>
    <m/>
    <n v="435844"/>
    <n v="49.244799999999998"/>
    <m/>
    <n v="19.2"/>
    <m/>
    <n v="68.444800000000001"/>
    <n v="378.96124081632655"/>
    <m/>
    <n v="960"/>
  </r>
  <r>
    <n v="15"/>
    <n v="2024"/>
    <s v="Auction"/>
    <s v="VROLIJK BLOEMEN"/>
    <s v="VROLIJK BLOEMEN"/>
    <x v="58"/>
    <s v="English Roses"/>
    <s v="90CM"/>
    <n v="1"/>
    <n v="12"/>
    <n v="240"/>
    <n v="0.75"/>
    <n v="180"/>
    <s v="EUR"/>
    <m/>
    <m/>
    <x v="15"/>
    <n v="240"/>
    <x v="1"/>
    <x v="3"/>
    <m/>
    <m/>
    <n v="0"/>
    <n v="0"/>
    <n v="0"/>
    <x v="15"/>
    <n v="-240"/>
    <m/>
    <n v="435844"/>
    <n v="24.622399999999999"/>
    <m/>
    <n v="0"/>
    <m/>
    <n v="24.622399999999999"/>
    <n v="-24.622399999999999"/>
    <m/>
    <n v="0"/>
  </r>
  <r>
    <n v="15"/>
    <n v="2024"/>
    <s v="Auction"/>
    <s v="VROLIJK BLOEMEN"/>
    <s v="VROLIJK BLOEMEN"/>
    <x v="58"/>
    <s v="English Roses"/>
    <s v="90CM"/>
    <n v="1"/>
    <n v="12"/>
    <n v="200"/>
    <n v="0.75"/>
    <n v="150"/>
    <s v="EUR"/>
    <m/>
    <m/>
    <x v="15"/>
    <n v="-80"/>
    <x v="1"/>
    <x v="3"/>
    <n v="280"/>
    <n v="1.0528571428571429"/>
    <n v="294.8"/>
    <n v="-13.006571428571416"/>
    <n v="281.79342857142859"/>
    <x v="15"/>
    <n v="80"/>
    <m/>
    <n v="435844"/>
    <n v="24.622399999999999"/>
    <m/>
    <n v="5.6000000000000005"/>
    <m/>
    <n v="30.2224"/>
    <n v="251.5710285714286"/>
    <m/>
    <n v="280"/>
  </r>
  <r>
    <n v="15"/>
    <n v="2024"/>
    <s v="Auction"/>
    <s v="VROLIJK BLOEMEN"/>
    <s v="VROLIJK BLOEMEN"/>
    <x v="58"/>
    <s v="English Roses"/>
    <s v="100CM"/>
    <n v="4"/>
    <n v="48"/>
    <n v="800"/>
    <n v="0.94"/>
    <n v="752"/>
    <s v="EUR"/>
    <m/>
    <m/>
    <x v="15"/>
    <n v="0"/>
    <x v="1"/>
    <x v="4"/>
    <n v="800"/>
    <n v="0.99349999999999994"/>
    <n v="794.8"/>
    <n v="-37.16163265306119"/>
    <n v="757.63836734693882"/>
    <x v="15"/>
    <n v="0"/>
    <m/>
    <n v="435844"/>
    <n v="98.489599999999996"/>
    <m/>
    <n v="16"/>
    <m/>
    <n v="114.4896"/>
    <n v="643.14876734693883"/>
    <m/>
    <n v="800"/>
  </r>
  <r>
    <n v="15"/>
    <n v="2024"/>
    <s v="Auction"/>
    <s v="VROLIJK BLOEMEN"/>
    <s v="VROLIJK BLOEMEN"/>
    <x v="58"/>
    <s v="Grandiflora Roses"/>
    <s v="70CM"/>
    <n v="1"/>
    <n v="12"/>
    <n v="520"/>
    <n v="0.28000000000000003"/>
    <n v="145.6"/>
    <s v="EUR"/>
    <m/>
    <m/>
    <x v="15"/>
    <n v="-640"/>
    <x v="0"/>
    <x v="1"/>
    <n v="1160"/>
    <n v="0.2906896551724138"/>
    <n v="337.2"/>
    <n v="-53.884367346938724"/>
    <n v="283.31563265306124"/>
    <x v="15"/>
    <n v="640"/>
    <m/>
    <n v="435844"/>
    <n v="24.622399999999999"/>
    <m/>
    <n v="23.2"/>
    <m/>
    <n v="47.822400000000002"/>
    <n v="235.49323265306123"/>
    <m/>
    <n v="1160"/>
  </r>
  <r>
    <n v="15"/>
    <n v="2024"/>
    <s v="Auction"/>
    <s v="VROLIJK BLOEMEN"/>
    <s v="VROLIJK BLOEMEN"/>
    <x v="58"/>
    <s v="Grandiflora Roses"/>
    <s v="80CM"/>
    <n v="1"/>
    <n v="12"/>
    <n v="480"/>
    <n v="0.33"/>
    <n v="158.4"/>
    <s v="EUR"/>
    <m/>
    <m/>
    <x v="15"/>
    <n v="-240"/>
    <x v="0"/>
    <x v="2"/>
    <n v="720"/>
    <n v="0.41111111111111109"/>
    <n v="296"/>
    <n v="-33.445469387755068"/>
    <n v="262.55453061224495"/>
    <x v="15"/>
    <n v="240"/>
    <m/>
    <n v="435844"/>
    <n v="24.622399999999999"/>
    <m/>
    <n v="14.4"/>
    <m/>
    <n v="39.022399999999998"/>
    <n v="223.53213061224494"/>
    <m/>
    <n v="720"/>
  </r>
  <r>
    <n v="15"/>
    <n v="2024"/>
    <s v="Auction"/>
    <s v="VROLIJK BLOEMEN"/>
    <s v="VROLIJK BLOEMEN"/>
    <x v="58"/>
    <s v="Grandiflora Roses"/>
    <s v="90CM"/>
    <n v="1"/>
    <n v="12"/>
    <n v="440"/>
    <n v="0.38"/>
    <n v="167.2"/>
    <s v="EUR"/>
    <m/>
    <m/>
    <x v="15"/>
    <n v="0"/>
    <x v="0"/>
    <x v="3"/>
    <n v="440"/>
    <n v="0.46272727272727271"/>
    <n v="203.6"/>
    <n v="-20.438897959183652"/>
    <n v="183.16110204081633"/>
    <x v="15"/>
    <n v="0"/>
    <m/>
    <n v="435844"/>
    <n v="24.622399999999999"/>
    <m/>
    <n v="8.8000000000000007"/>
    <m/>
    <n v="33.422399999999996"/>
    <n v="149.73870204081635"/>
    <m/>
    <n v="440"/>
  </r>
  <r>
    <n v="15"/>
    <n v="2024"/>
    <s v="Auction"/>
    <s v="VROLIJK BLOEMEN"/>
    <s v="VROLIJK BLOEMEN"/>
    <x v="58"/>
    <s v="Grandiflora Roses"/>
    <s v="100CM"/>
    <n v="1"/>
    <n v="12"/>
    <n v="320"/>
    <n v="0.47"/>
    <n v="150.4"/>
    <s v="EUR"/>
    <m/>
    <m/>
    <x v="15"/>
    <n v="-160"/>
    <x v="0"/>
    <x v="4"/>
    <n v="480"/>
    <n v="0.55833333333333335"/>
    <n v="268"/>
    <n v="-22.296979591836713"/>
    <n v="245.7030204081633"/>
    <x v="15"/>
    <n v="160"/>
    <m/>
    <n v="435844"/>
    <n v="24.622399999999999"/>
    <m/>
    <n v="9.6"/>
    <m/>
    <n v="34.2224"/>
    <n v="211.4806204081633"/>
    <m/>
    <n v="480"/>
  </r>
  <r>
    <n v="15"/>
    <n v="2024"/>
    <s v="Auction"/>
    <s v="VROLIJK BLOEMEN"/>
    <s v="VROLIJK BLOEMEN"/>
    <x v="58"/>
    <s v="English Roses"/>
    <s v="50CM"/>
    <n v="1"/>
    <n v="7.7142857142857153"/>
    <n v="360"/>
    <n v="0.38"/>
    <n v="136.80000000000001"/>
    <s v="EUR"/>
    <m/>
    <m/>
    <x v="15"/>
    <n v="0"/>
    <x v="1"/>
    <x v="5"/>
    <n v="360"/>
    <n v="0.5477777777777777"/>
    <n v="197.19999999999996"/>
    <n v="-16.722734693877534"/>
    <n v="180.47726530612243"/>
    <x v="15"/>
    <n v="0"/>
    <m/>
    <n v="435844"/>
    <n v="15.828685714285715"/>
    <m/>
    <n v="7.2"/>
    <m/>
    <n v="23.028685714285714"/>
    <n v="157.44857959183673"/>
    <m/>
    <n v="360"/>
  </r>
  <r>
    <n v="15"/>
    <n v="2024"/>
    <s v="Auction"/>
    <s v="VROLIJK BLOEMEN"/>
    <s v="VROLIJK BLOEMEN"/>
    <x v="58"/>
    <s v="English Roses"/>
    <s v="80CM"/>
    <m/>
    <n v="4.2857142857142856"/>
    <n v="200"/>
    <n v="0.56999999999999995"/>
    <n v="114"/>
    <s v="EUR"/>
    <m/>
    <m/>
    <x v="15"/>
    <n v="0"/>
    <x v="1"/>
    <x v="2"/>
    <n v="200"/>
    <n v="1.1459999999999999"/>
    <n v="229.2"/>
    <n v="-9.2904081632652975"/>
    <n v="219.90959183673471"/>
    <x v="15"/>
    <n v="0"/>
    <m/>
    <n v="435844"/>
    <n v="8.7937142857142838"/>
    <m/>
    <n v="4"/>
    <m/>
    <n v="12.793714285714284"/>
    <n v="207.11587755102042"/>
    <m/>
    <n v="200"/>
  </r>
  <r>
    <n v="15"/>
    <n v="2024"/>
    <s v="Auction"/>
    <s v="VROLIJK BLOEMEN"/>
    <s v="VROLIJK BLOEMEN"/>
    <x v="58"/>
    <s v="Grandiflora Roses"/>
    <s v="80CM"/>
    <n v="1"/>
    <n v="4.8000000000000007"/>
    <n v="240"/>
    <n v="0.33"/>
    <n v="79.2"/>
    <s v="EUR"/>
    <m/>
    <m/>
    <x v="15"/>
    <n v="240"/>
    <x v="0"/>
    <x v="2"/>
    <m/>
    <m/>
    <n v="0"/>
    <n v="0"/>
    <n v="0"/>
    <x v="15"/>
    <n v="-240"/>
    <m/>
    <n v="435844"/>
    <n v="9.8489600000000017"/>
    <m/>
    <n v="0"/>
    <m/>
    <n v="9.8489600000000017"/>
    <n v="-9.8489600000000017"/>
    <m/>
    <n v="0"/>
  </r>
  <r>
    <n v="15"/>
    <n v="2024"/>
    <s v="Auction"/>
    <s v="VROLIJK BLOEMEN"/>
    <s v="VROLIJK BLOEMEN"/>
    <x v="58"/>
    <s v="Grandiflora Roses"/>
    <s v="70CM"/>
    <m/>
    <n v="7.1999999999999993"/>
    <n v="360"/>
    <n v="0.28000000000000003"/>
    <n v="100.8"/>
    <s v="EUR"/>
    <m/>
    <m/>
    <x v="15"/>
    <n v="360"/>
    <x v="0"/>
    <x v="1"/>
    <m/>
    <m/>
    <n v="0"/>
    <n v="0"/>
    <n v="0"/>
    <x v="15"/>
    <n v="-360"/>
    <m/>
    <n v="435844"/>
    <n v="14.773439999999997"/>
    <m/>
    <n v="0"/>
    <m/>
    <n v="14.773439999999997"/>
    <n v="-14.773439999999997"/>
    <m/>
    <n v="0"/>
  </r>
  <r>
    <n v="15"/>
    <n v="2024"/>
    <s v="Auction"/>
    <s v="VROLIJK BLOEMEN"/>
    <s v="VROLIJK BLOEMEN"/>
    <x v="58"/>
    <s v="English Roses"/>
    <s v="70CM"/>
    <n v="1"/>
    <n v="10.5"/>
    <n v="280"/>
    <n v="0.52"/>
    <n v="145.6"/>
    <s v="EUR"/>
    <m/>
    <m/>
    <x v="15"/>
    <n v="0"/>
    <x v="1"/>
    <x v="1"/>
    <n v="280"/>
    <n v="1.0071428571428571"/>
    <n v="282"/>
    <n v="-13.006571428571416"/>
    <n v="268.99342857142858"/>
    <x v="15"/>
    <n v="0"/>
    <m/>
    <n v="435844"/>
    <n v="21.544599999999999"/>
    <m/>
    <n v="5.6000000000000005"/>
    <m/>
    <n v="27.144600000000001"/>
    <n v="241.84882857142858"/>
    <m/>
    <n v="280"/>
  </r>
  <r>
    <n v="15"/>
    <n v="2024"/>
    <s v="Auction"/>
    <s v="VROLIJK BLOEMEN"/>
    <s v="VROLIJK BLOEMEN"/>
    <x v="58"/>
    <s v="English Roses"/>
    <s v="90CM"/>
    <m/>
    <n v="1.5"/>
    <n v="40"/>
    <n v="0.75"/>
    <n v="30"/>
    <s v="EUR"/>
    <m/>
    <m/>
    <x v="15"/>
    <n v="40"/>
    <x v="1"/>
    <x v="3"/>
    <m/>
    <m/>
    <n v="0"/>
    <n v="0"/>
    <n v="0"/>
    <x v="15"/>
    <n v="-40"/>
    <m/>
    <n v="435844"/>
    <n v="3.0777999999999999"/>
    <m/>
    <n v="0"/>
    <m/>
    <n v="3.0777999999999999"/>
    <n v="-3.0777999999999999"/>
    <m/>
    <n v="0"/>
  </r>
  <r>
    <n v="15"/>
    <n v="2024"/>
    <s v="Auction"/>
    <s v="VROLIJK BLOEMEN"/>
    <s v="VROLIJK BLOEMEN"/>
    <x v="58"/>
    <s v="Floribunda Roses"/>
    <s v="80CM"/>
    <n v="1"/>
    <n v="7.1999999999999993"/>
    <n v="240"/>
    <n v="0.56999999999999995"/>
    <n v="136.80000000000001"/>
    <s v="EUR"/>
    <m/>
    <m/>
    <x v="15"/>
    <n v="-40"/>
    <x v="2"/>
    <x v="2"/>
    <n v="280"/>
    <n v="1.0385714285714287"/>
    <n v="290.8"/>
    <n v="-13.006571428571416"/>
    <n v="277.79342857142859"/>
    <x v="15"/>
    <n v="40"/>
    <m/>
    <n v="435844"/>
    <n v="14.773439999999997"/>
    <m/>
    <n v="5.6000000000000005"/>
    <m/>
    <n v="20.373439999999999"/>
    <n v="257.41998857142858"/>
    <m/>
    <n v="280"/>
  </r>
  <r>
    <n v="15"/>
    <n v="2024"/>
    <s v="Auction"/>
    <s v="VROLIJK BLOEMEN"/>
    <s v="VROLIJK BLOEMEN"/>
    <x v="58"/>
    <s v="Floribunda Roses"/>
    <s v="70CM"/>
    <m/>
    <n v="4.8000000000000007"/>
    <n v="160"/>
    <n v="0.52"/>
    <n v="83.2"/>
    <s v="EUR"/>
    <m/>
    <m/>
    <x v="15"/>
    <n v="-320"/>
    <x v="2"/>
    <x v="1"/>
    <n v="480"/>
    <n v="0.65333333333333343"/>
    <n v="313.60000000000002"/>
    <n v="-22.296979591836713"/>
    <n v="291.30302040816332"/>
    <x v="15"/>
    <n v="320"/>
    <m/>
    <n v="435844"/>
    <n v="9.8489600000000017"/>
    <m/>
    <n v="9.6"/>
    <m/>
    <n v="19.44896"/>
    <n v="271.85406040816332"/>
    <m/>
    <n v="480"/>
  </r>
  <r>
    <n v="15"/>
    <n v="2024"/>
    <s v="Auction"/>
    <s v="VROLIJK BLOEMEN"/>
    <s v="VROLIJK BLOEMEN"/>
    <x v="58"/>
    <s v="Floribunda Roses"/>
    <s v="60CM"/>
    <n v="1"/>
    <n v="5.1428571428571423"/>
    <n v="240"/>
    <n v="0.47"/>
    <n v="112.8"/>
    <s v="EUR"/>
    <m/>
    <m/>
    <x v="15"/>
    <n v="240"/>
    <x v="2"/>
    <x v="0"/>
    <m/>
    <m/>
    <n v="0"/>
    <n v="0"/>
    <n v="0"/>
    <x v="15"/>
    <n v="-240"/>
    <m/>
    <n v="435844"/>
    <n v="10.55245714285714"/>
    <m/>
    <n v="0"/>
    <m/>
    <n v="10.55245714285714"/>
    <n v="-10.55245714285714"/>
    <m/>
    <n v="0"/>
  </r>
  <r>
    <n v="15"/>
    <n v="2024"/>
    <s v="Auction"/>
    <s v="VROLIJK BLOEMEN"/>
    <s v="VROLIJK BLOEMEN"/>
    <x v="58"/>
    <s v="Floribunda Roses"/>
    <s v="70CM"/>
    <m/>
    <n v="6.8571428571428568"/>
    <n v="320"/>
    <n v="0.52"/>
    <n v="166.4"/>
    <s v="EUR"/>
    <m/>
    <m/>
    <x v="15"/>
    <n v="320"/>
    <x v="2"/>
    <x v="1"/>
    <m/>
    <m/>
    <n v="0"/>
    <n v="0"/>
    <n v="0"/>
    <x v="15"/>
    <n v="-320"/>
    <m/>
    <n v="435844"/>
    <n v="14.069942857142856"/>
    <m/>
    <n v="0"/>
    <m/>
    <n v="14.069942857142856"/>
    <n v="-14.069942857142856"/>
    <m/>
    <n v="0"/>
  </r>
  <r>
    <n v="15"/>
    <n v="2024"/>
    <s v="Auction"/>
    <s v="VROLIJK BLOEMEN"/>
    <s v="VROLIJK BLOEMEN"/>
    <x v="58"/>
    <s v="Grandiflora Roses"/>
    <s v="100CM"/>
    <n v="1"/>
    <n v="4.8000000000000007"/>
    <n v="160"/>
    <n v="0.47"/>
    <n v="75.2"/>
    <s v="EUR"/>
    <m/>
    <m/>
    <x v="15"/>
    <n v="160"/>
    <x v="0"/>
    <x v="4"/>
    <m/>
    <m/>
    <n v="0"/>
    <n v="0"/>
    <n v="0"/>
    <x v="15"/>
    <n v="-160"/>
    <m/>
    <n v="435844"/>
    <n v="9.8489600000000017"/>
    <m/>
    <n v="0"/>
    <m/>
    <n v="9.8489600000000017"/>
    <n v="-9.8489600000000017"/>
    <m/>
    <n v="0"/>
  </r>
  <r>
    <n v="15"/>
    <n v="2024"/>
    <s v="Auction"/>
    <s v="VROLIJK BLOEMEN"/>
    <s v="VROLIJK BLOEMEN"/>
    <x v="58"/>
    <s v="Grandiflora Roses"/>
    <s v="70CM"/>
    <m/>
    <n v="7.1999999999999993"/>
    <n v="240"/>
    <n v="0.28000000000000003"/>
    <n v="67.2"/>
    <s v="EUR"/>
    <m/>
    <m/>
    <x v="15"/>
    <n v="240"/>
    <x v="0"/>
    <x v="1"/>
    <m/>
    <m/>
    <n v="0"/>
    <n v="0"/>
    <n v="0"/>
    <x v="15"/>
    <n v="-240"/>
    <m/>
    <n v="435844"/>
    <n v="14.773439999999997"/>
    <m/>
    <n v="0"/>
    <m/>
    <n v="14.773439999999997"/>
    <n v="-14.773439999999997"/>
    <m/>
    <n v="0"/>
  </r>
  <r>
    <n v="16"/>
    <n v="2024"/>
    <s v="Auction"/>
    <s v="VROLIJK BLOEMEN"/>
    <s v="VROLIJK BLOEMEN"/>
    <x v="59"/>
    <s v="Floribunda Roses"/>
    <s v="60CM"/>
    <n v="4"/>
    <n v="48"/>
    <n v="2080"/>
    <n v="0.47"/>
    <n v="977.6"/>
    <s v="EUR"/>
    <m/>
    <m/>
    <x v="15"/>
    <n v="0"/>
    <x v="2"/>
    <x v="0"/>
    <n v="2080"/>
    <n v="0.66807692307692301"/>
    <n v="1389.6"/>
    <n v="-102.07894339622642"/>
    <n v="1287.5210566037736"/>
    <x v="15"/>
    <n v="0"/>
    <m/>
    <n v="436718"/>
    <n v="169.82714285714283"/>
    <m/>
    <n v="41.6"/>
    <m/>
    <n v="211.42714285714283"/>
    <n v="1076.0939137466307"/>
    <m/>
    <n v="2080"/>
  </r>
  <r>
    <n v="16"/>
    <n v="2024"/>
    <s v="Auction"/>
    <s v="VROLIJK BLOEMEN"/>
    <s v="VROLIJK BLOEMEN"/>
    <x v="59"/>
    <s v="Floribunda Roses"/>
    <s v="70CM"/>
    <n v="2"/>
    <n v="24"/>
    <n v="800"/>
    <n v="0.52"/>
    <n v="416"/>
    <s v="EUR"/>
    <m/>
    <m/>
    <x v="15"/>
    <n v="-120"/>
    <x v="2"/>
    <x v="1"/>
    <n v="920"/>
    <n v="0.657391304347826"/>
    <n v="604.79999999999995"/>
    <n v="-45.150301886792455"/>
    <n v="559.64969811320748"/>
    <x v="15"/>
    <n v="120"/>
    <m/>
    <n v="436718"/>
    <n v="84.913571428571416"/>
    <m/>
    <n v="18.400000000000002"/>
    <m/>
    <n v="103.31357142857142"/>
    <n v="456.33612668463604"/>
    <m/>
    <n v="920"/>
  </r>
  <r>
    <n v="16"/>
    <n v="2024"/>
    <s v="Auction"/>
    <s v="VROLIJK BLOEMEN"/>
    <s v="VROLIJK BLOEMEN"/>
    <x v="59"/>
    <s v="Floribunda Roses"/>
    <s v="80CM"/>
    <n v="2"/>
    <n v="24"/>
    <n v="640"/>
    <n v="0.56999999999999995"/>
    <n v="364.8"/>
    <s v="EUR"/>
    <m/>
    <m/>
    <x v="15"/>
    <n v="-80"/>
    <x v="2"/>
    <x v="2"/>
    <n v="720"/>
    <n v="0.9850000000000001"/>
    <n v="709.2"/>
    <n v="-35.335018867924532"/>
    <n v="673.86498113207551"/>
    <x v="15"/>
    <n v="80"/>
    <m/>
    <n v="436718"/>
    <n v="84.913571428571416"/>
    <m/>
    <n v="14.4"/>
    <m/>
    <n v="99.313571428571422"/>
    <n v="574.55140970350408"/>
    <m/>
    <n v="720"/>
  </r>
  <r>
    <n v="16"/>
    <n v="2024"/>
    <s v="Auction"/>
    <s v="VROLIJK BLOEMEN"/>
    <s v="VROLIJK BLOEMEN"/>
    <x v="59"/>
    <s v="Floribunda Roses"/>
    <s v="90CM"/>
    <n v="1"/>
    <n v="12"/>
    <n v="240"/>
    <n v="0.75"/>
    <n v="180"/>
    <s v="EUR"/>
    <m/>
    <m/>
    <x v="15"/>
    <n v="-160"/>
    <x v="2"/>
    <x v="3"/>
    <n v="400"/>
    <n v="0.71400000000000008"/>
    <n v="285.60000000000002"/>
    <n v="-19.63056603773585"/>
    <n v="265.96943396226419"/>
    <x v="15"/>
    <n v="160"/>
    <m/>
    <n v="436718"/>
    <n v="42.456785714285708"/>
    <m/>
    <n v="8"/>
    <m/>
    <n v="50.456785714285708"/>
    <n v="215.51264824797849"/>
    <m/>
    <n v="400"/>
  </r>
  <r>
    <n v="16"/>
    <n v="2024"/>
    <s v="Auction"/>
    <s v="VROLIJK BLOEMEN"/>
    <s v="VROLIJK BLOEMEN"/>
    <x v="59"/>
    <s v="Floribunda Roses"/>
    <s v="100CM"/>
    <n v="2"/>
    <n v="24"/>
    <n v="400"/>
    <n v="0.94"/>
    <n v="376"/>
    <s v="EUR"/>
    <m/>
    <m/>
    <x v="15"/>
    <n v="-40"/>
    <x v="2"/>
    <x v="4"/>
    <n v="440"/>
    <n v="0.92818181818181811"/>
    <n v="408.4"/>
    <n v="-21.593622641509437"/>
    <n v="386.80637735849052"/>
    <x v="15"/>
    <n v="40"/>
    <m/>
    <n v="436718"/>
    <n v="84.913571428571416"/>
    <m/>
    <n v="8.8000000000000007"/>
    <m/>
    <n v="93.713571428571413"/>
    <n v="293.09280592991911"/>
    <m/>
    <n v="440"/>
  </r>
  <r>
    <n v="16"/>
    <n v="2024"/>
    <s v="Auction"/>
    <s v="VROLIJK BLOEMEN"/>
    <s v="VROLIJK BLOEMEN"/>
    <x v="59"/>
    <s v="English Roses"/>
    <s v="60CM"/>
    <n v="1"/>
    <n v="12"/>
    <n v="480"/>
    <n v="0.47"/>
    <n v="225.6"/>
    <s v="EUR"/>
    <m/>
    <m/>
    <x v="15"/>
    <n v="-120"/>
    <x v="1"/>
    <x v="0"/>
    <n v="600"/>
    <n v="0.59799999999999998"/>
    <n v="358.8"/>
    <n v="-29.445849056603773"/>
    <n v="329.35415094339623"/>
    <x v="15"/>
    <n v="120"/>
    <m/>
    <n v="436718"/>
    <n v="42.456785714285708"/>
    <m/>
    <n v="12"/>
    <m/>
    <n v="54.456785714285708"/>
    <n v="274.89736522911051"/>
    <m/>
    <n v="600"/>
  </r>
  <r>
    <n v="16"/>
    <n v="2024"/>
    <s v="Auction"/>
    <s v="VROLIJK BLOEMEN"/>
    <s v="VROLIJK BLOEMEN"/>
    <x v="59"/>
    <s v="English Roses"/>
    <s v="70CM"/>
    <n v="2"/>
    <n v="24"/>
    <n v="800"/>
    <n v="0.52"/>
    <n v="416"/>
    <s v="EUR"/>
    <m/>
    <m/>
    <x v="15"/>
    <n v="-120"/>
    <x v="1"/>
    <x v="1"/>
    <n v="920"/>
    <n v="0.67565217391304355"/>
    <n v="621.6"/>
    <n v="-45.150301886792455"/>
    <n v="576.44969811320755"/>
    <x v="15"/>
    <n v="120"/>
    <m/>
    <n v="436718"/>
    <n v="84.913571428571416"/>
    <m/>
    <n v="18.400000000000002"/>
    <m/>
    <n v="103.31357142857142"/>
    <n v="473.13612668463611"/>
    <m/>
    <n v="920"/>
  </r>
  <r>
    <n v="16"/>
    <n v="2024"/>
    <s v="Auction"/>
    <s v="VROLIJK BLOEMEN"/>
    <s v="VROLIJK BLOEMEN"/>
    <x v="59"/>
    <s v="English Roses"/>
    <s v="80CM"/>
    <n v="1"/>
    <n v="12"/>
    <n v="320"/>
    <n v="0.56999999999999995"/>
    <n v="182.4"/>
    <s v="EUR"/>
    <m/>
    <m/>
    <x v="15"/>
    <n v="320"/>
    <x v="1"/>
    <x v="2"/>
    <m/>
    <m/>
    <n v="0"/>
    <n v="0"/>
    <n v="0"/>
    <x v="15"/>
    <n v="-320"/>
    <m/>
    <n v="436718"/>
    <n v="42.456785714285708"/>
    <m/>
    <n v="0"/>
    <m/>
    <n v="42.456785714285708"/>
    <n v="-42.456785714285708"/>
    <m/>
    <n v="0"/>
  </r>
  <r>
    <n v="16"/>
    <n v="2024"/>
    <s v="Auction"/>
    <s v="VROLIJK BLOEMEN"/>
    <s v="VROLIJK BLOEMEN"/>
    <x v="59"/>
    <s v="English Roses"/>
    <s v="90CM"/>
    <n v="2"/>
    <n v="24"/>
    <n v="480"/>
    <n v="0.75"/>
    <n v="360"/>
    <s v="EUR"/>
    <m/>
    <m/>
    <x v="15"/>
    <n v="-80"/>
    <x v="1"/>
    <x v="3"/>
    <n v="560"/>
    <n v="0.62428571428571433"/>
    <n v="349.6"/>
    <n v="-27.482792452830193"/>
    <n v="322.11720754716981"/>
    <x v="15"/>
    <n v="80"/>
    <m/>
    <n v="436718"/>
    <n v="84.913571428571416"/>
    <m/>
    <n v="11.200000000000001"/>
    <m/>
    <n v="96.113571428571419"/>
    <n v="226.00363611859839"/>
    <m/>
    <n v="560"/>
  </r>
  <r>
    <n v="16"/>
    <n v="2024"/>
    <s v="Auction"/>
    <s v="VROLIJK BLOEMEN"/>
    <s v="VROLIJK BLOEMEN"/>
    <x v="59"/>
    <s v="English Roses"/>
    <s v="100CM"/>
    <n v="2"/>
    <n v="24"/>
    <n v="400"/>
    <n v="0.94"/>
    <n v="376"/>
    <s v="EUR"/>
    <m/>
    <m/>
    <x v="15"/>
    <n v="-40"/>
    <x v="1"/>
    <x v="4"/>
    <n v="440"/>
    <n v="0.72"/>
    <n v="316.8"/>
    <n v="-21.593622641509437"/>
    <n v="295.20637735849056"/>
    <x v="15"/>
    <n v="40"/>
    <m/>
    <n v="436718"/>
    <n v="84.913571428571416"/>
    <m/>
    <n v="8.8000000000000007"/>
    <m/>
    <n v="93.713571428571413"/>
    <n v="201.49280592991914"/>
    <m/>
    <n v="440"/>
  </r>
  <r>
    <n v="16"/>
    <n v="2024"/>
    <s v="Auction"/>
    <s v="VROLIJK BLOEMEN"/>
    <s v="VROLIJK BLOEMEN"/>
    <x v="59"/>
    <s v="Grandiflora Roses"/>
    <s v="90CM"/>
    <n v="1"/>
    <n v="12"/>
    <n v="360"/>
    <n v="0.38"/>
    <n v="136.80000000000001"/>
    <s v="EUR"/>
    <m/>
    <m/>
    <x v="15"/>
    <n v="0"/>
    <x v="0"/>
    <x v="3"/>
    <n v="360"/>
    <n v="0.63555555555555554"/>
    <n v="228.79999999999998"/>
    <n v="-17.667509433962266"/>
    <n v="211.13249056603772"/>
    <x v="15"/>
    <n v="0"/>
    <m/>
    <n v="436718"/>
    <n v="42.456785714285708"/>
    <m/>
    <n v="7.2"/>
    <m/>
    <n v="49.656785714285711"/>
    <n v="161.475704851752"/>
    <m/>
    <n v="360"/>
  </r>
  <r>
    <n v="16"/>
    <n v="2024"/>
    <s v="Auction"/>
    <s v="VROLIJK BLOEMEN"/>
    <s v="VROLIJK BLOEMEN"/>
    <x v="59"/>
    <s v="Grandiflora Roses"/>
    <s v="80CM"/>
    <n v="1"/>
    <n v="12"/>
    <n v="400"/>
    <n v="0.33"/>
    <n v="132"/>
    <s v="EUR"/>
    <m/>
    <m/>
    <x v="15"/>
    <n v="400"/>
    <x v="0"/>
    <x v="2"/>
    <m/>
    <m/>
    <n v="0"/>
    <n v="0"/>
    <n v="0"/>
    <x v="15"/>
    <n v="-400"/>
    <m/>
    <n v="436718"/>
    <n v="42.456785714285708"/>
    <m/>
    <n v="0"/>
    <m/>
    <n v="42.456785714285708"/>
    <n v="-42.456785714285708"/>
    <m/>
    <n v="0"/>
  </r>
  <r>
    <n v="16"/>
    <n v="2024"/>
    <s v="Auction"/>
    <s v="VROLIJK BLOEMEN"/>
    <s v="VROLIJK BLOEMEN"/>
    <x v="59"/>
    <s v="Grandiflora Roses"/>
    <s v="80CM"/>
    <n v="1"/>
    <n v="12"/>
    <n v="480"/>
    <n v="0.33"/>
    <n v="158.4"/>
    <s v="EUR"/>
    <m/>
    <m/>
    <x v="15"/>
    <n v="-400"/>
    <x v="0"/>
    <x v="2"/>
    <n v="880"/>
    <n v="0.36954545454545451"/>
    <n v="325.2"/>
    <n v="-43.187245283018875"/>
    <n v="282.01275471698114"/>
    <x v="15"/>
    <n v="400"/>
    <m/>
    <n v="436718"/>
    <n v="42.456785714285708"/>
    <m/>
    <n v="17.600000000000001"/>
    <m/>
    <n v="60.056785714285709"/>
    <n v="221.95596900269544"/>
    <m/>
    <n v="880"/>
  </r>
  <r>
    <n v="16"/>
    <n v="2024"/>
    <s v="Auction"/>
    <s v="VROLIJK BLOEMEN"/>
    <s v="VROLIJK BLOEMEN"/>
    <x v="59"/>
    <s v="Grandiflora Roses"/>
    <s v="70CM"/>
    <n v="1"/>
    <n v="12"/>
    <n v="520"/>
    <n v="0.28000000000000003"/>
    <n v="145.6"/>
    <s v="EUR"/>
    <m/>
    <m/>
    <x v="15"/>
    <n v="-480"/>
    <x v="0"/>
    <x v="1"/>
    <n v="1000"/>
    <n v="0.32200000000000001"/>
    <n v="322"/>
    <n v="-49.07641509433963"/>
    <n v="272.92358490566039"/>
    <x v="15"/>
    <n v="480"/>
    <m/>
    <n v="436718"/>
    <n v="42.456785714285708"/>
    <m/>
    <n v="20"/>
    <m/>
    <n v="62.456785714285708"/>
    <n v="210.46679919137469"/>
    <m/>
    <n v="1000"/>
  </r>
  <r>
    <n v="16"/>
    <n v="2024"/>
    <s v="Auction"/>
    <s v="VROLIJK BLOEMEN"/>
    <s v="VROLIJK BLOEMEN"/>
    <x v="59"/>
    <s v="Grandiflora Roses"/>
    <s v="80CM"/>
    <n v="1"/>
    <n v="8.5714285714285712"/>
    <n v="400"/>
    <n v="0.33"/>
    <n v="132"/>
    <s v="EUR"/>
    <m/>
    <m/>
    <x v="15"/>
    <n v="400"/>
    <x v="0"/>
    <x v="2"/>
    <m/>
    <m/>
    <n v="0"/>
    <n v="0"/>
    <n v="0"/>
    <x v="15"/>
    <n v="-400"/>
    <m/>
    <n v="436718"/>
    <n v="30.326275510204081"/>
    <m/>
    <n v="0"/>
    <m/>
    <n v="30.326275510204081"/>
    <n v="-30.326275510204081"/>
    <m/>
    <n v="0"/>
  </r>
  <r>
    <n v="16"/>
    <n v="2024"/>
    <s v="Auction"/>
    <s v="VROLIJK BLOEMEN"/>
    <s v="VROLIJK BLOEMEN"/>
    <x v="59"/>
    <s v="Grandiflora Roses"/>
    <s v="70CM"/>
    <m/>
    <n v="3.4285714285714284"/>
    <n v="160"/>
    <n v="0.28000000000000003"/>
    <n v="44.8"/>
    <s v="EUR"/>
    <m/>
    <m/>
    <x v="15"/>
    <n v="160"/>
    <x v="0"/>
    <x v="1"/>
    <m/>
    <m/>
    <n v="0"/>
    <n v="0"/>
    <n v="0"/>
    <x v="15"/>
    <n v="-160"/>
    <m/>
    <n v="436718"/>
    <n v="12.130510204081631"/>
    <m/>
    <n v="0"/>
    <m/>
    <n v="12.130510204081631"/>
    <n v="-12.130510204081631"/>
    <m/>
    <n v="0"/>
  </r>
  <r>
    <n v="16"/>
    <n v="2024"/>
    <s v="Auction"/>
    <s v="VROLIJK BLOEMEN"/>
    <s v="VROLIJK BLOEMEN"/>
    <x v="59"/>
    <s v="English Roses"/>
    <s v="70CM"/>
    <n v="1"/>
    <n v="6"/>
    <n v="120"/>
    <n v="0.52"/>
    <n v="62.4"/>
    <s v="EUR"/>
    <m/>
    <m/>
    <x v="15"/>
    <n v="120"/>
    <x v="1"/>
    <x v="1"/>
    <m/>
    <m/>
    <n v="0"/>
    <n v="0"/>
    <n v="0"/>
    <x v="15"/>
    <n v="-120"/>
    <m/>
    <n v="436718"/>
    <n v="21.228392857142854"/>
    <m/>
    <n v="0"/>
    <m/>
    <n v="21.228392857142854"/>
    <n v="-21.228392857142854"/>
    <m/>
    <n v="0"/>
  </r>
  <r>
    <n v="16"/>
    <n v="2024"/>
    <s v="Auction"/>
    <s v="VROLIJK BLOEMEN"/>
    <s v="VROLIJK BLOEMEN"/>
    <x v="59"/>
    <s v="English Roses"/>
    <s v="80CM"/>
    <m/>
    <n v="6"/>
    <n v="120"/>
    <n v="0.56999999999999995"/>
    <n v="68.400000000000006"/>
    <s v="EUR"/>
    <m/>
    <m/>
    <x v="15"/>
    <n v="-320"/>
    <x v="1"/>
    <x v="2"/>
    <n v="440"/>
    <n v="0.77"/>
    <n v="338.8"/>
    <n v="-21.593622641509437"/>
    <n v="317.20637735849056"/>
    <x v="15"/>
    <n v="320"/>
    <m/>
    <n v="436718"/>
    <n v="21.228392857142854"/>
    <m/>
    <n v="8.8000000000000007"/>
    <m/>
    <n v="30.028392857142855"/>
    <n v="287.17798450134768"/>
    <m/>
    <n v="440"/>
  </r>
  <r>
    <n v="16"/>
    <n v="2024"/>
    <s v="Auction"/>
    <s v="VROLIJK BLOEMEN"/>
    <s v="VROLIJK BLOEMEN"/>
    <x v="59"/>
    <s v="English Roses"/>
    <s v="90CM"/>
    <n v="1"/>
    <n v="2"/>
    <n v="80"/>
    <n v="0.75"/>
    <n v="60"/>
    <s v="EUR"/>
    <m/>
    <m/>
    <x v="15"/>
    <n v="80"/>
    <x v="1"/>
    <x v="3"/>
    <m/>
    <m/>
    <n v="0"/>
    <n v="0"/>
    <n v="0"/>
    <x v="15"/>
    <n v="-80"/>
    <m/>
    <n v="436718"/>
    <n v="7.0761309523809519"/>
    <m/>
    <n v="0"/>
    <m/>
    <n v="7.0761309523809519"/>
    <n v="-7.0761309523809519"/>
    <m/>
    <n v="0"/>
  </r>
  <r>
    <n v="16"/>
    <n v="2024"/>
    <s v="Auction"/>
    <s v="VROLIJK BLOEMEN"/>
    <s v="VROLIJK BLOEMEN"/>
    <x v="59"/>
    <s v="English Roses"/>
    <s v="50CM"/>
    <m/>
    <n v="7"/>
    <n v="280"/>
    <n v="0.38"/>
    <n v="106.4"/>
    <s v="EUR"/>
    <m/>
    <m/>
    <x v="15"/>
    <n v="0"/>
    <x v="1"/>
    <x v="5"/>
    <n v="280"/>
    <n v="0.26999999999999996"/>
    <n v="75.599999999999994"/>
    <n v="-13.741396226415096"/>
    <n v="61.858603773584896"/>
    <x v="15"/>
    <n v="0"/>
    <m/>
    <n v="436718"/>
    <n v="24.766458333333333"/>
    <m/>
    <n v="5.6000000000000005"/>
    <m/>
    <n v="30.366458333333334"/>
    <n v="31.492145440251562"/>
    <m/>
    <n v="280"/>
  </r>
  <r>
    <n v="16"/>
    <n v="2024"/>
    <s v="Auction"/>
    <s v="VROLIJK BLOEMEN"/>
    <s v="VROLIJK BLOEMEN"/>
    <x v="59"/>
    <s v="English Roses"/>
    <s v="60CM"/>
    <m/>
    <n v="3"/>
    <n v="120"/>
    <n v="0.47"/>
    <n v="56.4"/>
    <s v="EUR"/>
    <m/>
    <m/>
    <x v="15"/>
    <n v="120"/>
    <x v="1"/>
    <x v="0"/>
    <m/>
    <m/>
    <n v="0"/>
    <n v="0"/>
    <n v="0"/>
    <x v="15"/>
    <n v="-120"/>
    <m/>
    <n v="436718"/>
    <n v="10.614196428571427"/>
    <m/>
    <n v="0"/>
    <m/>
    <n v="10.614196428571427"/>
    <n v="-10.614196428571427"/>
    <m/>
    <n v="0"/>
  </r>
  <r>
    <n v="16"/>
    <n v="2024"/>
    <s v="Auction"/>
    <s v="VROLIJK BLOEMEN"/>
    <s v="VROLIJK BLOEMEN"/>
    <x v="59"/>
    <s v="English Roses"/>
    <s v="100CM"/>
    <n v="1"/>
    <n v="0.75"/>
    <n v="40"/>
    <n v="0.94"/>
    <n v="37.6"/>
    <s v="EUR"/>
    <m/>
    <m/>
    <x v="15"/>
    <n v="40"/>
    <x v="1"/>
    <x v="4"/>
    <m/>
    <m/>
    <n v="0"/>
    <n v="0"/>
    <n v="0"/>
    <x v="15"/>
    <n v="-40"/>
    <m/>
    <n v="436718"/>
    <n v="2.6535491071428567"/>
    <m/>
    <n v="0"/>
    <m/>
    <n v="2.6535491071428567"/>
    <n v="-2.6535491071428567"/>
    <m/>
    <n v="0"/>
  </r>
  <r>
    <n v="16"/>
    <n v="2024"/>
    <s v="Auction"/>
    <s v="VROLIJK BLOEMEN"/>
    <s v="VROLIJK BLOEMEN"/>
    <x v="59"/>
    <s v="Floribunda Roses"/>
    <s v="50CM"/>
    <m/>
    <n v="7.5"/>
    <n v="400"/>
    <n v="0.38"/>
    <n v="152"/>
    <s v="EUR"/>
    <m/>
    <m/>
    <x v="15"/>
    <n v="0"/>
    <x v="2"/>
    <x v="5"/>
    <n v="400"/>
    <n v="0.42799999999999999"/>
    <n v="171.2"/>
    <n v="-19.63056603773585"/>
    <n v="151.56943396226413"/>
    <x v="15"/>
    <n v="0"/>
    <m/>
    <n v="436718"/>
    <n v="26.53549107142857"/>
    <m/>
    <n v="8"/>
    <m/>
    <n v="34.535491071428567"/>
    <n v="117.03394289083556"/>
    <m/>
    <n v="400"/>
  </r>
  <r>
    <n v="16"/>
    <n v="2024"/>
    <s v="Auction"/>
    <s v="VROLIJK BLOEMEN"/>
    <s v="VROLIJK BLOEMEN"/>
    <x v="59"/>
    <s v="Floribunda Roses"/>
    <s v="70CM"/>
    <m/>
    <n v="2.25"/>
    <n v="120"/>
    <n v="0.52"/>
    <n v="62.4"/>
    <s v="EUR"/>
    <m/>
    <m/>
    <x v="15"/>
    <n v="120"/>
    <x v="2"/>
    <x v="1"/>
    <m/>
    <m/>
    <n v="0"/>
    <n v="0"/>
    <n v="0"/>
    <x v="15"/>
    <n v="-120"/>
    <m/>
    <n v="436718"/>
    <n v="7.9606473214285707"/>
    <m/>
    <n v="0"/>
    <m/>
    <n v="7.9606473214285707"/>
    <n v="-7.9606473214285707"/>
    <m/>
    <n v="0"/>
  </r>
  <r>
    <n v="16"/>
    <n v="2024"/>
    <s v="Auction"/>
    <s v="VROLIJK BLOEMEN"/>
    <s v="VROLIJK BLOEMEN"/>
    <x v="59"/>
    <s v="Floribunda Roses"/>
    <s v="80CM"/>
    <m/>
    <n v="1.5"/>
    <n v="80"/>
    <n v="0.56999999999999995"/>
    <n v="45.6"/>
    <s v="EUR"/>
    <m/>
    <m/>
    <x v="15"/>
    <n v="80"/>
    <x v="2"/>
    <x v="2"/>
    <m/>
    <m/>
    <n v="0"/>
    <n v="0"/>
    <n v="0"/>
    <x v="15"/>
    <n v="-80"/>
    <m/>
    <n v="436718"/>
    <n v="5.3070982142857135"/>
    <m/>
    <n v="0"/>
    <m/>
    <n v="5.3070982142857135"/>
    <n v="-5.3070982142857135"/>
    <m/>
    <n v="0"/>
  </r>
  <r>
    <n v="16"/>
    <n v="2024"/>
    <s v="Auction"/>
    <s v="VROLIJK BLOEMEN"/>
    <s v="VROLIJK BLOEMEN"/>
    <x v="59"/>
    <s v="Floribunda Roses"/>
    <s v="90CM"/>
    <n v="1"/>
    <n v="9.6000000000000014"/>
    <n v="160"/>
    <n v="0.75"/>
    <n v="120"/>
    <s v="EUR"/>
    <m/>
    <m/>
    <x v="15"/>
    <n v="160"/>
    <x v="2"/>
    <x v="3"/>
    <m/>
    <m/>
    <n v="0"/>
    <n v="0"/>
    <n v="0"/>
    <x v="15"/>
    <n v="-160"/>
    <m/>
    <n v="436718"/>
    <n v="33.965428571428575"/>
    <m/>
    <n v="0"/>
    <m/>
    <n v="33.965428571428575"/>
    <n v="-33.965428571428575"/>
    <m/>
    <n v="0"/>
  </r>
  <r>
    <n v="16"/>
    <n v="2024"/>
    <s v="Auction"/>
    <s v="VROLIJK BLOEMEN"/>
    <s v="VROLIJK BLOEMEN"/>
    <x v="59"/>
    <s v="Floribunda Roses"/>
    <s v="100CM"/>
    <m/>
    <n v="2.4000000000000004"/>
    <n v="40"/>
    <n v="0.94"/>
    <n v="37.599999999999994"/>
    <s v="EUR"/>
    <m/>
    <m/>
    <x v="15"/>
    <n v="40"/>
    <x v="2"/>
    <x v="4"/>
    <m/>
    <m/>
    <n v="0"/>
    <n v="0"/>
    <n v="0"/>
    <x v="15"/>
    <n v="-40"/>
    <m/>
    <n v="436718"/>
    <n v="8.4913571428571437"/>
    <m/>
    <n v="0"/>
    <m/>
    <n v="8.4913571428571437"/>
    <n v="-8.4913571428571437"/>
    <m/>
    <n v="0"/>
  </r>
  <r>
    <n v="16"/>
    <n v="2024"/>
    <s v="Auction"/>
    <s v="VROLIJK BLOEMEN"/>
    <s v="VROLIJK BLOEMEN"/>
    <x v="59"/>
    <s v="Grandiflora Roses"/>
    <s v="100CM"/>
    <m/>
    <m/>
    <m/>
    <m/>
    <m/>
    <s v="EUR"/>
    <m/>
    <m/>
    <x v="15"/>
    <n v="-160"/>
    <x v="0"/>
    <x v="4"/>
    <n v="160"/>
    <n v="0.79500000000000004"/>
    <n v="127.2"/>
    <n v="-7.8522264150943402"/>
    <n v="119.34777358490567"/>
    <x v="15"/>
    <n v="160"/>
    <m/>
    <n v="436718"/>
    <n v="0"/>
    <m/>
    <n v="3.2"/>
    <m/>
    <n v="3.2"/>
    <n v="116.14777358490566"/>
    <m/>
    <n v="160"/>
  </r>
  <r>
    <n v="16"/>
    <n v="2024"/>
    <s v="Auction"/>
    <s v="VROLIJK BLOEMEN"/>
    <s v="VROLIJK BLOEMEN"/>
    <x v="60"/>
    <s v="Floribunda Roses"/>
    <s v="50CM"/>
    <n v="2"/>
    <n v="24"/>
    <n v="1520"/>
    <n v="0.38"/>
    <n v="577.6"/>
    <s v="EUR"/>
    <m/>
    <m/>
    <x v="15"/>
    <n v="-360"/>
    <x v="2"/>
    <x v="5"/>
    <n v="1880"/>
    <n v="0.36"/>
    <n v="676.8"/>
    <n v="-79.710192307692225"/>
    <n v="597.08980769230777"/>
    <x v="15"/>
    <n v="360"/>
    <m/>
    <s v="F084386"/>
    <n v="90.525333333333336"/>
    <m/>
    <n v="37.6"/>
    <m/>
    <n v="128.12533333333334"/>
    <n v="468.96447435897443"/>
    <m/>
    <n v="1880"/>
  </r>
  <r>
    <n v="16"/>
    <n v="2024"/>
    <s v="Auction"/>
    <s v="VROLIJK BLOEMEN"/>
    <s v="VROLIJK BLOEMEN"/>
    <x v="60"/>
    <s v="Floribunda Roses"/>
    <s v="60CM"/>
    <n v="3"/>
    <n v="36"/>
    <n v="1560"/>
    <n v="0.47"/>
    <n v="733.2"/>
    <s v="EUR"/>
    <m/>
    <m/>
    <x v="15"/>
    <n v="-240"/>
    <x v="2"/>
    <x v="0"/>
    <n v="1800"/>
    <n v="0.4811111111111111"/>
    <n v="866"/>
    <n v="-76.318269230769147"/>
    <n v="789.68173076923085"/>
    <x v="15"/>
    <n v="240"/>
    <m/>
    <s v="F084386"/>
    <n v="135.78800000000001"/>
    <m/>
    <n v="36"/>
    <m/>
    <n v="171.78800000000001"/>
    <n v="617.89373076923084"/>
    <m/>
    <n v="1800"/>
  </r>
  <r>
    <n v="16"/>
    <n v="2024"/>
    <s v="Auction"/>
    <s v="VROLIJK BLOEMEN"/>
    <s v="VROLIJK BLOEMEN"/>
    <x v="60"/>
    <s v="Floribunda Roses"/>
    <s v="70CM"/>
    <n v="2"/>
    <n v="24"/>
    <n v="800"/>
    <n v="0.52"/>
    <n v="416"/>
    <s v="EUR"/>
    <m/>
    <m/>
    <x v="15"/>
    <n v="-240"/>
    <x v="2"/>
    <x v="1"/>
    <n v="1040"/>
    <n v="0.62384615384615383"/>
    <n v="648.79999999999995"/>
    <n v="-44.094999999999949"/>
    <n v="604.70500000000004"/>
    <x v="15"/>
    <n v="240"/>
    <m/>
    <s v="F084386"/>
    <n v="90.525333333333336"/>
    <m/>
    <n v="20.8"/>
    <m/>
    <n v="111.32533333333333"/>
    <n v="493.37966666666671"/>
    <m/>
    <n v="1040"/>
  </r>
  <r>
    <n v="16"/>
    <n v="2024"/>
    <s v="Auction"/>
    <s v="VROLIJK BLOEMEN"/>
    <s v="VROLIJK BLOEMEN"/>
    <x v="60"/>
    <s v="Floribunda Roses"/>
    <s v="80CM"/>
    <n v="2"/>
    <n v="24"/>
    <n v="640"/>
    <n v="0.56999999999999995"/>
    <n v="364.8"/>
    <s v="EUR"/>
    <m/>
    <m/>
    <x v="15"/>
    <n v="-40"/>
    <x v="2"/>
    <x v="2"/>
    <n v="680"/>
    <n v="0.86764705882352944"/>
    <n v="590"/>
    <n v="-28.831346153846123"/>
    <n v="561.16865384615392"/>
    <x v="15"/>
    <n v="40"/>
    <m/>
    <s v="F084386"/>
    <n v="90.525333333333336"/>
    <m/>
    <n v="13.6"/>
    <m/>
    <n v="104.12533333333333"/>
    <n v="457.04332051282057"/>
    <m/>
    <n v="680"/>
  </r>
  <r>
    <n v="16"/>
    <n v="2024"/>
    <s v="Auction"/>
    <s v="VROLIJK BLOEMEN"/>
    <s v="VROLIJK BLOEMEN"/>
    <x v="60"/>
    <s v="Floribunda Roses"/>
    <s v="90CM"/>
    <n v="1"/>
    <n v="12"/>
    <n v="240"/>
    <n v="0.75"/>
    <n v="180"/>
    <s v="EUR"/>
    <m/>
    <m/>
    <x v="15"/>
    <n v="-80"/>
    <x v="2"/>
    <x v="3"/>
    <n v="320"/>
    <n v="1.3374999999999999"/>
    <n v="428"/>
    <n v="-13.567692307692292"/>
    <n v="414.43230769230769"/>
    <x v="15"/>
    <n v="80"/>
    <m/>
    <s v="F084386"/>
    <n v="45.262666666666668"/>
    <m/>
    <n v="6.4"/>
    <m/>
    <n v="51.662666666666667"/>
    <n v="362.76964102564102"/>
    <m/>
    <n v="320"/>
  </r>
  <r>
    <n v="16"/>
    <n v="2024"/>
    <s v="Auction"/>
    <s v="VROLIJK BLOEMEN"/>
    <s v="VROLIJK BLOEMEN"/>
    <x v="60"/>
    <s v="Floribunda Roses"/>
    <s v="100CM"/>
    <n v="2"/>
    <n v="24"/>
    <n v="400"/>
    <n v="0.94"/>
    <n v="376"/>
    <s v="EUR"/>
    <m/>
    <m/>
    <x v="15"/>
    <n v="-40"/>
    <x v="2"/>
    <x v="4"/>
    <n v="440"/>
    <n v="0.79454545454545455"/>
    <n v="349.6"/>
    <n v="-18.655576923076904"/>
    <n v="330.9444230769231"/>
    <x v="15"/>
    <n v="40"/>
    <m/>
    <s v="F084386"/>
    <n v="90.525333333333336"/>
    <m/>
    <n v="8.8000000000000007"/>
    <m/>
    <n v="99.325333333333333"/>
    <n v="231.61908974358977"/>
    <m/>
    <n v="440"/>
  </r>
  <r>
    <n v="16"/>
    <n v="2024"/>
    <s v="Auction"/>
    <s v="VROLIJK BLOEMEN"/>
    <s v="VROLIJK BLOEMEN"/>
    <x v="60"/>
    <s v="English Roses"/>
    <s v="50CM"/>
    <n v="1"/>
    <n v="12"/>
    <n v="520"/>
    <n v="0.38"/>
    <n v="197.6"/>
    <s v="EUR"/>
    <m/>
    <m/>
    <x v="15"/>
    <n v="-80"/>
    <x v="1"/>
    <x v="5"/>
    <n v="600"/>
    <n v="0.22733333333333333"/>
    <n v="136.4"/>
    <n v="-25.439423076923049"/>
    <n v="110.96057692307696"/>
    <x v="15"/>
    <n v="80"/>
    <m/>
    <s v="F084386"/>
    <n v="45.262666666666668"/>
    <m/>
    <n v="12"/>
    <m/>
    <n v="57.262666666666668"/>
    <n v="53.697910256410289"/>
    <m/>
    <n v="600"/>
  </r>
  <r>
    <n v="16"/>
    <n v="2024"/>
    <s v="Auction"/>
    <s v="VROLIJK BLOEMEN"/>
    <s v="VROLIJK BLOEMEN"/>
    <x v="60"/>
    <s v="English Roses"/>
    <s v="60CM"/>
    <n v="2"/>
    <n v="24"/>
    <n v="960"/>
    <n v="0.47"/>
    <n v="451.2"/>
    <s v="EUR"/>
    <m/>
    <m/>
    <x v="15"/>
    <n v="0"/>
    <x v="1"/>
    <x v="0"/>
    <n v="960"/>
    <n v="0.40666666666666662"/>
    <n v="390.4"/>
    <n v="-40.703076923076878"/>
    <n v="349.6969230769231"/>
    <x v="15"/>
    <n v="0"/>
    <m/>
    <s v="F084386"/>
    <n v="90.525333333333336"/>
    <m/>
    <n v="19.2"/>
    <m/>
    <n v="109.72533333333334"/>
    <n v="239.97158974358976"/>
    <m/>
    <n v="960"/>
  </r>
  <r>
    <n v="16"/>
    <n v="2024"/>
    <s v="Auction"/>
    <s v="VROLIJK BLOEMEN"/>
    <s v="VROLIJK BLOEMEN"/>
    <x v="60"/>
    <s v="English Roses"/>
    <s v="70CM"/>
    <n v="2"/>
    <n v="24"/>
    <n v="800"/>
    <n v="0.52"/>
    <n v="416"/>
    <s v="EUR"/>
    <m/>
    <m/>
    <x v="15"/>
    <n v="-40"/>
    <x v="1"/>
    <x v="1"/>
    <n v="840"/>
    <n v="0.49000000000000005"/>
    <n v="411.6"/>
    <n v="-35.615192307692269"/>
    <n v="375.98480769230775"/>
    <x v="15"/>
    <n v="40"/>
    <m/>
    <s v="F084386"/>
    <n v="90.525333333333336"/>
    <m/>
    <n v="16.8"/>
    <m/>
    <n v="107.32533333333333"/>
    <n v="268.65947435897442"/>
    <m/>
    <n v="840"/>
  </r>
  <r>
    <n v="16"/>
    <n v="2024"/>
    <s v="Auction"/>
    <s v="VROLIJK BLOEMEN"/>
    <s v="VROLIJK BLOEMEN"/>
    <x v="60"/>
    <s v="English Roses"/>
    <s v="90CM"/>
    <n v="1"/>
    <n v="12"/>
    <n v="240"/>
    <n v="0.75"/>
    <n v="180"/>
    <s v="EUR"/>
    <m/>
    <m/>
    <x v="15"/>
    <n v="0"/>
    <x v="1"/>
    <x v="3"/>
    <n v="240"/>
    <n v="0.5033333333333333"/>
    <n v="120.8"/>
    <n v="-10.17576923076922"/>
    <n v="110.62423076923078"/>
    <x v="15"/>
    <n v="0"/>
    <m/>
    <s v="F084386"/>
    <n v="45.262666666666668"/>
    <m/>
    <n v="4.8"/>
    <m/>
    <n v="50.062666666666665"/>
    <n v="60.561564102564112"/>
    <m/>
    <n v="240"/>
  </r>
  <r>
    <n v="16"/>
    <n v="2024"/>
    <s v="Auction"/>
    <s v="VROLIJK BLOEMEN"/>
    <s v="VROLIJK BLOEMEN"/>
    <x v="60"/>
    <s v="English Roses"/>
    <s v="100CM"/>
    <n v="2"/>
    <n v="24"/>
    <n v="400"/>
    <n v="0.94"/>
    <n v="376"/>
    <s v="EUR"/>
    <m/>
    <m/>
    <x v="15"/>
    <n v="-80"/>
    <x v="1"/>
    <x v="4"/>
    <n v="480"/>
    <n v="0.68166666666666664"/>
    <n v="327.2"/>
    <n v="-20.351538461538439"/>
    <n v="306.84846153846155"/>
    <x v="15"/>
    <n v="80"/>
    <m/>
    <s v="F084386"/>
    <n v="90.525333333333336"/>
    <m/>
    <n v="9.6"/>
    <m/>
    <n v="100.12533333333333"/>
    <n v="206.72312820512821"/>
    <m/>
    <n v="480"/>
  </r>
  <r>
    <n v="16"/>
    <n v="2024"/>
    <s v="Auction"/>
    <s v="VROLIJK BLOEMEN"/>
    <s v="VROLIJK BLOEMEN"/>
    <x v="60"/>
    <s v="Grandiflora Roses"/>
    <s v="100CM"/>
    <n v="1"/>
    <n v="12"/>
    <n v="320"/>
    <n v="0.47"/>
    <n v="150.4"/>
    <s v="EUR"/>
    <m/>
    <m/>
    <x v="15"/>
    <n v="-160"/>
    <x v="0"/>
    <x v="4"/>
    <n v="480"/>
    <n v="0.67749999999999999"/>
    <n v="325.2"/>
    <n v="-20.351538461538439"/>
    <n v="304.84846153846155"/>
    <x v="15"/>
    <n v="160"/>
    <m/>
    <s v="F084386"/>
    <n v="45.262666666666668"/>
    <m/>
    <n v="9.6"/>
    <m/>
    <n v="54.862666666666669"/>
    <n v="249.98579487179489"/>
    <m/>
    <n v="480"/>
  </r>
  <r>
    <n v="16"/>
    <n v="2024"/>
    <s v="Auction"/>
    <s v="VROLIJK BLOEMEN"/>
    <s v="VROLIJK BLOEMEN"/>
    <x v="60"/>
    <s v="Grandiflora Roses"/>
    <s v="70CM"/>
    <n v="1"/>
    <n v="12"/>
    <n v="520"/>
    <n v="0.28000000000000003"/>
    <n v="145.6"/>
    <s v="EUR"/>
    <m/>
    <m/>
    <x v="15"/>
    <n v="-320"/>
    <x v="0"/>
    <x v="1"/>
    <n v="840"/>
    <n v="0.36285714285714288"/>
    <n v="304.8"/>
    <n v="-35.615192307692269"/>
    <n v="269.18480769230774"/>
    <x v="15"/>
    <n v="320"/>
    <m/>
    <s v="F084386"/>
    <n v="45.262666666666668"/>
    <m/>
    <n v="16.8"/>
    <m/>
    <n v="62.062666666666672"/>
    <n v="207.12214102564107"/>
    <m/>
    <n v="840"/>
  </r>
  <r>
    <n v="16"/>
    <n v="2024"/>
    <s v="Auction"/>
    <s v="VROLIJK BLOEMEN"/>
    <s v="VROLIJK BLOEMEN"/>
    <x v="60"/>
    <s v="Grandiflora Roses"/>
    <s v="80CM"/>
    <n v="1"/>
    <n v="12"/>
    <n v="480"/>
    <n v="0.33"/>
    <n v="158.4"/>
    <s v="EUR"/>
    <m/>
    <m/>
    <x v="15"/>
    <n v="-320"/>
    <x v="0"/>
    <x v="2"/>
    <n v="800"/>
    <n v="0.47649999999999998"/>
    <n v="381.2"/>
    <n v="-33.91923076923073"/>
    <n v="347.28076923076924"/>
    <x v="15"/>
    <n v="320"/>
    <m/>
    <s v="F084386"/>
    <n v="45.262666666666668"/>
    <m/>
    <n v="16"/>
    <m/>
    <n v="61.262666666666668"/>
    <n v="286.01810256410255"/>
    <m/>
    <n v="800"/>
  </r>
  <r>
    <n v="16"/>
    <n v="2024"/>
    <s v="Auction"/>
    <s v="VROLIJK BLOEMEN"/>
    <s v="VROLIJK BLOEMEN"/>
    <x v="60"/>
    <s v="Grandiflora Roses"/>
    <s v="90CM"/>
    <n v="1"/>
    <n v="12"/>
    <n v="400"/>
    <n v="0.38"/>
    <n v="152"/>
    <s v="EUR"/>
    <m/>
    <m/>
    <x v="15"/>
    <n v="-160"/>
    <x v="0"/>
    <x v="3"/>
    <n v="560"/>
    <n v="0.44857142857142857"/>
    <n v="251.2"/>
    <n v="-23.743461538461514"/>
    <n v="227.45653846153849"/>
    <x v="15"/>
    <n v="160"/>
    <m/>
    <s v="F084386"/>
    <n v="45.262666666666668"/>
    <m/>
    <n v="11.200000000000001"/>
    <m/>
    <n v="56.462666666666671"/>
    <n v="170.99387179487181"/>
    <m/>
    <n v="560"/>
  </r>
  <r>
    <n v="16"/>
    <n v="2024"/>
    <s v="Auction"/>
    <s v="VROLIJK BLOEMEN"/>
    <s v="VROLIJK BLOEMEN"/>
    <x v="60"/>
    <s v="Floribunda Roses"/>
    <s v="100CM"/>
    <n v="1"/>
    <n v="1.3333333333333333"/>
    <n v="40"/>
    <n v="0.94"/>
    <n v="37.6"/>
    <s v="EUR"/>
    <m/>
    <m/>
    <x v="15"/>
    <n v="40"/>
    <x v="2"/>
    <x v="4"/>
    <m/>
    <m/>
    <n v="0"/>
    <n v="0"/>
    <n v="0"/>
    <x v="15"/>
    <n v="-40"/>
    <m/>
    <s v="F084386"/>
    <n v="5.0291851851851854"/>
    <m/>
    <n v="0"/>
    <m/>
    <n v="5.0291851851851854"/>
    <n v="-5.0291851851851854"/>
    <m/>
    <n v="0"/>
  </r>
  <r>
    <n v="16"/>
    <n v="2024"/>
    <s v="Auction"/>
    <s v="VROLIJK BLOEMEN"/>
    <s v="VROLIJK BLOEMEN"/>
    <x v="60"/>
    <s v="Floribunda Roses"/>
    <s v="70CM"/>
    <m/>
    <n v="8"/>
    <n v="240"/>
    <n v="0.52"/>
    <n v="124.8"/>
    <s v="EUR"/>
    <m/>
    <m/>
    <x v="15"/>
    <n v="240"/>
    <x v="2"/>
    <x v="1"/>
    <m/>
    <m/>
    <n v="0"/>
    <n v="0"/>
    <n v="0"/>
    <x v="15"/>
    <n v="-240"/>
    <m/>
    <s v="F084386"/>
    <n v="30.175111111111114"/>
    <m/>
    <n v="0"/>
    <m/>
    <n v="30.175111111111114"/>
    <n v="-30.175111111111114"/>
    <m/>
    <n v="0"/>
  </r>
  <r>
    <n v="16"/>
    <n v="2024"/>
    <s v="Auction"/>
    <s v="VROLIJK BLOEMEN"/>
    <s v="VROLIJK BLOEMEN"/>
    <x v="60"/>
    <s v="Floribunda Roses"/>
    <s v="90CM"/>
    <m/>
    <n v="2.6666666666666665"/>
    <n v="80"/>
    <n v="0.75"/>
    <n v="60"/>
    <s v="EUR"/>
    <m/>
    <m/>
    <x v="15"/>
    <n v="80"/>
    <x v="2"/>
    <x v="3"/>
    <m/>
    <m/>
    <n v="0"/>
    <n v="0"/>
    <n v="0"/>
    <x v="15"/>
    <n v="-80"/>
    <m/>
    <s v="F084386"/>
    <n v="10.058370370370371"/>
    <m/>
    <n v="0"/>
    <m/>
    <n v="10.058370370370371"/>
    <n v="-10.058370370370371"/>
    <m/>
    <n v="0"/>
  </r>
  <r>
    <n v="16"/>
    <n v="2024"/>
    <s v="Auction"/>
    <s v="VROLIJK BLOEMEN"/>
    <s v="VROLIJK BLOEMEN"/>
    <x v="60"/>
    <s v="Grandiflora Roses"/>
    <s v="90CM"/>
    <n v="1"/>
    <n v="4"/>
    <n v="160"/>
    <n v="0.38"/>
    <n v="60.8"/>
    <s v="EUR"/>
    <m/>
    <m/>
    <x v="15"/>
    <n v="160"/>
    <x v="0"/>
    <x v="3"/>
    <m/>
    <m/>
    <n v="0"/>
    <n v="0"/>
    <n v="0"/>
    <x v="15"/>
    <n v="-160"/>
    <m/>
    <s v="F084386"/>
    <n v="15.087555555555557"/>
    <m/>
    <n v="0"/>
    <m/>
    <n v="15.087555555555557"/>
    <n v="-15.087555555555557"/>
    <m/>
    <n v="0"/>
  </r>
  <r>
    <n v="16"/>
    <n v="2024"/>
    <s v="Auction"/>
    <s v="VROLIJK BLOEMEN"/>
    <s v="VROLIJK BLOEMEN"/>
    <x v="60"/>
    <s v="Grandiflora Roses"/>
    <s v="80CM"/>
    <m/>
    <n v="8"/>
    <n v="320"/>
    <n v="0.33"/>
    <n v="105.6"/>
    <s v="EUR"/>
    <m/>
    <m/>
    <x v="15"/>
    <n v="320"/>
    <x v="0"/>
    <x v="2"/>
    <m/>
    <m/>
    <n v="0"/>
    <n v="0"/>
    <n v="0"/>
    <x v="15"/>
    <n v="-320"/>
    <m/>
    <s v="F084386"/>
    <n v="30.175111111111114"/>
    <m/>
    <n v="0"/>
    <m/>
    <n v="30.175111111111114"/>
    <n v="-30.175111111111114"/>
    <m/>
    <n v="0"/>
  </r>
  <r>
    <n v="16"/>
    <n v="2024"/>
    <s v="Auction"/>
    <s v="VROLIJK BLOEMEN"/>
    <s v="VROLIJK BLOEMEN"/>
    <x v="60"/>
    <s v="English Roses"/>
    <s v="80CM"/>
    <n v="1"/>
    <n v="5.333333333333333"/>
    <n v="160"/>
    <n v="0.56999999999999995"/>
    <n v="91.2"/>
    <s v="EUR"/>
    <m/>
    <m/>
    <x v="15"/>
    <n v="0"/>
    <x v="1"/>
    <x v="2"/>
    <n v="160"/>
    <n v="0.63"/>
    <n v="100.8"/>
    <n v="-6.7838461538461461"/>
    <n v="94.016153846153856"/>
    <x v="15"/>
    <n v="0"/>
    <m/>
    <s v="F084386"/>
    <n v="20.116740740740742"/>
    <m/>
    <n v="3.2"/>
    <m/>
    <n v="23.316740740740741"/>
    <n v="70.699413105413115"/>
    <m/>
    <n v="160"/>
  </r>
  <r>
    <n v="16"/>
    <n v="2024"/>
    <s v="Auction"/>
    <s v="VROLIJK BLOEMEN"/>
    <s v="VROLIJK BLOEMEN"/>
    <x v="60"/>
    <s v="English Roses"/>
    <s v="100CM"/>
    <m/>
    <n v="2.6666666666666665"/>
    <n v="80"/>
    <n v="0.94"/>
    <n v="75.2"/>
    <s v="EUR"/>
    <m/>
    <m/>
    <x v="15"/>
    <n v="80"/>
    <x v="1"/>
    <x v="4"/>
    <m/>
    <m/>
    <n v="0"/>
    <n v="0"/>
    <n v="0"/>
    <x v="15"/>
    <n v="-80"/>
    <m/>
    <s v="F084386"/>
    <n v="10.058370370370371"/>
    <m/>
    <n v="0"/>
    <m/>
    <n v="10.058370370370371"/>
    <n v="-10.058370370370371"/>
    <m/>
    <n v="0"/>
  </r>
  <r>
    <n v="16"/>
    <n v="2024"/>
    <s v="Auction"/>
    <s v="VROLIJK BLOEMEN"/>
    <s v="VROLIJK BLOEMEN"/>
    <x v="60"/>
    <s v="English Roses"/>
    <s v="50CM"/>
    <m/>
    <n v="2.6666666666666665"/>
    <n v="80"/>
    <n v="0.38"/>
    <n v="30.4"/>
    <s v="EUR"/>
    <m/>
    <m/>
    <x v="15"/>
    <n v="80"/>
    <x v="1"/>
    <x v="5"/>
    <m/>
    <m/>
    <n v="0"/>
    <n v="0"/>
    <n v="0"/>
    <x v="15"/>
    <n v="-80"/>
    <m/>
    <s v="F084386"/>
    <n v="10.058370370370371"/>
    <m/>
    <n v="0"/>
    <m/>
    <n v="10.058370370370371"/>
    <n v="-10.058370370370371"/>
    <m/>
    <n v="0"/>
  </r>
  <r>
    <n v="16"/>
    <n v="2024"/>
    <s v="Auction"/>
    <s v="VROLIJK BLOEMEN"/>
    <s v="VROLIJK BLOEMEN"/>
    <x v="60"/>
    <s v="English Roses"/>
    <s v="70CM"/>
    <m/>
    <n v="1.3333333333333333"/>
    <n v="40"/>
    <n v="0.52"/>
    <n v="20.8"/>
    <s v="EUR"/>
    <m/>
    <m/>
    <x v="15"/>
    <n v="40"/>
    <x v="1"/>
    <x v="1"/>
    <m/>
    <m/>
    <n v="0"/>
    <n v="0"/>
    <n v="0"/>
    <x v="15"/>
    <n v="-40"/>
    <m/>
    <s v="F084386"/>
    <n v="5.0291851851851854"/>
    <m/>
    <n v="0"/>
    <m/>
    <n v="5.0291851851851854"/>
    <n v="-5.0291851851851854"/>
    <m/>
    <n v="0"/>
  </r>
  <r>
    <n v="16"/>
    <n v="2024"/>
    <s v="Auction"/>
    <s v="VROLIJK BLOEMEN"/>
    <s v="VROLIJK BLOEMEN"/>
    <x v="60"/>
    <s v="Grandiflora Roses"/>
    <s v="70CM"/>
    <n v="1"/>
    <n v="8"/>
    <n v="320"/>
    <n v="0.28000000000000003"/>
    <n v="89.6"/>
    <s v="EUR"/>
    <m/>
    <m/>
    <x v="15"/>
    <n v="320"/>
    <x v="0"/>
    <x v="1"/>
    <m/>
    <m/>
    <n v="0"/>
    <n v="0"/>
    <n v="0"/>
    <x v="15"/>
    <n v="-320"/>
    <m/>
    <s v="F084386"/>
    <n v="30.175111111111114"/>
    <m/>
    <n v="0"/>
    <m/>
    <n v="30.175111111111114"/>
    <n v="-30.175111111111114"/>
    <m/>
    <n v="0"/>
  </r>
  <r>
    <n v="16"/>
    <n v="2024"/>
    <s v="Auction"/>
    <s v="VROLIJK BLOEMEN"/>
    <s v="VROLIJK BLOEMEN"/>
    <x v="60"/>
    <s v="Grandiflora Roses"/>
    <s v="100CM"/>
    <m/>
    <n v="4"/>
    <n v="160"/>
    <n v="0.47"/>
    <n v="75.2"/>
    <s v="EUR"/>
    <m/>
    <m/>
    <x v="15"/>
    <n v="160"/>
    <x v="0"/>
    <x v="4"/>
    <m/>
    <m/>
    <n v="0"/>
    <n v="0"/>
    <n v="0"/>
    <x v="15"/>
    <n v="-160"/>
    <m/>
    <s v="F084386"/>
    <n v="15.087555555555557"/>
    <m/>
    <n v="0"/>
    <m/>
    <n v="15.087555555555557"/>
    <n v="-15.087555555555557"/>
    <m/>
    <n v="0"/>
  </r>
  <r>
    <n v="16"/>
    <n v="2024"/>
    <s v="Auction"/>
    <s v="VROLIJK BLOEMEN"/>
    <s v="VROLIJK BLOEMEN"/>
    <x v="60"/>
    <s v="Floribunda Roses"/>
    <s v="60CM"/>
    <n v="1"/>
    <n v="4.5"/>
    <n v="240"/>
    <n v="0.47"/>
    <n v="112.8"/>
    <s v="EUR"/>
    <m/>
    <m/>
    <x v="15"/>
    <n v="240"/>
    <x v="2"/>
    <x v="0"/>
    <m/>
    <m/>
    <n v="0"/>
    <n v="0"/>
    <n v="0"/>
    <x v="15"/>
    <n v="-240"/>
    <m/>
    <s v="F084386"/>
    <n v="16.973500000000001"/>
    <m/>
    <n v="0"/>
    <m/>
    <n v="16.973500000000001"/>
    <n v="-16.973500000000001"/>
    <m/>
    <n v="0"/>
  </r>
  <r>
    <n v="16"/>
    <n v="2024"/>
    <s v="Auction"/>
    <s v="VROLIJK BLOEMEN"/>
    <s v="VROLIJK BLOEMEN"/>
    <x v="60"/>
    <s v="Floribunda Roses"/>
    <s v="50CM"/>
    <m/>
    <n v="6.75"/>
    <n v="360"/>
    <n v="0.38"/>
    <n v="136.80000000000001"/>
    <s v="EUR"/>
    <m/>
    <m/>
    <x v="15"/>
    <n v="360"/>
    <x v="2"/>
    <x v="5"/>
    <m/>
    <m/>
    <n v="0"/>
    <n v="0"/>
    <n v="0"/>
    <x v="15"/>
    <n v="-360"/>
    <m/>
    <s v="F084386"/>
    <n v="25.460250000000002"/>
    <m/>
    <n v="0"/>
    <m/>
    <n v="25.460250000000002"/>
    <n v="-25.460250000000002"/>
    <m/>
    <n v="0"/>
  </r>
  <r>
    <n v="16"/>
    <n v="2024"/>
    <s v="Auction"/>
    <s v="VROLIJK BLOEMEN"/>
    <s v="VROLIJK BLOEMEN"/>
    <x v="60"/>
    <s v="Floribunda Roses"/>
    <s v="80CM"/>
    <m/>
    <n v="0.75"/>
    <n v="40"/>
    <n v="0.56999999999999995"/>
    <n v="22.8"/>
    <s v="EUR"/>
    <m/>
    <m/>
    <x v="15"/>
    <n v="40"/>
    <x v="2"/>
    <x v="2"/>
    <m/>
    <m/>
    <n v="0"/>
    <n v="0"/>
    <n v="0"/>
    <x v="15"/>
    <n v="-40"/>
    <m/>
    <s v="F084386"/>
    <n v="2.8289166666666667"/>
    <m/>
    <n v="0"/>
    <m/>
    <n v="2.8289166666666667"/>
    <n v="-2.8289166666666667"/>
    <m/>
    <n v="0"/>
  </r>
  <r>
    <n v="16"/>
    <n v="2024"/>
    <s v="Auction"/>
    <s v="VROLIJK BLOEMEN"/>
    <s v="VROLIJK BLOEMEN"/>
    <x v="60"/>
    <s v="Moss Roses"/>
    <s v="60CM"/>
    <n v="1"/>
    <n v="4"/>
    <n v="120"/>
    <n v="0.24"/>
    <n v="28.8"/>
    <s v="EUR"/>
    <m/>
    <m/>
    <x v="15"/>
    <n v="0"/>
    <x v="4"/>
    <x v="0"/>
    <n v="120"/>
    <n v="0.38"/>
    <n v="45.6"/>
    <n v="-5.0878846153846098"/>
    <n v="40.512115384615392"/>
    <x v="15"/>
    <n v="0"/>
    <m/>
    <s v="F084386"/>
    <n v="15.087555555555557"/>
    <m/>
    <n v="2.4"/>
    <m/>
    <n v="17.487555555555556"/>
    <n v="23.024559829059836"/>
    <m/>
    <n v="120"/>
  </r>
  <r>
    <n v="16"/>
    <n v="2024"/>
    <s v="Auction"/>
    <s v="VROLIJK BLOEMEN"/>
    <s v="VROLIJK BLOEMEN"/>
    <x v="60"/>
    <s v="Moss Roses"/>
    <s v="70CM"/>
    <m/>
    <n v="4"/>
    <n v="120"/>
    <n v="0.28000000000000003"/>
    <n v="33.6"/>
    <s v="EUR"/>
    <m/>
    <m/>
    <x v="15"/>
    <n v="0"/>
    <x v="4"/>
    <x v="1"/>
    <n v="120"/>
    <n v="0.44"/>
    <n v="52.8"/>
    <n v="-5.0878846153846098"/>
    <n v="47.712115384615387"/>
    <x v="15"/>
    <n v="0"/>
    <m/>
    <s v="F084386"/>
    <n v="15.087555555555557"/>
    <m/>
    <n v="2.4"/>
    <m/>
    <n v="17.487555555555556"/>
    <n v="30.224559829059832"/>
    <m/>
    <n v="120"/>
  </r>
  <r>
    <n v="16"/>
    <n v="2024"/>
    <s v="Auction"/>
    <s v="VROLIJK BLOEMEN"/>
    <s v="VROLIJK BLOEMEN"/>
    <x v="60"/>
    <s v="Moss Roses"/>
    <s v="80CM"/>
    <m/>
    <n v="2.6666666666666665"/>
    <n v="80"/>
    <n v="0.33"/>
    <n v="26.4"/>
    <s v="EUR"/>
    <m/>
    <m/>
    <x v="15"/>
    <n v="0"/>
    <x v="4"/>
    <x v="2"/>
    <n v="80"/>
    <n v="0.47000000000000003"/>
    <n v="37.6"/>
    <n v="-3.391923076923073"/>
    <n v="34.208076923076931"/>
    <x v="15"/>
    <n v="0"/>
    <m/>
    <s v="F084386"/>
    <n v="10.058370370370371"/>
    <m/>
    <n v="1.6"/>
    <m/>
    <n v="11.65837037037037"/>
    <n v="22.54970655270656"/>
    <m/>
    <n v="80"/>
  </r>
  <r>
    <n v="16"/>
    <n v="2024"/>
    <s v="Auction"/>
    <s v="VROLIJK BLOEMEN"/>
    <s v="VROLIJK BLOEMEN"/>
    <x v="60"/>
    <s v="Moss Roses"/>
    <s v="90CM"/>
    <m/>
    <n v="1.3333333333333333"/>
    <n v="40"/>
    <n v="0.38"/>
    <n v="15.2"/>
    <s v="EUR"/>
    <m/>
    <m/>
    <x v="15"/>
    <n v="0"/>
    <x v="4"/>
    <x v="3"/>
    <n v="40"/>
    <n v="0.44000000000000006"/>
    <n v="17.600000000000001"/>
    <n v="-1.6959615384615365"/>
    <n v="15.904038461538464"/>
    <x v="15"/>
    <n v="0"/>
    <m/>
    <s v="F084386"/>
    <n v="5.0291851851851854"/>
    <m/>
    <n v="0.8"/>
    <m/>
    <n v="5.8291851851851852"/>
    <n v="10.074853276353279"/>
    <m/>
    <n v="40"/>
  </r>
  <r>
    <n v="16"/>
    <n v="2024"/>
    <s v="Auction"/>
    <s v="VROLIJK BLOEMEN"/>
    <s v="VROLIJK BLOEMEN"/>
    <x v="61"/>
    <s v="English Roses"/>
    <s v="50CM"/>
    <n v="1"/>
    <n v="12"/>
    <n v="520"/>
    <n v="0.38"/>
    <n v="197.6"/>
    <s v="EUR"/>
    <m/>
    <m/>
    <x v="16"/>
    <n v="0"/>
    <x v="1"/>
    <x v="5"/>
    <n v="520"/>
    <n v="0.2"/>
    <n v="104"/>
    <n v="-20.449675324675351"/>
    <n v="83.550324675324646"/>
    <x v="16"/>
    <n v="0"/>
    <m/>
    <n v="437514"/>
    <n v="43.504444444444445"/>
    <m/>
    <n v="10.4"/>
    <m/>
    <n v="53.904444444444444"/>
    <n v="29.645880230880202"/>
    <m/>
    <n v="520"/>
  </r>
  <r>
    <n v="16"/>
    <n v="2024"/>
    <s v="Auction"/>
    <s v="VROLIJK BLOEMEN"/>
    <s v="VROLIJK BLOEMEN"/>
    <x v="61"/>
    <s v="English Roses"/>
    <s v="60CM"/>
    <n v="2"/>
    <n v="24"/>
    <n v="960"/>
    <n v="0.47"/>
    <n v="451.2"/>
    <s v="EUR"/>
    <m/>
    <m/>
    <x v="16"/>
    <n v="0"/>
    <x v="1"/>
    <x v="0"/>
    <n v="960"/>
    <n v="0.28833333333333333"/>
    <n v="276.8"/>
    <n v="-37.753246753246806"/>
    <n v="239.04675324675321"/>
    <x v="16"/>
    <n v="0"/>
    <m/>
    <n v="437514"/>
    <n v="87.00888888888889"/>
    <m/>
    <n v="19.2"/>
    <m/>
    <n v="106.20888888888889"/>
    <n v="132.83786435786431"/>
    <m/>
    <n v="960"/>
  </r>
  <r>
    <n v="16"/>
    <n v="2024"/>
    <s v="Auction"/>
    <s v="VROLIJK BLOEMEN"/>
    <s v="VROLIJK BLOEMEN"/>
    <x v="61"/>
    <s v="English Roses"/>
    <s v="70CM"/>
    <n v="3"/>
    <n v="36"/>
    <n v="1200"/>
    <n v="0.52"/>
    <n v="624"/>
    <s v="EUR"/>
    <m/>
    <m/>
    <x v="16"/>
    <n v="0"/>
    <x v="1"/>
    <x v="1"/>
    <n v="1200"/>
    <n v="0.6246666666666667"/>
    <n v="749.6"/>
    <n v="-47.191558441558499"/>
    <n v="702.4084415584415"/>
    <x v="16"/>
    <n v="0"/>
    <m/>
    <n v="437514"/>
    <n v="130.51333333333332"/>
    <m/>
    <n v="24"/>
    <m/>
    <n v="154.51333333333332"/>
    <n v="547.89510822510817"/>
    <m/>
    <n v="1200"/>
  </r>
  <r>
    <n v="16"/>
    <n v="2024"/>
    <s v="Auction"/>
    <s v="VROLIJK BLOEMEN"/>
    <s v="VROLIJK BLOEMEN"/>
    <x v="61"/>
    <s v="English Roses"/>
    <s v="80CM"/>
    <n v="4"/>
    <n v="48"/>
    <n v="1280"/>
    <n v="0.56999999999999995"/>
    <n v="729.6"/>
    <s v="EUR"/>
    <m/>
    <m/>
    <x v="16"/>
    <n v="0"/>
    <x v="1"/>
    <x v="2"/>
    <n v="1280"/>
    <n v="0.76218750000000002"/>
    <n v="975.6"/>
    <n v="-50.337662337662401"/>
    <n v="925.26233766233759"/>
    <x v="16"/>
    <n v="0"/>
    <m/>
    <n v="437514"/>
    <n v="174.01777777777778"/>
    <m/>
    <n v="25.6"/>
    <m/>
    <n v="199.61777777777777"/>
    <n v="725.64455988455984"/>
    <m/>
    <n v="1280"/>
  </r>
  <r>
    <n v="16"/>
    <n v="2024"/>
    <s v="Auction"/>
    <s v="VROLIJK BLOEMEN"/>
    <s v="VROLIJK BLOEMEN"/>
    <x v="61"/>
    <s v="English Roses"/>
    <s v="90CM"/>
    <n v="2"/>
    <n v="24"/>
    <n v="480"/>
    <n v="0.75"/>
    <n v="360"/>
    <s v="EUR"/>
    <m/>
    <m/>
    <x v="16"/>
    <n v="480"/>
    <x v="1"/>
    <x v="3"/>
    <m/>
    <m/>
    <n v="0"/>
    <n v="0"/>
    <n v="0"/>
    <x v="16"/>
    <n v="-480"/>
    <m/>
    <n v="437514"/>
    <n v="87.00888888888889"/>
    <m/>
    <n v="0"/>
    <m/>
    <n v="87.00888888888889"/>
    <n v="-87.00888888888889"/>
    <m/>
    <n v="0"/>
  </r>
  <r>
    <n v="16"/>
    <n v="2024"/>
    <s v="Auction"/>
    <s v="VROLIJK BLOEMEN"/>
    <s v="VROLIJK BLOEMEN"/>
    <x v="61"/>
    <s v="English Roses"/>
    <s v="100CM"/>
    <n v="1"/>
    <n v="12"/>
    <n v="200"/>
    <n v="0.94"/>
    <n v="188"/>
    <s v="EUR"/>
    <m/>
    <m/>
    <x v="16"/>
    <n v="200"/>
    <x v="1"/>
    <x v="4"/>
    <m/>
    <m/>
    <n v="0"/>
    <n v="0"/>
    <n v="0"/>
    <x v="16"/>
    <n v="-200"/>
    <m/>
    <n v="437514"/>
    <n v="43.504444444444445"/>
    <m/>
    <n v="0"/>
    <m/>
    <n v="43.504444444444445"/>
    <n v="-43.504444444444445"/>
    <m/>
    <n v="0"/>
  </r>
  <r>
    <n v="16"/>
    <n v="2024"/>
    <s v="Auction"/>
    <s v="VROLIJK BLOEMEN"/>
    <s v="VROLIJK BLOEMEN"/>
    <x v="61"/>
    <s v="Floribunda Roses"/>
    <s v="50CM"/>
    <n v="3"/>
    <n v="36"/>
    <n v="2280"/>
    <n v="0.38"/>
    <n v="866.4"/>
    <s v="EUR"/>
    <m/>
    <m/>
    <x v="16"/>
    <n v="-360"/>
    <x v="2"/>
    <x v="5"/>
    <n v="2640"/>
    <n v="0.29924242424242425"/>
    <n v="790"/>
    <n v="-103.8214285714287"/>
    <n v="686.17857142857133"/>
    <x v="16"/>
    <n v="360"/>
    <m/>
    <n v="437514"/>
    <n v="130.51333333333332"/>
    <m/>
    <n v="52.800000000000004"/>
    <m/>
    <n v="183.31333333333333"/>
    <n v="502.865238095238"/>
    <m/>
    <n v="2640"/>
  </r>
  <r>
    <n v="16"/>
    <n v="2024"/>
    <s v="Auction"/>
    <s v="VROLIJK BLOEMEN"/>
    <s v="VROLIJK BLOEMEN"/>
    <x v="61"/>
    <s v="Floribunda Roses"/>
    <s v="60CM"/>
    <n v="1"/>
    <n v="12"/>
    <n v="480"/>
    <n v="0.47"/>
    <n v="225.6"/>
    <s v="EUR"/>
    <m/>
    <m/>
    <x v="16"/>
    <n v="480"/>
    <x v="2"/>
    <x v="0"/>
    <m/>
    <m/>
    <n v="0"/>
    <n v="0"/>
    <n v="0"/>
    <x v="16"/>
    <n v="-480"/>
    <m/>
    <n v="437514"/>
    <n v="43.504444444444445"/>
    <m/>
    <n v="0"/>
    <m/>
    <n v="43.504444444444445"/>
    <n v="-43.504444444444445"/>
    <m/>
    <n v="0"/>
  </r>
  <r>
    <n v="16"/>
    <n v="2024"/>
    <s v="Auction"/>
    <s v="VROLIJK BLOEMEN"/>
    <s v="VROLIJK BLOEMEN"/>
    <x v="61"/>
    <s v="Floribunda Roses"/>
    <s v="60CM"/>
    <n v="5"/>
    <n v="60"/>
    <n v="2600"/>
    <n v="0.47"/>
    <n v="1222"/>
    <s v="EUR"/>
    <m/>
    <m/>
    <x v="16"/>
    <n v="-520"/>
    <x v="2"/>
    <x v="0"/>
    <n v="3120"/>
    <n v="0.49884615384615388"/>
    <n v="1556.4"/>
    <n v="-122.6980519480521"/>
    <n v="1433.701948051948"/>
    <x v="16"/>
    <n v="520"/>
    <m/>
    <n v="437514"/>
    <n v="217.52222222222221"/>
    <m/>
    <n v="62.4"/>
    <m/>
    <n v="279.92222222222222"/>
    <n v="1153.7797258297257"/>
    <m/>
    <n v="3120"/>
  </r>
  <r>
    <n v="16"/>
    <n v="2024"/>
    <s v="Auction"/>
    <s v="VROLIJK BLOEMEN"/>
    <s v="VROLIJK BLOEMEN"/>
    <x v="61"/>
    <s v="Floribunda Roses"/>
    <s v="70CM"/>
    <n v="4"/>
    <n v="48"/>
    <n v="1600"/>
    <n v="0.52"/>
    <n v="832"/>
    <s v="EUR"/>
    <m/>
    <m/>
    <x v="16"/>
    <n v="0"/>
    <x v="2"/>
    <x v="1"/>
    <n v="1600"/>
    <n v="0.38524999999999998"/>
    <n v="616.4"/>
    <n v="-62.922077922077996"/>
    <n v="553.47792207792202"/>
    <x v="16"/>
    <n v="0"/>
    <m/>
    <n v="437514"/>
    <n v="174.01777777777778"/>
    <m/>
    <n v="32"/>
    <m/>
    <n v="206.01777777777778"/>
    <n v="347.46014430014424"/>
    <m/>
    <n v="1600"/>
  </r>
  <r>
    <n v="16"/>
    <n v="2024"/>
    <s v="Auction"/>
    <s v="VROLIJK BLOEMEN"/>
    <s v="VROLIJK BLOEMEN"/>
    <x v="61"/>
    <s v="Floribunda Roses"/>
    <s v="80CM"/>
    <n v="3"/>
    <n v="36"/>
    <n v="960"/>
    <n v="0.56999999999999995"/>
    <n v="547.20000000000005"/>
    <s v="EUR"/>
    <m/>
    <m/>
    <x v="16"/>
    <n v="-160"/>
    <x v="2"/>
    <x v="2"/>
    <n v="1120"/>
    <n v="0.75107142857142861"/>
    <n v="841.2"/>
    <n v="-44.045454545454604"/>
    <n v="797.15454545454543"/>
    <x v="16"/>
    <n v="160"/>
    <m/>
    <n v="437514"/>
    <n v="130.51333333333332"/>
    <m/>
    <n v="22.400000000000002"/>
    <m/>
    <n v="152.91333333333333"/>
    <n v="644.24121212121213"/>
    <m/>
    <n v="1120"/>
  </r>
  <r>
    <n v="16"/>
    <n v="2024"/>
    <s v="Auction"/>
    <s v="VROLIJK BLOEMEN"/>
    <s v="VROLIJK BLOEMEN"/>
    <x v="61"/>
    <s v="Floribunda Roses"/>
    <s v="90CM"/>
    <n v="3"/>
    <n v="36"/>
    <n v="720"/>
    <n v="0.75"/>
    <n v="540"/>
    <s v="EUR"/>
    <m/>
    <m/>
    <x v="16"/>
    <n v="0"/>
    <x v="2"/>
    <x v="3"/>
    <n v="720"/>
    <n v="0.51111111111111107"/>
    <n v="368"/>
    <n v="-28.314935064935099"/>
    <n v="339.68506493506493"/>
    <x v="16"/>
    <n v="0"/>
    <m/>
    <n v="437514"/>
    <n v="130.51333333333332"/>
    <m/>
    <n v="14.4"/>
    <m/>
    <n v="144.91333333333333"/>
    <n v="194.7717316017316"/>
    <m/>
    <n v="720"/>
  </r>
  <r>
    <n v="16"/>
    <n v="2024"/>
    <s v="Auction"/>
    <s v="VROLIJK BLOEMEN"/>
    <s v="VROLIJK BLOEMEN"/>
    <x v="61"/>
    <s v="Floribunda Roses"/>
    <s v="100CM"/>
    <n v="1"/>
    <n v="12"/>
    <n v="200"/>
    <n v="0.94"/>
    <n v="188"/>
    <s v="EUR"/>
    <m/>
    <m/>
    <x v="16"/>
    <n v="-160"/>
    <x v="2"/>
    <x v="4"/>
    <n v="360"/>
    <n v="0.67777777777777781"/>
    <n v="244"/>
    <n v="-14.15746753246755"/>
    <n v="229.84253246753246"/>
    <x v="16"/>
    <n v="160"/>
    <m/>
    <n v="437514"/>
    <n v="43.504444444444445"/>
    <m/>
    <n v="7.2"/>
    <m/>
    <n v="50.704444444444448"/>
    <n v="179.13808802308802"/>
    <m/>
    <n v="360"/>
  </r>
  <r>
    <n v="16"/>
    <n v="2024"/>
    <s v="Auction"/>
    <s v="VROLIJK BLOEMEN"/>
    <s v="VROLIJK BLOEMEN"/>
    <x v="61"/>
    <s v="Floribunda Roses"/>
    <s v="100CM"/>
    <n v="1"/>
    <n v="12"/>
    <n v="160"/>
    <n v="0.94"/>
    <n v="150.4"/>
    <s v="EUR"/>
    <m/>
    <m/>
    <x v="16"/>
    <n v="160"/>
    <x v="2"/>
    <x v="4"/>
    <m/>
    <m/>
    <n v="0"/>
    <n v="0"/>
    <n v="0"/>
    <x v="16"/>
    <n v="-160"/>
    <m/>
    <n v="437514"/>
    <n v="43.504444444444445"/>
    <m/>
    <n v="0"/>
    <m/>
    <n v="43.504444444444445"/>
    <n v="-43.504444444444445"/>
    <m/>
    <n v="0"/>
  </r>
  <r>
    <n v="16"/>
    <n v="2024"/>
    <s v="Auction"/>
    <s v="VROLIJK BLOEMEN"/>
    <s v="VROLIJK BLOEMEN"/>
    <x v="61"/>
    <s v="Grandiflora Roses"/>
    <s v="70CM"/>
    <n v="2"/>
    <n v="24"/>
    <n v="1040"/>
    <n v="0.28000000000000003"/>
    <n v="291.2"/>
    <s v="EUR"/>
    <m/>
    <m/>
    <x v="16"/>
    <n v="0"/>
    <x v="0"/>
    <x v="1"/>
    <n v="1040"/>
    <n v="0.3792307692307692"/>
    <n v="394.4"/>
    <n v="-40.899350649350701"/>
    <n v="353.50064935064927"/>
    <x v="16"/>
    <n v="0"/>
    <m/>
    <n v="437514"/>
    <n v="87.00888888888889"/>
    <m/>
    <n v="20.8"/>
    <m/>
    <n v="107.80888888888889"/>
    <n v="245.6917604617604"/>
    <m/>
    <n v="1040"/>
  </r>
  <r>
    <n v="16"/>
    <n v="2024"/>
    <s v="Auction"/>
    <s v="VROLIJK BLOEMEN"/>
    <s v="VROLIJK BLOEMEN"/>
    <x v="61"/>
    <s v="Grandiflora Roses"/>
    <s v="80CM"/>
    <n v="2"/>
    <n v="24"/>
    <n v="960"/>
    <n v="0.33"/>
    <n v="316.8"/>
    <s v="EUR"/>
    <m/>
    <m/>
    <x v="16"/>
    <n v="-160"/>
    <x v="0"/>
    <x v="2"/>
    <n v="1120"/>
    <n v="0.31107142857142855"/>
    <n v="348.4"/>
    <n v="-44.045454545454604"/>
    <n v="304.35454545454536"/>
    <x v="16"/>
    <n v="160"/>
    <m/>
    <n v="437514"/>
    <n v="87.00888888888889"/>
    <m/>
    <n v="22.400000000000002"/>
    <m/>
    <n v="109.4088888888889"/>
    <n v="194.94565656565646"/>
    <m/>
    <n v="1120"/>
  </r>
  <r>
    <n v="16"/>
    <n v="2024"/>
    <s v="Auction"/>
    <s v="VROLIJK BLOEMEN"/>
    <s v="VROLIJK BLOEMEN"/>
    <x v="61"/>
    <s v="Grandiflora Roses"/>
    <s v="90CM"/>
    <n v="2"/>
    <n v="24"/>
    <n v="880"/>
    <n v="0.38"/>
    <n v="334.4"/>
    <s v="EUR"/>
    <m/>
    <m/>
    <x v="16"/>
    <n v="0"/>
    <x v="0"/>
    <x v="3"/>
    <n v="880"/>
    <n v="0.31045454545454543"/>
    <n v="273.2"/>
    <n v="-34.607142857142904"/>
    <n v="238.5928571428571"/>
    <x v="16"/>
    <n v="0"/>
    <m/>
    <n v="437514"/>
    <n v="87.00888888888889"/>
    <m/>
    <n v="17.600000000000001"/>
    <m/>
    <n v="104.60888888888888"/>
    <n v="133.98396825396821"/>
    <m/>
    <n v="880"/>
  </r>
  <r>
    <n v="16"/>
    <n v="2024"/>
    <s v="Auction"/>
    <s v="VROLIJK BLOEMEN"/>
    <s v="VROLIJK BLOEMEN"/>
    <x v="61"/>
    <s v="Polyantha Roses"/>
    <s v="50CM"/>
    <n v="1"/>
    <n v="6"/>
    <n v="200"/>
    <n v="0.42"/>
    <n v="84"/>
    <s v="EUR"/>
    <m/>
    <m/>
    <x v="16"/>
    <n v="0"/>
    <x v="3"/>
    <x v="5"/>
    <n v="200"/>
    <n v="0.45"/>
    <n v="90"/>
    <n v="-7.8652597402597495"/>
    <n v="82.134740259740255"/>
    <x v="16"/>
    <n v="0"/>
    <m/>
    <n v="437514"/>
    <n v="21.752222222222223"/>
    <m/>
    <n v="4"/>
    <m/>
    <n v="25.752222222222223"/>
    <n v="56.382518037518032"/>
    <m/>
    <n v="200"/>
  </r>
  <r>
    <n v="16"/>
    <n v="2024"/>
    <s v="Auction"/>
    <s v="VROLIJK BLOEMEN"/>
    <s v="VROLIJK BLOEMEN"/>
    <x v="61"/>
    <s v="Polyantha Roses"/>
    <s v="100CM"/>
    <m/>
    <n v="4.8000000000000007"/>
    <n v="160"/>
    <n v="1.04"/>
    <n v="166.4"/>
    <s v="EUR"/>
    <m/>
    <m/>
    <x v="16"/>
    <n v="0"/>
    <x v="3"/>
    <x v="4"/>
    <n v="160"/>
    <n v="1.01"/>
    <n v="161.6"/>
    <n v="-6.2922077922078001"/>
    <n v="155.3077922077922"/>
    <x v="16"/>
    <n v="0"/>
    <m/>
    <n v="437514"/>
    <n v="17.401777777777781"/>
    <m/>
    <n v="3.2"/>
    <m/>
    <n v="20.60177777777778"/>
    <n v="134.70601443001442"/>
    <m/>
    <n v="160"/>
  </r>
  <r>
    <n v="16"/>
    <n v="2024"/>
    <s v="Auction"/>
    <s v="VROLIJK BLOEMEN"/>
    <s v="VROLIJK BLOEMEN"/>
    <x v="61"/>
    <s v="Polyantha Roses"/>
    <s v="90CM"/>
    <m/>
    <n v="1.2000000000000002"/>
    <n v="40"/>
    <n v="0.85"/>
    <n v="34"/>
    <s v="EUR"/>
    <m/>
    <m/>
    <x v="16"/>
    <n v="0"/>
    <x v="3"/>
    <x v="3"/>
    <n v="40"/>
    <n v="0.90999999999999992"/>
    <n v="36.4"/>
    <n v="-1.57305194805195"/>
    <n v="34.826948051948051"/>
    <x v="16"/>
    <n v="0"/>
    <m/>
    <n v="437514"/>
    <n v="4.3504444444444452"/>
    <m/>
    <n v="0.8"/>
    <m/>
    <n v="5.150444444444445"/>
    <n v="29.676503607503605"/>
    <m/>
    <n v="40"/>
  </r>
  <r>
    <n v="16"/>
    <n v="2024"/>
    <s v="Auction"/>
    <s v="VROLIJK BLOEMEN"/>
    <s v="VROLIJK BLOEMEN"/>
    <x v="61"/>
    <s v="English Roses"/>
    <s v="90CM"/>
    <n v="1"/>
    <n v="10.285714285714285"/>
    <n v="240"/>
    <n v="0.75"/>
    <n v="180"/>
    <s v="EUR"/>
    <m/>
    <m/>
    <x v="16"/>
    <n v="-440"/>
    <x v="1"/>
    <x v="3"/>
    <n v="680"/>
    <n v="0.63411764705882356"/>
    <n v="431.20000000000005"/>
    <n v="-26.741883116883152"/>
    <n v="404.45811688311687"/>
    <x v="16"/>
    <n v="440"/>
    <m/>
    <n v="437514"/>
    <n v="37.289523809523807"/>
    <m/>
    <n v="13.6"/>
    <m/>
    <n v="50.889523809523808"/>
    <n v="353.56859307359309"/>
    <m/>
    <n v="680"/>
  </r>
  <r>
    <n v="16"/>
    <n v="2024"/>
    <s v="Auction"/>
    <s v="VROLIJK BLOEMEN"/>
    <s v="VROLIJK BLOEMEN"/>
    <x v="61"/>
    <s v="English Roses"/>
    <s v="100CM"/>
    <m/>
    <n v="1.7142857142857142"/>
    <n v="40"/>
    <n v="0.94"/>
    <n v="37.6"/>
    <s v="EUR"/>
    <m/>
    <m/>
    <x v="16"/>
    <n v="-200"/>
    <x v="1"/>
    <x v="4"/>
    <n v="240"/>
    <n v="0.76666666666666672"/>
    <n v="184"/>
    <n v="-9.4383116883117015"/>
    <n v="174.5616883116883"/>
    <x v="16"/>
    <n v="200"/>
    <m/>
    <n v="437514"/>
    <n v="6.2149206349206354"/>
    <m/>
    <n v="4.8"/>
    <m/>
    <n v="11.014920634920635"/>
    <n v="163.54676767676767"/>
    <m/>
    <n v="240"/>
  </r>
  <r>
    <n v="16"/>
    <n v="2024"/>
    <s v="Auction"/>
    <s v="VROLIJK BLOEMEN"/>
    <s v="VROLIJK BLOEMEN"/>
    <x v="61"/>
    <s v="Grandiflora Roses"/>
    <s v="60CM"/>
    <n v="1"/>
    <n v="8"/>
    <n v="320"/>
    <n v="0.24"/>
    <n v="76.8"/>
    <s v="EUR"/>
    <m/>
    <m/>
    <x v="16"/>
    <n v="0"/>
    <x v="0"/>
    <x v="0"/>
    <n v="320"/>
    <n v="0.39374999999999999"/>
    <n v="126"/>
    <n v="-12.5844155844156"/>
    <n v="113.41558441558441"/>
    <x v="16"/>
    <n v="0"/>
    <m/>
    <n v="437514"/>
    <n v="29.002962962962965"/>
    <m/>
    <n v="6.4"/>
    <m/>
    <n v="35.402962962962967"/>
    <n v="78.012621452621431"/>
    <m/>
    <n v="320"/>
  </r>
  <r>
    <n v="16"/>
    <n v="2024"/>
    <s v="Auction"/>
    <s v="VROLIJK BLOEMEN"/>
    <s v="VROLIJK BLOEMEN"/>
    <x v="61"/>
    <s v="Grandiflora Roses"/>
    <s v="80CM"/>
    <m/>
    <n v="4"/>
    <n v="160"/>
    <n v="0.33"/>
    <n v="52.8"/>
    <s v="EUR"/>
    <m/>
    <m/>
    <x v="16"/>
    <n v="160"/>
    <x v="0"/>
    <x v="2"/>
    <m/>
    <m/>
    <n v="0"/>
    <n v="0"/>
    <n v="0"/>
    <x v="16"/>
    <n v="-160"/>
    <m/>
    <n v="437514"/>
    <n v="14.501481481481482"/>
    <m/>
    <n v="0"/>
    <m/>
    <n v="14.501481481481482"/>
    <n v="-14.501481481481482"/>
    <m/>
    <n v="0"/>
  </r>
  <r>
    <n v="16"/>
    <n v="2024"/>
    <s v="Auction"/>
    <s v="VROLIJK BLOEMEN"/>
    <s v="VROLIJK BLOEMEN"/>
    <x v="61"/>
    <s v="Floribunda Roses"/>
    <s v="50CM"/>
    <n v="1"/>
    <n v="7.7142857142857153"/>
    <n v="360"/>
    <n v="0.38"/>
    <n v="136.80000000000001"/>
    <s v="EUR"/>
    <m/>
    <m/>
    <x v="16"/>
    <n v="360"/>
    <x v="2"/>
    <x v="5"/>
    <m/>
    <m/>
    <n v="0"/>
    <n v="0"/>
    <n v="0"/>
    <x v="16"/>
    <n v="-360"/>
    <m/>
    <n v="437514"/>
    <n v="27.967142857142861"/>
    <m/>
    <n v="0"/>
    <m/>
    <n v="27.967142857142861"/>
    <n v="-27.967142857142861"/>
    <m/>
    <n v="0"/>
  </r>
  <r>
    <n v="16"/>
    <n v="2024"/>
    <s v="Auction"/>
    <s v="VROLIJK BLOEMEN"/>
    <s v="VROLIJK BLOEMEN"/>
    <x v="61"/>
    <s v="Floribunda Roses"/>
    <s v="80CM"/>
    <m/>
    <n v="3.4285714285714284"/>
    <n v="160"/>
    <n v="0.56999999999999995"/>
    <n v="91.2"/>
    <s v="EUR"/>
    <m/>
    <m/>
    <x v="16"/>
    <n v="160"/>
    <x v="2"/>
    <x v="2"/>
    <m/>
    <m/>
    <n v="0"/>
    <n v="0"/>
    <n v="0"/>
    <x v="16"/>
    <n v="-160"/>
    <m/>
    <n v="437514"/>
    <n v="12.429841269841271"/>
    <m/>
    <n v="0"/>
    <m/>
    <n v="12.429841269841271"/>
    <n v="-12.429841269841271"/>
    <m/>
    <n v="0"/>
  </r>
  <r>
    <n v="16"/>
    <n v="2024"/>
    <s v="Auction"/>
    <s v="VROLIJK BLOEMEN"/>
    <s v="VROLIJK BLOEMEN"/>
    <x v="61"/>
    <s v="Floribunda Roses"/>
    <s v="70CM"/>
    <m/>
    <n v="0.8571428571428571"/>
    <n v="40"/>
    <n v="0.52"/>
    <n v="20.8"/>
    <s v="EUR"/>
    <m/>
    <m/>
    <x v="16"/>
    <n v="40"/>
    <x v="2"/>
    <x v="1"/>
    <m/>
    <m/>
    <n v="0"/>
    <n v="0"/>
    <n v="0"/>
    <x v="16"/>
    <n v="-40"/>
    <m/>
    <n v="437514"/>
    <n v="3.1074603174603177"/>
    <m/>
    <n v="0"/>
    <m/>
    <n v="3.1074603174603177"/>
    <n v="-3.1074603174603177"/>
    <m/>
    <n v="0"/>
  </r>
  <r>
    <n v="16"/>
    <n v="2024"/>
    <s v="Auction"/>
    <s v="VROLIJK BLOEMEN"/>
    <s v="VROLIJK BLOEMEN"/>
    <x v="61"/>
    <s v="Grandiflora Roses"/>
    <s v="100CM"/>
    <n v="1"/>
    <n v="8.5714285714285712"/>
    <n v="200"/>
    <n v="0.47"/>
    <n v="94"/>
    <s v="EUR"/>
    <m/>
    <m/>
    <x v="16"/>
    <n v="0"/>
    <x v="0"/>
    <x v="4"/>
    <n v="200"/>
    <n v="0.48"/>
    <n v="96"/>
    <n v="-7.8652597402597495"/>
    <n v="88.134740259740255"/>
    <x v="16"/>
    <n v="0"/>
    <m/>
    <n v="437514"/>
    <n v="31.074603174603173"/>
    <m/>
    <n v="4"/>
    <m/>
    <n v="35.074603174603169"/>
    <n v="53.060137085137086"/>
    <m/>
    <n v="200"/>
  </r>
  <r>
    <n v="16"/>
    <n v="2024"/>
    <s v="Auction"/>
    <s v="VROLIJK BLOEMEN"/>
    <s v="VROLIJK BLOEMEN"/>
    <x v="61"/>
    <s v="Grandiflora Roses"/>
    <s v="50CM"/>
    <m/>
    <n v="3.4285714285714284"/>
    <n v="80"/>
    <n v="0.14000000000000001"/>
    <n v="11.2"/>
    <s v="EUR"/>
    <m/>
    <m/>
    <x v="16"/>
    <n v="0"/>
    <x v="0"/>
    <x v="5"/>
    <n v="80"/>
    <n v="0.1"/>
    <n v="8"/>
    <n v="-3.1461038961039001"/>
    <n v="4.8538961038960995"/>
    <x v="16"/>
    <n v="0"/>
    <m/>
    <n v="437514"/>
    <n v="12.429841269841271"/>
    <m/>
    <n v="1.6"/>
    <m/>
    <n v="14.02984126984127"/>
    <n v="-9.175945165945171"/>
    <m/>
    <n v="80"/>
  </r>
  <r>
    <n v="17"/>
    <n v="2024"/>
    <s v="Auction"/>
    <s v="VROLIJK BLOEMEN"/>
    <s v="VROLIJK BLOEMEN"/>
    <x v="62"/>
    <s v="English Roses"/>
    <s v="60CM"/>
    <n v="1"/>
    <n v="12"/>
    <n v="480"/>
    <n v="0.47"/>
    <n v="225.6"/>
    <s v="EUR"/>
    <m/>
    <m/>
    <x v="16"/>
    <n v="-120"/>
    <x v="1"/>
    <x v="0"/>
    <n v="600"/>
    <n v="0.66399999999999992"/>
    <n v="398.4"/>
    <n v="-25.486111111111111"/>
    <n v="372.91388888888889"/>
    <x v="16"/>
    <n v="120"/>
    <m/>
    <n v="437508"/>
    <n v="45.775294117647057"/>
    <m/>
    <n v="12"/>
    <m/>
    <n v="57.775294117647057"/>
    <n v="315.13859477124186"/>
    <m/>
    <n v="600"/>
  </r>
  <r>
    <n v="17"/>
    <n v="2024"/>
    <s v="Auction"/>
    <s v="VROLIJK BLOEMEN"/>
    <s v="VROLIJK BLOEMEN"/>
    <x v="62"/>
    <s v="English Roses"/>
    <s v="100CM"/>
    <n v="1"/>
    <n v="12"/>
    <n v="200"/>
    <n v="0.94"/>
    <n v="188"/>
    <s v="EUR"/>
    <m/>
    <m/>
    <x v="16"/>
    <n v="-160"/>
    <x v="1"/>
    <x v="4"/>
    <n v="360"/>
    <n v="0.84222222222222221"/>
    <n v="303.2"/>
    <n v="-15.291666666666666"/>
    <n v="287.9083333333333"/>
    <x v="16"/>
    <n v="160"/>
    <m/>
    <n v="437508"/>
    <n v="45.775294117647057"/>
    <m/>
    <n v="7.2"/>
    <m/>
    <n v="52.97529411764706"/>
    <n v="234.93303921568625"/>
    <m/>
    <n v="360"/>
  </r>
  <r>
    <n v="17"/>
    <n v="2024"/>
    <s v="Auction"/>
    <s v="VROLIJK BLOEMEN"/>
    <s v="VROLIJK BLOEMEN"/>
    <x v="62"/>
    <s v="English Roses"/>
    <s v="100CM"/>
    <n v="1"/>
    <n v="12"/>
    <n v="160"/>
    <n v="0.94"/>
    <n v="150.4"/>
    <s v="EUR"/>
    <m/>
    <m/>
    <x v="16"/>
    <n v="160"/>
    <x v="1"/>
    <x v="4"/>
    <m/>
    <m/>
    <n v="0"/>
    <n v="0"/>
    <n v="0"/>
    <x v="16"/>
    <n v="-160"/>
    <m/>
    <n v="437508"/>
    <n v="45.775294117647057"/>
    <m/>
    <n v="0"/>
    <m/>
    <n v="45.775294117647057"/>
    <n v="-45.775294117647057"/>
    <m/>
    <n v="0"/>
  </r>
  <r>
    <n v="17"/>
    <n v="2024"/>
    <s v="Auction"/>
    <s v="VROLIJK BLOEMEN"/>
    <s v="VROLIJK BLOEMEN"/>
    <x v="62"/>
    <s v="Grandiflora Roses"/>
    <s v="80CM"/>
    <n v="1"/>
    <n v="12"/>
    <n v="480"/>
    <n v="0.33"/>
    <n v="158.4"/>
    <s v="EUR"/>
    <m/>
    <m/>
    <x v="16"/>
    <n v="-240"/>
    <x v="0"/>
    <x v="2"/>
    <n v="720"/>
    <n v="0.30222222222222223"/>
    <n v="217.6"/>
    <n v="-30.583333333333332"/>
    <n v="187.01666666666665"/>
    <x v="16"/>
    <n v="240"/>
    <m/>
    <n v="437508"/>
    <n v="45.775294117647057"/>
    <m/>
    <n v="14.4"/>
    <m/>
    <n v="60.175294117647056"/>
    <n v="126.8413725490196"/>
    <m/>
    <n v="720"/>
  </r>
  <r>
    <n v="17"/>
    <n v="2024"/>
    <s v="Auction"/>
    <s v="VROLIJK BLOEMEN"/>
    <s v="VROLIJK BLOEMEN"/>
    <x v="62"/>
    <s v="Grandiflora Roses"/>
    <s v="90CM"/>
    <n v="1"/>
    <n v="12"/>
    <n v="440"/>
    <n v="0.38"/>
    <n v="167.2"/>
    <s v="EUR"/>
    <m/>
    <m/>
    <x v="16"/>
    <n v="120"/>
    <x v="0"/>
    <x v="3"/>
    <n v="320"/>
    <n v="0.28375"/>
    <n v="90.8"/>
    <n v="-13.592592592592593"/>
    <n v="77.207407407407402"/>
    <x v="16"/>
    <n v="-120"/>
    <m/>
    <n v="437508"/>
    <n v="45.775294117647057"/>
    <m/>
    <n v="6.4"/>
    <m/>
    <n v="52.175294117647056"/>
    <n v="25.032113289760346"/>
    <m/>
    <n v="320"/>
  </r>
  <r>
    <n v="17"/>
    <n v="2024"/>
    <s v="Auction"/>
    <s v="VROLIJK BLOEMEN"/>
    <s v="VROLIJK BLOEMEN"/>
    <x v="62"/>
    <s v="Grandiflora Roses"/>
    <s v="100CM"/>
    <n v="1"/>
    <n v="12"/>
    <n v="360"/>
    <n v="0.47"/>
    <n v="169.2"/>
    <s v="EUR"/>
    <m/>
    <m/>
    <x v="16"/>
    <n v="-40"/>
    <x v="0"/>
    <x v="4"/>
    <n v="400"/>
    <n v="0.47"/>
    <n v="188"/>
    <n v="-16.99074074074074"/>
    <n v="171.00925925925927"/>
    <x v="16"/>
    <n v="40"/>
    <m/>
    <n v="437508"/>
    <n v="45.775294117647057"/>
    <m/>
    <n v="8"/>
    <m/>
    <n v="53.775294117647057"/>
    <n v="117.2339651416122"/>
    <m/>
    <n v="400"/>
  </r>
  <r>
    <n v="17"/>
    <n v="2024"/>
    <s v="Auction"/>
    <s v="VROLIJK BLOEMEN"/>
    <s v="VROLIJK BLOEMEN"/>
    <x v="62"/>
    <s v="Floribunda Roses"/>
    <s v="50CM"/>
    <n v="1"/>
    <n v="12"/>
    <n v="760"/>
    <n v="0.38"/>
    <n v="288.8"/>
    <s v="EUR"/>
    <m/>
    <m/>
    <x v="16"/>
    <n v="-40"/>
    <x v="2"/>
    <x v="5"/>
    <n v="800"/>
    <n v="0.26"/>
    <n v="208"/>
    <n v="-33.981481481481481"/>
    <n v="174.01851851851853"/>
    <x v="16"/>
    <n v="40"/>
    <m/>
    <n v="437508"/>
    <n v="45.775294117647057"/>
    <m/>
    <n v="16"/>
    <m/>
    <n v="61.775294117647057"/>
    <n v="112.24322440087147"/>
    <m/>
    <n v="800"/>
  </r>
  <r>
    <n v="17"/>
    <n v="2024"/>
    <s v="Auction"/>
    <s v="VROLIJK BLOEMEN"/>
    <s v="VROLIJK BLOEMEN"/>
    <x v="62"/>
    <s v="Floribunda Roses"/>
    <s v="60CM"/>
    <n v="1"/>
    <n v="12"/>
    <n v="520"/>
    <n v="0.47"/>
    <n v="244.4"/>
    <s v="EUR"/>
    <m/>
    <m/>
    <x v="16"/>
    <n v="0"/>
    <x v="2"/>
    <x v="0"/>
    <n v="520"/>
    <n v="0.53538461538461535"/>
    <n v="278.39999999999998"/>
    <n v="-22.087962962962962"/>
    <n v="256.31203703703704"/>
    <x v="16"/>
    <n v="0"/>
    <m/>
    <n v="437508"/>
    <n v="45.775294117647057"/>
    <m/>
    <n v="10.4"/>
    <m/>
    <n v="56.175294117647056"/>
    <n v="200.13674291938997"/>
    <m/>
    <n v="520"/>
  </r>
  <r>
    <n v="17"/>
    <n v="2024"/>
    <s v="Auction"/>
    <s v="VROLIJK BLOEMEN"/>
    <s v="VROLIJK BLOEMEN"/>
    <x v="62"/>
    <s v="Grandiflora Roses"/>
    <s v="70CM"/>
    <n v="1"/>
    <n v="12"/>
    <n v="520"/>
    <n v="0.28000000000000003"/>
    <n v="145.6"/>
    <s v="EUR"/>
    <m/>
    <m/>
    <x v="16"/>
    <n v="-240"/>
    <x v="0"/>
    <x v="1"/>
    <n v="760"/>
    <n v="0.27789473684210525"/>
    <n v="211.2"/>
    <n v="-32.282407407407405"/>
    <n v="178.9175925925926"/>
    <x v="16"/>
    <n v="240"/>
    <m/>
    <n v="437508"/>
    <n v="45.775294117647057"/>
    <m/>
    <n v="15.200000000000001"/>
    <m/>
    <n v="60.97529411764706"/>
    <n v="117.94229847494555"/>
    <m/>
    <n v="760"/>
  </r>
  <r>
    <n v="17"/>
    <n v="2024"/>
    <s v="Auction"/>
    <s v="VROLIJK BLOEMEN"/>
    <s v="VROLIJK BLOEMEN"/>
    <x v="62"/>
    <s v="Floribunda Roses"/>
    <s v="70CM"/>
    <n v="1"/>
    <n v="12"/>
    <n v="400"/>
    <n v="0.52"/>
    <n v="208"/>
    <s v="EUR"/>
    <m/>
    <m/>
    <x v="16"/>
    <n v="0"/>
    <x v="2"/>
    <x v="1"/>
    <n v="400"/>
    <n v="0.61699999999999999"/>
    <n v="246.8"/>
    <n v="-16.99074074074074"/>
    <n v="229.80925925925928"/>
    <x v="16"/>
    <n v="0"/>
    <m/>
    <n v="437508"/>
    <n v="45.775294117647057"/>
    <m/>
    <n v="8"/>
    <m/>
    <n v="53.775294117647057"/>
    <n v="176.03396514161221"/>
    <m/>
    <n v="400"/>
  </r>
  <r>
    <n v="17"/>
    <n v="2024"/>
    <s v="Auction"/>
    <s v="VROLIJK BLOEMEN"/>
    <s v="VROLIJK BLOEMEN"/>
    <x v="62"/>
    <s v="Floribunda Roses"/>
    <s v="80CM"/>
    <n v="2"/>
    <n v="24"/>
    <n v="640"/>
    <n v="0.56999999999999995"/>
    <n v="364.8"/>
    <s v="EUR"/>
    <m/>
    <m/>
    <x v="16"/>
    <n v="0"/>
    <x v="2"/>
    <x v="2"/>
    <n v="640"/>
    <n v="0.64687499999999998"/>
    <n v="414"/>
    <n v="-27.185185185185187"/>
    <n v="386.81481481481484"/>
    <x v="16"/>
    <n v="0"/>
    <m/>
    <n v="437508"/>
    <n v="91.550588235294114"/>
    <m/>
    <n v="12.8"/>
    <m/>
    <n v="104.35058823529411"/>
    <n v="282.46422657952075"/>
    <m/>
    <n v="640"/>
  </r>
  <r>
    <n v="17"/>
    <n v="2024"/>
    <s v="Auction"/>
    <s v="VROLIJK BLOEMEN"/>
    <s v="VROLIJK BLOEMEN"/>
    <x v="62"/>
    <s v="Floribunda Roses"/>
    <s v="90CM"/>
    <n v="1"/>
    <n v="12"/>
    <n v="240"/>
    <n v="0.75"/>
    <n v="180"/>
    <s v="EUR"/>
    <m/>
    <m/>
    <x v="16"/>
    <n v="-160"/>
    <x v="2"/>
    <x v="3"/>
    <n v="400"/>
    <n v="0.5"/>
    <n v="200"/>
    <n v="-16.99074074074074"/>
    <n v="183.00925925925927"/>
    <x v="16"/>
    <n v="160"/>
    <m/>
    <n v="437508"/>
    <n v="45.775294117647057"/>
    <m/>
    <n v="8"/>
    <m/>
    <n v="53.775294117647057"/>
    <n v="129.2339651416122"/>
    <m/>
    <n v="400"/>
  </r>
  <r>
    <n v="17"/>
    <n v="2024"/>
    <s v="Auction"/>
    <s v="VROLIJK BLOEMEN"/>
    <s v="VROLIJK BLOEMEN"/>
    <x v="62"/>
    <s v="Floribunda Roses"/>
    <s v="100CM"/>
    <n v="1"/>
    <n v="12"/>
    <n v="160"/>
    <n v="0.94"/>
    <n v="150.4"/>
    <s v="EUR"/>
    <m/>
    <m/>
    <x v="16"/>
    <n v="160"/>
    <x v="2"/>
    <x v="4"/>
    <m/>
    <m/>
    <n v="0"/>
    <n v="0"/>
    <n v="0"/>
    <x v="16"/>
    <n v="-160"/>
    <m/>
    <n v="437508"/>
    <n v="45.775294117647057"/>
    <m/>
    <n v="0"/>
    <m/>
    <n v="45.775294117647057"/>
    <n v="-45.775294117647057"/>
    <m/>
    <n v="0"/>
  </r>
  <r>
    <n v="17"/>
    <n v="2024"/>
    <s v="Auction"/>
    <s v="VROLIJK BLOEMEN"/>
    <s v="VROLIJK BLOEMEN"/>
    <x v="62"/>
    <s v="Floribunda Roses"/>
    <s v="100CM"/>
    <n v="1"/>
    <n v="12"/>
    <n v="200"/>
    <n v="0.94"/>
    <n v="188"/>
    <s v="EUR"/>
    <m/>
    <m/>
    <x v="16"/>
    <n v="0"/>
    <x v="2"/>
    <x v="4"/>
    <n v="200"/>
    <n v="0.53400000000000003"/>
    <n v="106.80000000000001"/>
    <n v="-8.4953703703703702"/>
    <n v="98.304629629629645"/>
    <x v="16"/>
    <n v="0"/>
    <m/>
    <n v="437508"/>
    <n v="45.775294117647057"/>
    <m/>
    <n v="4"/>
    <m/>
    <n v="49.775294117647057"/>
    <n v="48.529335511982588"/>
    <m/>
    <n v="200"/>
  </r>
  <r>
    <n v="17"/>
    <n v="2024"/>
    <s v="Auction"/>
    <s v="VROLIJK BLOEMEN"/>
    <s v="VROLIJK BLOEMEN"/>
    <x v="62"/>
    <s v="Grandiflora Roses"/>
    <s v="70CM"/>
    <n v="1"/>
    <n v="4.6153846153846159"/>
    <n v="200"/>
    <n v="0.28000000000000003"/>
    <n v="56"/>
    <s v="EUR"/>
    <m/>
    <m/>
    <x v="16"/>
    <n v="200"/>
    <x v="0"/>
    <x v="1"/>
    <m/>
    <m/>
    <n v="0"/>
    <n v="0"/>
    <n v="0"/>
    <x v="16"/>
    <n v="-200"/>
    <m/>
    <n v="437508"/>
    <n v="17.605882352941176"/>
    <m/>
    <n v="0"/>
    <m/>
    <n v="17.605882352941176"/>
    <n v="-17.605882352941176"/>
    <m/>
    <n v="0"/>
  </r>
  <r>
    <n v="17"/>
    <n v="2024"/>
    <s v="Auction"/>
    <s v="VROLIJK BLOEMEN"/>
    <s v="VROLIJK BLOEMEN"/>
    <x v="62"/>
    <s v="Grandiflora Roses"/>
    <s v="100CM"/>
    <m/>
    <n v="0.92307692307692313"/>
    <n v="40"/>
    <n v="0.47"/>
    <n v="18.8"/>
    <s v="EUR"/>
    <m/>
    <m/>
    <x v="16"/>
    <n v="40"/>
    <x v="0"/>
    <x v="4"/>
    <m/>
    <m/>
    <n v="0"/>
    <n v="0"/>
    <n v="0"/>
    <x v="16"/>
    <n v="-40"/>
    <m/>
    <n v="437508"/>
    <n v="3.5211764705882356"/>
    <m/>
    <n v="0"/>
    <m/>
    <n v="3.5211764705882356"/>
    <n v="-3.5211764705882356"/>
    <m/>
    <n v="0"/>
  </r>
  <r>
    <n v="17"/>
    <n v="2024"/>
    <s v="Auction"/>
    <s v="VROLIJK BLOEMEN"/>
    <s v="VROLIJK BLOEMEN"/>
    <x v="62"/>
    <s v="Grandiflora Roses"/>
    <s v="80CM"/>
    <m/>
    <n v="6.4615384615384617"/>
    <n v="280"/>
    <n v="0.33"/>
    <n v="92.4"/>
    <s v="EUR"/>
    <m/>
    <m/>
    <x v="16"/>
    <n v="280"/>
    <x v="0"/>
    <x v="2"/>
    <m/>
    <m/>
    <n v="0"/>
    <n v="0"/>
    <n v="0"/>
    <x v="16"/>
    <n v="-280"/>
    <m/>
    <n v="437508"/>
    <n v="24.648235294117644"/>
    <m/>
    <n v="0"/>
    <m/>
    <n v="24.648235294117644"/>
    <n v="-24.648235294117644"/>
    <m/>
    <n v="0"/>
  </r>
  <r>
    <n v="17"/>
    <n v="2024"/>
    <s v="Auction"/>
    <s v="VROLIJK BLOEMEN"/>
    <s v="VROLIJK BLOEMEN"/>
    <x v="62"/>
    <s v="English Roses"/>
    <s v="50CM"/>
    <n v="1"/>
    <n v="5.4545454545454541"/>
    <n v="200"/>
    <n v="0.38"/>
    <n v="76"/>
    <s v="EUR"/>
    <m/>
    <m/>
    <x v="16"/>
    <n v="0"/>
    <x v="1"/>
    <x v="5"/>
    <n v="200"/>
    <n v="0.2"/>
    <n v="40"/>
    <n v="-8.4953703703703702"/>
    <n v="31.50462962962963"/>
    <x v="16"/>
    <n v="0"/>
    <m/>
    <n v="437508"/>
    <n v="20.806951871657752"/>
    <m/>
    <n v="4"/>
    <m/>
    <n v="24.806951871657752"/>
    <n v="6.6976777579718778"/>
    <m/>
    <n v="200"/>
  </r>
  <r>
    <n v="17"/>
    <n v="2024"/>
    <s v="Auction"/>
    <s v="VROLIJK BLOEMEN"/>
    <s v="VROLIJK BLOEMEN"/>
    <x v="62"/>
    <s v="English Roses"/>
    <s v="60CM"/>
    <m/>
    <n v="3.2727272727272725"/>
    <n v="120"/>
    <n v="0.47"/>
    <n v="56.4"/>
    <s v="EUR"/>
    <m/>
    <m/>
    <x v="16"/>
    <n v="120"/>
    <x v="1"/>
    <x v="0"/>
    <m/>
    <m/>
    <n v="0"/>
    <n v="0"/>
    <n v="0"/>
    <x v="16"/>
    <n v="-120"/>
    <m/>
    <n v="437508"/>
    <n v="12.484171122994651"/>
    <m/>
    <n v="0"/>
    <m/>
    <n v="12.484171122994651"/>
    <n v="-12.484171122994651"/>
    <m/>
    <n v="0"/>
  </r>
  <r>
    <n v="17"/>
    <n v="2024"/>
    <s v="Auction"/>
    <s v="VROLIJK BLOEMEN"/>
    <s v="VROLIJK BLOEMEN"/>
    <x v="62"/>
    <s v="English Roses"/>
    <s v="70CM"/>
    <m/>
    <n v="2.1818181818181817"/>
    <n v="80"/>
    <n v="0.52"/>
    <n v="41.6"/>
    <s v="EUR"/>
    <m/>
    <m/>
    <x v="16"/>
    <n v="0"/>
    <x v="1"/>
    <x v="1"/>
    <n v="80"/>
    <n v="0.77500000000000002"/>
    <n v="62"/>
    <n v="-3.3981481481481484"/>
    <n v="58.601851851851855"/>
    <x v="16"/>
    <n v="0"/>
    <m/>
    <n v="437508"/>
    <n v="8.3227807486631011"/>
    <m/>
    <n v="1.6"/>
    <m/>
    <n v="9.9227807486631008"/>
    <n v="48.679071103188754"/>
    <m/>
    <n v="80"/>
  </r>
  <r>
    <n v="17"/>
    <n v="2024"/>
    <s v="Auction"/>
    <s v="VROLIJK BLOEMEN"/>
    <s v="VROLIJK BLOEMEN"/>
    <x v="62"/>
    <s v="English Roses"/>
    <s v="80CM"/>
    <m/>
    <m/>
    <m/>
    <m/>
    <m/>
    <s v="EUR"/>
    <m/>
    <m/>
    <x v="16"/>
    <n v="-40"/>
    <x v="1"/>
    <x v="2"/>
    <n v="40"/>
    <n v="0.72"/>
    <n v="28.799999999999997"/>
    <n v="-1.6990740740740742"/>
    <n v="27.100925925925925"/>
    <x v="16"/>
    <n v="40"/>
    <m/>
    <n v="437508"/>
    <n v="0"/>
    <m/>
    <n v="0.8"/>
    <m/>
    <n v="0.8"/>
    <n v="26.300925925925924"/>
    <m/>
    <n v="40"/>
  </r>
  <r>
    <n v="17"/>
    <n v="2024"/>
    <s v="Auction"/>
    <s v="VROLIJK BLOEMEN"/>
    <s v="VROLIJK BLOEMEN"/>
    <x v="62"/>
    <s v="English Roses"/>
    <s v="90CM"/>
    <m/>
    <n v="1.0909090909090908"/>
    <n v="40"/>
    <n v="0.75"/>
    <n v="30"/>
    <s v="EUR"/>
    <m/>
    <m/>
    <x v="16"/>
    <n v="0"/>
    <x v="1"/>
    <x v="3"/>
    <n v="40"/>
    <n v="0.72"/>
    <n v="28.799999999999997"/>
    <n v="-1.6990740740740742"/>
    <n v="27.100925925925925"/>
    <x v="16"/>
    <n v="0"/>
    <m/>
    <n v="437508"/>
    <n v="4.1613903743315506"/>
    <m/>
    <n v="0.8"/>
    <m/>
    <n v="4.9613903743315504"/>
    <n v="22.139535551594374"/>
    <m/>
    <n v="40"/>
  </r>
  <r>
    <n v="17"/>
    <n v="2024"/>
    <s v="Auction"/>
    <s v="VROLIJK BLOEMEN"/>
    <s v="VROLIJK BLOEMEN"/>
    <x v="62"/>
    <s v="Floribunda Roses"/>
    <s v="50CM"/>
    <m/>
    <m/>
    <m/>
    <m/>
    <m/>
    <s v="EUR"/>
    <m/>
    <m/>
    <x v="16"/>
    <n v="-1240"/>
    <x v="2"/>
    <x v="5"/>
    <n v="1240"/>
    <n v="0.13999999999999999"/>
    <n v="173.6"/>
    <n v="-16.448787878787869"/>
    <n v="157.15121212121213"/>
    <x v="16"/>
    <n v="1240"/>
    <m/>
    <n v="437508"/>
    <n v="0"/>
    <m/>
    <n v="24.8"/>
    <m/>
    <n v="24.8"/>
    <n v="132.35121212121211"/>
    <m/>
    <n v="1240"/>
  </r>
  <r>
    <n v="17"/>
    <n v="2024"/>
    <s v="Auction"/>
    <s v="VROLIJK BLOEMEN"/>
    <s v="VROLIJK BLOEMEN"/>
    <x v="62"/>
    <s v="Floribunda Roses"/>
    <s v="50CM"/>
    <m/>
    <m/>
    <m/>
    <m/>
    <m/>
    <s v="EUR"/>
    <m/>
    <m/>
    <x v="16"/>
    <n v="1240"/>
    <x v="2"/>
    <x v="5"/>
    <n v="-1240"/>
    <n v="0.42645161290322575"/>
    <n v="-528.79999999999995"/>
    <n v="-7.4284848484848442"/>
    <n v="-536.22848484848475"/>
    <x v="16"/>
    <n v="-1240"/>
    <m/>
    <n v="437508"/>
    <n v="0"/>
    <m/>
    <n v="-24.8"/>
    <m/>
    <n v="-24.8"/>
    <n v="-511.42848484848474"/>
    <m/>
    <n v="-1240"/>
  </r>
  <r>
    <n v="17"/>
    <n v="2024"/>
    <s v="Auction"/>
    <s v="VROLIJK BLOEMEN"/>
    <s v="VROLIJK BLOEMEN"/>
    <x v="62"/>
    <s v="English Roses"/>
    <s v="60CM"/>
    <m/>
    <m/>
    <m/>
    <m/>
    <m/>
    <s v="EUR"/>
    <m/>
    <m/>
    <x v="16"/>
    <n v="0"/>
    <x v="1"/>
    <x v="0"/>
    <m/>
    <n v="0.26"/>
    <n v="-83.2"/>
    <n v="-4.2448484848484824"/>
    <n v="-87.444848484848478"/>
    <x v="16"/>
    <n v="0"/>
    <m/>
    <n v="437508"/>
    <n v="0"/>
    <m/>
    <n v="0"/>
    <m/>
    <n v="0"/>
    <n v="-87.444848484848478"/>
    <m/>
    <n v="0"/>
  </r>
  <r>
    <n v="17"/>
    <n v="2024"/>
    <s v="Auction"/>
    <s v="VROLIJK BLOEMEN"/>
    <s v="VROLIJK BLOEMEN"/>
    <x v="62"/>
    <s v="English Roses"/>
    <s v="50CM"/>
    <m/>
    <m/>
    <m/>
    <m/>
    <m/>
    <s v="EUR"/>
    <m/>
    <m/>
    <x v="16"/>
    <n v="0"/>
    <x v="1"/>
    <x v="5"/>
    <m/>
    <n v="0.2"/>
    <n v="-104"/>
    <n v="-6.8978787878787839"/>
    <n v="-110.89787878787878"/>
    <x v="16"/>
    <n v="0"/>
    <m/>
    <n v="437508"/>
    <n v="0"/>
    <m/>
    <n v="0"/>
    <m/>
    <n v="0"/>
    <n v="-110.89787878787878"/>
    <m/>
    <n v="0"/>
  </r>
  <r>
    <n v="17"/>
    <n v="2024"/>
    <s v="Auction"/>
    <s v="VROLIJK BLOEMEN"/>
    <s v="VROLIJK BLOEMEN"/>
    <x v="63"/>
    <s v="Floribunda Roses"/>
    <s v="60CM"/>
    <n v="3"/>
    <n v="36"/>
    <n v="1560"/>
    <n v="0.47"/>
    <n v="733.2"/>
    <s v="EUR"/>
    <m/>
    <m/>
    <x v="16"/>
    <n v="-160"/>
    <x v="2"/>
    <x v="0"/>
    <n v="1720"/>
    <n v="0.51255813953488372"/>
    <n v="881.6"/>
    <n v="-80.642951456310698"/>
    <n v="800.95704854368933"/>
    <x v="16"/>
    <n v="160"/>
    <m/>
    <s v="F084824"/>
    <n v="134.52839999999998"/>
    <m/>
    <n v="34.4"/>
    <m/>
    <n v="168.92839999999998"/>
    <n v="632.02864854368931"/>
    <m/>
    <n v="1720"/>
  </r>
  <r>
    <n v="17"/>
    <n v="2024"/>
    <s v="Auction"/>
    <s v="VROLIJK BLOEMEN"/>
    <s v="VROLIJK BLOEMEN"/>
    <x v="63"/>
    <s v="Floribunda Roses"/>
    <s v="80CM"/>
    <n v="1"/>
    <n v="12"/>
    <n v="320"/>
    <n v="0.56999999999999995"/>
    <n v="182.4"/>
    <s v="EUR"/>
    <m/>
    <m/>
    <x v="16"/>
    <n v="0"/>
    <x v="2"/>
    <x v="2"/>
    <n v="320"/>
    <n v="0.51249999999999996"/>
    <n v="164"/>
    <n v="-15.003339805825245"/>
    <n v="148.99666019417475"/>
    <x v="16"/>
    <n v="0"/>
    <m/>
    <s v="F084824"/>
    <n v="44.842799999999997"/>
    <m/>
    <n v="6.4"/>
    <m/>
    <n v="51.242799999999995"/>
    <n v="97.753860194174763"/>
    <m/>
    <n v="320"/>
  </r>
  <r>
    <n v="17"/>
    <n v="2024"/>
    <s v="Auction"/>
    <s v="VROLIJK BLOEMEN"/>
    <s v="VROLIJK BLOEMEN"/>
    <x v="63"/>
    <s v="Floribunda Roses"/>
    <s v="70CM"/>
    <n v="2"/>
    <n v="24"/>
    <n v="800"/>
    <n v="0.52"/>
    <n v="416"/>
    <s v="EUR"/>
    <m/>
    <m/>
    <x v="16"/>
    <n v="-200"/>
    <x v="2"/>
    <x v="1"/>
    <n v="1000"/>
    <n v="0.65879999999999994"/>
    <n v="658.8"/>
    <n v="-46.885436893203888"/>
    <n v="611.91456310679609"/>
    <x v="16"/>
    <n v="200"/>
    <m/>
    <s v="F084824"/>
    <n v="89.685599999999994"/>
    <m/>
    <n v="20"/>
    <m/>
    <n v="109.68559999999999"/>
    <n v="502.22896310679607"/>
    <m/>
    <n v="1000"/>
  </r>
  <r>
    <n v="17"/>
    <n v="2024"/>
    <s v="Auction"/>
    <s v="VROLIJK BLOEMEN"/>
    <s v="VROLIJK BLOEMEN"/>
    <x v="63"/>
    <s v="Floribunda Roses"/>
    <s v="100CM"/>
    <n v="1"/>
    <n v="12"/>
    <n v="200"/>
    <n v="0.94"/>
    <n v="188"/>
    <s v="EUR"/>
    <m/>
    <m/>
    <x v="16"/>
    <n v="200"/>
    <x v="2"/>
    <x v="4"/>
    <m/>
    <m/>
    <n v="0"/>
    <n v="0"/>
    <n v="0"/>
    <x v="16"/>
    <n v="-200"/>
    <m/>
    <s v="F084824"/>
    <n v="44.842799999999997"/>
    <m/>
    <n v="0"/>
    <m/>
    <n v="44.842799999999997"/>
    <n v="-44.842799999999997"/>
    <m/>
    <n v="0"/>
  </r>
  <r>
    <n v="17"/>
    <n v="2024"/>
    <s v="Auction"/>
    <s v="VROLIJK BLOEMEN"/>
    <s v="VROLIJK BLOEMEN"/>
    <x v="63"/>
    <s v="English Roses"/>
    <s v="50CM"/>
    <n v="1"/>
    <n v="12"/>
    <n v="520"/>
    <n v="0.38"/>
    <n v="197.6"/>
    <s v="EUR"/>
    <m/>
    <m/>
    <x v="16"/>
    <n v="-280"/>
    <x v="1"/>
    <x v="5"/>
    <n v="800"/>
    <n v="0.28000000000000003"/>
    <n v="224.00000000000003"/>
    <n v="-37.508349514563115"/>
    <n v="186.49165048543691"/>
    <x v="16"/>
    <n v="280"/>
    <m/>
    <s v="F084824"/>
    <n v="44.842799999999997"/>
    <m/>
    <n v="16"/>
    <m/>
    <n v="60.842799999999997"/>
    <n v="125.64885048543691"/>
    <m/>
    <n v="800"/>
  </r>
  <r>
    <n v="17"/>
    <n v="2024"/>
    <s v="Auction"/>
    <s v="VROLIJK BLOEMEN"/>
    <s v="VROLIJK BLOEMEN"/>
    <x v="63"/>
    <s v="English Roses"/>
    <s v="60CM"/>
    <n v="2"/>
    <n v="24"/>
    <n v="960"/>
    <n v="0.47"/>
    <n v="451.2"/>
    <s v="EUR"/>
    <m/>
    <m/>
    <x v="16"/>
    <n v="-320"/>
    <x v="1"/>
    <x v="0"/>
    <n v="1280"/>
    <n v="0.48"/>
    <n v="614.4"/>
    <n v="-60.013359223300981"/>
    <n v="554.38664077669898"/>
    <x v="16"/>
    <n v="320"/>
    <m/>
    <s v="F084824"/>
    <n v="89.685599999999994"/>
    <m/>
    <n v="25.6"/>
    <m/>
    <n v="115.28559999999999"/>
    <n v="439.10104077669899"/>
    <m/>
    <n v="1280"/>
  </r>
  <r>
    <n v="17"/>
    <n v="2024"/>
    <s v="Auction"/>
    <s v="VROLIJK BLOEMEN"/>
    <s v="VROLIJK BLOEMEN"/>
    <x v="63"/>
    <s v="English Roses"/>
    <s v="70CM"/>
    <n v="2"/>
    <n v="24"/>
    <n v="800"/>
    <n v="0.52"/>
    <n v="416"/>
    <s v="EUR"/>
    <m/>
    <m/>
    <x v="16"/>
    <n v="0"/>
    <x v="1"/>
    <x v="1"/>
    <n v="800"/>
    <n v="0.66"/>
    <n v="528"/>
    <n v="-37.508349514563115"/>
    <n v="490.49165048543688"/>
    <x v="16"/>
    <n v="0"/>
    <m/>
    <s v="F084824"/>
    <n v="89.685599999999994"/>
    <m/>
    <n v="16"/>
    <m/>
    <n v="105.68559999999999"/>
    <n v="384.80605048543691"/>
    <m/>
    <n v="800"/>
  </r>
  <r>
    <n v="17"/>
    <n v="2024"/>
    <s v="Auction"/>
    <s v="VROLIJK BLOEMEN"/>
    <s v="VROLIJK BLOEMEN"/>
    <x v="63"/>
    <s v="English Roses"/>
    <s v="80CM"/>
    <n v="1"/>
    <n v="12"/>
    <n v="320"/>
    <n v="0.56999999999999995"/>
    <n v="182.4"/>
    <s v="EUR"/>
    <m/>
    <m/>
    <x v="16"/>
    <n v="0"/>
    <x v="1"/>
    <x v="2"/>
    <n v="320"/>
    <n v="0.71750000000000003"/>
    <n v="229.60000000000002"/>
    <n v="-15.003339805825245"/>
    <n v="214.59666019417477"/>
    <x v="16"/>
    <n v="0"/>
    <m/>
    <s v="F084824"/>
    <n v="44.842799999999997"/>
    <m/>
    <n v="6.4"/>
    <m/>
    <n v="51.242799999999995"/>
    <n v="163.35386019417479"/>
    <m/>
    <n v="320"/>
  </r>
  <r>
    <n v="17"/>
    <n v="2024"/>
    <s v="Auction"/>
    <s v="VROLIJK BLOEMEN"/>
    <s v="VROLIJK BLOEMEN"/>
    <x v="63"/>
    <s v="English Roses"/>
    <s v="100CM"/>
    <n v="1"/>
    <n v="12"/>
    <n v="200"/>
    <n v="0.94"/>
    <n v="188"/>
    <s v="EUR"/>
    <m/>
    <m/>
    <x v="16"/>
    <n v="0"/>
    <x v="1"/>
    <x v="4"/>
    <n v="200"/>
    <n v="0.218"/>
    <n v="43.6"/>
    <n v="-9.3770873786407787"/>
    <n v="34.222912621359221"/>
    <x v="16"/>
    <n v="0"/>
    <m/>
    <s v="F084824"/>
    <n v="44.842799999999997"/>
    <m/>
    <n v="4"/>
    <m/>
    <n v="48.842799999999997"/>
    <n v="-14.619887378640776"/>
    <m/>
    <n v="200"/>
  </r>
  <r>
    <n v="17"/>
    <n v="2024"/>
    <s v="Auction"/>
    <s v="VROLIJK BLOEMEN"/>
    <s v="VROLIJK BLOEMEN"/>
    <x v="63"/>
    <s v="Grandiflora Roses"/>
    <s v="70CM"/>
    <n v="1"/>
    <n v="12"/>
    <n v="520"/>
    <n v="0.28000000000000003"/>
    <n v="145.6"/>
    <s v="EUR"/>
    <m/>
    <m/>
    <x v="16"/>
    <n v="-160"/>
    <x v="0"/>
    <x v="1"/>
    <n v="680"/>
    <n v="0.34235294117647058"/>
    <n v="232.79999999999998"/>
    <n v="-31.882097087378643"/>
    <n v="200.91790291262134"/>
    <x v="16"/>
    <n v="160"/>
    <m/>
    <s v="F084824"/>
    <n v="44.842799999999997"/>
    <m/>
    <n v="13.6"/>
    <m/>
    <n v="58.442799999999998"/>
    <n v="142.47510291262134"/>
    <m/>
    <n v="680"/>
  </r>
  <r>
    <n v="17"/>
    <n v="2024"/>
    <s v="Auction"/>
    <s v="VROLIJK BLOEMEN"/>
    <s v="VROLIJK BLOEMEN"/>
    <x v="63"/>
    <s v="Grandiflora Roses"/>
    <s v="80CM"/>
    <n v="1"/>
    <n v="12"/>
    <n v="480"/>
    <n v="0.33"/>
    <n v="158.4"/>
    <s v="EUR"/>
    <m/>
    <m/>
    <x v="16"/>
    <n v="480"/>
    <x v="0"/>
    <x v="2"/>
    <m/>
    <m/>
    <n v="0"/>
    <n v="0"/>
    <n v="0"/>
    <x v="16"/>
    <n v="-480"/>
    <m/>
    <s v="F084824"/>
    <n v="44.842799999999997"/>
    <m/>
    <n v="0"/>
    <m/>
    <n v="44.842799999999997"/>
    <n v="-44.842799999999997"/>
    <m/>
    <n v="0"/>
  </r>
  <r>
    <n v="17"/>
    <n v="2024"/>
    <s v="Auction"/>
    <s v="VROLIJK BLOEMEN"/>
    <s v="VROLIJK BLOEMEN"/>
    <x v="63"/>
    <s v="Grandiflora Roses"/>
    <s v="90CM"/>
    <n v="1"/>
    <n v="12"/>
    <n v="400"/>
    <n v="0.38"/>
    <n v="152"/>
    <s v="EUR"/>
    <m/>
    <m/>
    <x v="16"/>
    <n v="-480"/>
    <x v="0"/>
    <x v="3"/>
    <n v="880"/>
    <n v="0.4"/>
    <n v="352"/>
    <n v="-41.259184466019427"/>
    <n v="310.74081553398059"/>
    <x v="16"/>
    <n v="480"/>
    <m/>
    <s v="F084824"/>
    <n v="44.842799999999997"/>
    <m/>
    <n v="17.600000000000001"/>
    <m/>
    <n v="62.442799999999998"/>
    <n v="248.29801553398059"/>
    <m/>
    <n v="880"/>
  </r>
  <r>
    <n v="17"/>
    <n v="2024"/>
    <s v="Auction"/>
    <s v="VROLIJK BLOEMEN"/>
    <s v="VROLIJK BLOEMEN"/>
    <x v="63"/>
    <s v="Moss Roses"/>
    <s v="60CM"/>
    <n v="1"/>
    <n v="3.5999999999999996"/>
    <n v="120"/>
    <n v="0.24"/>
    <n v="28.8"/>
    <s v="EUR"/>
    <m/>
    <m/>
    <x v="16"/>
    <n v="0"/>
    <x v="4"/>
    <x v="0"/>
    <n v="120"/>
    <n v="0.33999999999999997"/>
    <n v="40.799999999999997"/>
    <n v="-5.6262524271844665"/>
    <n v="35.173747572815529"/>
    <x v="16"/>
    <n v="0"/>
    <m/>
    <s v="F084824"/>
    <n v="13.452839999999998"/>
    <m/>
    <n v="2.4"/>
    <m/>
    <n v="15.852839999999999"/>
    <n v="19.320907572815528"/>
    <m/>
    <n v="120"/>
  </r>
  <r>
    <n v="17"/>
    <n v="2024"/>
    <s v="Auction"/>
    <s v="VROLIJK BLOEMEN"/>
    <s v="VROLIJK BLOEMEN"/>
    <x v="63"/>
    <s v="Moss Roses"/>
    <s v="70CM"/>
    <m/>
    <n v="3.5999999999999996"/>
    <n v="120"/>
    <n v="0.28000000000000003"/>
    <n v="33.6"/>
    <s v="EUR"/>
    <m/>
    <m/>
    <x v="16"/>
    <n v="0"/>
    <x v="4"/>
    <x v="1"/>
    <n v="120"/>
    <n v="0.53"/>
    <n v="63.6"/>
    <n v="-5.6262524271844665"/>
    <n v="57.973747572815533"/>
    <x v="16"/>
    <n v="0"/>
    <m/>
    <s v="F084824"/>
    <n v="13.452839999999998"/>
    <m/>
    <n v="2.4"/>
    <m/>
    <n v="15.852839999999999"/>
    <n v="42.120907572815533"/>
    <m/>
    <n v="120"/>
  </r>
  <r>
    <n v="17"/>
    <n v="2024"/>
    <s v="Auction"/>
    <s v="VROLIJK BLOEMEN"/>
    <s v="VROLIJK BLOEMEN"/>
    <x v="63"/>
    <s v="Moss Roses"/>
    <s v="80CM"/>
    <m/>
    <n v="3.5999999999999996"/>
    <n v="120"/>
    <n v="0.33"/>
    <n v="39.6"/>
    <s v="EUR"/>
    <m/>
    <m/>
    <x v="16"/>
    <n v="0"/>
    <x v="4"/>
    <x v="2"/>
    <n v="120"/>
    <n v="0.51"/>
    <n v="61.2"/>
    <n v="-5.6262524271844665"/>
    <n v="55.573747572815535"/>
    <x v="16"/>
    <n v="0"/>
    <m/>
    <s v="F084824"/>
    <n v="13.452839999999998"/>
    <m/>
    <n v="2.4"/>
    <m/>
    <n v="15.852839999999999"/>
    <n v="39.720907572815534"/>
    <m/>
    <n v="120"/>
  </r>
  <r>
    <n v="17"/>
    <n v="2024"/>
    <s v="Auction"/>
    <s v="VROLIJK BLOEMEN"/>
    <s v="VROLIJK BLOEMEN"/>
    <x v="63"/>
    <s v="Moss Roses"/>
    <s v="90CM"/>
    <m/>
    <n v="1.2000000000000002"/>
    <n v="40"/>
    <n v="0.38"/>
    <n v="15.2"/>
    <s v="EUR"/>
    <m/>
    <m/>
    <x v="16"/>
    <n v="0"/>
    <x v="4"/>
    <x v="3"/>
    <n v="40"/>
    <n v="0.48"/>
    <n v="19.2"/>
    <n v="-1.8754174757281556"/>
    <n v="17.324582524271843"/>
    <x v="16"/>
    <n v="0"/>
    <m/>
    <s v="F084824"/>
    <n v="4.4842800000000009"/>
    <m/>
    <n v="0.8"/>
    <m/>
    <n v="5.2842800000000008"/>
    <n v="12.040302524271842"/>
    <m/>
    <n v="40"/>
  </r>
  <r>
    <n v="17"/>
    <n v="2024"/>
    <s v="Auction"/>
    <s v="VROLIJK BLOEMEN"/>
    <s v="VROLIJK BLOEMEN"/>
    <x v="63"/>
    <s v="Grandiflora Roses"/>
    <s v="70CM"/>
    <n v="1"/>
    <n v="4.8000000000000007"/>
    <n v="160"/>
    <n v="0.28000000000000003"/>
    <n v="44.8"/>
    <s v="EUR"/>
    <m/>
    <m/>
    <x v="16"/>
    <n v="160"/>
    <x v="0"/>
    <x v="1"/>
    <m/>
    <m/>
    <n v="0"/>
    <n v="0"/>
    <n v="0"/>
    <x v="16"/>
    <n v="-160"/>
    <m/>
    <s v="F084824"/>
    <n v="17.937120000000004"/>
    <m/>
    <n v="0"/>
    <m/>
    <n v="17.937120000000004"/>
    <n v="-17.937120000000004"/>
    <m/>
    <n v="0"/>
  </r>
  <r>
    <n v="17"/>
    <n v="2024"/>
    <s v="Auction"/>
    <s v="VROLIJK BLOEMEN"/>
    <s v="VROLIJK BLOEMEN"/>
    <x v="63"/>
    <s v="Grandiflora Roses"/>
    <s v="100CM"/>
    <m/>
    <n v="7.1999999999999993"/>
    <n v="240"/>
    <n v="0.47"/>
    <n v="112.8"/>
    <s v="EUR"/>
    <m/>
    <m/>
    <x v="16"/>
    <n v="0"/>
    <x v="0"/>
    <x v="4"/>
    <n v="240"/>
    <n v="0.56499999999999995"/>
    <n v="135.6"/>
    <n v="-11.252504854368933"/>
    <n v="124.34749514563106"/>
    <x v="16"/>
    <n v="0"/>
    <m/>
    <s v="F084824"/>
    <n v="26.905679999999997"/>
    <m/>
    <n v="4.8"/>
    <m/>
    <n v="31.705679999999997"/>
    <n v="92.641815145631057"/>
    <m/>
    <n v="240"/>
  </r>
  <r>
    <n v="17"/>
    <n v="2024"/>
    <s v="Auction"/>
    <s v="VROLIJK BLOEMEN"/>
    <s v="VROLIJK BLOEMEN"/>
    <x v="63"/>
    <s v="Floribunda Roses"/>
    <s v="90CM"/>
    <n v="1"/>
    <n v="4.8000000000000007"/>
    <n v="80"/>
    <n v="0.75"/>
    <n v="60"/>
    <s v="EUR"/>
    <m/>
    <m/>
    <x v="16"/>
    <n v="20"/>
    <x v="2"/>
    <x v="3"/>
    <n v="60"/>
    <n v="0.49"/>
    <n v="29.4"/>
    <n v="-2.8131262135922332"/>
    <n v="26.586873786407764"/>
    <x v="16"/>
    <n v="-20"/>
    <m/>
    <s v="F084824"/>
    <n v="17.937120000000004"/>
    <m/>
    <n v="1.2"/>
    <m/>
    <n v="19.137120000000003"/>
    <n v="7.4497537864077614"/>
    <m/>
    <n v="60"/>
  </r>
  <r>
    <n v="17"/>
    <n v="2024"/>
    <s v="Auction"/>
    <s v="VROLIJK BLOEMEN"/>
    <s v="VROLIJK BLOEMEN"/>
    <x v="63"/>
    <s v="Floribunda Roses"/>
    <s v="100CM"/>
    <m/>
    <n v="7.1999999999999993"/>
    <n v="120"/>
    <n v="0.94"/>
    <n v="112.8"/>
    <s v="EUR"/>
    <m/>
    <m/>
    <x v="16"/>
    <n v="-200"/>
    <x v="2"/>
    <x v="4"/>
    <n v="320"/>
    <n v="0.61499999999999999"/>
    <n v="196.8"/>
    <n v="-15.003339805825245"/>
    <n v="181.79666019417476"/>
    <x v="16"/>
    <n v="200"/>
    <m/>
    <s v="F084824"/>
    <n v="26.905679999999997"/>
    <m/>
    <n v="6.4"/>
    <m/>
    <n v="33.305679999999995"/>
    <n v="148.49098019417477"/>
    <m/>
    <n v="320"/>
  </r>
  <r>
    <n v="17"/>
    <n v="2024"/>
    <s v="Auction"/>
    <s v="VROLIJK BLOEMEN"/>
    <s v="VROLIJK BLOEMEN"/>
    <x v="63"/>
    <s v="English Roses"/>
    <s v="50CM"/>
    <n v="1"/>
    <n v="4.8000000000000007"/>
    <n v="240"/>
    <n v="0.38"/>
    <n v="91.2"/>
    <s v="EUR"/>
    <m/>
    <m/>
    <x v="16"/>
    <n v="240"/>
    <x v="1"/>
    <x v="5"/>
    <m/>
    <m/>
    <n v="0"/>
    <n v="0"/>
    <n v="0"/>
    <x v="16"/>
    <n v="-240"/>
    <m/>
    <s v="F084824"/>
    <n v="17.937120000000004"/>
    <m/>
    <n v="0"/>
    <m/>
    <n v="17.937120000000004"/>
    <n v="-17.937120000000004"/>
    <m/>
    <n v="0"/>
  </r>
  <r>
    <n v="17"/>
    <n v="2024"/>
    <s v="Auction"/>
    <s v="VROLIJK BLOEMEN"/>
    <s v="VROLIJK BLOEMEN"/>
    <x v="63"/>
    <s v="English Roses"/>
    <s v="60CM"/>
    <m/>
    <n v="7.1999999999999993"/>
    <n v="360"/>
    <n v="0.47"/>
    <n v="169.2"/>
    <s v="EUR"/>
    <m/>
    <m/>
    <x v="16"/>
    <n v="360"/>
    <x v="1"/>
    <x v="0"/>
    <m/>
    <m/>
    <n v="0"/>
    <n v="0"/>
    <n v="0"/>
    <x v="16"/>
    <n v="-360"/>
    <m/>
    <s v="F084824"/>
    <n v="26.905679999999997"/>
    <m/>
    <n v="0"/>
    <m/>
    <n v="26.905679999999997"/>
    <n v="-26.905679999999997"/>
    <m/>
    <n v="0"/>
  </r>
  <r>
    <n v="17"/>
    <n v="2024"/>
    <s v="Auction"/>
    <s v="VROLIJK BLOEMEN"/>
    <s v="VROLIJK BLOEMEN"/>
    <x v="63"/>
    <s v="Polyantha Roses"/>
    <s v="50CM"/>
    <n v="1"/>
    <n v="2.7692307692307692"/>
    <n v="120"/>
    <n v="0.42"/>
    <n v="50.4"/>
    <s v="EUR"/>
    <m/>
    <m/>
    <x v="16"/>
    <n v="0"/>
    <x v="3"/>
    <x v="5"/>
    <n v="120"/>
    <n v="0.45"/>
    <n v="54"/>
    <n v="-5.6262524271844665"/>
    <n v="48.373747572815532"/>
    <x v="16"/>
    <n v="0"/>
    <m/>
    <s v="F084824"/>
    <n v="10.348338461538461"/>
    <m/>
    <n v="2.4"/>
    <m/>
    <n v="12.748338461538461"/>
    <n v="35.625409111277072"/>
    <m/>
    <n v="120"/>
  </r>
  <r>
    <n v="17"/>
    <n v="2024"/>
    <s v="Auction"/>
    <s v="VROLIJK BLOEMEN"/>
    <s v="VROLIJK BLOEMEN"/>
    <x v="63"/>
    <s v="Polyantha Roses"/>
    <s v="60CM"/>
    <m/>
    <n v="9.2307692307692317"/>
    <n v="400"/>
    <n v="0.52"/>
    <n v="208"/>
    <s v="EUR"/>
    <m/>
    <m/>
    <x v="16"/>
    <n v="0"/>
    <x v="3"/>
    <x v="0"/>
    <n v="400"/>
    <n v="0.56999999999999995"/>
    <n v="227.99999999999997"/>
    <n v="-18.754174757281557"/>
    <n v="209.24582524271841"/>
    <x v="16"/>
    <n v="0"/>
    <m/>
    <s v="F084824"/>
    <n v="34.494461538461536"/>
    <m/>
    <n v="8"/>
    <m/>
    <n v="42.494461538461536"/>
    <n v="166.75136370425687"/>
    <m/>
    <n v="400"/>
  </r>
  <r>
    <n v="17"/>
    <n v="2024"/>
    <s v="Auction"/>
    <s v="VROLIJK BLOEMEN"/>
    <s v="VROLIJK BLOEMEN"/>
    <x v="63"/>
    <s v="Floribunda Roses"/>
    <s v="60CM"/>
    <n v="1"/>
    <n v="3"/>
    <n v="160"/>
    <n v="0.47"/>
    <n v="75.2"/>
    <s v="EUR"/>
    <m/>
    <m/>
    <x v="16"/>
    <n v="160"/>
    <x v="2"/>
    <x v="0"/>
    <m/>
    <m/>
    <n v="0"/>
    <n v="0"/>
    <n v="0"/>
    <x v="16"/>
    <n v="-160"/>
    <m/>
    <s v="F084824"/>
    <n v="11.210699999999999"/>
    <m/>
    <n v="0"/>
    <m/>
    <n v="11.210699999999999"/>
    <n v="-11.210699999999999"/>
    <m/>
    <n v="0"/>
  </r>
  <r>
    <n v="17"/>
    <n v="2024"/>
    <s v="Auction"/>
    <s v="VROLIJK BLOEMEN"/>
    <s v="VROLIJK BLOEMEN"/>
    <x v="63"/>
    <s v="Floribunda Roses"/>
    <s v="50CM"/>
    <m/>
    <n v="5.25"/>
    <n v="280"/>
    <n v="0.38"/>
    <n v="106.4"/>
    <s v="EUR"/>
    <m/>
    <m/>
    <x v="16"/>
    <n v="0"/>
    <x v="2"/>
    <x v="5"/>
    <n v="280"/>
    <n v="-0.3585714285714286"/>
    <n v="-100.4"/>
    <n v="-13.127922330097091"/>
    <n v="-113.5279223300971"/>
    <x v="16"/>
    <n v="0"/>
    <m/>
    <s v="F084824"/>
    <n v="19.618725000000001"/>
    <m/>
    <n v="5.6000000000000005"/>
    <m/>
    <n v="25.218725000000003"/>
    <n v="-138.74664733009709"/>
    <m/>
    <n v="280"/>
  </r>
  <r>
    <n v="17"/>
    <n v="2024"/>
    <s v="Auction"/>
    <s v="VROLIJK BLOEMEN"/>
    <s v="VROLIJK BLOEMEN"/>
    <x v="63"/>
    <s v="Floribunda Roses"/>
    <s v="70CM"/>
    <m/>
    <n v="3.75"/>
    <n v="200"/>
    <n v="0.52"/>
    <n v="104"/>
    <s v="EUR"/>
    <m/>
    <m/>
    <x v="16"/>
    <n v="200"/>
    <x v="2"/>
    <x v="1"/>
    <m/>
    <m/>
    <n v="0"/>
    <n v="0"/>
    <n v="0"/>
    <x v="16"/>
    <n v="-200"/>
    <m/>
    <s v="F084824"/>
    <n v="14.013375"/>
    <m/>
    <n v="0"/>
    <m/>
    <n v="14.013375"/>
    <n v="-14.013375"/>
    <m/>
    <n v="0"/>
  </r>
  <r>
    <n v="17"/>
    <n v="2024"/>
    <s v="Auction"/>
    <s v="VROLIJK BLOEMEN"/>
    <s v="VROLIJK BLOEMEN"/>
    <x v="63"/>
    <s v="Polyantha Roses"/>
    <s v="70CM"/>
    <n v="1"/>
    <n v="10.285714285714285"/>
    <n v="240"/>
    <n v="0.61"/>
    <n v="146.4"/>
    <s v="EUR"/>
    <m/>
    <m/>
    <x v="16"/>
    <n v="0"/>
    <x v="3"/>
    <x v="1"/>
    <n v="240"/>
    <n v="0.76"/>
    <n v="182.4"/>
    <n v="-11.252504854368933"/>
    <n v="171.14749514563107"/>
    <x v="16"/>
    <n v="0"/>
    <m/>
    <s v="F084824"/>
    <n v="38.436685714285709"/>
    <m/>
    <n v="4.8"/>
    <m/>
    <n v="43.236685714285706"/>
    <n v="127.91080943134537"/>
    <m/>
    <n v="240"/>
  </r>
  <r>
    <n v="17"/>
    <n v="2024"/>
    <s v="Auction"/>
    <s v="VROLIJK BLOEMEN"/>
    <s v="VROLIJK BLOEMEN"/>
    <x v="63"/>
    <s v="Polyantha Roses"/>
    <s v="80CM"/>
    <m/>
    <n v="1.7142857142857142"/>
    <n v="40"/>
    <n v="0.66"/>
    <n v="26.4"/>
    <s v="EUR"/>
    <m/>
    <m/>
    <x v="16"/>
    <n v="0"/>
    <x v="3"/>
    <x v="2"/>
    <n v="40"/>
    <n v="1"/>
    <n v="40"/>
    <n v="-1.8754174757281556"/>
    <n v="38.124582524271844"/>
    <x v="16"/>
    <n v="0"/>
    <m/>
    <s v="F084824"/>
    <n v="6.4061142857142856"/>
    <m/>
    <n v="0.8"/>
    <m/>
    <n v="7.2061142857142855"/>
    <n v="30.918468238557558"/>
    <m/>
    <n v="40"/>
  </r>
  <r>
    <n v="17"/>
    <n v="2024"/>
    <s v="Auction"/>
    <s v="VROLIJK BLOEMEN"/>
    <s v="VROLIJK BLOEMEN"/>
    <x v="63"/>
    <s v="Polyantha Roses"/>
    <s v="90CM"/>
    <n v="1"/>
    <n v="4.8000000000000007"/>
    <n v="80"/>
    <n v="0.85"/>
    <n v="68"/>
    <s v="EUR"/>
    <m/>
    <m/>
    <x v="16"/>
    <n v="0"/>
    <x v="3"/>
    <x v="3"/>
    <n v="80"/>
    <n v="1.04"/>
    <n v="83.2"/>
    <n v="-3.7508349514563113"/>
    <n v="79.449165048543691"/>
    <x v="16"/>
    <n v="0"/>
    <m/>
    <s v="F084824"/>
    <n v="17.937120000000004"/>
    <m/>
    <n v="1.6"/>
    <m/>
    <n v="19.537120000000005"/>
    <n v="59.912045048543689"/>
    <m/>
    <n v="80"/>
  </r>
  <r>
    <n v="17"/>
    <n v="2024"/>
    <s v="Auction"/>
    <s v="VROLIJK BLOEMEN"/>
    <s v="VROLIJK BLOEMEN"/>
    <x v="63"/>
    <s v="Polyantha Roses"/>
    <s v="100CM"/>
    <m/>
    <n v="7.1999999999999993"/>
    <n v="120"/>
    <n v="1.04"/>
    <n v="124.8"/>
    <s v="EUR"/>
    <m/>
    <m/>
    <x v="16"/>
    <n v="0"/>
    <x v="3"/>
    <x v="4"/>
    <n v="120"/>
    <n v="1"/>
    <n v="120"/>
    <n v="-5.6262524271844665"/>
    <n v="114.37374757281553"/>
    <x v="16"/>
    <n v="0"/>
    <m/>
    <s v="F084824"/>
    <n v="26.905679999999997"/>
    <m/>
    <n v="2.4"/>
    <m/>
    <n v="29.305679999999995"/>
    <n v="85.068067572815536"/>
    <m/>
    <n v="120"/>
  </r>
  <r>
    <n v="17"/>
    <n v="2024"/>
    <s v="Auction"/>
    <s v="VROLIJK BLOEMEN"/>
    <s v="VROLIJK BLOEMEN"/>
    <x v="64"/>
    <s v="Floribunda Roses"/>
    <s v="50CM"/>
    <n v="1"/>
    <n v="12"/>
    <n v="760"/>
    <n v="0.38"/>
    <n v="288.8"/>
    <s v="EUR"/>
    <m/>
    <m/>
    <x v="16"/>
    <n v="0"/>
    <x v="2"/>
    <x v="5"/>
    <n v="760"/>
    <n v="0.25"/>
    <n v="190"/>
    <n v="-39.932340425531933"/>
    <n v="150.06765957446805"/>
    <x v="16"/>
    <n v="0"/>
    <m/>
    <s v="F084969"/>
    <n v="50.026428571428568"/>
    <m/>
    <n v="15.200000000000001"/>
    <m/>
    <n v="65.226428571428571"/>
    <n v="84.841231003039482"/>
    <m/>
    <n v="760"/>
  </r>
  <r>
    <n v="17"/>
    <n v="2024"/>
    <s v="Auction"/>
    <s v="VROLIJK BLOEMEN"/>
    <s v="VROLIJK BLOEMEN"/>
    <x v="64"/>
    <s v="Floribunda Roses"/>
    <s v="60CM"/>
    <n v="1"/>
    <n v="12"/>
    <n v="520"/>
    <n v="0.47"/>
    <n v="244.4"/>
    <s v="EUR"/>
    <m/>
    <m/>
    <x v="16"/>
    <n v="-280"/>
    <x v="2"/>
    <x v="0"/>
    <n v="800"/>
    <n v="0.68700000000000006"/>
    <n v="549.6"/>
    <n v="-42.034042553191512"/>
    <n v="507.56595744680851"/>
    <x v="16"/>
    <n v="280"/>
    <m/>
    <s v="F084969"/>
    <n v="50.026428571428568"/>
    <m/>
    <n v="16"/>
    <m/>
    <n v="66.026428571428568"/>
    <n v="441.53952887537992"/>
    <m/>
    <n v="800"/>
  </r>
  <r>
    <n v="17"/>
    <n v="2024"/>
    <s v="Auction"/>
    <s v="VROLIJK BLOEMEN"/>
    <s v="VROLIJK BLOEMEN"/>
    <x v="64"/>
    <s v="Floribunda Roses"/>
    <s v="70CM"/>
    <n v="1"/>
    <n v="12"/>
    <n v="400"/>
    <n v="0.52"/>
    <n v="208"/>
    <s v="EUR"/>
    <m/>
    <m/>
    <x v="16"/>
    <n v="0"/>
    <x v="2"/>
    <x v="1"/>
    <n v="400"/>
    <n v="0.72799999999999998"/>
    <n v="291.2"/>
    <n v="-21.017021276595756"/>
    <n v="270.18297872340423"/>
    <x v="16"/>
    <n v="0"/>
    <m/>
    <s v="F084969"/>
    <n v="50.026428571428568"/>
    <m/>
    <n v="8"/>
    <m/>
    <n v="58.026428571428568"/>
    <n v="212.15655015197567"/>
    <m/>
    <n v="400"/>
  </r>
  <r>
    <n v="17"/>
    <n v="2024"/>
    <s v="Auction"/>
    <s v="VROLIJK BLOEMEN"/>
    <s v="VROLIJK BLOEMEN"/>
    <x v="64"/>
    <s v="Floribunda Roses"/>
    <s v="100CM"/>
    <n v="1"/>
    <n v="12"/>
    <n v="200"/>
    <n v="0.94"/>
    <n v="188"/>
    <s v="EUR"/>
    <m/>
    <m/>
    <x v="16"/>
    <n v="200"/>
    <x v="2"/>
    <x v="4"/>
    <m/>
    <m/>
    <n v="0"/>
    <n v="0"/>
    <n v="0"/>
    <x v="16"/>
    <n v="-200"/>
    <m/>
    <s v="F084969"/>
    <n v="50.026428571428568"/>
    <m/>
    <n v="0"/>
    <m/>
    <n v="50.026428571428568"/>
    <n v="-50.026428571428568"/>
    <m/>
    <n v="0"/>
  </r>
  <r>
    <n v="17"/>
    <n v="2024"/>
    <s v="Auction"/>
    <s v="VROLIJK BLOEMEN"/>
    <s v="VROLIJK BLOEMEN"/>
    <x v="64"/>
    <s v="English Roses"/>
    <s v="60CM"/>
    <n v="1"/>
    <n v="12"/>
    <n v="480"/>
    <n v="0.47"/>
    <n v="225.6"/>
    <s v="EUR"/>
    <m/>
    <m/>
    <x v="16"/>
    <n v="-40"/>
    <x v="1"/>
    <x v="0"/>
    <n v="520"/>
    <n v="0.63230769230769235"/>
    <n v="328.8"/>
    <n v="-27.32212765957448"/>
    <n v="301.47787234042551"/>
    <x v="16"/>
    <n v="40"/>
    <m/>
    <s v="F084969"/>
    <n v="50.026428571428568"/>
    <m/>
    <n v="10.4"/>
    <m/>
    <n v="60.426428571428566"/>
    <n v="241.05144376899693"/>
    <m/>
    <n v="520"/>
  </r>
  <r>
    <n v="17"/>
    <n v="2024"/>
    <s v="Auction"/>
    <s v="VROLIJK BLOEMEN"/>
    <s v="VROLIJK BLOEMEN"/>
    <x v="64"/>
    <s v="English Roses"/>
    <s v="80CM"/>
    <n v="1"/>
    <n v="12"/>
    <n v="320"/>
    <n v="0.56999999999999995"/>
    <n v="182.4"/>
    <s v="EUR"/>
    <m/>
    <m/>
    <x v="16"/>
    <n v="-40"/>
    <x v="1"/>
    <x v="2"/>
    <n v="360"/>
    <n v="0.68111111111111111"/>
    <n v="245.2"/>
    <n v="-18.915319148936181"/>
    <n v="226.2846808510638"/>
    <x v="16"/>
    <n v="40"/>
    <m/>
    <s v="F084969"/>
    <n v="50.026428571428568"/>
    <m/>
    <n v="7.2"/>
    <m/>
    <n v="57.226428571428571"/>
    <n v="169.05825227963521"/>
    <m/>
    <n v="360"/>
  </r>
  <r>
    <n v="17"/>
    <n v="2024"/>
    <s v="Auction"/>
    <s v="VROLIJK BLOEMEN"/>
    <s v="VROLIJK BLOEMEN"/>
    <x v="64"/>
    <s v="English Roses"/>
    <s v="100CM"/>
    <n v="1"/>
    <n v="12"/>
    <n v="200"/>
    <n v="0.94"/>
    <n v="188"/>
    <s v="EUR"/>
    <m/>
    <m/>
    <x v="16"/>
    <n v="0"/>
    <x v="1"/>
    <x v="4"/>
    <n v="200"/>
    <n v="0.8859999999999999"/>
    <n v="177.2"/>
    <n v="-10.508510638297878"/>
    <n v="166.69148936170211"/>
    <x v="16"/>
    <n v="0"/>
    <m/>
    <s v="F084969"/>
    <n v="50.026428571428568"/>
    <m/>
    <n v="4"/>
    <m/>
    <n v="54.026428571428568"/>
    <n v="112.66506079027354"/>
    <m/>
    <n v="200"/>
  </r>
  <r>
    <n v="17"/>
    <n v="2024"/>
    <s v="Auction"/>
    <s v="VROLIJK BLOEMEN"/>
    <s v="VROLIJK BLOEMEN"/>
    <x v="64"/>
    <s v="Grandiflora Roses"/>
    <s v="80CM"/>
    <n v="1"/>
    <n v="12"/>
    <n v="440"/>
    <n v="0.33"/>
    <n v="145.19999999999999"/>
    <s v="EUR"/>
    <m/>
    <m/>
    <x v="16"/>
    <n v="0"/>
    <x v="0"/>
    <x v="2"/>
    <n v="440"/>
    <n v="0.55818181818181822"/>
    <n v="245.60000000000002"/>
    <n v="-23.118723404255331"/>
    <n v="222.4812765957447"/>
    <x v="16"/>
    <n v="0"/>
    <m/>
    <s v="F084969"/>
    <n v="50.026428571428568"/>
    <m/>
    <n v="8.8000000000000007"/>
    <m/>
    <n v="58.826428571428565"/>
    <n v="163.65484802431615"/>
    <m/>
    <n v="440"/>
  </r>
  <r>
    <n v="17"/>
    <n v="2024"/>
    <s v="Auction"/>
    <s v="VROLIJK BLOEMEN"/>
    <s v="VROLIJK BLOEMEN"/>
    <x v="64"/>
    <s v="Grandiflora Roses"/>
    <s v="90CM"/>
    <n v="1"/>
    <n v="12"/>
    <n v="400"/>
    <n v="0.38"/>
    <n v="152"/>
    <s v="EUR"/>
    <m/>
    <m/>
    <x v="16"/>
    <n v="0"/>
    <x v="0"/>
    <x v="3"/>
    <n v="400"/>
    <n v="0.45"/>
    <n v="180"/>
    <n v="-21.017021276595756"/>
    <n v="158.98297872340424"/>
    <x v="16"/>
    <n v="0"/>
    <m/>
    <s v="F084969"/>
    <n v="50.026428571428568"/>
    <m/>
    <n v="8"/>
    <m/>
    <n v="58.026428571428568"/>
    <n v="100.95655015197568"/>
    <m/>
    <n v="400"/>
  </r>
  <r>
    <n v="17"/>
    <n v="2024"/>
    <s v="Auction"/>
    <s v="VROLIJK BLOEMEN"/>
    <s v="VROLIJK BLOEMEN"/>
    <x v="64"/>
    <s v="Grandiflora Roses"/>
    <s v="70CM"/>
    <n v="1"/>
    <n v="7.6363636363636367"/>
    <n v="280"/>
    <n v="0.28000000000000003"/>
    <n v="78.400000000000006"/>
    <s v="EUR"/>
    <m/>
    <m/>
    <x v="16"/>
    <n v="0"/>
    <x v="0"/>
    <x v="1"/>
    <n v="280"/>
    <n v="0.40714285714285714"/>
    <n v="114"/>
    <n v="-14.711914893617028"/>
    <n v="99.288085106382965"/>
    <x v="16"/>
    <n v="0"/>
    <m/>
    <s v="F084969"/>
    <n v="31.835000000000001"/>
    <m/>
    <n v="5.6000000000000005"/>
    <m/>
    <n v="37.435000000000002"/>
    <n v="61.853085106382963"/>
    <m/>
    <n v="280"/>
  </r>
  <r>
    <n v="17"/>
    <n v="2024"/>
    <s v="Auction"/>
    <s v="VROLIJK BLOEMEN"/>
    <s v="VROLIJK BLOEMEN"/>
    <x v="64"/>
    <s v="Grandiflora Roses"/>
    <s v="100CM"/>
    <m/>
    <n v="4.3636363636363633"/>
    <n v="160"/>
    <n v="0.47"/>
    <n v="75.2"/>
    <s v="EUR"/>
    <m/>
    <m/>
    <x v="16"/>
    <n v="0"/>
    <x v="0"/>
    <x v="4"/>
    <n v="160"/>
    <n v="0.69500000000000006"/>
    <n v="111.20000000000002"/>
    <n v="-8.4068085106383013"/>
    <n v="102.79319148936172"/>
    <x v="16"/>
    <n v="0"/>
    <m/>
    <s v="F084969"/>
    <n v="18.19142857142857"/>
    <m/>
    <n v="3.2"/>
    <m/>
    <n v="21.39142857142857"/>
    <n v="81.401762917933155"/>
    <m/>
    <n v="160"/>
  </r>
  <r>
    <n v="17"/>
    <n v="2024"/>
    <s v="Auction"/>
    <s v="VROLIJK BLOEMEN"/>
    <s v="VROLIJK BLOEMEN"/>
    <x v="64"/>
    <s v="Floribunda Roses"/>
    <s v="90CM"/>
    <n v="1"/>
    <n v="10"/>
    <n v="200"/>
    <n v="0.75"/>
    <n v="150"/>
    <s v="EUR"/>
    <m/>
    <m/>
    <x v="16"/>
    <n v="0"/>
    <x v="2"/>
    <x v="3"/>
    <n v="200"/>
    <n v="0.68"/>
    <n v="136"/>
    <n v="-10.508510638297878"/>
    <n v="125.49148936170212"/>
    <x v="16"/>
    <n v="0"/>
    <m/>
    <s v="F084969"/>
    <n v="41.688690476190473"/>
    <m/>
    <n v="4"/>
    <m/>
    <n v="45.688690476190473"/>
    <n v="79.802798885511649"/>
    <m/>
    <n v="200"/>
  </r>
  <r>
    <n v="17"/>
    <n v="2024"/>
    <s v="Auction"/>
    <s v="VROLIJK BLOEMEN"/>
    <s v="VROLIJK BLOEMEN"/>
    <x v="64"/>
    <s v="Floribunda Roses"/>
    <s v="100CM"/>
    <m/>
    <n v="2"/>
    <n v="40"/>
    <n v="0.94"/>
    <n v="37.6"/>
    <s v="EUR"/>
    <m/>
    <m/>
    <x v="16"/>
    <n v="-200"/>
    <x v="2"/>
    <x v="4"/>
    <n v="240"/>
    <n v="0.71000000000000008"/>
    <n v="170.4"/>
    <n v="-12.610212765957453"/>
    <n v="157.78978723404256"/>
    <x v="16"/>
    <n v="200"/>
    <m/>
    <s v="F084969"/>
    <n v="8.3377380952380946"/>
    <m/>
    <n v="4.8"/>
    <m/>
    <n v="13.137738095238095"/>
    <n v="144.65204913880447"/>
    <m/>
    <n v="240"/>
  </r>
  <r>
    <n v="17"/>
    <n v="2024"/>
    <s v="Auction"/>
    <s v="VROLIJK BLOEMEN"/>
    <s v="VROLIJK BLOEMEN"/>
    <x v="64"/>
    <s v="English Roses"/>
    <s v="50CM"/>
    <n v="1"/>
    <n v="5.333333333333333"/>
    <n v="160"/>
    <n v="0.38"/>
    <n v="60.8"/>
    <s v="EUR"/>
    <m/>
    <m/>
    <x v="16"/>
    <n v="0"/>
    <x v="1"/>
    <x v="5"/>
    <n v="160"/>
    <n v="0.45250000000000001"/>
    <n v="72.400000000000006"/>
    <n v="-8.4068085106383013"/>
    <n v="63.993191489361706"/>
    <x v="16"/>
    <n v="0"/>
    <m/>
    <s v="F084969"/>
    <n v="22.233968253968253"/>
    <m/>
    <n v="3.2"/>
    <m/>
    <n v="25.433968253968253"/>
    <n v="38.559223235393453"/>
    <m/>
    <n v="160"/>
  </r>
  <r>
    <n v="17"/>
    <n v="2024"/>
    <s v="Auction"/>
    <s v="VROLIJK BLOEMEN"/>
    <s v="VROLIJK BLOEMEN"/>
    <x v="64"/>
    <s v="English Roses"/>
    <s v="60CM"/>
    <m/>
    <n v="1.3333333333333333"/>
    <n v="40"/>
    <n v="0.47"/>
    <n v="18.8"/>
    <s v="EUR"/>
    <m/>
    <m/>
    <x v="16"/>
    <n v="40"/>
    <x v="1"/>
    <x v="0"/>
    <m/>
    <m/>
    <n v="0"/>
    <n v="0"/>
    <n v="0"/>
    <x v="16"/>
    <n v="-40"/>
    <m/>
    <s v="F084969"/>
    <n v="5.5584920634920634"/>
    <m/>
    <n v="0"/>
    <m/>
    <n v="5.5584920634920634"/>
    <n v="-5.5584920634920634"/>
    <m/>
    <n v="0"/>
  </r>
  <r>
    <n v="17"/>
    <n v="2024"/>
    <s v="Auction"/>
    <s v="VROLIJK BLOEMEN"/>
    <s v="VROLIJK BLOEMEN"/>
    <x v="64"/>
    <s v="English Roses"/>
    <s v="90CM"/>
    <m/>
    <n v="5.333333333333333"/>
    <n v="160"/>
    <n v="0.75"/>
    <n v="120"/>
    <s v="EUR"/>
    <m/>
    <m/>
    <x v="16"/>
    <n v="0"/>
    <x v="1"/>
    <x v="3"/>
    <n v="160"/>
    <n v="0.78749999999999998"/>
    <n v="126"/>
    <n v="-8.4068085106383013"/>
    <n v="117.5931914893617"/>
    <x v="16"/>
    <n v="0"/>
    <m/>
    <s v="F084969"/>
    <n v="22.233968253968253"/>
    <m/>
    <n v="3.2"/>
    <m/>
    <n v="25.433968253968253"/>
    <n v="92.159223235393455"/>
    <m/>
    <n v="160"/>
  </r>
  <r>
    <n v="17"/>
    <n v="2024"/>
    <s v="Auction"/>
    <s v="VROLIJK BLOEMEN"/>
    <s v="VROLIJK BLOEMEN"/>
    <x v="64"/>
    <s v="Floribunda Roses"/>
    <s v="60CM"/>
    <n v="1"/>
    <n v="6.4615384615384617"/>
    <n v="280"/>
    <n v="0.47"/>
    <n v="131.6"/>
    <s v="EUR"/>
    <m/>
    <m/>
    <x v="16"/>
    <n v="280"/>
    <x v="2"/>
    <x v="0"/>
    <m/>
    <m/>
    <n v="0"/>
    <n v="0"/>
    <n v="0"/>
    <x v="16"/>
    <n v="-280"/>
    <m/>
    <s v="F084969"/>
    <n v="26.937307692307694"/>
    <m/>
    <n v="0"/>
    <m/>
    <n v="26.937307692307694"/>
    <n v="-26.937307692307694"/>
    <m/>
    <n v="0"/>
  </r>
  <r>
    <n v="17"/>
    <n v="2024"/>
    <s v="Auction"/>
    <s v="VROLIJK BLOEMEN"/>
    <s v="VROLIJK BLOEMEN"/>
    <x v="64"/>
    <s v="Floribunda Roses"/>
    <s v="80CM"/>
    <m/>
    <n v="5.5384615384615383"/>
    <n v="240"/>
    <n v="0.56999999999999995"/>
    <n v="136.80000000000001"/>
    <s v="EUR"/>
    <m/>
    <m/>
    <x v="16"/>
    <n v="0"/>
    <x v="2"/>
    <x v="2"/>
    <n v="240"/>
    <n v="0.70666666666666667"/>
    <n v="169.6"/>
    <n v="-12.610212765957453"/>
    <n v="156.98978723404255"/>
    <x v="16"/>
    <n v="0"/>
    <m/>
    <s v="F084969"/>
    <n v="23.08912087912088"/>
    <m/>
    <n v="4.8"/>
    <m/>
    <n v="27.889120879120881"/>
    <n v="129.10066635492166"/>
    <m/>
    <n v="240"/>
  </r>
  <r>
    <n v="17"/>
    <n v="2024"/>
    <s v="Auction"/>
    <s v="VROLIJK BLOEMEN"/>
    <s v="VROLIJK BLOEMEN"/>
    <x v="64"/>
    <s v="English Roses"/>
    <s v="70CM"/>
    <n v="1"/>
    <n v="10.666666666666666"/>
    <n v="320"/>
    <n v="0.52"/>
    <n v="166.4"/>
    <s v="EUR"/>
    <m/>
    <m/>
    <x v="16"/>
    <n v="0"/>
    <x v="1"/>
    <x v="1"/>
    <n v="320"/>
    <n v="0.77874999999999994"/>
    <n v="249.2"/>
    <n v="-16.813617021276603"/>
    <n v="232.38638297872339"/>
    <x v="16"/>
    <n v="0"/>
    <m/>
    <s v="F084969"/>
    <n v="44.467936507936507"/>
    <m/>
    <n v="6.4"/>
    <m/>
    <n v="50.867936507936506"/>
    <n v="181.5184464707869"/>
    <m/>
    <n v="320"/>
  </r>
  <r>
    <n v="17"/>
    <n v="2024"/>
    <s v="Auction"/>
    <s v="VROLIJK BLOEMEN"/>
    <s v="VROLIJK BLOEMEN"/>
    <x v="64"/>
    <s v="English Roses"/>
    <s v="80CM"/>
    <m/>
    <n v="1.3333333333333333"/>
    <n v="40"/>
    <n v="0.56999999999999995"/>
    <n v="22.8"/>
    <s v="EUR"/>
    <m/>
    <m/>
    <x v="16"/>
    <n v="40"/>
    <x v="1"/>
    <x v="2"/>
    <m/>
    <m/>
    <n v="0"/>
    <n v="0"/>
    <n v="0"/>
    <x v="16"/>
    <n v="-40"/>
    <m/>
    <s v="F084969"/>
    <n v="5.5584920634920634"/>
    <m/>
    <n v="0"/>
    <m/>
    <n v="5.5584920634920634"/>
    <n v="-5.5584920634920634"/>
    <m/>
    <n v="0"/>
  </r>
  <r>
    <n v="17"/>
    <n v="2024"/>
    <s v="Auction"/>
    <s v="VROLIJK BLOEMEN"/>
    <s v="VROLIJK BLOEMEN"/>
    <x v="65"/>
    <s v="Floribunda Roses"/>
    <s v="70CM"/>
    <n v="1"/>
    <n v="12"/>
    <n v="400"/>
    <n v="0.52"/>
    <n v="208"/>
    <s v="EUR"/>
    <m/>
    <m/>
    <x v="17"/>
    <n v="400"/>
    <x v="2"/>
    <x v="1"/>
    <m/>
    <m/>
    <n v="0"/>
    <n v="0"/>
    <n v="0"/>
    <x v="17"/>
    <n v="-400"/>
    <m/>
    <n v="438340"/>
    <n v="46.4"/>
    <m/>
    <n v="0"/>
    <m/>
    <n v="46.4"/>
    <n v="-46.4"/>
    <m/>
    <n v="0"/>
  </r>
  <r>
    <n v="17"/>
    <n v="2024"/>
    <s v="Auction"/>
    <s v="VROLIJK BLOEMEN"/>
    <s v="VROLIJK BLOEMEN"/>
    <x v="65"/>
    <s v="Floribunda Roses"/>
    <s v="90CM"/>
    <n v="1"/>
    <n v="12"/>
    <n v="240"/>
    <n v="0.75"/>
    <n v="180"/>
    <s v="EUR"/>
    <m/>
    <m/>
    <x v="17"/>
    <n v="-160"/>
    <x v="2"/>
    <x v="3"/>
    <n v="400"/>
    <n v="0.69200000000000006"/>
    <n v="276.8"/>
    <n v="-20.947872340425516"/>
    <n v="255.85212765957451"/>
    <x v="17"/>
    <n v="160"/>
    <m/>
    <n v="438340"/>
    <n v="46.4"/>
    <m/>
    <n v="8"/>
    <m/>
    <n v="54.4"/>
    <n v="201.4521276595745"/>
    <m/>
    <n v="400"/>
  </r>
  <r>
    <n v="17"/>
    <n v="2024"/>
    <s v="Auction"/>
    <s v="VROLIJK BLOEMEN"/>
    <s v="VROLIJK BLOEMEN"/>
    <x v="65"/>
    <s v="Floribunda Roses"/>
    <s v="100CM"/>
    <n v="2"/>
    <n v="24"/>
    <n v="400"/>
    <n v="0.94"/>
    <n v="376"/>
    <s v="EUR"/>
    <m/>
    <m/>
    <x v="17"/>
    <n v="-120"/>
    <x v="2"/>
    <x v="4"/>
    <n v="520"/>
    <n v="0.73000000000000009"/>
    <n v="379.6"/>
    <n v="-27.23223404255317"/>
    <n v="352.36776595744686"/>
    <x v="17"/>
    <n v="120"/>
    <m/>
    <n v="438340"/>
    <n v="92.8"/>
    <m/>
    <n v="10.4"/>
    <m/>
    <n v="103.2"/>
    <n v="249.16776595744687"/>
    <m/>
    <n v="520"/>
  </r>
  <r>
    <n v="17"/>
    <n v="2024"/>
    <s v="Auction"/>
    <s v="VROLIJK BLOEMEN"/>
    <s v="VROLIJK BLOEMEN"/>
    <x v="65"/>
    <s v="Grandiflora Roses"/>
    <s v="80CM"/>
    <n v="1"/>
    <n v="12"/>
    <n v="480"/>
    <n v="0.33"/>
    <n v="158.4"/>
    <s v="EUR"/>
    <m/>
    <m/>
    <x v="17"/>
    <n v="480"/>
    <x v="0"/>
    <x v="2"/>
    <m/>
    <m/>
    <n v="0"/>
    <n v="0"/>
    <n v="0"/>
    <x v="17"/>
    <n v="-480"/>
    <m/>
    <n v="438340"/>
    <n v="46.4"/>
    <m/>
    <n v="0"/>
    <m/>
    <n v="46.4"/>
    <n v="-46.4"/>
    <m/>
    <n v="0"/>
  </r>
  <r>
    <n v="17"/>
    <n v="2024"/>
    <s v="Auction"/>
    <s v="VROLIJK BLOEMEN"/>
    <s v="VROLIJK BLOEMEN"/>
    <x v="65"/>
    <s v="Grandiflora Roses"/>
    <s v="90CM"/>
    <n v="1"/>
    <n v="4.5"/>
    <n v="120"/>
    <n v="0.38"/>
    <n v="45.6"/>
    <s v="EUR"/>
    <m/>
    <m/>
    <x v="17"/>
    <n v="0"/>
    <x v="0"/>
    <x v="3"/>
    <n v="120"/>
    <n v="0.54666666666666663"/>
    <n v="65.599999999999994"/>
    <n v="-6.2843617021276552"/>
    <n v="59.31563829787234"/>
    <x v="17"/>
    <n v="0"/>
    <m/>
    <n v="438340"/>
    <n v="17.399999999999999"/>
    <m/>
    <n v="2.4"/>
    <m/>
    <n v="19.799999999999997"/>
    <n v="39.515638297872343"/>
    <m/>
    <n v="120"/>
  </r>
  <r>
    <n v="17"/>
    <n v="2024"/>
    <s v="Auction"/>
    <s v="VROLIJK BLOEMEN"/>
    <s v="VROLIJK BLOEMEN"/>
    <x v="65"/>
    <s v="Grandiflora Roses"/>
    <s v="100CM"/>
    <m/>
    <n v="7.5"/>
    <n v="200"/>
    <n v="0.47"/>
    <n v="94"/>
    <s v="EUR"/>
    <m/>
    <m/>
    <x v="17"/>
    <n v="0"/>
    <x v="0"/>
    <x v="4"/>
    <n v="200"/>
    <n v="0.58200000000000007"/>
    <n v="116.40000000000002"/>
    <n v="-10.473936170212758"/>
    <n v="105.92606382978727"/>
    <x v="17"/>
    <n v="0"/>
    <m/>
    <n v="438340"/>
    <n v="28.999999999999996"/>
    <m/>
    <n v="4"/>
    <m/>
    <n v="33"/>
    <n v="72.926063829787267"/>
    <m/>
    <n v="200"/>
  </r>
  <r>
    <n v="17"/>
    <n v="2024"/>
    <s v="Auction"/>
    <s v="VROLIJK BLOEMEN"/>
    <s v="VROLIJK BLOEMEN"/>
    <x v="65"/>
    <s v="Grandiflora Roses"/>
    <s v="70CM"/>
    <n v="1"/>
    <n v="7"/>
    <n v="280"/>
    <n v="0.28000000000000003"/>
    <n v="78.400000000000006"/>
    <s v="EUR"/>
    <m/>
    <m/>
    <x v="17"/>
    <n v="0"/>
    <x v="0"/>
    <x v="1"/>
    <n v="280"/>
    <n v="0.38"/>
    <n v="106.4"/>
    <n v="-14.663510638297861"/>
    <n v="91.736489361702141"/>
    <x v="17"/>
    <n v="0"/>
    <m/>
    <n v="438340"/>
    <n v="27.066666666666666"/>
    <m/>
    <n v="5.6000000000000005"/>
    <m/>
    <n v="32.666666666666664"/>
    <n v="59.069822695035477"/>
    <m/>
    <n v="280"/>
  </r>
  <r>
    <n v="17"/>
    <n v="2024"/>
    <s v="Auction"/>
    <s v="VROLIJK BLOEMEN"/>
    <s v="VROLIJK BLOEMEN"/>
    <x v="65"/>
    <s v="Grandiflora Roses"/>
    <s v="80CM"/>
    <m/>
    <n v="5"/>
    <n v="200"/>
    <n v="0.33"/>
    <n v="66"/>
    <s v="EUR"/>
    <m/>
    <m/>
    <x v="17"/>
    <n v="-480"/>
    <x v="0"/>
    <x v="2"/>
    <n v="680"/>
    <n v="0.52764705882352947"/>
    <n v="358.8"/>
    <n v="-35.611382978723377"/>
    <n v="323.18861702127663"/>
    <x v="17"/>
    <n v="480"/>
    <m/>
    <n v="438340"/>
    <n v="19.333333333333332"/>
    <m/>
    <n v="13.6"/>
    <m/>
    <n v="32.93333333333333"/>
    <n v="290.25528368794329"/>
    <m/>
    <n v="680"/>
  </r>
  <r>
    <n v="17"/>
    <n v="2024"/>
    <s v="Auction"/>
    <s v="VROLIJK BLOEMEN"/>
    <s v="VROLIJK BLOEMEN"/>
    <x v="65"/>
    <s v="Floribunda Roses"/>
    <s v="50CM"/>
    <n v="1"/>
    <n v="3.6923076923076925"/>
    <n v="160"/>
    <n v="0.38"/>
    <n v="60.8"/>
    <s v="EUR"/>
    <m/>
    <m/>
    <x v="17"/>
    <n v="0"/>
    <x v="2"/>
    <x v="5"/>
    <n v="160"/>
    <n v="0.61"/>
    <n v="97.6"/>
    <n v="-8.379148936170207"/>
    <n v="89.220851063829784"/>
    <x v="17"/>
    <n v="0"/>
    <m/>
    <n v="438340"/>
    <n v="14.276923076923076"/>
    <m/>
    <n v="3.2"/>
    <m/>
    <n v="17.476923076923075"/>
    <n v="71.743927986906712"/>
    <m/>
    <n v="160"/>
  </r>
  <r>
    <n v="17"/>
    <n v="2024"/>
    <s v="Auction"/>
    <s v="VROLIJK BLOEMEN"/>
    <s v="VROLIJK BLOEMEN"/>
    <x v="65"/>
    <s v="Floribunda Roses"/>
    <s v="60CM"/>
    <m/>
    <n v="2.7692307692307692"/>
    <n v="120"/>
    <n v="0.47"/>
    <n v="56.4"/>
    <s v="EUR"/>
    <m/>
    <m/>
    <x v="17"/>
    <n v="0"/>
    <x v="2"/>
    <x v="0"/>
    <n v="120"/>
    <n v="0.71000000000000008"/>
    <n v="85.2"/>
    <n v="-6.2843617021276552"/>
    <n v="78.915638297872349"/>
    <x v="17"/>
    <n v="0"/>
    <m/>
    <n v="438340"/>
    <n v="10.707692307692307"/>
    <m/>
    <n v="2.4"/>
    <m/>
    <n v="13.107692307692307"/>
    <n v="65.807945990180045"/>
    <m/>
    <n v="120"/>
  </r>
  <r>
    <n v="17"/>
    <n v="2024"/>
    <s v="Auction"/>
    <s v="VROLIJK BLOEMEN"/>
    <s v="VROLIJK BLOEMEN"/>
    <x v="65"/>
    <s v="Floribunda Roses"/>
    <s v="80CM"/>
    <m/>
    <n v="5.5384615384615383"/>
    <n v="240"/>
    <n v="0.56999999999999995"/>
    <n v="136.80000000000001"/>
    <s v="EUR"/>
    <m/>
    <m/>
    <x v="17"/>
    <n v="-80"/>
    <x v="2"/>
    <x v="2"/>
    <n v="320"/>
    <n v="0.76249999999999996"/>
    <n v="244"/>
    <n v="-16.758297872340414"/>
    <n v="227.24170212765958"/>
    <x v="17"/>
    <n v="80"/>
    <m/>
    <n v="438340"/>
    <n v="21.415384615384614"/>
    <m/>
    <n v="6.4"/>
    <m/>
    <n v="27.815384615384616"/>
    <n v="199.42631751227498"/>
    <m/>
    <n v="320"/>
  </r>
  <r>
    <n v="17"/>
    <n v="2024"/>
    <s v="Auction"/>
    <s v="VROLIJK BLOEMEN"/>
    <s v="VROLIJK BLOEMEN"/>
    <x v="65"/>
    <s v="Floribunda Roses"/>
    <s v="70CM"/>
    <n v="1"/>
    <n v="6.8571428571428568"/>
    <n v="160"/>
    <n v="0.52"/>
    <n v="83.2"/>
    <s v="EUR"/>
    <m/>
    <m/>
    <x v="17"/>
    <n v="-440"/>
    <x v="2"/>
    <x v="1"/>
    <n v="600"/>
    <n v="0.71066666666666667"/>
    <n v="426.4"/>
    <n v="-31.421808510638275"/>
    <n v="394.97819148936168"/>
    <x v="17"/>
    <n v="440"/>
    <m/>
    <n v="438340"/>
    <n v="26.514285714285712"/>
    <m/>
    <n v="12"/>
    <m/>
    <n v="38.514285714285712"/>
    <n v="356.46390577507594"/>
    <m/>
    <n v="600"/>
  </r>
  <r>
    <n v="17"/>
    <n v="2024"/>
    <s v="Auction"/>
    <s v="VROLIJK BLOEMEN"/>
    <s v="VROLIJK BLOEMEN"/>
    <x v="65"/>
    <s v="Floribunda Roses"/>
    <s v="100CM"/>
    <m/>
    <n v="5.1428571428571423"/>
    <n v="120"/>
    <n v="0.94"/>
    <n v="112.8"/>
    <s v="EUR"/>
    <m/>
    <m/>
    <x v="17"/>
    <n v="120"/>
    <x v="2"/>
    <x v="4"/>
    <m/>
    <m/>
    <n v="0"/>
    <n v="0"/>
    <n v="0"/>
    <x v="17"/>
    <n v="-120"/>
    <m/>
    <n v="438340"/>
    <n v="19.885714285714286"/>
    <m/>
    <n v="0"/>
    <m/>
    <n v="19.885714285714286"/>
    <n v="-19.885714285714286"/>
    <m/>
    <n v="0"/>
  </r>
  <r>
    <n v="17"/>
    <n v="2024"/>
    <s v="Auction"/>
    <s v="VROLIJK BLOEMEN"/>
    <s v="VROLIJK BLOEMEN"/>
    <x v="65"/>
    <s v="Floribunda Roses"/>
    <s v="80CM"/>
    <n v="1"/>
    <n v="5.1428571428571423"/>
    <n v="120"/>
    <n v="0.56999999999999995"/>
    <n v="68.400000000000006"/>
    <s v="EUR"/>
    <m/>
    <m/>
    <x v="17"/>
    <n v="120"/>
    <x v="2"/>
    <x v="2"/>
    <m/>
    <m/>
    <n v="0"/>
    <n v="0"/>
    <n v="0"/>
    <x v="17"/>
    <n v="-120"/>
    <m/>
    <n v="438340"/>
    <n v="19.885714285714286"/>
    <m/>
    <n v="0"/>
    <m/>
    <n v="19.885714285714286"/>
    <n v="-19.885714285714286"/>
    <m/>
    <n v="0"/>
  </r>
  <r>
    <n v="17"/>
    <n v="2024"/>
    <s v="Auction"/>
    <s v="VROLIJK BLOEMEN"/>
    <s v="VROLIJK BLOEMEN"/>
    <x v="65"/>
    <s v="Floribunda Roses"/>
    <s v="90CM"/>
    <m/>
    <n v="6.8571428571428568"/>
    <n v="160"/>
    <n v="0.75"/>
    <n v="120"/>
    <s v="EUR"/>
    <m/>
    <m/>
    <x v="17"/>
    <n v="160"/>
    <x v="2"/>
    <x v="3"/>
    <m/>
    <m/>
    <n v="0"/>
    <n v="0"/>
    <n v="0"/>
    <x v="17"/>
    <n v="-160"/>
    <m/>
    <n v="438340"/>
    <n v="26.514285714285712"/>
    <m/>
    <n v="0"/>
    <m/>
    <n v="26.514285714285712"/>
    <n v="-26.514285714285712"/>
    <m/>
    <n v="0"/>
  </r>
  <r>
    <n v="17"/>
    <n v="2024"/>
    <s v="Auction"/>
    <s v="VROLIJK BLOEMEN"/>
    <s v="VROLIJK BLOEMEN"/>
    <x v="65"/>
    <s v="English Roses"/>
    <s v="50CM"/>
    <n v="1"/>
    <n v="8"/>
    <n v="240"/>
    <n v="0.38"/>
    <n v="91.2"/>
    <s v="EUR"/>
    <m/>
    <m/>
    <x v="17"/>
    <n v="0"/>
    <x v="1"/>
    <x v="5"/>
    <n v="240"/>
    <n v="0.33666666666666667"/>
    <n v="80.8"/>
    <n v="-12.56872340425531"/>
    <n v="68.231276595744689"/>
    <x v="17"/>
    <n v="0"/>
    <m/>
    <n v="438340"/>
    <n v="30.933333333333334"/>
    <m/>
    <n v="4.8"/>
    <m/>
    <n v="35.733333333333334"/>
    <n v="32.497943262411354"/>
    <m/>
    <n v="240"/>
  </r>
  <r>
    <n v="17"/>
    <n v="2024"/>
    <s v="Auction"/>
    <s v="VROLIJK BLOEMEN"/>
    <s v="VROLIJK BLOEMEN"/>
    <x v="65"/>
    <s v="English Roses"/>
    <s v="60CM"/>
    <m/>
    <n v="2.6666666666666665"/>
    <n v="80"/>
    <n v="0.47"/>
    <n v="37.6"/>
    <s v="EUR"/>
    <m/>
    <m/>
    <x v="17"/>
    <n v="0"/>
    <x v="1"/>
    <x v="0"/>
    <n v="80"/>
    <n v="0.41"/>
    <n v="32.799999999999997"/>
    <n v="-4.1895744680851035"/>
    <n v="28.610425531914892"/>
    <x v="17"/>
    <n v="0"/>
    <m/>
    <n v="438340"/>
    <n v="10.31111111111111"/>
    <m/>
    <n v="1.6"/>
    <m/>
    <n v="11.91111111111111"/>
    <n v="16.69931442080378"/>
    <m/>
    <n v="80"/>
  </r>
  <r>
    <n v="17"/>
    <n v="2024"/>
    <s v="Auction"/>
    <s v="VROLIJK BLOEMEN"/>
    <s v="VROLIJK BLOEMEN"/>
    <x v="65"/>
    <s v="English Roses"/>
    <s v="80CM"/>
    <m/>
    <n v="1.3333333333333333"/>
    <n v="40"/>
    <n v="0.52"/>
    <n v="20.8"/>
    <s v="EUR"/>
    <m/>
    <m/>
    <x v="17"/>
    <n v="0"/>
    <x v="1"/>
    <x v="2"/>
    <n v="40"/>
    <n v="0.72"/>
    <n v="28.799999999999997"/>
    <n v="-2.0947872340425517"/>
    <n v="26.705212765957445"/>
    <x v="17"/>
    <n v="0"/>
    <m/>
    <n v="438340"/>
    <n v="5.155555555555555"/>
    <m/>
    <n v="0.8"/>
    <m/>
    <n v="5.9555555555555548"/>
    <n v="20.749657210401889"/>
    <m/>
    <n v="40"/>
  </r>
  <r>
    <n v="18"/>
    <n v="2024"/>
    <s v="Auction"/>
    <s v="VROLIJK BLOEMEN"/>
    <s v="VROLIJK BLOEMEN"/>
    <x v="66"/>
    <s v="Floribunda Roses"/>
    <s v="60CM"/>
    <n v="1"/>
    <n v="12"/>
    <n v="440"/>
    <n v="0.47"/>
    <n v="206.8"/>
    <s v="EUR"/>
    <m/>
    <m/>
    <x v="17"/>
    <n v="440"/>
    <x v="2"/>
    <x v="0"/>
    <m/>
    <m/>
    <n v="0"/>
    <n v="0"/>
    <n v="0"/>
    <x v="17"/>
    <n v="-440"/>
    <m/>
    <n v="438498"/>
    <n v="47.11999999999999"/>
    <m/>
    <n v="0"/>
    <m/>
    <n v="47.11999999999999"/>
    <n v="-47.11999999999999"/>
    <m/>
    <n v="0"/>
  </r>
  <r>
    <n v="18"/>
    <n v="2024"/>
    <s v="Auction"/>
    <s v="VROLIJK BLOEMEN"/>
    <s v="VROLIJK BLOEMEN"/>
    <x v="66"/>
    <s v="Floribunda Roses"/>
    <s v="60CM"/>
    <n v="1"/>
    <n v="12"/>
    <n v="520"/>
    <n v="0.47"/>
    <n v="244.4"/>
    <s v="EUR"/>
    <m/>
    <m/>
    <x v="17"/>
    <n v="-440"/>
    <x v="2"/>
    <x v="0"/>
    <n v="960"/>
    <n v="0.51624999999999999"/>
    <n v="495.59999999999997"/>
    <n v="-42.762739726027377"/>
    <n v="452.83726027397256"/>
    <x v="17"/>
    <n v="440"/>
    <m/>
    <n v="438498"/>
    <n v="47.11999999999999"/>
    <m/>
    <n v="19.2"/>
    <m/>
    <n v="66.319999999999993"/>
    <n v="386.51726027397257"/>
    <m/>
    <n v="960"/>
  </r>
  <r>
    <n v="18"/>
    <n v="2024"/>
    <s v="Auction"/>
    <s v="VROLIJK BLOEMEN"/>
    <s v="VROLIJK BLOEMEN"/>
    <x v="66"/>
    <s v="Floribunda Roses"/>
    <s v="100CM"/>
    <n v="1"/>
    <n v="12"/>
    <n v="200"/>
    <n v="0.94"/>
    <n v="188"/>
    <s v="EUR"/>
    <m/>
    <m/>
    <x v="17"/>
    <n v="0"/>
    <x v="2"/>
    <x v="4"/>
    <n v="200"/>
    <n v="0.78799999999999992"/>
    <n v="157.6"/>
    <n v="-8.9089041095890362"/>
    <n v="148.69109589041096"/>
    <x v="17"/>
    <n v="0"/>
    <m/>
    <n v="438498"/>
    <n v="47.11999999999999"/>
    <m/>
    <n v="4"/>
    <m/>
    <n v="51.11999999999999"/>
    <n v="97.571095890410973"/>
    <m/>
    <n v="200"/>
  </r>
  <r>
    <n v="18"/>
    <n v="2024"/>
    <s v="Auction"/>
    <s v="VROLIJK BLOEMEN"/>
    <s v="VROLIJK BLOEMEN"/>
    <x v="66"/>
    <s v="English Roses"/>
    <s v="60CM"/>
    <n v="1"/>
    <n v="12"/>
    <n v="480"/>
    <n v="0.47"/>
    <n v="225.6"/>
    <s v="EUR"/>
    <m/>
    <m/>
    <x v="17"/>
    <n v="0"/>
    <x v="1"/>
    <x v="0"/>
    <n v="480"/>
    <n v="0.47749999999999998"/>
    <n v="229.2"/>
    <n v="-21.381369863013688"/>
    <n v="207.81863013698631"/>
    <x v="17"/>
    <n v="0"/>
    <m/>
    <n v="438498"/>
    <n v="47.11999999999999"/>
    <m/>
    <n v="9.6"/>
    <m/>
    <n v="56.719999999999992"/>
    <n v="151.09863013698632"/>
    <m/>
    <n v="480"/>
  </r>
  <r>
    <n v="18"/>
    <n v="2024"/>
    <s v="Auction"/>
    <s v="VROLIJK BLOEMEN"/>
    <s v="VROLIJK BLOEMEN"/>
    <x v="66"/>
    <s v="Grandiflora Roses"/>
    <s v="80CM"/>
    <n v="1"/>
    <n v="12"/>
    <n v="440"/>
    <n v="0.33"/>
    <n v="145.19999999999999"/>
    <s v="EUR"/>
    <m/>
    <m/>
    <x v="17"/>
    <n v="0"/>
    <x v="0"/>
    <x v="2"/>
    <n v="440"/>
    <n v="0.46636363636363631"/>
    <n v="205.2"/>
    <n v="-19.599589041095882"/>
    <n v="185.60041095890409"/>
    <x v="17"/>
    <n v="0"/>
    <m/>
    <n v="438498"/>
    <n v="47.11999999999999"/>
    <m/>
    <n v="8.8000000000000007"/>
    <m/>
    <n v="55.919999999999987"/>
    <n v="129.6804109589041"/>
    <m/>
    <n v="440"/>
  </r>
  <r>
    <n v="18"/>
    <n v="2024"/>
    <s v="Auction"/>
    <s v="VROLIJK BLOEMEN"/>
    <s v="VROLIJK BLOEMEN"/>
    <x v="66"/>
    <s v="Grandiflora Roses"/>
    <s v="70CM"/>
    <n v="1"/>
    <n v="12"/>
    <n v="520"/>
    <n v="0.28000000000000003"/>
    <n v="145.6"/>
    <s v="EUR"/>
    <m/>
    <m/>
    <x v="17"/>
    <n v="0"/>
    <x v="0"/>
    <x v="1"/>
    <n v="520"/>
    <n v="0.36076923076923073"/>
    <n v="187.59999999999997"/>
    <n v="-23.163150684931495"/>
    <n v="164.43684931506846"/>
    <x v="17"/>
    <n v="0"/>
    <m/>
    <n v="438498"/>
    <n v="47.11999999999999"/>
    <m/>
    <n v="10.4"/>
    <m/>
    <n v="57.519999999999989"/>
    <n v="106.91684931506848"/>
    <m/>
    <n v="520"/>
  </r>
  <r>
    <n v="18"/>
    <n v="2024"/>
    <s v="Auction"/>
    <s v="VROLIJK BLOEMEN"/>
    <s v="VROLIJK BLOEMEN"/>
    <x v="66"/>
    <s v="Grandiflora Roses"/>
    <s v="90CM"/>
    <n v="1"/>
    <n v="7.5"/>
    <n v="200"/>
    <n v="0.38"/>
    <n v="76"/>
    <s v="EUR"/>
    <m/>
    <m/>
    <x v="17"/>
    <n v="0"/>
    <x v="0"/>
    <x v="3"/>
    <n v="200"/>
    <n v="0.43200000000000005"/>
    <n v="86.4"/>
    <n v="-8.9089041095890362"/>
    <n v="77.491095890410975"/>
    <x v="17"/>
    <n v="0"/>
    <m/>
    <n v="438498"/>
    <n v="29.45"/>
    <m/>
    <n v="4"/>
    <m/>
    <n v="33.450000000000003"/>
    <n v="44.041095890410972"/>
    <m/>
    <n v="200"/>
  </r>
  <r>
    <n v="18"/>
    <n v="2024"/>
    <s v="Auction"/>
    <s v="VROLIJK BLOEMEN"/>
    <s v="VROLIJK BLOEMEN"/>
    <x v="66"/>
    <s v="Grandiflora Roses"/>
    <s v="100CM"/>
    <m/>
    <n v="4.5"/>
    <n v="120"/>
    <n v="0.47"/>
    <n v="56.4"/>
    <s v="EUR"/>
    <m/>
    <m/>
    <x v="17"/>
    <n v="0"/>
    <x v="0"/>
    <x v="4"/>
    <n v="120"/>
    <n v="0.47"/>
    <n v="56.4"/>
    <n v="-5.3453424657534221"/>
    <n v="51.054657534246573"/>
    <x v="17"/>
    <n v="0"/>
    <m/>
    <n v="438498"/>
    <n v="17.669999999999998"/>
    <m/>
    <n v="2.4"/>
    <m/>
    <n v="20.069999999999997"/>
    <n v="30.984657534246576"/>
    <m/>
    <n v="120"/>
  </r>
  <r>
    <n v="18"/>
    <n v="2024"/>
    <s v="Auction"/>
    <s v="VROLIJK BLOEMEN"/>
    <s v="VROLIJK BLOEMEN"/>
    <x v="67"/>
    <s v="Floribunda Roses"/>
    <s v="60CM"/>
    <n v="1"/>
    <n v="12"/>
    <n v="520"/>
    <n v="0.47"/>
    <n v="244.4"/>
    <s v="EUR"/>
    <m/>
    <m/>
    <x v="17"/>
    <n v="520"/>
    <x v="2"/>
    <x v="0"/>
    <m/>
    <m/>
    <n v="0"/>
    <n v="0"/>
    <n v="0"/>
    <x v="17"/>
    <n v="-520"/>
    <m/>
    <s v="F085474"/>
    <n v="51.226666666666667"/>
    <m/>
    <n v="0"/>
    <m/>
    <n v="51.226666666666667"/>
    <n v="-51.226666666666667"/>
    <m/>
    <n v="0"/>
  </r>
  <r>
    <n v="18"/>
    <n v="2024"/>
    <s v="Auction"/>
    <s v="VROLIJK BLOEMEN"/>
    <s v="VROLIJK BLOEMEN"/>
    <x v="67"/>
    <s v="Floribunda Roses"/>
    <s v="80CM"/>
    <n v="1"/>
    <n v="12"/>
    <n v="280"/>
    <n v="0.56999999999999995"/>
    <n v="159.6"/>
    <s v="EUR"/>
    <m/>
    <m/>
    <x v="17"/>
    <n v="0"/>
    <x v="2"/>
    <x v="2"/>
    <n v="280"/>
    <n v="0.82"/>
    <n v="229.6"/>
    <n v="-13.392340425531909"/>
    <n v="216.2076595744681"/>
    <x v="17"/>
    <n v="0"/>
    <m/>
    <s v="F085474"/>
    <n v="51.226666666666667"/>
    <m/>
    <n v="5.6000000000000005"/>
    <m/>
    <n v="56.826666666666668"/>
    <n v="159.38099290780144"/>
    <m/>
    <n v="280"/>
  </r>
  <r>
    <n v="18"/>
    <n v="2024"/>
    <s v="Auction"/>
    <s v="VROLIJK BLOEMEN"/>
    <s v="VROLIJK BLOEMEN"/>
    <x v="67"/>
    <s v="Floribunda Roses"/>
    <s v="100CM"/>
    <n v="1"/>
    <n v="12"/>
    <n v="200"/>
    <n v="0.94"/>
    <n v="188"/>
    <s v="EUR"/>
    <m/>
    <m/>
    <x v="17"/>
    <n v="0"/>
    <x v="2"/>
    <x v="4"/>
    <n v="200"/>
    <n v="0.87"/>
    <n v="174"/>
    <n v="-9.5659574468085076"/>
    <n v="164.43404255319149"/>
    <x v="17"/>
    <n v="0"/>
    <m/>
    <s v="F085474"/>
    <n v="51.226666666666667"/>
    <m/>
    <n v="4"/>
    <m/>
    <n v="55.226666666666667"/>
    <n v="109.20737588652483"/>
    <m/>
    <n v="200"/>
  </r>
  <r>
    <n v="18"/>
    <n v="2024"/>
    <s v="Auction"/>
    <s v="VROLIJK BLOEMEN"/>
    <s v="VROLIJK BLOEMEN"/>
    <x v="67"/>
    <s v="English Roses"/>
    <s v="50CM"/>
    <n v="1"/>
    <n v="12"/>
    <n v="520"/>
    <n v="0.38"/>
    <n v="197.6"/>
    <s v="EUR"/>
    <m/>
    <m/>
    <x v="17"/>
    <n v="520"/>
    <x v="1"/>
    <x v="5"/>
    <m/>
    <m/>
    <n v="0"/>
    <n v="0"/>
    <n v="0"/>
    <x v="17"/>
    <n v="-520"/>
    <m/>
    <s v="F085474"/>
    <n v="51.226666666666667"/>
    <m/>
    <n v="0"/>
    <m/>
    <n v="51.226666666666667"/>
    <n v="-51.226666666666667"/>
    <m/>
    <n v="0"/>
  </r>
  <r>
    <n v="18"/>
    <n v="2024"/>
    <s v="Auction"/>
    <s v="VROLIJK BLOEMEN"/>
    <s v="VROLIJK BLOEMEN"/>
    <x v="67"/>
    <s v="Floribunda Roses"/>
    <s v="60CM"/>
    <n v="1"/>
    <n v="9.3333333333333339"/>
    <n v="280"/>
    <n v="0.47"/>
    <n v="131.6"/>
    <s v="EUR"/>
    <m/>
    <m/>
    <x v="17"/>
    <n v="-520"/>
    <x v="2"/>
    <x v="0"/>
    <n v="800"/>
    <n v="0.52249999999999996"/>
    <n v="418"/>
    <n v="-38.26382978723403"/>
    <n v="379.73617021276596"/>
    <x v="17"/>
    <n v="520"/>
    <m/>
    <s v="F085474"/>
    <n v="39.842962962962972"/>
    <m/>
    <n v="16"/>
    <m/>
    <n v="55.842962962962972"/>
    <n v="323.89320724980297"/>
    <m/>
    <n v="800"/>
  </r>
  <r>
    <n v="18"/>
    <n v="2024"/>
    <s v="Auction"/>
    <s v="VROLIJK BLOEMEN"/>
    <s v="VROLIJK BLOEMEN"/>
    <x v="67"/>
    <s v="Floribunda Roses"/>
    <s v="70CM"/>
    <m/>
    <n v="2.6666666666666665"/>
    <n v="80"/>
    <n v="0.52"/>
    <n v="41.6"/>
    <s v="EUR"/>
    <m/>
    <m/>
    <x v="17"/>
    <n v="0"/>
    <x v="2"/>
    <x v="1"/>
    <n v="80"/>
    <n v="0.67"/>
    <n v="53.6"/>
    <n v="-3.8263829787234025"/>
    <n v="49.7736170212766"/>
    <x v="17"/>
    <n v="0"/>
    <m/>
    <s v="F085474"/>
    <n v="11.383703703703704"/>
    <m/>
    <n v="1.6"/>
    <m/>
    <n v="12.983703703703704"/>
    <n v="36.789913317572896"/>
    <m/>
    <n v="80"/>
  </r>
  <r>
    <n v="18"/>
    <n v="2024"/>
    <s v="Auction"/>
    <s v="VROLIJK BLOEMEN"/>
    <s v="VROLIJK BLOEMEN"/>
    <x v="67"/>
    <s v="English Roses"/>
    <s v="50CM"/>
    <n v="1"/>
    <n v="8"/>
    <n v="320"/>
    <n v="0.38"/>
    <n v="121.6"/>
    <s v="EUR"/>
    <m/>
    <m/>
    <x v="17"/>
    <n v="-520"/>
    <x v="1"/>
    <x v="5"/>
    <n v="840"/>
    <n v="0.38857142857142857"/>
    <n v="326.39999999999998"/>
    <n v="-40.177021276595724"/>
    <n v="286.22297872340425"/>
    <x v="17"/>
    <n v="520"/>
    <m/>
    <s v="F085474"/>
    <n v="34.151111111111113"/>
    <m/>
    <n v="16.8"/>
    <m/>
    <n v="50.951111111111118"/>
    <n v="235.27186761229314"/>
    <m/>
    <n v="840"/>
  </r>
  <r>
    <n v="18"/>
    <n v="2024"/>
    <s v="Auction"/>
    <s v="VROLIJK BLOEMEN"/>
    <s v="VROLIJK BLOEMEN"/>
    <x v="67"/>
    <s v="English Roses"/>
    <s v="80CM"/>
    <m/>
    <n v="4"/>
    <n v="160"/>
    <n v="0.56999999999999995"/>
    <n v="91.2"/>
    <s v="EUR"/>
    <m/>
    <m/>
    <x v="17"/>
    <n v="160"/>
    <x v="1"/>
    <x v="2"/>
    <m/>
    <m/>
    <n v="0"/>
    <n v="0"/>
    <n v="0"/>
    <x v="17"/>
    <n v="-160"/>
    <m/>
    <s v="F085474"/>
    <n v="17.075555555555557"/>
    <m/>
    <n v="0"/>
    <m/>
    <n v="17.075555555555557"/>
    <n v="-17.075555555555557"/>
    <m/>
    <n v="0"/>
  </r>
  <r>
    <n v="18"/>
    <n v="2024"/>
    <s v="Auction"/>
    <s v="VROLIJK BLOEMEN"/>
    <s v="VROLIJK BLOEMEN"/>
    <x v="67"/>
    <s v="English Roses"/>
    <s v="60CM"/>
    <n v="1"/>
    <n v="10.8"/>
    <n v="360"/>
    <n v="0.47"/>
    <n v="169.2"/>
    <s v="EUR"/>
    <m/>
    <m/>
    <x v="17"/>
    <n v="0"/>
    <x v="1"/>
    <x v="0"/>
    <n v="360"/>
    <n v="0.50222222222222224"/>
    <n v="180.8"/>
    <n v="-17.218723404255311"/>
    <n v="163.5812765957447"/>
    <x v="17"/>
    <n v="0"/>
    <m/>
    <s v="F085474"/>
    <n v="46.104000000000006"/>
    <m/>
    <n v="7.2"/>
    <m/>
    <n v="53.304000000000009"/>
    <n v="110.27727659574469"/>
    <m/>
    <n v="360"/>
  </r>
  <r>
    <n v="18"/>
    <n v="2024"/>
    <s v="Auction"/>
    <s v="VROLIJK BLOEMEN"/>
    <s v="VROLIJK BLOEMEN"/>
    <x v="67"/>
    <s v="English Roses"/>
    <s v="90CM"/>
    <m/>
    <n v="1.2000000000000002"/>
    <n v="40"/>
    <n v="0.75"/>
    <n v="30"/>
    <s v="EUR"/>
    <m/>
    <m/>
    <x v="17"/>
    <n v="-120"/>
    <x v="1"/>
    <x v="3"/>
    <n v="160"/>
    <n v="0.45"/>
    <n v="72"/>
    <n v="-7.652765957446805"/>
    <n v="64.347234042553197"/>
    <x v="17"/>
    <n v="120"/>
    <m/>
    <s v="F085474"/>
    <n v="5.1226666666666683"/>
    <m/>
    <n v="3.2"/>
    <m/>
    <n v="8.3226666666666684"/>
    <n v="56.024567375886527"/>
    <m/>
    <n v="160"/>
  </r>
  <r>
    <n v="18"/>
    <n v="2024"/>
    <s v="Auction"/>
    <s v="VROLIJK BLOEMEN"/>
    <s v="VROLIJK BLOEMEN"/>
    <x v="67"/>
    <s v="Grandiflora Roses"/>
    <s v="70CM"/>
    <n v="1"/>
    <n v="8.3076923076923066"/>
    <n v="360"/>
    <n v="0.28000000000000003"/>
    <n v="100.8"/>
    <s v="EUR"/>
    <m/>
    <m/>
    <x v="17"/>
    <n v="0"/>
    <x v="0"/>
    <x v="1"/>
    <n v="360"/>
    <n v="0.40888888888888886"/>
    <n v="147.19999999999999"/>
    <n v="-17.218723404255311"/>
    <n v="129.98127659574467"/>
    <x v="17"/>
    <n v="0"/>
    <m/>
    <s v="F085474"/>
    <n v="35.464615384615385"/>
    <m/>
    <n v="7.2"/>
    <m/>
    <n v="42.664615384615388"/>
    <n v="87.316661211129286"/>
    <m/>
    <n v="360"/>
  </r>
  <r>
    <n v="18"/>
    <n v="2024"/>
    <s v="Auction"/>
    <s v="VROLIJK BLOEMEN"/>
    <s v="VROLIJK BLOEMEN"/>
    <x v="67"/>
    <s v="Grandiflora Roses"/>
    <s v="90CM"/>
    <m/>
    <n v="3.6923076923076925"/>
    <n v="160"/>
    <n v="0.38"/>
    <n v="60.8"/>
    <s v="EUR"/>
    <m/>
    <m/>
    <x v="17"/>
    <n v="0"/>
    <x v="0"/>
    <x v="3"/>
    <n v="160"/>
    <n v="0.50250000000000006"/>
    <n v="80.400000000000006"/>
    <n v="-7.652765957446805"/>
    <n v="72.747234042553202"/>
    <x v="17"/>
    <n v="0"/>
    <m/>
    <s v="F085474"/>
    <n v="15.762051282051285"/>
    <m/>
    <n v="3.2"/>
    <m/>
    <n v="18.962051282051284"/>
    <n v="53.785182760501918"/>
    <m/>
    <n v="160"/>
  </r>
  <r>
    <n v="18"/>
    <n v="2024"/>
    <s v="Auction"/>
    <s v="VROLIJK BLOEMEN"/>
    <s v="VROLIJK BLOEMEN"/>
    <x v="67"/>
    <s v="Grandiflora Roses"/>
    <s v="80CM"/>
    <n v="1"/>
    <n v="10"/>
    <n v="400"/>
    <n v="0.33"/>
    <n v="132"/>
    <s v="EUR"/>
    <m/>
    <m/>
    <x v="17"/>
    <n v="0"/>
    <x v="0"/>
    <x v="2"/>
    <n v="400"/>
    <n v="0.47399999999999998"/>
    <n v="189.6"/>
    <n v="-19.131914893617015"/>
    <n v="170.46808510638297"/>
    <x v="17"/>
    <n v="0"/>
    <m/>
    <s v="F085474"/>
    <n v="42.68888888888889"/>
    <m/>
    <n v="8"/>
    <m/>
    <n v="50.68888888888889"/>
    <n v="119.77919621749407"/>
    <m/>
    <n v="400"/>
  </r>
  <r>
    <n v="18"/>
    <n v="2024"/>
    <s v="Auction"/>
    <s v="VROLIJK BLOEMEN"/>
    <s v="VROLIJK BLOEMEN"/>
    <x v="67"/>
    <s v="Grandiflora Roses"/>
    <s v="100CM"/>
    <m/>
    <n v="2"/>
    <n v="80"/>
    <n v="0.47"/>
    <n v="37.6"/>
    <s v="EUR"/>
    <m/>
    <m/>
    <x v="17"/>
    <n v="0"/>
    <x v="0"/>
    <x v="4"/>
    <n v="80"/>
    <n v="0.63500000000000001"/>
    <n v="50.8"/>
    <n v="-3.8263829787234025"/>
    <n v="46.973617021276596"/>
    <x v="17"/>
    <n v="0"/>
    <m/>
    <s v="F085474"/>
    <n v="8.5377777777777784"/>
    <m/>
    <n v="1.6"/>
    <m/>
    <n v="10.137777777777778"/>
    <n v="36.835839243498818"/>
    <m/>
    <n v="80"/>
  </r>
  <r>
    <n v="18"/>
    <n v="2024"/>
    <s v="Auction"/>
    <s v="VROLIJK BLOEMEN"/>
    <s v="VROLIJK BLOEMEN"/>
    <x v="67"/>
    <s v="English Roses"/>
    <s v="100CM"/>
    <m/>
    <m/>
    <m/>
    <m/>
    <m/>
    <s v="EUR"/>
    <m/>
    <m/>
    <x v="17"/>
    <n v="-40"/>
    <x v="1"/>
    <x v="4"/>
    <n v="40"/>
    <n v="0.89"/>
    <n v="35.6"/>
    <n v="-1.9131914893617012"/>
    <n v="33.686808510638301"/>
    <x v="17"/>
    <n v="40"/>
    <m/>
    <s v="F085474"/>
    <n v="0"/>
    <m/>
    <n v="0.8"/>
    <m/>
    <n v="0.8"/>
    <n v="32.886808510638303"/>
    <m/>
    <n v="40"/>
  </r>
  <r>
    <n v="18"/>
    <n v="2024"/>
    <s v="Auction"/>
    <s v="VROLIJK BLOEMEN"/>
    <s v="VROLIJK BLOEMEN"/>
    <x v="68"/>
    <s v="Grandiflora Roses"/>
    <s v="70CM"/>
    <n v="1"/>
    <n v="12"/>
    <n v="400"/>
    <n v="0.28000000000000003"/>
    <n v="112"/>
    <s v="EUR"/>
    <m/>
    <m/>
    <x v="18"/>
    <n v="0"/>
    <x v="0"/>
    <x v="1"/>
    <n v="400"/>
    <n v="0.60799999999999998"/>
    <n v="243.2"/>
    <n v="-25.434710743801634"/>
    <n v="217.76528925619834"/>
    <x v="18"/>
    <n v="0"/>
    <m/>
    <n v="439242"/>
    <n v="44.215714285714284"/>
    <m/>
    <n v="8"/>
    <m/>
    <n v="52.215714285714284"/>
    <n v="165.54957497048406"/>
    <m/>
    <n v="400"/>
  </r>
  <r>
    <n v="18"/>
    <n v="2024"/>
    <s v="Auction"/>
    <s v="VROLIJK BLOEMEN"/>
    <s v="VROLIJK BLOEMEN"/>
    <x v="68"/>
    <s v="Floribunda Roses"/>
    <s v="90CM"/>
    <n v="1"/>
    <n v="12"/>
    <n v="200"/>
    <n v="0.75"/>
    <n v="150"/>
    <s v="EUR"/>
    <m/>
    <m/>
    <x v="18"/>
    <n v="0"/>
    <x v="2"/>
    <x v="3"/>
    <n v="200"/>
    <n v="0.99199999999999999"/>
    <n v="198.4"/>
    <n v="-12.717355371900817"/>
    <n v="185.68264462809918"/>
    <x v="18"/>
    <n v="0"/>
    <m/>
    <n v="439242"/>
    <n v="44.215714285714284"/>
    <m/>
    <n v="4"/>
    <m/>
    <n v="48.215714285714284"/>
    <n v="137.4669303423849"/>
    <m/>
    <n v="200"/>
  </r>
  <r>
    <n v="18"/>
    <n v="2024"/>
    <s v="Auction"/>
    <s v="VROLIJK BLOEMEN"/>
    <s v="VROLIJK BLOEMEN"/>
    <x v="68"/>
    <s v="Grandiflora Roses"/>
    <s v="90CM"/>
    <n v="1"/>
    <n v="4.8000000000000007"/>
    <n v="160"/>
    <n v="0.38"/>
    <n v="60.8"/>
    <s v="EUR"/>
    <m/>
    <m/>
    <x v="18"/>
    <n v="0"/>
    <x v="0"/>
    <x v="3"/>
    <n v="160"/>
    <n v="0.91999999999999993"/>
    <n v="147.19999999999999"/>
    <n v="-10.173884297520653"/>
    <n v="137.02611570247933"/>
    <x v="18"/>
    <n v="0"/>
    <m/>
    <n v="439242"/>
    <n v="17.686285714285717"/>
    <m/>
    <n v="3.2"/>
    <m/>
    <n v="20.886285714285716"/>
    <n v="116.13982998819361"/>
    <m/>
    <n v="160"/>
  </r>
  <r>
    <n v="18"/>
    <n v="2024"/>
    <s v="Auction"/>
    <s v="VROLIJK BLOEMEN"/>
    <s v="VROLIJK BLOEMEN"/>
    <x v="68"/>
    <s v="Grandiflora Roses"/>
    <s v="80CM"/>
    <m/>
    <n v="7.1999999999999993"/>
    <n v="240"/>
    <n v="0.33"/>
    <n v="79.2"/>
    <s v="EUR"/>
    <m/>
    <m/>
    <x v="18"/>
    <n v="0"/>
    <x v="0"/>
    <x v="2"/>
    <n v="240"/>
    <n v="0.60166666666666668"/>
    <n v="144.4"/>
    <n v="-15.260826446280978"/>
    <n v="129.13917355371902"/>
    <x v="18"/>
    <n v="0"/>
    <m/>
    <n v="439242"/>
    <n v="26.529428571428568"/>
    <m/>
    <n v="4.8"/>
    <m/>
    <n v="31.329428571428569"/>
    <n v="97.809744982290454"/>
    <m/>
    <n v="240"/>
  </r>
  <r>
    <n v="18"/>
    <n v="2024"/>
    <s v="Auction"/>
    <s v="VROLIJK BLOEMEN"/>
    <s v="VROLIJK BLOEMEN"/>
    <x v="68"/>
    <s v="Floribunda Roses"/>
    <s v="70CM"/>
    <n v="1"/>
    <n v="2"/>
    <n v="40"/>
    <n v="0.52"/>
    <n v="20.8"/>
    <s v="EUR"/>
    <m/>
    <m/>
    <x v="18"/>
    <n v="-20"/>
    <x v="2"/>
    <x v="1"/>
    <n v="60"/>
    <n v="0.81"/>
    <n v="48.6"/>
    <n v="-3.8152066115702445"/>
    <n v="44.784793388429755"/>
    <x v="18"/>
    <n v="20"/>
    <m/>
    <n v="439242"/>
    <n v="7.3692857142857138"/>
    <m/>
    <n v="1.2"/>
    <m/>
    <n v="8.569285714285714"/>
    <n v="36.215507674144042"/>
    <m/>
    <n v="60"/>
  </r>
  <r>
    <n v="18"/>
    <n v="2024"/>
    <s v="Auction"/>
    <s v="VROLIJK BLOEMEN"/>
    <s v="VROLIJK BLOEMEN"/>
    <x v="68"/>
    <s v="Floribunda Roses"/>
    <s v="80CM"/>
    <m/>
    <n v="10"/>
    <n v="200"/>
    <n v="0.56999999999999995"/>
    <n v="114"/>
    <s v="EUR"/>
    <m/>
    <m/>
    <x v="18"/>
    <n v="0"/>
    <x v="2"/>
    <x v="2"/>
    <n v="200"/>
    <n v="1.08"/>
    <n v="216"/>
    <n v="-12.717355371900817"/>
    <n v="203.28264462809918"/>
    <x v="18"/>
    <n v="0"/>
    <m/>
    <n v="439242"/>
    <n v="36.846428571428568"/>
    <m/>
    <n v="4"/>
    <m/>
    <n v="40.846428571428568"/>
    <n v="162.43621605667062"/>
    <m/>
    <n v="200"/>
  </r>
  <r>
    <n v="18"/>
    <n v="2024"/>
    <s v="Auction"/>
    <s v="VROLIJK BLOEMEN"/>
    <s v="VROLIJK BLOEMEN"/>
    <x v="68"/>
    <s v="English Roses"/>
    <s v="50CM"/>
    <n v="1"/>
    <n v="10.153846153846153"/>
    <n v="440"/>
    <n v="0.38"/>
    <n v="167.2"/>
    <s v="EUR"/>
    <m/>
    <m/>
    <x v="18"/>
    <n v="0"/>
    <x v="1"/>
    <x v="5"/>
    <n v="440"/>
    <n v="0.54"/>
    <n v="237.60000000000002"/>
    <n v="-27.978181818181799"/>
    <n v="209.62181818181821"/>
    <x v="18"/>
    <n v="0"/>
    <m/>
    <n v="439242"/>
    <n v="37.413296703296702"/>
    <m/>
    <n v="8.8000000000000007"/>
    <m/>
    <n v="46.213296703296706"/>
    <n v="163.40852147852149"/>
    <m/>
    <n v="440"/>
  </r>
  <r>
    <n v="18"/>
    <n v="2024"/>
    <s v="Auction"/>
    <s v="VROLIJK BLOEMEN"/>
    <s v="VROLIJK BLOEMEN"/>
    <x v="68"/>
    <s v="English Roses"/>
    <s v="60CM"/>
    <m/>
    <n v="1.8461538461538463"/>
    <n v="80"/>
    <n v="0.47"/>
    <n v="37.6"/>
    <s v="EUR"/>
    <m/>
    <m/>
    <x v="18"/>
    <n v="0"/>
    <x v="1"/>
    <x v="0"/>
    <n v="80"/>
    <n v="0.73"/>
    <n v="58.4"/>
    <n v="-5.0869421487603264"/>
    <n v="53.31305785123967"/>
    <x v="18"/>
    <n v="0"/>
    <m/>
    <n v="439242"/>
    <n v="6.8024175824175828"/>
    <m/>
    <n v="1.6"/>
    <m/>
    <n v="8.4024175824175824"/>
    <n v="44.910640268822085"/>
    <m/>
    <n v="80"/>
  </r>
  <r>
    <n v="18"/>
    <n v="2024"/>
    <s v="Auction"/>
    <s v="VROLIJK BLOEMEN"/>
    <s v="VROLIJK BLOEMEN"/>
    <x v="68"/>
    <s v="English Roses"/>
    <s v="70CM"/>
    <n v="1"/>
    <n v="6"/>
    <n v="120"/>
    <n v="0.52"/>
    <n v="62.4"/>
    <s v="EUR"/>
    <m/>
    <m/>
    <x v="18"/>
    <n v="0"/>
    <x v="1"/>
    <x v="1"/>
    <n v="120"/>
    <n v="0.80666666666666664"/>
    <n v="96.8"/>
    <n v="-7.6304132231404891"/>
    <n v="89.169586776859504"/>
    <x v="18"/>
    <n v="0"/>
    <m/>
    <n v="439242"/>
    <n v="22.107857142857142"/>
    <m/>
    <n v="2.4"/>
    <m/>
    <n v="24.507857142857141"/>
    <n v="64.66172963400237"/>
    <m/>
    <n v="120"/>
  </r>
  <r>
    <n v="18"/>
    <n v="2024"/>
    <s v="Auction"/>
    <s v="VROLIJK BLOEMEN"/>
    <s v="VROLIJK BLOEMEN"/>
    <x v="68"/>
    <s v="English Roses"/>
    <s v="80CM"/>
    <m/>
    <n v="6"/>
    <n v="120"/>
    <n v="0.56999999999999995"/>
    <n v="68.400000000000006"/>
    <s v="EUR"/>
    <m/>
    <m/>
    <x v="18"/>
    <n v="0"/>
    <x v="1"/>
    <x v="2"/>
    <n v="120"/>
    <n v="0.78666666666666674"/>
    <n v="94.4"/>
    <n v="-7.6304132231404891"/>
    <n v="86.769586776859512"/>
    <x v="18"/>
    <n v="0"/>
    <m/>
    <n v="439242"/>
    <n v="22.107857142857142"/>
    <m/>
    <n v="2.4"/>
    <m/>
    <n v="24.507857142857141"/>
    <n v="62.261729634002371"/>
    <m/>
    <n v="120"/>
  </r>
  <r>
    <n v="18"/>
    <n v="2024"/>
    <s v="Auction"/>
    <s v="VROLIJK BLOEMEN"/>
    <s v="VROLIJK BLOEMEN"/>
    <x v="68"/>
    <s v="Polyantha Roses"/>
    <s v="50CM"/>
    <n v="1"/>
    <n v="9.6000000000000014"/>
    <n v="320"/>
    <n v="0.42"/>
    <n v="134.4"/>
    <s v="EUR"/>
    <m/>
    <m/>
    <x v="18"/>
    <n v="0"/>
    <x v="3"/>
    <x v="5"/>
    <n v="320"/>
    <n v="0.625"/>
    <n v="200"/>
    <n v="-20.347768595041305"/>
    <n v="179.65223140495868"/>
    <x v="18"/>
    <n v="0"/>
    <m/>
    <n v="439242"/>
    <n v="35.372571428571433"/>
    <m/>
    <n v="6.4"/>
    <m/>
    <n v="41.772571428571432"/>
    <n v="137.87965997638725"/>
    <m/>
    <n v="320"/>
  </r>
  <r>
    <n v="18"/>
    <n v="2024"/>
    <s v="Auction"/>
    <s v="VROLIJK BLOEMEN"/>
    <s v="VROLIJK BLOEMEN"/>
    <x v="68"/>
    <s v="Polyantha Roses"/>
    <s v="60CM"/>
    <m/>
    <n v="1.2000000000000002"/>
    <n v="40"/>
    <n v="0.52"/>
    <n v="20.8"/>
    <s v="EUR"/>
    <m/>
    <m/>
    <x v="18"/>
    <n v="0"/>
    <x v="3"/>
    <x v="0"/>
    <n v="40"/>
    <n v="1.23"/>
    <n v="49.2"/>
    <n v="-2.5434710743801632"/>
    <n v="46.656528925619838"/>
    <x v="18"/>
    <n v="0"/>
    <m/>
    <n v="439242"/>
    <n v="4.4215714285714292"/>
    <m/>
    <n v="0.8"/>
    <m/>
    <n v="5.221571428571429"/>
    <n v="41.434957497048408"/>
    <m/>
    <n v="40"/>
  </r>
  <r>
    <n v="18"/>
    <n v="2024"/>
    <s v="Auction"/>
    <s v="VROLIJK BLOEMEN"/>
    <s v="VROLIJK BLOEMEN"/>
    <x v="68"/>
    <s v="Polyantha Roses"/>
    <s v="90CM"/>
    <m/>
    <n v="1.2000000000000002"/>
    <n v="40"/>
    <n v="0.85"/>
    <n v="34"/>
    <s v="EUR"/>
    <m/>
    <m/>
    <x v="18"/>
    <n v="0"/>
    <x v="3"/>
    <x v="3"/>
    <n v="40"/>
    <n v="1.3599999999999999"/>
    <n v="54.399999999999991"/>
    <n v="-2.5434710743801632"/>
    <n v="51.856528925619827"/>
    <x v="18"/>
    <n v="0"/>
    <m/>
    <n v="439242"/>
    <n v="4.4215714285714292"/>
    <m/>
    <n v="0.8"/>
    <m/>
    <n v="5.221571428571429"/>
    <n v="46.634957497048397"/>
    <m/>
    <n v="40"/>
  </r>
  <r>
    <n v="19"/>
    <n v="2024"/>
    <s v="Auction"/>
    <s v="VROLIJK BLOEMEN"/>
    <s v="VROLIJK BLOEMEN"/>
    <x v="69"/>
    <s v="Grandiflora Roses"/>
    <s v="70CM"/>
    <n v="1"/>
    <n v="12"/>
    <n v="520"/>
    <n v="0.28000000000000003"/>
    <n v="145.6"/>
    <s v="EUR"/>
    <m/>
    <m/>
    <x v="18"/>
    <n v="520"/>
    <x v="0"/>
    <x v="1"/>
    <m/>
    <m/>
    <n v="0"/>
    <n v="0"/>
    <n v="0"/>
    <x v="18"/>
    <n v="-520"/>
    <m/>
    <n v="439443"/>
    <n v="48.678571428571423"/>
    <m/>
    <n v="0"/>
    <m/>
    <n v="48.678571428571423"/>
    <n v="-48.678571428571423"/>
    <m/>
    <n v="0"/>
  </r>
  <r>
    <n v="19"/>
    <n v="2024"/>
    <s v="Auction"/>
    <s v="VROLIJK BLOEMEN"/>
    <s v="VROLIJK BLOEMEN"/>
    <x v="69"/>
    <s v="Floribunda Roses"/>
    <s v="60CM"/>
    <n v="1"/>
    <n v="12"/>
    <n v="400"/>
    <n v="0.47"/>
    <n v="188"/>
    <s v="EUR"/>
    <m/>
    <m/>
    <x v="18"/>
    <n v="-40"/>
    <x v="2"/>
    <x v="0"/>
    <n v="440"/>
    <n v="0.88090909090909097"/>
    <n v="387.6"/>
    <n v="-22.228799999999993"/>
    <n v="365.37120000000004"/>
    <x v="18"/>
    <n v="40"/>
    <m/>
    <n v="439443"/>
    <n v="48.678571428571423"/>
    <m/>
    <n v="8.8000000000000007"/>
    <m/>
    <n v="57.478571428571428"/>
    <n v="307.89262857142865"/>
    <m/>
    <n v="440"/>
  </r>
  <r>
    <n v="19"/>
    <n v="2024"/>
    <s v="Auction"/>
    <s v="VROLIJK BLOEMEN"/>
    <s v="VROLIJK BLOEMEN"/>
    <x v="69"/>
    <s v="Grandiflora Roses"/>
    <s v="90CM"/>
    <n v="1"/>
    <n v="8.3999999999999986"/>
    <n v="280"/>
    <n v="0.38"/>
    <n v="106.4"/>
    <s v="EUR"/>
    <m/>
    <m/>
    <x v="18"/>
    <n v="0"/>
    <x v="0"/>
    <x v="3"/>
    <n v="280"/>
    <n v="0.78"/>
    <n v="218.4"/>
    <n v="-14.145599999999996"/>
    <n v="204.2544"/>
    <x v="18"/>
    <n v="0"/>
    <m/>
    <n v="439443"/>
    <n v="34.074999999999996"/>
    <m/>
    <n v="5.6000000000000005"/>
    <m/>
    <n v="39.674999999999997"/>
    <n v="164.57940000000002"/>
    <m/>
    <n v="280"/>
  </r>
  <r>
    <n v="19"/>
    <n v="2024"/>
    <s v="Auction"/>
    <s v="VROLIJK BLOEMEN"/>
    <s v="VROLIJK BLOEMEN"/>
    <x v="69"/>
    <s v="Grandiflora Roses"/>
    <s v="100CM"/>
    <m/>
    <n v="3.5999999999999996"/>
    <n v="120"/>
    <n v="0.47"/>
    <n v="56.4"/>
    <s v="EUR"/>
    <m/>
    <m/>
    <x v="18"/>
    <n v="0"/>
    <x v="0"/>
    <x v="4"/>
    <n v="120"/>
    <n v="0.78333333333333333"/>
    <n v="94"/>
    <n v="-6.0623999999999976"/>
    <n v="87.937600000000003"/>
    <x v="18"/>
    <n v="0"/>
    <m/>
    <n v="439443"/>
    <n v="14.603571428571426"/>
    <m/>
    <n v="2.4"/>
    <m/>
    <n v="17.003571428571426"/>
    <n v="70.93402857142857"/>
    <m/>
    <n v="120"/>
  </r>
  <r>
    <n v="19"/>
    <n v="2024"/>
    <s v="Auction"/>
    <s v="VROLIJK BLOEMEN"/>
    <s v="VROLIJK BLOEMEN"/>
    <x v="69"/>
    <s v="Grandiflora Roses"/>
    <s v="70CM"/>
    <n v="1"/>
    <n v="1.2000000000000002"/>
    <n v="40"/>
    <n v="0.28000000000000003"/>
    <n v="11.2"/>
    <s v="EUR"/>
    <m/>
    <m/>
    <x v="18"/>
    <n v="40"/>
    <x v="0"/>
    <x v="1"/>
    <m/>
    <m/>
    <n v="0"/>
    <n v="0"/>
    <n v="0"/>
    <x v="18"/>
    <n v="-40"/>
    <m/>
    <n v="439443"/>
    <n v="4.8678571428571429"/>
    <m/>
    <n v="0"/>
    <m/>
    <n v="4.8678571428571429"/>
    <n v="-4.8678571428571429"/>
    <m/>
    <n v="0"/>
  </r>
  <r>
    <n v="19"/>
    <n v="2024"/>
    <s v="Auction"/>
    <s v="VROLIJK BLOEMEN"/>
    <s v="VROLIJK BLOEMEN"/>
    <x v="69"/>
    <s v="Grandiflora Roses"/>
    <s v="80CM"/>
    <m/>
    <n v="10.8"/>
    <n v="360"/>
    <n v="0.33"/>
    <n v="118.8"/>
    <s v="EUR"/>
    <m/>
    <m/>
    <x v="18"/>
    <n v="0"/>
    <x v="0"/>
    <x v="2"/>
    <n v="360"/>
    <n v="0.74111111111111116"/>
    <n v="266.8"/>
    <n v="-18.187199999999994"/>
    <n v="248.61280000000002"/>
    <x v="18"/>
    <n v="0"/>
    <m/>
    <n v="439443"/>
    <n v="43.81071428571429"/>
    <m/>
    <n v="7.2"/>
    <m/>
    <n v="51.010714285714293"/>
    <n v="197.60208571428572"/>
    <m/>
    <n v="360"/>
  </r>
  <r>
    <n v="19"/>
    <n v="2024"/>
    <s v="Auction"/>
    <s v="VROLIJK BLOEMEN"/>
    <s v="VROLIJK BLOEMEN"/>
    <x v="69"/>
    <s v="English Roses"/>
    <s v="50CM"/>
    <n v="1"/>
    <n v="5"/>
    <n v="200"/>
    <n v="0.38"/>
    <n v="76"/>
    <s v="EUR"/>
    <m/>
    <m/>
    <x v="18"/>
    <n v="0"/>
    <x v="1"/>
    <x v="5"/>
    <n v="200"/>
    <n v="0.19"/>
    <n v="38"/>
    <n v="-10.103999999999996"/>
    <n v="27.896000000000004"/>
    <x v="18"/>
    <n v="0"/>
    <m/>
    <n v="439443"/>
    <n v="20.282738095238095"/>
    <m/>
    <n v="4"/>
    <m/>
    <n v="24.282738095238095"/>
    <n v="3.6132619047619094"/>
    <m/>
    <n v="200"/>
  </r>
  <r>
    <n v="19"/>
    <n v="2024"/>
    <s v="Auction"/>
    <s v="VROLIJK BLOEMEN"/>
    <s v="VROLIJK BLOEMEN"/>
    <x v="69"/>
    <s v="English Roses"/>
    <s v="60CM"/>
    <m/>
    <n v="7"/>
    <n v="280"/>
    <n v="0.47"/>
    <n v="131.6"/>
    <s v="EUR"/>
    <m/>
    <m/>
    <x v="18"/>
    <n v="0"/>
    <x v="1"/>
    <x v="0"/>
    <n v="280"/>
    <n v="0.15571428571428572"/>
    <n v="43.6"/>
    <n v="-14.145599999999996"/>
    <n v="29.454400000000007"/>
    <x v="18"/>
    <n v="0"/>
    <m/>
    <n v="439443"/>
    <n v="28.395833333333332"/>
    <m/>
    <n v="5.6000000000000005"/>
    <m/>
    <n v="33.99583333333333"/>
    <n v="-4.5414333333333232"/>
    <m/>
    <n v="280"/>
  </r>
  <r>
    <n v="19"/>
    <n v="2024"/>
    <s v="Auction"/>
    <s v="VROLIJK BLOEMEN"/>
    <s v="VROLIJK BLOEMEN"/>
    <x v="69"/>
    <s v="English Roses"/>
    <s v="70CM"/>
    <n v="1"/>
    <n v="5.4545454545454541"/>
    <n v="200"/>
    <n v="0.52"/>
    <n v="104"/>
    <s v="EUR"/>
    <m/>
    <m/>
    <x v="18"/>
    <n v="0"/>
    <x v="1"/>
    <x v="1"/>
    <n v="200"/>
    <n v="0.98"/>
    <n v="196"/>
    <n v="-10.103999999999996"/>
    <n v="185.89600000000002"/>
    <x v="18"/>
    <n v="0"/>
    <m/>
    <n v="439443"/>
    <n v="22.126623376623375"/>
    <m/>
    <n v="4"/>
    <m/>
    <n v="26.126623376623375"/>
    <n v="159.76937662337664"/>
    <m/>
    <n v="200"/>
  </r>
  <r>
    <n v="19"/>
    <n v="2024"/>
    <s v="Auction"/>
    <s v="VROLIJK BLOEMEN"/>
    <s v="VROLIJK BLOEMEN"/>
    <x v="69"/>
    <s v="English Roses"/>
    <s v="80CM"/>
    <m/>
    <n v="6.545454545454545"/>
    <n v="240"/>
    <n v="0.56999999999999995"/>
    <n v="136.80000000000001"/>
    <s v="EUR"/>
    <m/>
    <m/>
    <x v="18"/>
    <n v="0"/>
    <x v="1"/>
    <x v="2"/>
    <n v="240"/>
    <n v="8.4999999999999992E-2"/>
    <n v="20.399999999999999"/>
    <n v="-12.124799999999995"/>
    <n v="8.2752000000000034"/>
    <x v="18"/>
    <n v="0"/>
    <m/>
    <n v="439443"/>
    <n v="26.551948051948052"/>
    <m/>
    <n v="4.8"/>
    <m/>
    <n v="31.351948051948053"/>
    <n v="-23.076748051948051"/>
    <m/>
    <n v="240"/>
  </r>
  <r>
    <n v="19"/>
    <n v="2024"/>
    <s v="Auction"/>
    <s v="VROLIJK BLOEMEN"/>
    <s v="VROLIJK BLOEMEN"/>
    <x v="69"/>
    <s v="Floribunda Roses"/>
    <s v="70CM"/>
    <n v="1"/>
    <n v="8.3999999999999986"/>
    <n v="280"/>
    <n v="0.52"/>
    <n v="145.6"/>
    <s v="EUR"/>
    <m/>
    <m/>
    <x v="18"/>
    <n v="80"/>
    <x v="2"/>
    <x v="1"/>
    <n v="200"/>
    <n v="0.6"/>
    <n v="71.400000000000006"/>
    <n v="-10.103999999999996"/>
    <n v="61.296000000000006"/>
    <x v="18"/>
    <n v="-80"/>
    <m/>
    <n v="439443"/>
    <n v="34.074999999999996"/>
    <m/>
    <n v="4"/>
    <m/>
    <n v="38.074999999999996"/>
    <n v="23.221000000000011"/>
    <m/>
    <n v="200"/>
  </r>
  <r>
    <n v="19"/>
    <n v="2024"/>
    <s v="Auction"/>
    <s v="VROLIJK BLOEMEN"/>
    <s v="VROLIJK BLOEMEN"/>
    <x v="69"/>
    <s v="Floribunda Roses"/>
    <s v="80CM"/>
    <m/>
    <n v="3.5999999999999996"/>
    <n v="120"/>
    <n v="0.56999999999999995"/>
    <n v="68.400000000000006"/>
    <s v="EUR"/>
    <m/>
    <m/>
    <x v="18"/>
    <n v="0"/>
    <x v="2"/>
    <x v="2"/>
    <n v="120"/>
    <n v="0.60333333333333339"/>
    <n v="72.400000000000006"/>
    <n v="-6.0623999999999976"/>
    <n v="66.337600000000009"/>
    <x v="18"/>
    <n v="0"/>
    <m/>
    <n v="439443"/>
    <n v="14.603571428571426"/>
    <m/>
    <n v="2.4"/>
    <m/>
    <n v="17.003571428571426"/>
    <n v="49.334028571428583"/>
    <m/>
    <n v="120"/>
  </r>
  <r>
    <n v="19"/>
    <n v="2024"/>
    <s v="Auction"/>
    <s v="VROLIJK BLOEMEN"/>
    <s v="VROLIJK BLOEMEN"/>
    <x v="69"/>
    <s v="Grandiflora Roses"/>
    <s v="60CM"/>
    <m/>
    <m/>
    <m/>
    <m/>
    <m/>
    <s v="EUR"/>
    <m/>
    <m/>
    <x v="18"/>
    <n v="-560"/>
    <x v="0"/>
    <x v="0"/>
    <n v="560"/>
    <n v="0.47"/>
    <n v="263.2"/>
    <n v="-28.291199999999993"/>
    <n v="234.90879999999999"/>
    <x v="18"/>
    <n v="560"/>
    <m/>
    <n v="439443"/>
    <n v="0"/>
    <m/>
    <n v="11.200000000000001"/>
    <m/>
    <n v="11.200000000000001"/>
    <n v="223.7088"/>
    <m/>
    <n v="560"/>
  </r>
  <r>
    <n v="19"/>
    <n v="2024"/>
    <s v="Auction"/>
    <s v="VROLIJK BLOEMEN"/>
    <s v="VROLIJK BLOEMEN"/>
    <x v="70"/>
    <s v="English Roses"/>
    <s v="60CM"/>
    <n v="1"/>
    <n v="12"/>
    <n v="440"/>
    <n v="0.47"/>
    <n v="206.8"/>
    <s v="EUR"/>
    <m/>
    <m/>
    <x v="18"/>
    <n v="40"/>
    <x v="1"/>
    <x v="0"/>
    <n v="400"/>
    <n v="0.74099999999999999"/>
    <n v="296.39999999999998"/>
    <n v="-24.375"/>
    <n v="272.02499999999998"/>
    <x v="18"/>
    <n v="-40"/>
    <m/>
    <s v="F085474"/>
    <n v="57.63"/>
    <m/>
    <n v="8"/>
    <m/>
    <n v="65.63"/>
    <n v="206.39499999999998"/>
    <m/>
    <n v="400"/>
  </r>
  <r>
    <n v="19"/>
    <n v="2024"/>
    <s v="Auction"/>
    <s v="VROLIJK BLOEMEN"/>
    <s v="VROLIJK BLOEMEN"/>
    <x v="70"/>
    <s v="English Roses"/>
    <s v="70CM"/>
    <n v="1"/>
    <n v="12"/>
    <n v="440"/>
    <n v="0.52"/>
    <n v="228.8"/>
    <s v="EUR"/>
    <m/>
    <m/>
    <x v="18"/>
    <n v="-40"/>
    <x v="1"/>
    <x v="1"/>
    <n v="480"/>
    <n v="0.73"/>
    <n v="350.4"/>
    <n v="-29.25"/>
    <n v="321.14999999999998"/>
    <x v="18"/>
    <n v="40"/>
    <m/>
    <s v="F085474"/>
    <n v="57.63"/>
    <m/>
    <n v="9.6"/>
    <m/>
    <n v="67.23"/>
    <n v="253.91999999999996"/>
    <m/>
    <n v="480"/>
  </r>
  <r>
    <n v="19"/>
    <n v="2024"/>
    <s v="Auction"/>
    <s v="VROLIJK BLOEMEN"/>
    <s v="VROLIJK BLOEMEN"/>
    <x v="70"/>
    <s v="English Roses"/>
    <s v="100CM"/>
    <n v="1"/>
    <n v="12"/>
    <n v="200"/>
    <n v="0.94"/>
    <n v="188"/>
    <s v="EUR"/>
    <m/>
    <m/>
    <x v="18"/>
    <n v="200"/>
    <x v="1"/>
    <x v="4"/>
    <m/>
    <m/>
    <n v="0"/>
    <n v="0"/>
    <n v="0"/>
    <x v="18"/>
    <n v="-200"/>
    <m/>
    <s v="F085474"/>
    <n v="57.63"/>
    <m/>
    <n v="0"/>
    <m/>
    <n v="57.63"/>
    <n v="-57.63"/>
    <m/>
    <n v="0"/>
  </r>
  <r>
    <n v="19"/>
    <n v="2024"/>
    <s v="Auction"/>
    <s v="VROLIJK BLOEMEN"/>
    <s v="VROLIJK BLOEMEN"/>
    <x v="70"/>
    <s v="English Roses"/>
    <s v="50CM"/>
    <n v="1"/>
    <n v="12"/>
    <n v="520"/>
    <n v="0.38"/>
    <n v="197.6"/>
    <s v="EUR"/>
    <m/>
    <m/>
    <x v="18"/>
    <n v="0"/>
    <x v="1"/>
    <x v="5"/>
    <n v="520"/>
    <n v="0.64692307692307693"/>
    <n v="336.4"/>
    <n v="-31.6875"/>
    <n v="304.71249999999998"/>
    <x v="18"/>
    <n v="0"/>
    <m/>
    <s v="F085474"/>
    <n v="57.63"/>
    <m/>
    <n v="10.4"/>
    <m/>
    <n v="68.03"/>
    <n v="236.68249999999998"/>
    <m/>
    <n v="520"/>
  </r>
  <r>
    <n v="19"/>
    <n v="2024"/>
    <s v="Auction"/>
    <s v="VROLIJK BLOEMEN"/>
    <s v="VROLIJK BLOEMEN"/>
    <x v="70"/>
    <s v="Floribunda Roses"/>
    <s v="60CM"/>
    <n v="1"/>
    <n v="4.8000000000000007"/>
    <n v="160"/>
    <n v="0.47"/>
    <n v="75.2"/>
    <s v="EUR"/>
    <m/>
    <m/>
    <x v="18"/>
    <n v="0"/>
    <x v="2"/>
    <x v="0"/>
    <n v="160"/>
    <n v="0.91500000000000004"/>
    <n v="146.4"/>
    <n v="-9.75"/>
    <n v="136.65"/>
    <x v="18"/>
    <n v="0"/>
    <m/>
    <s v="F085474"/>
    <n v="23.052000000000007"/>
    <m/>
    <n v="3.2"/>
    <m/>
    <n v="26.252000000000006"/>
    <n v="110.398"/>
    <m/>
    <n v="160"/>
  </r>
  <r>
    <n v="19"/>
    <n v="2024"/>
    <s v="Auction"/>
    <s v="VROLIJK BLOEMEN"/>
    <s v="VROLIJK BLOEMEN"/>
    <x v="70"/>
    <s v="Floribunda Roses"/>
    <s v="70CM"/>
    <m/>
    <n v="4.8000000000000007"/>
    <n v="160"/>
    <n v="0.52"/>
    <n v="83.2"/>
    <s v="EUR"/>
    <m/>
    <m/>
    <x v="18"/>
    <n v="0"/>
    <x v="2"/>
    <x v="1"/>
    <n v="160"/>
    <n v="1.0325"/>
    <n v="165.2"/>
    <n v="-9.75"/>
    <n v="155.44999999999999"/>
    <x v="18"/>
    <n v="0"/>
    <m/>
    <s v="F085474"/>
    <n v="23.052000000000007"/>
    <m/>
    <n v="3.2"/>
    <m/>
    <n v="26.252000000000006"/>
    <n v="129.19799999999998"/>
    <m/>
    <n v="160"/>
  </r>
  <r>
    <n v="19"/>
    <n v="2024"/>
    <s v="Auction"/>
    <s v="VROLIJK BLOEMEN"/>
    <s v="VROLIJK BLOEMEN"/>
    <x v="70"/>
    <s v="Floribunda Roses"/>
    <s v="100CM"/>
    <m/>
    <n v="2.4000000000000004"/>
    <n v="80"/>
    <n v="0.94"/>
    <n v="75.2"/>
    <s v="EUR"/>
    <m/>
    <m/>
    <x v="18"/>
    <n v="0"/>
    <x v="2"/>
    <x v="4"/>
    <n v="80"/>
    <n v="1.375"/>
    <n v="110"/>
    <n v="-4.875"/>
    <n v="105.125"/>
    <x v="18"/>
    <n v="0"/>
    <m/>
    <s v="F085474"/>
    <n v="11.526000000000003"/>
    <m/>
    <n v="1.6"/>
    <m/>
    <n v="13.126000000000003"/>
    <n v="91.998999999999995"/>
    <m/>
    <n v="80"/>
  </r>
  <r>
    <n v="19"/>
    <n v="2024"/>
    <s v="Auction"/>
    <s v="VROLIJK BLOEMEN"/>
    <s v="VROLIJK BLOEMEN"/>
    <x v="70"/>
    <s v="English Roses"/>
    <s v="70CM"/>
    <n v="1"/>
    <n v="2"/>
    <n v="40"/>
    <n v="0.52"/>
    <n v="20.8"/>
    <s v="EUR"/>
    <m/>
    <m/>
    <x v="18"/>
    <n v="40"/>
    <x v="1"/>
    <x v="1"/>
    <m/>
    <m/>
    <n v="0"/>
    <n v="0"/>
    <n v="0"/>
    <x v="18"/>
    <n v="-40"/>
    <m/>
    <s v="F085474"/>
    <n v="9.6050000000000004"/>
    <m/>
    <n v="0"/>
    <m/>
    <n v="9.6050000000000004"/>
    <n v="-9.6050000000000004"/>
    <m/>
    <n v="0"/>
  </r>
  <r>
    <n v="19"/>
    <n v="2024"/>
    <s v="Auction"/>
    <s v="VROLIJK BLOEMEN"/>
    <s v="VROLIJK BLOEMEN"/>
    <x v="70"/>
    <s v="English Roses"/>
    <s v="90CM"/>
    <m/>
    <n v="4"/>
    <n v="80"/>
    <n v="0.75"/>
    <n v="60"/>
    <s v="EUR"/>
    <m/>
    <m/>
    <x v="18"/>
    <n v="0"/>
    <x v="1"/>
    <x v="3"/>
    <n v="80"/>
    <n v="0.84000000000000008"/>
    <n v="67.2"/>
    <n v="-4.875"/>
    <n v="62.325000000000003"/>
    <x v="18"/>
    <n v="0"/>
    <m/>
    <s v="F085474"/>
    <n v="19.21"/>
    <m/>
    <n v="1.6"/>
    <m/>
    <n v="20.810000000000002"/>
    <n v="41.515000000000001"/>
    <m/>
    <n v="80"/>
  </r>
  <r>
    <n v="19"/>
    <n v="2024"/>
    <s v="Auction"/>
    <s v="VROLIJK BLOEMEN"/>
    <s v="VROLIJK BLOEMEN"/>
    <x v="70"/>
    <s v="English Roses"/>
    <s v="100CM"/>
    <m/>
    <n v="6"/>
    <n v="120"/>
    <n v="0.94"/>
    <n v="112.8"/>
    <s v="EUR"/>
    <m/>
    <m/>
    <x v="18"/>
    <n v="-200"/>
    <x v="1"/>
    <x v="4"/>
    <n v="320"/>
    <n v="0.79874999999999996"/>
    <n v="255.6"/>
    <n v="-19.5"/>
    <n v="236.1"/>
    <x v="18"/>
    <n v="200"/>
    <m/>
    <s v="F085474"/>
    <n v="28.815000000000001"/>
    <m/>
    <n v="6.4"/>
    <m/>
    <n v="35.215000000000003"/>
    <n v="200.88499999999999"/>
    <m/>
    <n v="320"/>
  </r>
  <r>
    <n v="19"/>
    <n v="2024"/>
    <s v="Auction"/>
    <s v="VROLIJK BLOEMEN"/>
    <s v="VROLIJK BLOEMEN"/>
    <x v="70"/>
    <s v="Polyantha Roses"/>
    <s v="50CM"/>
    <n v="1"/>
    <n v="8.5714285714285712"/>
    <n v="200"/>
    <n v="0.42"/>
    <n v="84"/>
    <s v="EUR"/>
    <m/>
    <m/>
    <x v="18"/>
    <n v="0"/>
    <x v="3"/>
    <x v="5"/>
    <n v="200"/>
    <n v="0.502"/>
    <n v="100.4"/>
    <n v="-12.1875"/>
    <n v="88.212500000000006"/>
    <x v="18"/>
    <n v="0"/>
    <m/>
    <s v="F085474"/>
    <n v="41.164285714285718"/>
    <m/>
    <n v="4"/>
    <m/>
    <n v="45.164285714285718"/>
    <n v="43.048214285714288"/>
    <m/>
    <n v="200"/>
  </r>
  <r>
    <n v="19"/>
    <n v="2024"/>
    <s v="Auction"/>
    <s v="VROLIJK BLOEMEN"/>
    <s v="VROLIJK BLOEMEN"/>
    <x v="70"/>
    <s v="Polyantha Roses"/>
    <s v="90CM"/>
    <m/>
    <n v="1.7142857142857142"/>
    <n v="40"/>
    <n v="0.85"/>
    <n v="34"/>
    <s v="EUR"/>
    <m/>
    <m/>
    <x v="18"/>
    <n v="0"/>
    <x v="3"/>
    <x v="3"/>
    <n v="40"/>
    <n v="1.2"/>
    <n v="48"/>
    <n v="-2.4375"/>
    <n v="45.5625"/>
    <x v="18"/>
    <n v="0"/>
    <m/>
    <s v="F085474"/>
    <n v="8.2328571428571422"/>
    <m/>
    <n v="0.8"/>
    <m/>
    <n v="9.0328571428571429"/>
    <n v="36.529642857142861"/>
    <m/>
    <n v="40"/>
  </r>
  <r>
    <n v="19"/>
    <n v="2024"/>
    <s v="Auction"/>
    <s v="VROLIJK BLOEMEN"/>
    <s v="VROLIJK BLOEMEN"/>
    <x v="70"/>
    <s v="Polyantha Roses"/>
    <s v="100CM"/>
    <m/>
    <n v="1.7142857142857142"/>
    <n v="40"/>
    <n v="1.04"/>
    <n v="41.6"/>
    <s v="EUR"/>
    <m/>
    <m/>
    <x v="18"/>
    <n v="0"/>
    <x v="3"/>
    <x v="4"/>
    <n v="40"/>
    <n v="1.35"/>
    <n v="54"/>
    <n v="-2.4375"/>
    <n v="51.5625"/>
    <x v="18"/>
    <n v="0"/>
    <m/>
    <s v="F085474"/>
    <n v="8.2328571428571422"/>
    <m/>
    <n v="0.8"/>
    <m/>
    <n v="9.0328571428571429"/>
    <n v="42.529642857142861"/>
    <m/>
    <n v="40"/>
  </r>
  <r>
    <n v="19"/>
    <n v="2024"/>
    <s v="Auction"/>
    <s v="VROLIJK BLOEMEN"/>
    <s v="VROLIJK BLOEMEN"/>
    <x v="70"/>
    <s v="Grandiflora Roses"/>
    <s v="70CM"/>
    <n v="1"/>
    <n v="4.8000000000000007"/>
    <n v="160"/>
    <n v="0.28000000000000003"/>
    <n v="44.8"/>
    <s v="EUR"/>
    <m/>
    <m/>
    <x v="18"/>
    <n v="0"/>
    <x v="0"/>
    <x v="1"/>
    <n v="160"/>
    <n v="0.53499999999999992"/>
    <n v="85.6"/>
    <n v="-9.75"/>
    <n v="75.849999999999994"/>
    <x v="18"/>
    <n v="0"/>
    <m/>
    <s v="F085474"/>
    <n v="23.052000000000007"/>
    <m/>
    <n v="3.2"/>
    <m/>
    <n v="26.252000000000006"/>
    <n v="49.597999999999985"/>
    <m/>
    <n v="160"/>
  </r>
  <r>
    <n v="19"/>
    <n v="2024"/>
    <s v="Auction"/>
    <s v="VROLIJK BLOEMEN"/>
    <s v="VROLIJK BLOEMEN"/>
    <x v="70"/>
    <s v="Grandiflora Roses"/>
    <s v="80CM"/>
    <m/>
    <n v="3.5999999999999996"/>
    <n v="120"/>
    <n v="0.33"/>
    <n v="39.6"/>
    <s v="EUR"/>
    <m/>
    <m/>
    <x v="18"/>
    <n v="0"/>
    <x v="0"/>
    <x v="2"/>
    <n v="120"/>
    <n v="0.5"/>
    <n v="60"/>
    <n v="-7.3125"/>
    <n v="52.6875"/>
    <x v="18"/>
    <n v="0"/>
    <m/>
    <s v="F085474"/>
    <n v="17.289000000000001"/>
    <m/>
    <n v="2.4"/>
    <m/>
    <n v="19.689"/>
    <n v="32.9985"/>
    <m/>
    <n v="120"/>
  </r>
  <r>
    <n v="19"/>
    <n v="2024"/>
    <s v="Auction"/>
    <s v="VROLIJK BLOEMEN"/>
    <s v="VROLIJK BLOEMEN"/>
    <x v="70"/>
    <s v="Grandiflora Roses"/>
    <s v="90CM"/>
    <m/>
    <n v="3.5999999999999996"/>
    <n v="120"/>
    <n v="0.38"/>
    <n v="45.6"/>
    <s v="EUR"/>
    <m/>
    <m/>
    <x v="18"/>
    <n v="0"/>
    <x v="0"/>
    <x v="3"/>
    <n v="120"/>
    <n v="0.85666666666666669"/>
    <n v="102.8"/>
    <n v="-7.3125"/>
    <n v="95.487499999999997"/>
    <x v="18"/>
    <n v="0"/>
    <m/>
    <s v="F085474"/>
    <n v="17.289000000000001"/>
    <m/>
    <n v="2.4"/>
    <m/>
    <n v="19.689"/>
    <n v="75.79849999999999"/>
    <m/>
    <n v="120"/>
  </r>
  <r>
    <n v="19"/>
    <n v="2024"/>
    <s v="Auction"/>
    <s v="VROLIJK BLOEMEN"/>
    <s v="VROLIJK BLOEMEN"/>
    <x v="71"/>
    <s v="Grandiflora Roses"/>
    <s v="80CM"/>
    <n v="1"/>
    <n v="12"/>
    <n v="440"/>
    <n v="0.33"/>
    <n v="145.19999999999999"/>
    <s v="EUR"/>
    <m/>
    <m/>
    <x v="19"/>
    <n v="0"/>
    <x v="0"/>
    <x v="2"/>
    <n v="440"/>
    <n v="0.46"/>
    <n v="202.4"/>
    <n v="-18.902677165354334"/>
    <n v="183.49732283464567"/>
    <x v="19"/>
    <n v="0"/>
    <m/>
    <n v="440141"/>
    <n v="44.591000000000008"/>
    <m/>
    <n v="8.8000000000000007"/>
    <m/>
    <n v="53.391000000000005"/>
    <n v="130.10632283464565"/>
    <m/>
    <n v="440"/>
  </r>
  <r>
    <n v="19"/>
    <n v="2024"/>
    <s v="Auction"/>
    <s v="VROLIJK BLOEMEN"/>
    <s v="VROLIJK BLOEMEN"/>
    <x v="71"/>
    <s v="Grandiflora Roses"/>
    <s v="60CM"/>
    <n v="1"/>
    <n v="12"/>
    <n v="720"/>
    <n v="0.24"/>
    <n v="172.8"/>
    <s v="EUR"/>
    <m/>
    <m/>
    <x v="19"/>
    <n v="-120"/>
    <x v="0"/>
    <x v="0"/>
    <n v="840"/>
    <n v="0.41095238095238096"/>
    <n v="345.2"/>
    <n v="-36.08692913385827"/>
    <n v="309.1130708661417"/>
    <x v="19"/>
    <n v="120"/>
    <m/>
    <n v="440141"/>
    <n v="44.591000000000008"/>
    <m/>
    <n v="16.8"/>
    <m/>
    <n v="61.391000000000005"/>
    <n v="247.72207086614168"/>
    <m/>
    <n v="840"/>
  </r>
  <r>
    <n v="19"/>
    <n v="2024"/>
    <s v="Auction"/>
    <s v="VROLIJK BLOEMEN"/>
    <s v="VROLIJK BLOEMEN"/>
    <x v="71"/>
    <s v="Grandiflora Roses"/>
    <s v="90CM"/>
    <n v="1"/>
    <n v="12"/>
    <n v="320"/>
    <n v="0.38"/>
    <n v="121.6"/>
    <s v="EUR"/>
    <m/>
    <m/>
    <x v="19"/>
    <n v="0"/>
    <x v="0"/>
    <x v="3"/>
    <n v="320"/>
    <n v="0.48749999999999999"/>
    <n v="156"/>
    <n v="-13.747401574803151"/>
    <n v="142.25259842519685"/>
    <x v="19"/>
    <n v="0"/>
    <m/>
    <n v="440141"/>
    <n v="44.591000000000008"/>
    <m/>
    <n v="6.4"/>
    <m/>
    <n v="50.991000000000007"/>
    <n v="91.261598425196837"/>
    <m/>
    <n v="320"/>
  </r>
  <r>
    <n v="19"/>
    <n v="2024"/>
    <s v="Auction"/>
    <s v="VROLIJK BLOEMEN"/>
    <s v="VROLIJK BLOEMEN"/>
    <x v="71"/>
    <s v="English Roses"/>
    <s v="60CM"/>
    <n v="1"/>
    <n v="12"/>
    <n v="400"/>
    <n v="0.47"/>
    <n v="188"/>
    <s v="EUR"/>
    <m/>
    <m/>
    <x v="19"/>
    <n v="-120"/>
    <x v="1"/>
    <x v="0"/>
    <n v="520"/>
    <n v="0.61"/>
    <n v="317.2"/>
    <n v="-22.339527559055117"/>
    <n v="294.86047244094487"/>
    <x v="19"/>
    <n v="120"/>
    <m/>
    <n v="440141"/>
    <n v="44.591000000000008"/>
    <m/>
    <n v="10.4"/>
    <m/>
    <n v="54.991000000000007"/>
    <n v="239.86947244094486"/>
    <m/>
    <n v="520"/>
  </r>
  <r>
    <n v="19"/>
    <n v="2024"/>
    <s v="Auction"/>
    <s v="VROLIJK BLOEMEN"/>
    <s v="VROLIJK BLOEMEN"/>
    <x v="71"/>
    <s v="Grandiflora Roses"/>
    <s v="50CM"/>
    <n v="2"/>
    <n v="24"/>
    <n v="1280"/>
    <n v="0.14000000000000001"/>
    <n v="179.2"/>
    <s v="EUR"/>
    <m/>
    <m/>
    <x v="19"/>
    <n v="720"/>
    <x v="0"/>
    <x v="5"/>
    <n v="560"/>
    <n v="0.30785714285714288"/>
    <n v="172.4"/>
    <n v="-24.057952755905514"/>
    <n v="148.34204724409449"/>
    <x v="19"/>
    <n v="-720"/>
    <m/>
    <n v="440141"/>
    <n v="89.182000000000016"/>
    <m/>
    <n v="11.200000000000001"/>
    <m/>
    <n v="100.38200000000002"/>
    <n v="47.960047244094469"/>
    <m/>
    <n v="560"/>
  </r>
  <r>
    <n v="19"/>
    <n v="2024"/>
    <s v="Auction"/>
    <s v="VROLIJK BLOEMEN"/>
    <s v="VROLIJK BLOEMEN"/>
    <x v="71"/>
    <s v="Floribunda Roses"/>
    <s v="60CM"/>
    <n v="1"/>
    <n v="12"/>
    <n v="400"/>
    <n v="0.47"/>
    <n v="188"/>
    <s v="EUR"/>
    <m/>
    <m/>
    <x v="19"/>
    <n v="0"/>
    <x v="2"/>
    <x v="0"/>
    <n v="400"/>
    <n v="0.73499999999999999"/>
    <n v="294"/>
    <n v="-17.184251968503936"/>
    <n v="276.81574803149607"/>
    <x v="19"/>
    <n v="0"/>
    <m/>
    <n v="440141"/>
    <n v="44.591000000000008"/>
    <m/>
    <n v="8"/>
    <m/>
    <n v="52.591000000000008"/>
    <n v="224.22474803149606"/>
    <m/>
    <n v="400"/>
  </r>
  <r>
    <n v="19"/>
    <n v="2024"/>
    <s v="Auction"/>
    <s v="VROLIJK BLOEMEN"/>
    <s v="VROLIJK BLOEMEN"/>
    <x v="71"/>
    <s v="English Roses"/>
    <s v="50CM"/>
    <n v="1"/>
    <n v="9.2307692307692317"/>
    <n v="400"/>
    <n v="0.38"/>
    <n v="152"/>
    <s v="EUR"/>
    <m/>
    <m/>
    <x v="19"/>
    <n v="-480"/>
    <x v="1"/>
    <x v="5"/>
    <n v="880"/>
    <n v="0.32"/>
    <n v="281.60000000000002"/>
    <n v="-37.805354330708667"/>
    <n v="243.79464566929136"/>
    <x v="19"/>
    <n v="480"/>
    <m/>
    <n v="440141"/>
    <n v="34.300769230769234"/>
    <m/>
    <n v="17.600000000000001"/>
    <m/>
    <n v="51.900769230769235"/>
    <n v="191.89387643852211"/>
    <m/>
    <n v="880"/>
  </r>
  <r>
    <n v="19"/>
    <n v="2024"/>
    <s v="Auction"/>
    <s v="VROLIJK BLOEMEN"/>
    <s v="VROLIJK BLOEMEN"/>
    <x v="71"/>
    <s v="English Roses"/>
    <s v="60CM"/>
    <m/>
    <n v="2.7692307692307692"/>
    <n v="120"/>
    <n v="0.47"/>
    <n v="56.4"/>
    <s v="EUR"/>
    <m/>
    <m/>
    <x v="19"/>
    <n v="120"/>
    <x v="1"/>
    <x v="0"/>
    <m/>
    <m/>
    <n v="0"/>
    <n v="0"/>
    <n v="0"/>
    <x v="19"/>
    <n v="-120"/>
    <m/>
    <n v="440141"/>
    <n v="10.290230769230769"/>
    <m/>
    <n v="0"/>
    <m/>
    <n v="10.290230769230769"/>
    <n v="-10.290230769230769"/>
    <m/>
    <n v="0"/>
  </r>
  <r>
    <n v="19"/>
    <n v="2024"/>
    <s v="Auction"/>
    <s v="VROLIJK BLOEMEN"/>
    <s v="VROLIJK BLOEMEN"/>
    <x v="71"/>
    <s v="Grandiflora Roses"/>
    <s v="70CM"/>
    <n v="1"/>
    <n v="9"/>
    <n v="240"/>
    <n v="0.28000000000000003"/>
    <n v="67.2"/>
    <s v="EUR"/>
    <m/>
    <m/>
    <x v="19"/>
    <n v="0"/>
    <x v="0"/>
    <x v="1"/>
    <n v="240"/>
    <n v="0.53500000000000003"/>
    <n v="128.4"/>
    <n v="-10.310551181102364"/>
    <n v="118.08944881889764"/>
    <x v="19"/>
    <n v="0"/>
    <m/>
    <n v="440141"/>
    <n v="33.443249999999999"/>
    <m/>
    <n v="4.8"/>
    <m/>
    <n v="38.243249999999996"/>
    <n v="79.846198818897648"/>
    <m/>
    <n v="240"/>
  </r>
  <r>
    <n v="19"/>
    <n v="2024"/>
    <s v="Auction"/>
    <s v="VROLIJK BLOEMEN"/>
    <s v="VROLIJK BLOEMEN"/>
    <x v="71"/>
    <s v="Grandiflora Roses"/>
    <s v="100CM"/>
    <m/>
    <n v="3"/>
    <n v="80"/>
    <n v="0.47"/>
    <n v="37.6"/>
    <s v="EUR"/>
    <m/>
    <m/>
    <x v="19"/>
    <n v="0"/>
    <x v="0"/>
    <x v="4"/>
    <n v="80"/>
    <n v="0.58499999999999996"/>
    <n v="46.8"/>
    <n v="-3.4368503937007877"/>
    <n v="43.36314960629921"/>
    <x v="19"/>
    <n v="0"/>
    <m/>
    <n v="440141"/>
    <n v="11.147750000000002"/>
    <m/>
    <n v="1.6"/>
    <m/>
    <n v="12.747750000000002"/>
    <n v="30.615399606299206"/>
    <m/>
    <n v="80"/>
  </r>
  <r>
    <n v="19"/>
    <n v="2024"/>
    <s v="Auction"/>
    <s v="VROLIJK BLOEMEN"/>
    <s v="VROLIJK BLOEMEN"/>
    <x v="71"/>
    <s v="Grandiflora Roses"/>
    <s v="50CM"/>
    <n v="1"/>
    <n v="9.882352941176471"/>
    <n v="560"/>
    <n v="0.14000000000000001"/>
    <n v="78.400000000000006"/>
    <s v="EUR"/>
    <m/>
    <m/>
    <x v="19"/>
    <n v="560"/>
    <x v="0"/>
    <x v="5"/>
    <m/>
    <m/>
    <n v="0"/>
    <n v="0"/>
    <n v="0"/>
    <x v="19"/>
    <n v="-560"/>
    <m/>
    <n v="440141"/>
    <n v="36.722000000000001"/>
    <m/>
    <n v="0"/>
    <m/>
    <n v="36.722000000000001"/>
    <n v="-36.722000000000001"/>
    <m/>
    <n v="0"/>
  </r>
  <r>
    <n v="19"/>
    <n v="2024"/>
    <s v="Auction"/>
    <s v="VROLIJK BLOEMEN"/>
    <s v="VROLIJK BLOEMEN"/>
    <x v="71"/>
    <s v="Grandiflora Roses"/>
    <s v="60CM"/>
    <m/>
    <n v="2.1176470588235294"/>
    <n v="120"/>
    <n v="0.24"/>
    <n v="28.8"/>
    <s v="EUR"/>
    <m/>
    <m/>
    <x v="19"/>
    <n v="120"/>
    <x v="0"/>
    <x v="0"/>
    <m/>
    <m/>
    <n v="0"/>
    <n v="0"/>
    <n v="0"/>
    <x v="19"/>
    <n v="-120"/>
    <m/>
    <n v="440141"/>
    <n v="7.8690000000000007"/>
    <m/>
    <n v="0"/>
    <m/>
    <n v="7.8690000000000007"/>
    <n v="-7.8690000000000007"/>
    <m/>
    <n v="0"/>
  </r>
  <r>
    <n v="19"/>
    <n v="2024"/>
    <s v="Auction"/>
    <s v="VROLIJK BLOEMEN"/>
    <s v="VROLIJK BLOEMEN"/>
    <x v="71"/>
    <s v="English Roses"/>
    <s v="70CM"/>
    <m/>
    <m/>
    <m/>
    <m/>
    <m/>
    <s v="EUR"/>
    <m/>
    <m/>
    <x v="19"/>
    <n v="-480"/>
    <x v="1"/>
    <x v="1"/>
    <n v="480"/>
    <n v="0.21666666666666667"/>
    <n v="104"/>
    <n v="-20.621102362204727"/>
    <n v="83.378897637795276"/>
    <x v="19"/>
    <n v="480"/>
    <m/>
    <n v="440141"/>
    <n v="0"/>
    <m/>
    <n v="9.6"/>
    <m/>
    <n v="9.6"/>
    <n v="73.778897637795282"/>
    <m/>
    <n v="480"/>
  </r>
  <r>
    <n v="19"/>
    <n v="2024"/>
    <s v="Auction"/>
    <s v="VROLIJK BLOEMEN"/>
    <s v="VROLIJK BLOEMEN"/>
    <x v="71"/>
    <s v="English Roses"/>
    <s v="70CM"/>
    <m/>
    <m/>
    <m/>
    <m/>
    <m/>
    <s v="EUR"/>
    <m/>
    <m/>
    <x v="19"/>
    <n v="480"/>
    <x v="1"/>
    <x v="1"/>
    <n v="-480"/>
    <n v="0.73"/>
    <n v="-350.4"/>
    <n v="20.621102362204727"/>
    <n v="-329.77889763779524"/>
    <x v="19"/>
    <n v="-480"/>
    <m/>
    <n v="440141"/>
    <n v="0"/>
    <m/>
    <n v="-9.6"/>
    <m/>
    <n v="-9.6"/>
    <n v="-320.17889763779522"/>
    <m/>
    <n v="-480"/>
  </r>
  <r>
    <n v="19"/>
    <n v="2024"/>
    <s v="Auction"/>
    <s v="VROLIJK BLOEMEN"/>
    <s v="VROLIJK BLOEMEN"/>
    <x v="71"/>
    <s v="English Roses"/>
    <s v="50CM"/>
    <m/>
    <m/>
    <m/>
    <m/>
    <m/>
    <s v="EUR"/>
    <m/>
    <m/>
    <x v="19"/>
    <n v="480"/>
    <x v="1"/>
    <x v="5"/>
    <n v="-480"/>
    <n v="0.65"/>
    <n v="-312"/>
    <n v="20.621102362204727"/>
    <n v="-291.37889763779526"/>
    <x v="19"/>
    <n v="-480"/>
    <m/>
    <n v="440141"/>
    <n v="0"/>
    <m/>
    <n v="-9.6"/>
    <m/>
    <n v="-9.6"/>
    <n v="-281.77889763779524"/>
    <m/>
    <n v="-480"/>
  </r>
  <r>
    <n v="19"/>
    <n v="2024"/>
    <s v="Auction"/>
    <s v="VROLIJK BLOEMEN"/>
    <s v="VROLIJK BLOEMEN"/>
    <x v="71"/>
    <s v="Floribunda Roses"/>
    <s v="50CM"/>
    <m/>
    <m/>
    <m/>
    <m/>
    <m/>
    <s v="EUR"/>
    <m/>
    <m/>
    <x v="19"/>
    <n v="-1280"/>
    <x v="2"/>
    <x v="5"/>
    <n v="1280"/>
    <n v="0.57374999999999998"/>
    <n v="734.4"/>
    <n v="-54.989606299212603"/>
    <n v="679.41039370078738"/>
    <x v="19"/>
    <n v="1280"/>
    <m/>
    <n v="440141"/>
    <n v="0"/>
    <m/>
    <n v="25.6"/>
    <m/>
    <n v="25.6"/>
    <n v="653.81039370078736"/>
    <m/>
    <n v="1280"/>
  </r>
  <r>
    <n v="20"/>
    <n v="2024"/>
    <s v="Auction"/>
    <s v="VROLIJK BLOEMEN"/>
    <s v="VROLIJK BLOEMEN"/>
    <x v="72"/>
    <s v="English Roses"/>
    <s v="50CM"/>
    <n v="1"/>
    <n v="12"/>
    <n v="520"/>
    <n v="0.38"/>
    <n v="197.6"/>
    <s v="EUR"/>
    <m/>
    <m/>
    <x v="19"/>
    <n v="520"/>
    <x v="1"/>
    <x v="5"/>
    <m/>
    <m/>
    <n v="0"/>
    <n v="0"/>
    <n v="0"/>
    <x v="19"/>
    <n v="-520"/>
    <m/>
    <n v="440146"/>
    <n v="42.935000000000002"/>
    <m/>
    <n v="0"/>
    <m/>
    <n v="42.935000000000002"/>
    <n v="-42.935000000000002"/>
    <m/>
    <n v="0"/>
  </r>
  <r>
    <n v="20"/>
    <n v="2024"/>
    <s v="Auction"/>
    <s v="VROLIJK BLOEMEN"/>
    <s v="VROLIJK BLOEMEN"/>
    <x v="72"/>
    <s v="Floribunda Roses"/>
    <s v="50CM"/>
    <n v="1"/>
    <n v="12"/>
    <n v="640"/>
    <n v="0.38"/>
    <n v="243.2"/>
    <s v="EUR"/>
    <m/>
    <m/>
    <x v="19"/>
    <n v="640"/>
    <x v="2"/>
    <x v="5"/>
    <m/>
    <m/>
    <n v="0"/>
    <n v="0"/>
    <n v="0"/>
    <x v="19"/>
    <n v="-640"/>
    <m/>
    <n v="440146"/>
    <n v="42.935000000000002"/>
    <m/>
    <n v="0"/>
    <m/>
    <n v="42.935000000000002"/>
    <n v="-42.935000000000002"/>
    <m/>
    <n v="0"/>
  </r>
  <r>
    <n v="20"/>
    <n v="2024"/>
    <s v="Auction"/>
    <s v="VROLIJK BLOEMEN"/>
    <s v="VROLIJK BLOEMEN"/>
    <x v="72"/>
    <s v="English Roses"/>
    <s v="50CM"/>
    <n v="1"/>
    <n v="6"/>
    <n v="200"/>
    <n v="0.38"/>
    <n v="76"/>
    <s v="EUR"/>
    <m/>
    <m/>
    <x v="19"/>
    <n v="-520"/>
    <x v="1"/>
    <x v="5"/>
    <n v="720"/>
    <n v="0.44499999999999995"/>
    <n v="320.39999999999998"/>
    <n v="-36.451711026615989"/>
    <n v="283.94828897338397"/>
    <x v="19"/>
    <n v="520"/>
    <m/>
    <n v="440146"/>
    <n v="21.467500000000001"/>
    <m/>
    <n v="14.4"/>
    <m/>
    <n v="35.8675"/>
    <n v="248.08078897338396"/>
    <m/>
    <n v="720"/>
  </r>
  <r>
    <n v="20"/>
    <n v="2024"/>
    <s v="Auction"/>
    <s v="VROLIJK BLOEMEN"/>
    <s v="VROLIJK BLOEMEN"/>
    <x v="72"/>
    <s v="English Roses"/>
    <s v="60CM"/>
    <m/>
    <n v="1.2000000000000002"/>
    <n v="40"/>
    <n v="0.47"/>
    <n v="18.8"/>
    <s v="EUR"/>
    <m/>
    <m/>
    <x v="19"/>
    <n v="0"/>
    <x v="1"/>
    <x v="0"/>
    <n v="40"/>
    <n v="0.83000000000000007"/>
    <n v="33.200000000000003"/>
    <n v="-2.0250950570342221"/>
    <n v="31.174904942965782"/>
    <x v="19"/>
    <n v="0"/>
    <m/>
    <n v="440146"/>
    <n v="4.2935000000000008"/>
    <m/>
    <n v="0.8"/>
    <m/>
    <n v="5.0935000000000006"/>
    <n v="26.081404942965783"/>
    <m/>
    <n v="40"/>
  </r>
  <r>
    <n v="20"/>
    <n v="2024"/>
    <s v="Auction"/>
    <s v="VROLIJK BLOEMEN"/>
    <s v="VROLIJK BLOEMEN"/>
    <x v="72"/>
    <s v="English Roses"/>
    <s v="80CM"/>
    <m/>
    <n v="1.2000000000000002"/>
    <n v="40"/>
    <n v="0.56999999999999995"/>
    <n v="22.8"/>
    <s v="EUR"/>
    <m/>
    <m/>
    <x v="19"/>
    <n v="10"/>
    <x v="1"/>
    <x v="2"/>
    <n v="30"/>
    <n v="0.83"/>
    <n v="24.9"/>
    <n v="-1.5188212927756664"/>
    <n v="23.381178707224333"/>
    <x v="19"/>
    <n v="-10"/>
    <m/>
    <n v="440146"/>
    <n v="4.2935000000000008"/>
    <m/>
    <n v="0.6"/>
    <m/>
    <n v="4.8935000000000004"/>
    <n v="18.487678707224333"/>
    <m/>
    <n v="30"/>
  </r>
  <r>
    <n v="20"/>
    <n v="2024"/>
    <s v="Auction"/>
    <s v="VROLIJK BLOEMEN"/>
    <s v="VROLIJK BLOEMEN"/>
    <x v="72"/>
    <s v="English Roses"/>
    <s v="90CM"/>
    <m/>
    <n v="3.5999999999999996"/>
    <n v="120"/>
    <n v="0.75"/>
    <n v="90"/>
    <s v="EUR"/>
    <m/>
    <m/>
    <x v="19"/>
    <n v="0"/>
    <x v="1"/>
    <x v="3"/>
    <n v="120"/>
    <n v="0.43"/>
    <n v="51.6"/>
    <n v="-6.0752851711026654"/>
    <n v="45.524714828897338"/>
    <x v="19"/>
    <n v="0"/>
    <m/>
    <n v="440146"/>
    <n v="12.8805"/>
    <m/>
    <n v="2.4"/>
    <m/>
    <n v="15.2805"/>
    <n v="30.244214828897338"/>
    <m/>
    <n v="120"/>
  </r>
  <r>
    <n v="20"/>
    <n v="2024"/>
    <s v="Auction"/>
    <s v="VROLIJK BLOEMEN"/>
    <s v="VROLIJK BLOEMEN"/>
    <x v="72"/>
    <s v="English Roses"/>
    <s v="100CM"/>
    <n v="1"/>
    <n v="3.4285714285714284"/>
    <n v="80"/>
    <n v="0.94"/>
    <n v="75.2"/>
    <s v="EUR"/>
    <m/>
    <m/>
    <x v="19"/>
    <n v="0"/>
    <x v="1"/>
    <x v="4"/>
    <n v="80"/>
    <n v="0.31"/>
    <n v="24.8"/>
    <n v="-4.0501901140684442"/>
    <n v="20.749809885931555"/>
    <x v="19"/>
    <n v="0"/>
    <m/>
    <n v="440146"/>
    <n v="12.267142857142858"/>
    <m/>
    <n v="1.6"/>
    <m/>
    <n v="13.867142857142857"/>
    <n v="6.8826670287886973"/>
    <m/>
    <n v="80"/>
  </r>
  <r>
    <n v="20"/>
    <n v="2024"/>
    <s v="Auction"/>
    <s v="VROLIJK BLOEMEN"/>
    <s v="VROLIJK BLOEMEN"/>
    <x v="72"/>
    <s v="Floribunda Roses"/>
    <s v="50CM"/>
    <m/>
    <n v="8.5714285714285712"/>
    <n v="200"/>
    <n v="0.38"/>
    <n v="76"/>
    <s v="EUR"/>
    <m/>
    <m/>
    <x v="19"/>
    <n v="-640"/>
    <x v="2"/>
    <x v="5"/>
    <n v="840"/>
    <n v="0.57476190476190481"/>
    <n v="482.8"/>
    <n v="-42.52699619771866"/>
    <n v="440.27300380228132"/>
    <x v="19"/>
    <n v="640"/>
    <m/>
    <n v="440146"/>
    <n v="30.667857142857144"/>
    <m/>
    <n v="16.8"/>
    <m/>
    <n v="47.467857142857142"/>
    <n v="392.80514665942417"/>
    <m/>
    <n v="840"/>
  </r>
  <r>
    <n v="20"/>
    <n v="2024"/>
    <s v="Auction"/>
    <s v="VROLIJK BLOEMEN"/>
    <s v="VROLIJK BLOEMEN"/>
    <x v="72"/>
    <s v="Floribunda Roses"/>
    <s v="60CM"/>
    <n v="1"/>
    <n v="8"/>
    <n v="80"/>
    <n v="0.47"/>
    <n v="37.6"/>
    <s v="EUR"/>
    <m/>
    <m/>
    <x v="19"/>
    <n v="0"/>
    <x v="2"/>
    <x v="0"/>
    <n v="80"/>
    <n v="0.63"/>
    <n v="50.4"/>
    <n v="-4.0501901140684442"/>
    <n v="46.349809885931556"/>
    <x v="19"/>
    <n v="0"/>
    <m/>
    <n v="440146"/>
    <n v="28.623333333333335"/>
    <m/>
    <n v="1.6"/>
    <m/>
    <n v="30.223333333333336"/>
    <n v="16.12647655259822"/>
    <m/>
    <n v="80"/>
  </r>
  <r>
    <n v="20"/>
    <n v="2024"/>
    <s v="Auction"/>
    <s v="VROLIJK BLOEMEN"/>
    <s v="VROLIJK BLOEMEN"/>
    <x v="72"/>
    <s v="Floribunda Roses"/>
    <s v="70CM"/>
    <m/>
    <n v="4"/>
    <n v="40"/>
    <n v="0.52"/>
    <n v="20.8"/>
    <s v="EUR"/>
    <m/>
    <m/>
    <x v="19"/>
    <n v="0"/>
    <x v="2"/>
    <x v="1"/>
    <n v="40"/>
    <n v="0.75"/>
    <n v="30"/>
    <n v="-2.0250950570342221"/>
    <n v="27.974904942965779"/>
    <x v="19"/>
    <n v="0"/>
    <m/>
    <n v="440146"/>
    <n v="14.311666666666667"/>
    <m/>
    <n v="0.8"/>
    <m/>
    <n v="15.111666666666668"/>
    <n v="12.863238276299111"/>
    <m/>
    <n v="40"/>
  </r>
  <r>
    <n v="20"/>
    <n v="2024"/>
    <s v="Auction"/>
    <s v="VROLIJK BLOEMEN"/>
    <s v="VROLIJK BLOEMEN"/>
    <x v="72"/>
    <s v="Floribunda Roses"/>
    <s v="100CM"/>
    <n v="1"/>
    <n v="1.4117647058823528"/>
    <n v="80"/>
    <n v="0.94"/>
    <n v="75.2"/>
    <s v="EUR"/>
    <m/>
    <m/>
    <x v="19"/>
    <n v="0"/>
    <x v="2"/>
    <x v="4"/>
    <n v="80"/>
    <n v="0.51"/>
    <n v="40.799999999999997"/>
    <n v="-4.0501901140684442"/>
    <n v="36.749809885931555"/>
    <x v="19"/>
    <n v="0"/>
    <m/>
    <n v="440146"/>
    <n v="5.0511764705882358"/>
    <m/>
    <n v="1.6"/>
    <m/>
    <n v="6.6511764705882364"/>
    <n v="30.098633415343318"/>
    <m/>
    <n v="80"/>
  </r>
  <r>
    <n v="20"/>
    <n v="2024"/>
    <s v="Auction"/>
    <s v="VROLIJK BLOEMEN"/>
    <s v="VROLIJK BLOEMEN"/>
    <x v="72"/>
    <s v="Polyantha Roses"/>
    <s v="50CM"/>
    <m/>
    <n v="4.2352941176470589"/>
    <n v="240"/>
    <n v="0.42"/>
    <n v="100.8"/>
    <s v="EUR"/>
    <m/>
    <m/>
    <x v="19"/>
    <n v="0"/>
    <x v="3"/>
    <x v="5"/>
    <n v="240"/>
    <n v="0.48000000000000004"/>
    <n v="115.2"/>
    <n v="-12.150570342205331"/>
    <n v="103.04942965779468"/>
    <x v="19"/>
    <n v="0"/>
    <m/>
    <n v="440146"/>
    <n v="15.153529411764707"/>
    <m/>
    <n v="4.8"/>
    <m/>
    <n v="19.953529411764706"/>
    <n v="83.09590024602997"/>
    <m/>
    <n v="240"/>
  </r>
  <r>
    <n v="20"/>
    <n v="2024"/>
    <s v="Auction"/>
    <s v="VROLIJK BLOEMEN"/>
    <s v="VROLIJK BLOEMEN"/>
    <x v="72"/>
    <s v="Polyantha Roses"/>
    <s v="60CM"/>
    <m/>
    <n v="6.3529411764705888"/>
    <n v="360"/>
    <n v="0.52"/>
    <n v="187.2"/>
    <s v="EUR"/>
    <m/>
    <m/>
    <x v="19"/>
    <n v="0"/>
    <x v="3"/>
    <x v="0"/>
    <n v="360"/>
    <n v="0.60444444444444445"/>
    <n v="217.6"/>
    <n v="-18.225855513307994"/>
    <n v="199.37414448669199"/>
    <x v="19"/>
    <n v="0"/>
    <m/>
    <n v="440146"/>
    <n v="22.730294117647063"/>
    <m/>
    <n v="7.2"/>
    <m/>
    <n v="29.930294117647062"/>
    <n v="169.44385036904492"/>
    <m/>
    <n v="360"/>
  </r>
  <r>
    <n v="20"/>
    <n v="2024"/>
    <s v="Auction"/>
    <s v="VROLIJK BLOEMEN"/>
    <s v="VROLIJK BLOEMEN"/>
    <x v="72"/>
    <s v="English Roses"/>
    <s v="50CM"/>
    <m/>
    <m/>
    <m/>
    <m/>
    <m/>
    <s v="EUR"/>
    <m/>
    <m/>
    <x v="19"/>
    <n v="-400"/>
    <x v="1"/>
    <x v="5"/>
    <n v="400"/>
    <n v="0.03"/>
    <n v="12"/>
    <n v="0"/>
    <n v="12"/>
    <x v="19"/>
    <n v="400"/>
    <m/>
    <n v="440146"/>
    <n v="0"/>
    <m/>
    <n v="8"/>
    <m/>
    <n v="8"/>
    <n v="4"/>
    <m/>
    <n v="400"/>
  </r>
  <r>
    <n v="20"/>
    <n v="2024"/>
    <s v="Auction"/>
    <s v="VROLIJK BLOEMEN"/>
    <s v="VROLIJK BLOEMEN"/>
    <x v="72"/>
    <s v="English Roses"/>
    <s v="60CM"/>
    <m/>
    <m/>
    <m/>
    <m/>
    <m/>
    <s v="EUR"/>
    <m/>
    <m/>
    <x v="19"/>
    <n v="-360"/>
    <x v="1"/>
    <x v="0"/>
    <n v="360"/>
    <n v="0.04"/>
    <n v="14.4"/>
    <n v="0"/>
    <n v="14.4"/>
    <x v="19"/>
    <n v="360"/>
    <m/>
    <n v="440146"/>
    <n v="0"/>
    <m/>
    <n v="7.2"/>
    <m/>
    <n v="7.2"/>
    <n v="7.2"/>
    <m/>
    <n v="360"/>
  </r>
  <r>
    <n v="20"/>
    <n v="2024"/>
    <s v="Auction"/>
    <s v="VROLIJK BLOEMEN"/>
    <s v="VROLIJK BLOEMEN"/>
    <x v="72"/>
    <s v="Floribunda Roses"/>
    <s v="50CM"/>
    <m/>
    <m/>
    <m/>
    <m/>
    <m/>
    <s v="EUR"/>
    <m/>
    <m/>
    <x v="19"/>
    <n v="-800"/>
    <x v="2"/>
    <x v="5"/>
    <n v="800"/>
    <n v="0.06"/>
    <n v="48"/>
    <n v="0"/>
    <n v="48"/>
    <x v="19"/>
    <n v="800"/>
    <m/>
    <n v="440146"/>
    <n v="0"/>
    <m/>
    <n v="16"/>
    <m/>
    <n v="16"/>
    <n v="32"/>
    <m/>
    <n v="800"/>
  </r>
  <r>
    <n v="20"/>
    <n v="2024"/>
    <s v="Auction"/>
    <s v="VROLIJK BLOEMEN"/>
    <s v="VROLIJK BLOEMEN"/>
    <x v="72"/>
    <s v="English Roses"/>
    <s v="50CM"/>
    <m/>
    <m/>
    <m/>
    <m/>
    <m/>
    <s v="EUR"/>
    <m/>
    <m/>
    <x v="19"/>
    <n v="400"/>
    <x v="1"/>
    <x v="5"/>
    <n v="-400"/>
    <n v="0.62"/>
    <n v="-248"/>
    <n v="-1.0435897435897563"/>
    <n v="-249.04358974358976"/>
    <x v="19"/>
    <n v="-400"/>
    <m/>
    <n v="440146"/>
    <n v="0"/>
    <m/>
    <n v="-8"/>
    <m/>
    <n v="-8"/>
    <n v="-241.04358974358976"/>
    <m/>
    <n v="-400"/>
  </r>
  <r>
    <n v="20"/>
    <n v="2024"/>
    <s v="Auction"/>
    <s v="VROLIJK BLOEMEN"/>
    <s v="VROLIJK BLOEMEN"/>
    <x v="72"/>
    <s v="English Roses"/>
    <s v="60CM"/>
    <m/>
    <m/>
    <m/>
    <m/>
    <m/>
    <s v="EUR"/>
    <m/>
    <m/>
    <x v="19"/>
    <n v="360"/>
    <x v="1"/>
    <x v="0"/>
    <n v="-360"/>
    <n v="0.63"/>
    <n v="-226.8"/>
    <n v="-0.93923076923078075"/>
    <n v="-227.7392307692308"/>
    <x v="19"/>
    <n v="-360"/>
    <m/>
    <n v="440146"/>
    <n v="0"/>
    <m/>
    <n v="-7.2"/>
    <m/>
    <n v="-7.2"/>
    <n v="-220.53923076923081"/>
    <m/>
    <n v="-360"/>
  </r>
  <r>
    <n v="20"/>
    <n v="2024"/>
    <s v="Auction"/>
    <s v="VROLIJK BLOEMEN"/>
    <s v="VROLIJK BLOEMEN"/>
    <x v="72"/>
    <s v="Floribunda Roses"/>
    <s v="50CM"/>
    <m/>
    <m/>
    <m/>
    <m/>
    <m/>
    <s v="EUR"/>
    <m/>
    <m/>
    <x v="19"/>
    <n v="800"/>
    <x v="2"/>
    <x v="5"/>
    <n v="-800"/>
    <n v="0.61"/>
    <n v="-488"/>
    <n v="-2.0871794871795126"/>
    <n v="-490.08717948717953"/>
    <x v="19"/>
    <n v="-800"/>
    <m/>
    <n v="440146"/>
    <n v="0"/>
    <m/>
    <n v="-16"/>
    <m/>
    <n v="-16"/>
    <n v="-474.08717948717953"/>
    <m/>
    <n v="-800"/>
  </r>
  <r>
    <n v="20"/>
    <n v="2024"/>
    <s v="Auction"/>
    <s v="VROLIJK BLOEMEN"/>
    <s v="VROLIJK BLOEMEN"/>
    <x v="73"/>
    <s v="Grandiflora Roses"/>
    <s v="70CM"/>
    <n v="1"/>
    <n v="12"/>
    <n v="480"/>
    <n v="0.28000000000000003"/>
    <n v="134.4"/>
    <s v="EUR"/>
    <m/>
    <m/>
    <x v="19"/>
    <n v="0"/>
    <x v="0"/>
    <x v="1"/>
    <n v="480"/>
    <n v="0.38083333333333336"/>
    <n v="182.8"/>
    <n v="-25.276666666666642"/>
    <n v="157.52333333333337"/>
    <x v="19"/>
    <n v="0"/>
    <m/>
    <s v="F086150"/>
    <n v="46.206000000000003"/>
    <m/>
    <n v="9.6"/>
    <m/>
    <n v="55.806000000000004"/>
    <n v="101.71733333333336"/>
    <m/>
    <n v="480"/>
  </r>
  <r>
    <n v="20"/>
    <n v="2024"/>
    <s v="Auction"/>
    <s v="VROLIJK BLOEMEN"/>
    <s v="VROLIJK BLOEMEN"/>
    <x v="73"/>
    <s v="Grandiflora Roses"/>
    <s v="80CM"/>
    <n v="1"/>
    <n v="12"/>
    <n v="480"/>
    <n v="0.33"/>
    <n v="158.4"/>
    <s v="EUR"/>
    <m/>
    <m/>
    <x v="19"/>
    <n v="0"/>
    <x v="0"/>
    <x v="2"/>
    <n v="480"/>
    <n v="0.49083333333333334"/>
    <n v="235.6"/>
    <n v="-25.276666666666642"/>
    <n v="210.32333333333335"/>
    <x v="19"/>
    <n v="0"/>
    <m/>
    <s v="F086150"/>
    <n v="46.206000000000003"/>
    <m/>
    <n v="9.6"/>
    <m/>
    <n v="55.806000000000004"/>
    <n v="154.51733333333334"/>
    <m/>
    <n v="480"/>
  </r>
  <r>
    <n v="20"/>
    <n v="2024"/>
    <s v="Auction"/>
    <s v="VROLIJK BLOEMEN"/>
    <s v="VROLIJK BLOEMEN"/>
    <x v="73"/>
    <s v="Floribunda Roses"/>
    <s v="50CM"/>
    <n v="1"/>
    <n v="12"/>
    <n v="640"/>
    <n v="0.38"/>
    <n v="243.2"/>
    <s v="EUR"/>
    <m/>
    <m/>
    <x v="19"/>
    <n v="640"/>
    <x v="2"/>
    <x v="5"/>
    <m/>
    <m/>
    <n v="0"/>
    <n v="0"/>
    <n v="0"/>
    <x v="19"/>
    <n v="-640"/>
    <m/>
    <s v="F086150"/>
    <n v="46.206000000000003"/>
    <m/>
    <n v="0"/>
    <m/>
    <n v="46.206000000000003"/>
    <n v="-46.206000000000003"/>
    <m/>
    <n v="0"/>
  </r>
  <r>
    <n v="20"/>
    <n v="2024"/>
    <s v="Auction"/>
    <s v="VROLIJK BLOEMEN"/>
    <s v="VROLIJK BLOEMEN"/>
    <x v="73"/>
    <s v="Floribunda Roses"/>
    <s v="60CM"/>
    <n v="1"/>
    <n v="12"/>
    <n v="440"/>
    <n v="0.47"/>
    <n v="206.8"/>
    <s v="EUR"/>
    <m/>
    <m/>
    <x v="19"/>
    <n v="440"/>
    <x v="2"/>
    <x v="0"/>
    <m/>
    <m/>
    <n v="0"/>
    <n v="0"/>
    <n v="0"/>
    <x v="19"/>
    <n v="-440"/>
    <m/>
    <s v="F086150"/>
    <n v="46.206000000000003"/>
    <m/>
    <n v="0"/>
    <m/>
    <n v="46.206000000000003"/>
    <n v="-46.206000000000003"/>
    <m/>
    <n v="0"/>
  </r>
  <r>
    <n v="20"/>
    <n v="2024"/>
    <s v="Auction"/>
    <s v="VROLIJK BLOEMEN"/>
    <s v="VROLIJK BLOEMEN"/>
    <x v="73"/>
    <s v="English Roses"/>
    <s v="60CM"/>
    <n v="1"/>
    <n v="12"/>
    <n v="440"/>
    <n v="0.47"/>
    <n v="206.8"/>
    <s v="EUR"/>
    <m/>
    <m/>
    <x v="19"/>
    <n v="-80"/>
    <x v="1"/>
    <x v="0"/>
    <n v="520"/>
    <n v="0.65769230769230769"/>
    <n v="342"/>
    <n v="-27.383055555555529"/>
    <n v="314.61694444444447"/>
    <x v="19"/>
    <n v="80"/>
    <m/>
    <s v="F086150"/>
    <n v="46.206000000000003"/>
    <m/>
    <n v="10.4"/>
    <m/>
    <n v="56.606000000000002"/>
    <n v="258.01094444444448"/>
    <m/>
    <n v="520"/>
  </r>
  <r>
    <n v="20"/>
    <n v="2024"/>
    <s v="Auction"/>
    <s v="VROLIJK BLOEMEN"/>
    <s v="VROLIJK BLOEMEN"/>
    <x v="73"/>
    <s v="Grandiflora Roses"/>
    <s v="90CM"/>
    <n v="1"/>
    <n v="7.6363636363636367"/>
    <n v="280"/>
    <n v="0.38"/>
    <n v="106.4"/>
    <s v="EUR"/>
    <m/>
    <m/>
    <x v="19"/>
    <n v="0"/>
    <x v="0"/>
    <x v="3"/>
    <n v="280"/>
    <n v="0.40714285714285714"/>
    <n v="114"/>
    <n v="-14.744722222222208"/>
    <n v="99.255277777777792"/>
    <x v="19"/>
    <n v="0"/>
    <m/>
    <s v="F086150"/>
    <n v="29.403818181818185"/>
    <m/>
    <n v="5.6000000000000005"/>
    <m/>
    <n v="35.003818181818183"/>
    <n v="64.251459595959602"/>
    <m/>
    <n v="280"/>
  </r>
  <r>
    <n v="20"/>
    <n v="2024"/>
    <s v="Auction"/>
    <s v="VROLIJK BLOEMEN"/>
    <s v="VROLIJK BLOEMEN"/>
    <x v="73"/>
    <s v="Grandiflora Roses"/>
    <s v="100CM"/>
    <m/>
    <n v="4.3636363636363633"/>
    <n v="160"/>
    <n v="0.47"/>
    <n v="75.2"/>
    <s v="EUR"/>
    <m/>
    <m/>
    <x v="19"/>
    <n v="0"/>
    <x v="0"/>
    <x v="4"/>
    <n v="160"/>
    <n v="0.59499999999999997"/>
    <n v="95.199999999999989"/>
    <n v="-8.4255555555555475"/>
    <n v="86.774444444444441"/>
    <x v="19"/>
    <n v="0"/>
    <m/>
    <s v="F086150"/>
    <n v="16.802181818181818"/>
    <m/>
    <n v="3.2"/>
    <m/>
    <n v="20.002181818181818"/>
    <n v="66.772262626262631"/>
    <m/>
    <n v="160"/>
  </r>
  <r>
    <n v="20"/>
    <n v="2024"/>
    <s v="Auction"/>
    <s v="VROLIJK BLOEMEN"/>
    <s v="VROLIJK BLOEMEN"/>
    <x v="73"/>
    <s v="Floribunda Roses"/>
    <s v="50CM"/>
    <n v="1"/>
    <n v="10.5"/>
    <n v="280"/>
    <n v="0.38"/>
    <n v="106.4"/>
    <s v="EUR"/>
    <m/>
    <m/>
    <x v="19"/>
    <n v="-640"/>
    <x v="2"/>
    <x v="5"/>
    <n v="920"/>
    <n v="0.54304347826086963"/>
    <n v="499.60000000000008"/>
    <n v="-48.446944444444398"/>
    <n v="451.15305555555568"/>
    <x v="19"/>
    <n v="640"/>
    <m/>
    <s v="F086150"/>
    <n v="40.430250000000001"/>
    <m/>
    <n v="18.400000000000002"/>
    <m/>
    <n v="58.830250000000007"/>
    <n v="392.32280555555565"/>
    <m/>
    <n v="920"/>
  </r>
  <r>
    <n v="20"/>
    <n v="2024"/>
    <s v="Auction"/>
    <s v="VROLIJK BLOEMEN"/>
    <s v="VROLIJK BLOEMEN"/>
    <x v="73"/>
    <s v="Floribunda Roses"/>
    <s v="60CM"/>
    <m/>
    <n v="1.5"/>
    <n v="40"/>
    <n v="0.47"/>
    <n v="18.8"/>
    <s v="EUR"/>
    <m/>
    <m/>
    <x v="19"/>
    <n v="-440"/>
    <x v="2"/>
    <x v="0"/>
    <n v="480"/>
    <n v="0.77083333333333337"/>
    <n v="370"/>
    <n v="-25.276666666666642"/>
    <n v="344.72333333333336"/>
    <x v="19"/>
    <n v="440"/>
    <m/>
    <s v="F086150"/>
    <n v="5.7757500000000004"/>
    <m/>
    <n v="9.6"/>
    <m/>
    <n v="15.37575"/>
    <n v="329.34758333333338"/>
    <m/>
    <n v="480"/>
  </r>
  <r>
    <n v="20"/>
    <n v="2024"/>
    <s v="Auction"/>
    <s v="VROLIJK BLOEMEN"/>
    <s v="VROLIJK BLOEMEN"/>
    <x v="73"/>
    <s v="Floribunda Roses"/>
    <s v="80CM"/>
    <n v="1"/>
    <n v="8"/>
    <n v="80"/>
    <n v="0.56999999999999995"/>
    <n v="45.6"/>
    <s v="EUR"/>
    <m/>
    <m/>
    <x v="19"/>
    <n v="0"/>
    <x v="2"/>
    <x v="2"/>
    <n v="80"/>
    <n v="1.08"/>
    <n v="86.4"/>
    <n v="-4.2127777777777737"/>
    <n v="82.187222222222232"/>
    <x v="19"/>
    <n v="0"/>
    <m/>
    <s v="F086150"/>
    <n v="30.803999999999998"/>
    <m/>
    <n v="1.6"/>
    <m/>
    <n v="32.403999999999996"/>
    <n v="49.783222222222236"/>
    <m/>
    <n v="80"/>
  </r>
  <r>
    <n v="20"/>
    <n v="2024"/>
    <s v="Auction"/>
    <s v="VROLIJK BLOEMEN"/>
    <s v="VROLIJK BLOEMEN"/>
    <x v="73"/>
    <s v="Floribunda Roses"/>
    <s v="90CM"/>
    <m/>
    <n v="4"/>
    <n v="40"/>
    <n v="0.75"/>
    <n v="30"/>
    <s v="EUR"/>
    <m/>
    <m/>
    <x v="19"/>
    <n v="0"/>
    <x v="2"/>
    <x v="3"/>
    <n v="40"/>
    <n v="1.01"/>
    <n v="40.4"/>
    <n v="-2.1063888888888869"/>
    <n v="38.293611111111112"/>
    <x v="19"/>
    <n v="0"/>
    <m/>
    <s v="F086150"/>
    <n v="15.401999999999999"/>
    <m/>
    <n v="0.8"/>
    <m/>
    <n v="16.201999999999998"/>
    <n v="22.091611111111114"/>
    <m/>
    <n v="40"/>
  </r>
  <r>
    <n v="20"/>
    <n v="2024"/>
    <s v="Auction"/>
    <s v="VROLIJK BLOEMEN"/>
    <s v="VROLIJK BLOEMEN"/>
    <x v="73"/>
    <s v="English Roses"/>
    <s v="90CM"/>
    <n v="1"/>
    <n v="10"/>
    <n v="400"/>
    <n v="0.75"/>
    <n v="300"/>
    <s v="EUR"/>
    <m/>
    <m/>
    <x v="19"/>
    <n v="280"/>
    <x v="1"/>
    <x v="3"/>
    <n v="120"/>
    <n v="0.72000000000000008"/>
    <n v="86.4"/>
    <n v="-6.3191666666666606"/>
    <n v="80.080833333333345"/>
    <x v="19"/>
    <n v="-280"/>
    <m/>
    <s v="F086150"/>
    <n v="38.504999999999995"/>
    <m/>
    <n v="2.4"/>
    <m/>
    <n v="40.904999999999994"/>
    <n v="39.175833333333351"/>
    <m/>
    <n v="120"/>
  </r>
  <r>
    <n v="20"/>
    <n v="2024"/>
    <s v="Auction"/>
    <s v="VROLIJK BLOEMEN"/>
    <s v="VROLIJK BLOEMEN"/>
    <x v="73"/>
    <s v="English Roses"/>
    <s v="100CM"/>
    <m/>
    <n v="2"/>
    <n v="80"/>
    <n v="0.94"/>
    <n v="75.2"/>
    <s v="EUR"/>
    <m/>
    <m/>
    <x v="19"/>
    <n v="40"/>
    <x v="1"/>
    <x v="4"/>
    <n v="40"/>
    <n v="0.76"/>
    <n v="30.4"/>
    <n v="-2.1063888888888869"/>
    <n v="28.293611111111112"/>
    <x v="19"/>
    <n v="-40"/>
    <m/>
    <s v="F086150"/>
    <n v="7.7009999999999996"/>
    <m/>
    <n v="0.8"/>
    <m/>
    <n v="8.5009999999999994"/>
    <n v="19.792611111111114"/>
    <m/>
    <n v="40"/>
  </r>
  <r>
    <n v="20"/>
    <n v="2024"/>
    <s v="Auction"/>
    <s v="VROLIJK BLOEMEN"/>
    <s v="VROLIJK BLOEMEN"/>
    <x v="73"/>
    <s v="English Roses"/>
    <s v="90CM"/>
    <n v="1"/>
    <n v="2.5714285714285712"/>
    <n v="120"/>
    <n v="0.75"/>
    <n v="90"/>
    <s v="EUR"/>
    <m/>
    <m/>
    <x v="19"/>
    <n v="120"/>
    <x v="1"/>
    <x v="3"/>
    <m/>
    <m/>
    <n v="0"/>
    <n v="0"/>
    <n v="0"/>
    <x v="19"/>
    <n v="-120"/>
    <m/>
    <s v="F086150"/>
    <n v="9.9012857142857129"/>
    <m/>
    <n v="0"/>
    <m/>
    <n v="9.9012857142857129"/>
    <n v="-9.9012857142857129"/>
    <m/>
    <n v="0"/>
  </r>
  <r>
    <n v="20"/>
    <n v="2024"/>
    <s v="Auction"/>
    <s v="VROLIJK BLOEMEN"/>
    <s v="VROLIJK BLOEMEN"/>
    <x v="73"/>
    <s v="English Roses"/>
    <s v="100CM"/>
    <m/>
    <n v="1.7142857142857142"/>
    <n v="80"/>
    <n v="0.94"/>
    <n v="75.2"/>
    <s v="EUR"/>
    <m/>
    <m/>
    <x v="19"/>
    <n v="80"/>
    <x v="1"/>
    <x v="4"/>
    <m/>
    <m/>
    <n v="0"/>
    <n v="0"/>
    <n v="0"/>
    <x v="19"/>
    <n v="-80"/>
    <m/>
    <s v="F086150"/>
    <n v="6.6008571428571425"/>
    <m/>
    <n v="0"/>
    <m/>
    <n v="6.6008571428571425"/>
    <n v="-6.6008571428571425"/>
    <m/>
    <n v="0"/>
  </r>
  <r>
    <n v="20"/>
    <n v="2024"/>
    <s v="Auction"/>
    <s v="VROLIJK BLOEMEN"/>
    <s v="VROLIJK BLOEMEN"/>
    <x v="73"/>
    <s v="Polyantha Roses"/>
    <s v="50CM"/>
    <m/>
    <n v="2.5714285714285712"/>
    <n v="120"/>
    <n v="0.42"/>
    <n v="50.4"/>
    <s v="EUR"/>
    <m/>
    <m/>
    <x v="19"/>
    <n v="0"/>
    <x v="3"/>
    <x v="5"/>
    <n v="120"/>
    <n v="0.53999999999999992"/>
    <n v="64.8"/>
    <n v="-6.3191666666666606"/>
    <n v="58.480833333333337"/>
    <x v="19"/>
    <n v="0"/>
    <m/>
    <s v="F086150"/>
    <n v="9.9012857142857129"/>
    <m/>
    <n v="2.4"/>
    <m/>
    <n v="12.301285714285713"/>
    <n v="46.179547619047625"/>
    <m/>
    <n v="120"/>
  </r>
  <r>
    <n v="20"/>
    <n v="2024"/>
    <s v="Auction"/>
    <s v="VROLIJK BLOEMEN"/>
    <s v="VROLIJK BLOEMEN"/>
    <x v="73"/>
    <s v="Polyantha Roses"/>
    <s v="60CM"/>
    <m/>
    <n v="4.2857142857142856"/>
    <n v="200"/>
    <n v="0.52"/>
    <n v="104"/>
    <s v="EUR"/>
    <m/>
    <m/>
    <x v="19"/>
    <n v="40"/>
    <x v="3"/>
    <x v="0"/>
    <n v="160"/>
    <n v="0.7"/>
    <n v="112"/>
    <n v="-8.4255555555555475"/>
    <n v="103.57444444444445"/>
    <x v="19"/>
    <n v="-40"/>
    <m/>
    <s v="F086150"/>
    <n v="16.502142857142857"/>
    <m/>
    <n v="3.2"/>
    <m/>
    <n v="19.702142857142857"/>
    <n v="83.872301587301592"/>
    <m/>
    <n v="160"/>
  </r>
  <r>
    <n v="20"/>
    <n v="2024"/>
    <s v="Auction"/>
    <s v="VROLIJK BLOEMEN"/>
    <s v="VROLIJK BLOEMEN"/>
    <x v="73"/>
    <s v="Polyantha Roses"/>
    <s v="70CM"/>
    <m/>
    <n v="0.8571428571428571"/>
    <n v="40"/>
    <n v="0.61"/>
    <n v="24.4"/>
    <s v="EUR"/>
    <m/>
    <m/>
    <x v="19"/>
    <n v="0"/>
    <x v="3"/>
    <x v="1"/>
    <n v="40"/>
    <n v="0.74"/>
    <n v="29.6"/>
    <n v="-2.1063888888888869"/>
    <n v="27.493611111111115"/>
    <x v="19"/>
    <n v="0"/>
    <m/>
    <s v="F086150"/>
    <n v="3.3004285714285713"/>
    <m/>
    <n v="0.8"/>
    <m/>
    <n v="4.1004285714285711"/>
    <n v="23.393182539682542"/>
    <m/>
    <n v="40"/>
  </r>
  <r>
    <n v="20"/>
    <n v="2024"/>
    <s v="Auction"/>
    <s v="VROLIJK BLOEMEN"/>
    <s v="VROLIJK BLOEMEN"/>
    <x v="73"/>
    <s v="Polyantha Roses"/>
    <s v="50CM"/>
    <m/>
    <m/>
    <m/>
    <m/>
    <m/>
    <s v="EUR"/>
    <m/>
    <m/>
    <x v="19"/>
    <n v="240"/>
    <x v="3"/>
    <x v="5"/>
    <n v="-240"/>
    <n v="0.48000000000000004"/>
    <n v="-115.2"/>
    <n v="12.638333333333321"/>
    <n v="-102.56166666666668"/>
    <x v="19"/>
    <n v="-240"/>
    <m/>
    <s v="F086150"/>
    <n v="0"/>
    <m/>
    <n v="-4.8"/>
    <m/>
    <n v="-4.8"/>
    <n v="-97.761666666666684"/>
    <m/>
    <n v="-240"/>
  </r>
  <r>
    <n v="20"/>
    <n v="2024"/>
    <s v="Auction"/>
    <s v="VROLIJK BLOEMEN"/>
    <s v="VROLIJK BLOEMEN"/>
    <x v="73"/>
    <s v="Polyantha Roses"/>
    <s v="50CM"/>
    <m/>
    <m/>
    <m/>
    <m/>
    <m/>
    <s v="EUR"/>
    <m/>
    <m/>
    <x v="19"/>
    <n v="-240"/>
    <x v="3"/>
    <x v="5"/>
    <n v="240"/>
    <n v="0"/>
    <n v="0"/>
    <n v="-12.638333333333321"/>
    <n v="-12.638333333333321"/>
    <x v="19"/>
    <n v="240"/>
    <m/>
    <s v="F086150"/>
    <n v="0"/>
    <m/>
    <n v="4.8"/>
    <m/>
    <n v="4.8"/>
    <n v="-17.438333333333322"/>
    <m/>
    <n v="240"/>
  </r>
  <r>
    <n v="20"/>
    <n v="2024"/>
    <s v="Auction"/>
    <s v="VROLIJK BLOEMEN"/>
    <s v="VROLIJK BLOEMEN"/>
    <x v="73"/>
    <s v="English Roses"/>
    <s v="50CM"/>
    <m/>
    <m/>
    <m/>
    <m/>
    <m/>
    <s v="EUR"/>
    <m/>
    <m/>
    <x v="19"/>
    <n v="-400"/>
    <x v="1"/>
    <x v="5"/>
    <n v="400"/>
    <n v="0.56000000000000005"/>
    <n v="224.00000000000003"/>
    <n v="-21.063888888888869"/>
    <n v="202.93611111111116"/>
    <x v="19"/>
    <n v="400"/>
    <m/>
    <s v="F086150"/>
    <n v="0"/>
    <m/>
    <n v="8"/>
    <m/>
    <n v="8"/>
    <n v="194.93611111111116"/>
    <m/>
    <n v="400"/>
  </r>
  <r>
    <n v="20"/>
    <n v="2024"/>
    <s v="Auction"/>
    <s v="VROLIJK BLOEMEN"/>
    <s v="VROLIJK BLOEMEN"/>
    <x v="74"/>
    <s v="English Roses"/>
    <s v="50CM"/>
    <n v="1"/>
    <n v="12"/>
    <n v="440"/>
    <n v="0.38"/>
    <n v="167.2"/>
    <s v="EUR"/>
    <m/>
    <m/>
    <x v="20"/>
    <n v="0"/>
    <x v="1"/>
    <x v="5"/>
    <n v="440"/>
    <n v="0.70727272727272728"/>
    <n v="311.2"/>
    <n v="-21.85333333333331"/>
    <n v="289.34666666666669"/>
    <x v="20"/>
    <n v="0"/>
    <m/>
    <n v="440948"/>
    <n v="41.207142857142856"/>
    <m/>
    <n v="8.8000000000000007"/>
    <m/>
    <n v="50.007142857142853"/>
    <n v="239.33952380952383"/>
    <m/>
    <n v="440"/>
  </r>
  <r>
    <n v="20"/>
    <n v="2024"/>
    <s v="Auction"/>
    <s v="VROLIJK BLOEMEN"/>
    <s v="VROLIJK BLOEMEN"/>
    <x v="74"/>
    <s v="Floribunda Roses"/>
    <s v="50CM"/>
    <n v="1"/>
    <n v="12"/>
    <n v="520"/>
    <n v="0.38"/>
    <n v="197.6"/>
    <s v="EUR"/>
    <m/>
    <m/>
    <x v="20"/>
    <n v="0"/>
    <x v="2"/>
    <x v="5"/>
    <n v="520"/>
    <n v="0.80384615384615388"/>
    <n v="418"/>
    <n v="-25.826666666666643"/>
    <n v="392.17333333333335"/>
    <x v="20"/>
    <n v="0"/>
    <m/>
    <n v="440948"/>
    <n v="41.207142857142856"/>
    <m/>
    <n v="10.4"/>
    <m/>
    <n v="51.607142857142854"/>
    <n v="340.56619047619051"/>
    <m/>
    <n v="520"/>
  </r>
  <r>
    <n v="20"/>
    <n v="2024"/>
    <s v="Auction"/>
    <s v="VROLIJK BLOEMEN"/>
    <s v="VROLIJK BLOEMEN"/>
    <x v="74"/>
    <s v="English Roses"/>
    <s v="80CM"/>
    <n v="1"/>
    <n v="6"/>
    <n v="120"/>
    <n v="0.56999999999999995"/>
    <n v="68.400000000000006"/>
    <s v="EUR"/>
    <m/>
    <m/>
    <x v="20"/>
    <n v="0"/>
    <x v="1"/>
    <x v="2"/>
    <n v="120"/>
    <n v="0.87"/>
    <n v="104.4"/>
    <n v="-5.9599999999999937"/>
    <n v="98.440000000000012"/>
    <x v="20"/>
    <n v="0"/>
    <m/>
    <n v="440948"/>
    <n v="20.603571428571428"/>
    <m/>
    <n v="2.4"/>
    <m/>
    <n v="23.003571428571426"/>
    <n v="75.436428571428593"/>
    <m/>
    <n v="120"/>
  </r>
  <r>
    <n v="20"/>
    <n v="2024"/>
    <s v="Auction"/>
    <s v="VROLIJK BLOEMEN"/>
    <s v="VROLIJK BLOEMEN"/>
    <x v="74"/>
    <s v="English Roses"/>
    <s v="90CM"/>
    <m/>
    <n v="6"/>
    <n v="120"/>
    <n v="0.75"/>
    <n v="90"/>
    <s v="EUR"/>
    <m/>
    <m/>
    <x v="20"/>
    <n v="0"/>
    <x v="1"/>
    <x v="3"/>
    <n v="120"/>
    <n v="0.85"/>
    <n v="102"/>
    <n v="-5.9599999999999937"/>
    <n v="96.04"/>
    <x v="20"/>
    <n v="0"/>
    <m/>
    <n v="440948"/>
    <n v="20.603571428571428"/>
    <m/>
    <n v="2.4"/>
    <m/>
    <n v="23.003571428571426"/>
    <n v="73.036428571428587"/>
    <m/>
    <n v="120"/>
  </r>
  <r>
    <n v="20"/>
    <n v="2024"/>
    <s v="Auction"/>
    <s v="VROLIJK BLOEMEN"/>
    <s v="VROLIJK BLOEMEN"/>
    <x v="74"/>
    <s v="Polyantha Roses"/>
    <s v="50CM"/>
    <n v="1"/>
    <n v="3.5999999999999996"/>
    <n v="120"/>
    <n v="0.42"/>
    <n v="50.4"/>
    <s v="EUR"/>
    <m/>
    <m/>
    <x v="20"/>
    <n v="0"/>
    <x v="3"/>
    <x v="5"/>
    <n v="120"/>
    <n v="0.51666666666666672"/>
    <n v="62.000000000000007"/>
    <n v="-5.9599999999999937"/>
    <n v="56.040000000000013"/>
    <x v="20"/>
    <n v="0"/>
    <m/>
    <n v="440948"/>
    <n v="12.362142857142855"/>
    <m/>
    <n v="2.4"/>
    <m/>
    <n v="14.762142857142855"/>
    <n v="41.277857142857158"/>
    <m/>
    <n v="120"/>
  </r>
  <r>
    <n v="20"/>
    <n v="2024"/>
    <s v="Auction"/>
    <s v="VROLIJK BLOEMEN"/>
    <s v="VROLIJK BLOEMEN"/>
    <x v="74"/>
    <s v="Polyantha Roses"/>
    <s v="60CM"/>
    <m/>
    <n v="8.3999999999999986"/>
    <n v="280"/>
    <n v="0.52"/>
    <n v="145.6"/>
    <s v="EUR"/>
    <m/>
    <m/>
    <x v="20"/>
    <n v="0"/>
    <x v="3"/>
    <x v="0"/>
    <n v="280"/>
    <n v="0.66714285714285715"/>
    <n v="186.8"/>
    <n v="-13.906666666666652"/>
    <n v="172.89333333333337"/>
    <x v="20"/>
    <n v="0"/>
    <m/>
    <n v="440948"/>
    <n v="28.844999999999992"/>
    <m/>
    <n v="5.6000000000000005"/>
    <m/>
    <n v="34.444999999999993"/>
    <n v="138.44833333333338"/>
    <m/>
    <n v="280"/>
  </r>
  <r>
    <n v="20"/>
    <n v="2024"/>
    <s v="Auction"/>
    <s v="VROLIJK BLOEMEN"/>
    <s v="VROLIJK BLOEMEN"/>
    <x v="74"/>
    <s v="Grandiflora Roses"/>
    <s v="60CM"/>
    <n v="1"/>
    <n v="10.153846153846153"/>
    <n v="440"/>
    <n v="0.24"/>
    <n v="105.6"/>
    <s v="EUR"/>
    <m/>
    <m/>
    <x v="20"/>
    <n v="0"/>
    <x v="0"/>
    <x v="0"/>
    <n v="440"/>
    <n v="0.37000000000000005"/>
    <n v="162.80000000000001"/>
    <n v="-21.85333333333331"/>
    <n v="140.94666666666672"/>
    <x v="20"/>
    <n v="0"/>
    <m/>
    <n v="440948"/>
    <n v="34.867582417582412"/>
    <m/>
    <n v="8.8000000000000007"/>
    <m/>
    <n v="43.667582417582409"/>
    <n v="97.279084249084306"/>
    <m/>
    <n v="440"/>
  </r>
  <r>
    <n v="20"/>
    <n v="2024"/>
    <s v="Auction"/>
    <s v="VROLIJK BLOEMEN"/>
    <s v="VROLIJK BLOEMEN"/>
    <x v="74"/>
    <s v="Grandiflora Roses"/>
    <s v="70CM"/>
    <m/>
    <n v="1.8461538461538463"/>
    <n v="80"/>
    <n v="0.28000000000000003"/>
    <n v="22.4"/>
    <s v="EUR"/>
    <m/>
    <m/>
    <x v="20"/>
    <n v="0"/>
    <x v="0"/>
    <x v="1"/>
    <n v="80"/>
    <n v="0.48"/>
    <n v="38.4"/>
    <n v="-3.9733333333333296"/>
    <n v="34.426666666666669"/>
    <x v="20"/>
    <n v="0"/>
    <m/>
    <n v="440948"/>
    <n v="6.3395604395604401"/>
    <m/>
    <n v="1.6"/>
    <m/>
    <n v="7.9395604395604398"/>
    <n v="26.487106227106231"/>
    <m/>
    <n v="80"/>
  </r>
  <r>
    <n v="20"/>
    <n v="2024"/>
    <s v="Auction"/>
    <s v="VROLIJK BLOEMEN"/>
    <s v="VROLIJK BLOEMEN"/>
    <x v="74"/>
    <s v="Grandiflora Roses"/>
    <s v="50CM"/>
    <n v="1"/>
    <n v="9.75"/>
    <n v="520"/>
    <n v="0.14000000000000001"/>
    <n v="72.8"/>
    <s v="EUR"/>
    <m/>
    <m/>
    <x v="20"/>
    <n v="0"/>
    <x v="0"/>
    <x v="5"/>
    <n v="520"/>
    <n v="0.31"/>
    <n v="161.19999999999999"/>
    <n v="-25.826666666666643"/>
    <n v="135.37333333333333"/>
    <x v="20"/>
    <n v="0"/>
    <m/>
    <n v="440948"/>
    <n v="33.480803571428574"/>
    <m/>
    <n v="10.4"/>
    <m/>
    <n v="43.880803571428572"/>
    <n v="91.492529761904763"/>
    <m/>
    <n v="520"/>
  </r>
  <r>
    <n v="20"/>
    <n v="2024"/>
    <s v="Auction"/>
    <s v="VROLIJK BLOEMEN"/>
    <s v="VROLIJK BLOEMEN"/>
    <x v="74"/>
    <s v="Grandiflora Roses"/>
    <s v="100CM"/>
    <m/>
    <n v="2.25"/>
    <n v="120"/>
    <n v="0.47"/>
    <n v="56.4"/>
    <s v="EUR"/>
    <m/>
    <m/>
    <x v="20"/>
    <n v="0"/>
    <x v="0"/>
    <x v="4"/>
    <n v="120"/>
    <n v="0.61333333333333329"/>
    <n v="73.599999999999994"/>
    <n v="-5.9599999999999937"/>
    <n v="67.64"/>
    <x v="20"/>
    <n v="0"/>
    <m/>
    <n v="440948"/>
    <n v="7.7263392857142854"/>
    <m/>
    <n v="2.4"/>
    <m/>
    <n v="10.126339285714286"/>
    <n v="57.513660714285713"/>
    <m/>
    <n v="120"/>
  </r>
  <r>
    <n v="20"/>
    <n v="2024"/>
    <s v="Auction"/>
    <s v="VROLIJK BLOEMEN"/>
    <s v="VROLIJK BLOEMEN"/>
    <x v="74"/>
    <s v="Grandiflora Roses"/>
    <s v="80CM"/>
    <n v="1"/>
    <n v="7"/>
    <n v="280"/>
    <n v="0.33"/>
    <n v="92.4"/>
    <s v="EUR"/>
    <m/>
    <m/>
    <x v="20"/>
    <n v="0"/>
    <x v="0"/>
    <x v="2"/>
    <n v="280"/>
    <n v="0.60857142857142854"/>
    <n v="170.39999999999998"/>
    <n v="-13.906666666666652"/>
    <n v="156.49333333333334"/>
    <x v="20"/>
    <n v="0"/>
    <m/>
    <n v="440948"/>
    <n v="24.037499999999998"/>
    <m/>
    <n v="5.6000000000000005"/>
    <m/>
    <n v="29.637499999999999"/>
    <n v="126.85583333333334"/>
    <m/>
    <n v="280"/>
  </r>
  <r>
    <n v="20"/>
    <n v="2024"/>
    <s v="Auction"/>
    <s v="VROLIJK BLOEMEN"/>
    <s v="VROLIJK BLOEMEN"/>
    <x v="74"/>
    <s v="Grandiflora Roses"/>
    <s v="90CM"/>
    <m/>
    <n v="5"/>
    <n v="200"/>
    <n v="0.38"/>
    <n v="76"/>
    <s v="EUR"/>
    <m/>
    <m/>
    <x v="20"/>
    <n v="0"/>
    <x v="0"/>
    <x v="3"/>
    <n v="200"/>
    <n v="0.53"/>
    <n v="106"/>
    <n v="-9.9333333333333247"/>
    <n v="96.066666666666677"/>
    <x v="20"/>
    <n v="0"/>
    <m/>
    <n v="440948"/>
    <n v="17.169642857142854"/>
    <m/>
    <n v="4"/>
    <m/>
    <n v="21.169642857142854"/>
    <n v="74.89702380952383"/>
    <m/>
    <n v="200"/>
  </r>
  <r>
    <n v="21"/>
    <n v="2024"/>
    <s v="Auction"/>
    <s v="VROLIJK BLOEMEN"/>
    <s v="VROLIJK BLOEMEN"/>
    <x v="75"/>
    <s v="Polyantha Roses"/>
    <s v="50CM"/>
    <n v="1"/>
    <n v="4"/>
    <n v="120"/>
    <n v="0.42"/>
    <n v="50.4"/>
    <s v="EUR"/>
    <m/>
    <m/>
    <x v="20"/>
    <n v="0"/>
    <x v="3"/>
    <x v="5"/>
    <n v="120"/>
    <n v="0.25"/>
    <n v="30"/>
    <n v="-5.0126865671641765"/>
    <n v="24.987313432835823"/>
    <x v="20"/>
    <n v="0"/>
    <m/>
    <n v="440954"/>
    <n v="14.604999999999999"/>
    <m/>
    <n v="2.4"/>
    <m/>
    <n v="17.004999999999999"/>
    <n v="7.9823134328358236"/>
    <m/>
    <n v="120"/>
  </r>
  <r>
    <n v="21"/>
    <n v="2024"/>
    <s v="Auction"/>
    <s v="VROLIJK BLOEMEN"/>
    <s v="VROLIJK BLOEMEN"/>
    <x v="75"/>
    <s v="Polyantha Roses"/>
    <s v="60CM"/>
    <m/>
    <n v="8"/>
    <n v="240"/>
    <n v="0.52"/>
    <n v="124.8"/>
    <s v="EUR"/>
    <m/>
    <m/>
    <x v="20"/>
    <n v="0"/>
    <x v="3"/>
    <x v="0"/>
    <n v="240"/>
    <n v="0.31"/>
    <n v="74.400000000000006"/>
    <n v="-10.025373134328353"/>
    <n v="64.374626865671658"/>
    <x v="20"/>
    <n v="0"/>
    <m/>
    <n v="440954"/>
    <n v="29.209999999999997"/>
    <m/>
    <n v="4.8"/>
    <m/>
    <n v="34.01"/>
    <n v="30.36462686567166"/>
    <m/>
    <n v="240"/>
  </r>
  <r>
    <n v="21"/>
    <n v="2024"/>
    <s v="Auction"/>
    <s v="VROLIJK BLOEMEN"/>
    <s v="VROLIJK BLOEMEN"/>
    <x v="75"/>
    <s v="Grandiflora Roses"/>
    <s v="70CM"/>
    <n v="1"/>
    <n v="12"/>
    <n v="400"/>
    <n v="0.28000000000000003"/>
    <n v="112"/>
    <s v="EUR"/>
    <m/>
    <m/>
    <x v="20"/>
    <n v="-160"/>
    <x v="0"/>
    <x v="1"/>
    <n v="560"/>
    <n v="0.38357142857142862"/>
    <n v="214.80000000000004"/>
    <n v="-23.392537313432822"/>
    <n v="191.40746268656721"/>
    <x v="20"/>
    <n v="160"/>
    <m/>
    <n v="440954"/>
    <n v="43.814999999999998"/>
    <m/>
    <n v="11.200000000000001"/>
    <m/>
    <n v="55.015000000000001"/>
    <n v="136.39246268656723"/>
    <m/>
    <n v="560"/>
  </r>
  <r>
    <n v="21"/>
    <n v="2024"/>
    <s v="Auction"/>
    <s v="VROLIJK BLOEMEN"/>
    <s v="VROLIJK BLOEMEN"/>
    <x v="75"/>
    <s v="Grandiflora Roses"/>
    <s v="80CM"/>
    <n v="1"/>
    <n v="12"/>
    <n v="400"/>
    <n v="0.33"/>
    <n v="132"/>
    <s v="EUR"/>
    <m/>
    <m/>
    <x v="20"/>
    <n v="400"/>
    <x v="0"/>
    <x v="2"/>
    <m/>
    <m/>
    <n v="0"/>
    <n v="0"/>
    <n v="0"/>
    <x v="20"/>
    <n v="-400"/>
    <m/>
    <n v="440954"/>
    <n v="43.814999999999998"/>
    <m/>
    <n v="0"/>
    <m/>
    <n v="43.814999999999998"/>
    <n v="-43.814999999999998"/>
    <m/>
    <n v="0"/>
  </r>
  <r>
    <n v="21"/>
    <n v="2024"/>
    <s v="Auction"/>
    <s v="VROLIJK BLOEMEN"/>
    <s v="VROLIJK BLOEMEN"/>
    <x v="75"/>
    <s v="Grandiflora Roses"/>
    <s v="90CM"/>
    <n v="1"/>
    <n v="8.3999999999999986"/>
    <n v="280"/>
    <n v="0.38"/>
    <n v="106.4"/>
    <s v="EUR"/>
    <m/>
    <m/>
    <x v="20"/>
    <n v="0"/>
    <x v="0"/>
    <x v="3"/>
    <n v="280"/>
    <n v="0.23"/>
    <n v="64.400000000000006"/>
    <n v="-11.696268656716411"/>
    <n v="52.703731343283593"/>
    <x v="20"/>
    <n v="0"/>
    <m/>
    <n v="440954"/>
    <n v="30.67049999999999"/>
    <m/>
    <n v="5.6000000000000005"/>
    <m/>
    <n v="36.270499999999991"/>
    <n v="16.433231343283602"/>
    <m/>
    <n v="280"/>
  </r>
  <r>
    <n v="21"/>
    <n v="2024"/>
    <s v="Auction"/>
    <s v="VROLIJK BLOEMEN"/>
    <s v="VROLIJK BLOEMEN"/>
    <x v="75"/>
    <s v="Grandiflora Roses"/>
    <s v="100CM"/>
    <m/>
    <n v="3.5999999999999996"/>
    <n v="120"/>
    <n v="0.47"/>
    <n v="56.4"/>
    <s v="EUR"/>
    <m/>
    <m/>
    <x v="20"/>
    <n v="0"/>
    <x v="0"/>
    <x v="4"/>
    <n v="120"/>
    <n v="0.21666666666666667"/>
    <n v="26"/>
    <n v="-5.0126865671641765"/>
    <n v="20.987313432835823"/>
    <x v="20"/>
    <n v="0"/>
    <m/>
    <n v="440954"/>
    <n v="13.144499999999999"/>
    <m/>
    <n v="2.4"/>
    <m/>
    <n v="15.544499999999999"/>
    <n v="5.4428134328358233"/>
    <m/>
    <n v="120"/>
  </r>
  <r>
    <n v="21"/>
    <n v="2024"/>
    <s v="Auction"/>
    <s v="VROLIJK BLOEMEN"/>
    <s v="VROLIJK BLOEMEN"/>
    <x v="75"/>
    <s v="Grandiflora Roses"/>
    <s v="70CM"/>
    <n v="1"/>
    <n v="5.333333333333333"/>
    <n v="160"/>
    <n v="0.28000000000000003"/>
    <n v="44.8"/>
    <s v="EUR"/>
    <m/>
    <m/>
    <x v="20"/>
    <n v="160"/>
    <x v="0"/>
    <x v="1"/>
    <m/>
    <m/>
    <n v="0"/>
    <n v="0"/>
    <n v="0"/>
    <x v="20"/>
    <n v="-160"/>
    <m/>
    <n v="440954"/>
    <n v="19.473333333333333"/>
    <m/>
    <n v="0"/>
    <m/>
    <n v="19.473333333333333"/>
    <n v="-19.473333333333333"/>
    <m/>
    <n v="0"/>
  </r>
  <r>
    <n v="21"/>
    <n v="2024"/>
    <s v="Auction"/>
    <s v="VROLIJK BLOEMEN"/>
    <s v="VROLIJK BLOEMEN"/>
    <x v="75"/>
    <s v="Grandiflora Roses"/>
    <s v="80CM"/>
    <m/>
    <n v="6.666666666666667"/>
    <n v="200"/>
    <n v="0.33"/>
    <n v="66"/>
    <s v="EUR"/>
    <m/>
    <m/>
    <x v="20"/>
    <n v="-400"/>
    <x v="0"/>
    <x v="2"/>
    <n v="600"/>
    <n v="0.39"/>
    <n v="234"/>
    <n v="-25.06343283582088"/>
    <n v="208.93656716417911"/>
    <x v="20"/>
    <n v="400"/>
    <m/>
    <n v="440954"/>
    <n v="24.341666666666669"/>
    <m/>
    <n v="12"/>
    <m/>
    <n v="36.341666666666669"/>
    <n v="172.59490049751244"/>
    <m/>
    <n v="600"/>
  </r>
  <r>
    <n v="21"/>
    <n v="2024"/>
    <s v="Auction"/>
    <s v="VROLIJK BLOEMEN"/>
    <s v="VROLIJK BLOEMEN"/>
    <x v="75"/>
    <s v="Floribunda Roses"/>
    <s v="50CM"/>
    <n v="1"/>
    <n v="12"/>
    <n v="760"/>
    <n v="0.38"/>
    <n v="288.8"/>
    <s v="EUR"/>
    <m/>
    <m/>
    <x v="20"/>
    <n v="0"/>
    <x v="2"/>
    <x v="5"/>
    <n v="760"/>
    <n v="0.53947368421052633"/>
    <n v="410"/>
    <n v="-31.747014925373112"/>
    <n v="378.25298507462691"/>
    <x v="20"/>
    <n v="0"/>
    <m/>
    <n v="440954"/>
    <n v="43.814999999999998"/>
    <m/>
    <n v="15.200000000000001"/>
    <m/>
    <n v="59.015000000000001"/>
    <n v="319.23798507462692"/>
    <m/>
    <n v="760"/>
  </r>
  <r>
    <n v="21"/>
    <n v="2024"/>
    <s v="Auction"/>
    <s v="VROLIJK BLOEMEN"/>
    <s v="VROLIJK BLOEMEN"/>
    <x v="76"/>
    <s v="English Roses"/>
    <s v="50CM"/>
    <n v="1"/>
    <n v="12"/>
    <n v="480"/>
    <n v="0.38"/>
    <n v="182.4"/>
    <s v="EUR"/>
    <m/>
    <m/>
    <x v="20"/>
    <n v="-320"/>
    <x v="1"/>
    <x v="5"/>
    <n v="800"/>
    <n v="0.39"/>
    <n v="312"/>
    <n v="-31.84225352112675"/>
    <n v="280.15774647887326"/>
    <x v="20"/>
    <n v="320"/>
    <m/>
    <s v="F086654"/>
    <n v="52.916666666666664"/>
    <m/>
    <n v="16"/>
    <m/>
    <n v="68.916666666666657"/>
    <n v="211.24107981220661"/>
    <m/>
    <n v="800"/>
  </r>
  <r>
    <n v="21"/>
    <n v="2024"/>
    <s v="Auction"/>
    <s v="VROLIJK BLOEMEN"/>
    <s v="VROLIJK BLOEMEN"/>
    <x v="76"/>
    <s v="Grandiflora Roses"/>
    <s v="70CM"/>
    <n v="1"/>
    <n v="12"/>
    <n v="520"/>
    <n v="0.28000000000000003"/>
    <n v="145.6"/>
    <s v="EUR"/>
    <m/>
    <m/>
    <x v="20"/>
    <n v="-160"/>
    <x v="0"/>
    <x v="1"/>
    <n v="680"/>
    <n v="0.3488235294117647"/>
    <n v="237.2"/>
    <n v="-27.065915492957739"/>
    <n v="210.13408450704225"/>
    <x v="20"/>
    <n v="160"/>
    <m/>
    <s v="F086654"/>
    <n v="52.916666666666664"/>
    <m/>
    <n v="13.6"/>
    <m/>
    <n v="66.516666666666666"/>
    <n v="143.61741784037559"/>
    <m/>
    <n v="680"/>
  </r>
  <r>
    <n v="21"/>
    <n v="2024"/>
    <s v="Auction"/>
    <s v="VROLIJK BLOEMEN"/>
    <s v="VROLIJK BLOEMEN"/>
    <x v="76"/>
    <s v="Grandiflora Roses"/>
    <s v="80CM"/>
    <n v="1"/>
    <n v="12"/>
    <n v="480"/>
    <n v="0.33"/>
    <n v="158.4"/>
    <s v="EUR"/>
    <m/>
    <m/>
    <x v="20"/>
    <n v="0"/>
    <x v="0"/>
    <x v="2"/>
    <n v="480"/>
    <n v="0.28999999999999998"/>
    <n v="139.19999999999999"/>
    <n v="-19.105352112676051"/>
    <n v="120.09464788732393"/>
    <x v="20"/>
    <n v="0"/>
    <m/>
    <s v="F086654"/>
    <n v="52.916666666666664"/>
    <m/>
    <n v="9.6"/>
    <m/>
    <n v="62.516666666666666"/>
    <n v="57.577981220657264"/>
    <m/>
    <n v="480"/>
  </r>
  <r>
    <n v="21"/>
    <n v="2024"/>
    <s v="Auction"/>
    <s v="VROLIJK BLOEMEN"/>
    <s v="VROLIJK BLOEMEN"/>
    <x v="76"/>
    <s v="English Roses"/>
    <s v="50CM"/>
    <n v="1"/>
    <n v="7.384615384615385"/>
    <n v="320"/>
    <n v="0.38"/>
    <n v="121.6"/>
    <s v="EUR"/>
    <m/>
    <m/>
    <x v="20"/>
    <n v="320"/>
    <x v="1"/>
    <x v="5"/>
    <m/>
    <m/>
    <n v="0"/>
    <n v="0"/>
    <n v="0"/>
    <x v="20"/>
    <n v="-320"/>
    <m/>
    <s v="F086654"/>
    <n v="32.564102564102569"/>
    <m/>
    <n v="0"/>
    <m/>
    <n v="32.564102564102569"/>
    <n v="-32.564102564102569"/>
    <m/>
    <n v="0"/>
  </r>
  <r>
    <n v="21"/>
    <n v="2024"/>
    <s v="Auction"/>
    <s v="VROLIJK BLOEMEN"/>
    <s v="VROLIJK BLOEMEN"/>
    <x v="76"/>
    <s v="English Roses"/>
    <s v="60CM"/>
    <m/>
    <n v="4.6153846153846159"/>
    <n v="200"/>
    <n v="0.47"/>
    <n v="94"/>
    <s v="EUR"/>
    <m/>
    <m/>
    <x v="20"/>
    <n v="0"/>
    <x v="1"/>
    <x v="0"/>
    <n v="200"/>
    <n v="0.47"/>
    <n v="94"/>
    <n v="-7.9605633802816875"/>
    <n v="86.039436619718316"/>
    <x v="20"/>
    <n v="0"/>
    <m/>
    <s v="F086654"/>
    <n v="20.352564102564106"/>
    <m/>
    <n v="4"/>
    <m/>
    <n v="24.352564102564106"/>
    <n v="61.686872517154214"/>
    <m/>
    <n v="200"/>
  </r>
  <r>
    <n v="21"/>
    <n v="2024"/>
    <s v="Auction"/>
    <s v="VROLIJK BLOEMEN"/>
    <s v="VROLIJK BLOEMEN"/>
    <x v="76"/>
    <s v="Grandiflora Roses"/>
    <s v="70CM"/>
    <n v="1"/>
    <n v="4.8000000000000007"/>
    <n v="160"/>
    <n v="0.28000000000000003"/>
    <n v="44.8"/>
    <s v="EUR"/>
    <m/>
    <m/>
    <x v="20"/>
    <n v="160"/>
    <x v="0"/>
    <x v="1"/>
    <m/>
    <m/>
    <n v="0"/>
    <n v="0"/>
    <n v="0"/>
    <x v="20"/>
    <n v="-160"/>
    <m/>
    <s v="F086654"/>
    <n v="21.166666666666671"/>
    <m/>
    <n v="0"/>
    <m/>
    <n v="21.166666666666671"/>
    <n v="-21.166666666666671"/>
    <m/>
    <n v="0"/>
  </r>
  <r>
    <n v="21"/>
    <n v="2024"/>
    <s v="Auction"/>
    <s v="VROLIJK BLOEMEN"/>
    <s v="VROLIJK BLOEMEN"/>
    <x v="76"/>
    <s v="Grandiflora Roses"/>
    <s v="90CM"/>
    <m/>
    <n v="7.1999999999999993"/>
    <n v="240"/>
    <n v="0.38"/>
    <n v="91.2"/>
    <s v="EUR"/>
    <m/>
    <m/>
    <x v="20"/>
    <n v="0"/>
    <x v="0"/>
    <x v="3"/>
    <n v="240"/>
    <n v="0.32166666666666666"/>
    <n v="77.2"/>
    <n v="-9.5526760563380257"/>
    <n v="67.647323943661974"/>
    <x v="20"/>
    <n v="0"/>
    <m/>
    <s v="F086654"/>
    <n v="31.749999999999996"/>
    <m/>
    <n v="4.8"/>
    <m/>
    <n v="36.549999999999997"/>
    <n v="31.097323943661976"/>
    <m/>
    <n v="240"/>
  </r>
  <r>
    <n v="21"/>
    <n v="2024"/>
    <s v="Auction"/>
    <s v="VROLIJK BLOEMEN"/>
    <s v="VROLIJK BLOEMEN"/>
    <x v="76"/>
    <s v="Polyantha Roses"/>
    <s v="50CM"/>
    <n v="1"/>
    <n v="3.2727272727272725"/>
    <n v="120"/>
    <n v="0.42"/>
    <n v="50.4"/>
    <s v="EUR"/>
    <m/>
    <m/>
    <x v="20"/>
    <n v="0"/>
    <x v="3"/>
    <x v="5"/>
    <n v="120"/>
    <n v="0.38"/>
    <n v="45.6"/>
    <n v="-4.7763380281690129"/>
    <n v="40.823661971830987"/>
    <x v="20"/>
    <n v="0"/>
    <m/>
    <s v="F086654"/>
    <n v="14.43181818181818"/>
    <m/>
    <n v="2.4"/>
    <m/>
    <n v="16.831818181818178"/>
    <n v="23.991843790012808"/>
    <m/>
    <n v="120"/>
  </r>
  <r>
    <n v="21"/>
    <n v="2024"/>
    <s v="Auction"/>
    <s v="VROLIJK BLOEMEN"/>
    <s v="VROLIJK BLOEMEN"/>
    <x v="76"/>
    <s v="Polyantha Roses"/>
    <s v="60CM"/>
    <m/>
    <n v="8.7272727272727266"/>
    <n v="320"/>
    <n v="0.52"/>
    <n v="166.4"/>
    <s v="EUR"/>
    <m/>
    <m/>
    <x v="20"/>
    <n v="0"/>
    <x v="3"/>
    <x v="0"/>
    <n v="320"/>
    <n v="0.47000000000000003"/>
    <n v="150.4"/>
    <n v="-12.7369014084507"/>
    <n v="137.6630985915493"/>
    <x v="20"/>
    <n v="0"/>
    <m/>
    <s v="F086654"/>
    <n v="38.484848484848484"/>
    <m/>
    <n v="6.4"/>
    <m/>
    <n v="44.884848484848483"/>
    <n v="92.778250106700824"/>
    <m/>
    <n v="320"/>
  </r>
  <r>
    <n v="21"/>
    <n v="2024"/>
    <s v="Auction"/>
    <s v="VROLIJK BLOEMEN"/>
    <s v="VROLIJK BLOEMEN"/>
    <x v="77"/>
    <s v="Floribunda Roses"/>
    <s v="50CM"/>
    <n v="2"/>
    <n v="24"/>
    <n v="1520"/>
    <n v="0.38"/>
    <n v="577.6"/>
    <s v="EUR"/>
    <m/>
    <m/>
    <x v="21"/>
    <n v="-80"/>
    <x v="2"/>
    <x v="5"/>
    <n v="1600"/>
    <n v="0.61275000000000002"/>
    <n v="980.4"/>
    <n v="-64.276470588235384"/>
    <n v="916.12352941176459"/>
    <x v="21"/>
    <n v="80"/>
    <m/>
    <n v="442267"/>
    <n v="84.651428571428553"/>
    <m/>
    <n v="32"/>
    <m/>
    <n v="116.65142857142855"/>
    <n v="799.472100840336"/>
    <m/>
    <n v="1600"/>
  </r>
  <r>
    <n v="21"/>
    <n v="2024"/>
    <s v="Auction"/>
    <s v="VROLIJK BLOEMEN"/>
    <s v="VROLIJK BLOEMEN"/>
    <x v="77"/>
    <s v="Floribunda Roses"/>
    <s v="60CM"/>
    <n v="1"/>
    <n v="12"/>
    <n v="520"/>
    <n v="0.47"/>
    <n v="244.4"/>
    <s v="EUR"/>
    <m/>
    <m/>
    <x v="21"/>
    <n v="-200"/>
    <x v="2"/>
    <x v="0"/>
    <n v="720"/>
    <n v="0.7877777777777778"/>
    <n v="567.20000000000005"/>
    <n v="-28.924411764705919"/>
    <n v="538.27558823529409"/>
    <x v="21"/>
    <n v="200"/>
    <m/>
    <n v="442267"/>
    <n v="42.325714285714277"/>
    <m/>
    <n v="14.4"/>
    <m/>
    <n v="56.725714285714275"/>
    <n v="481.54987394957982"/>
    <m/>
    <n v="720"/>
  </r>
  <r>
    <n v="21"/>
    <n v="2024"/>
    <s v="Auction"/>
    <s v="VROLIJK BLOEMEN"/>
    <s v="VROLIJK BLOEMEN"/>
    <x v="77"/>
    <s v="English Roses"/>
    <s v="50CM"/>
    <n v="1"/>
    <n v="12"/>
    <n v="520"/>
    <n v="0.38"/>
    <n v="197.6"/>
    <s v="EUR"/>
    <m/>
    <m/>
    <x v="21"/>
    <n v="520"/>
    <x v="1"/>
    <x v="5"/>
    <m/>
    <m/>
    <n v="0"/>
    <n v="0"/>
    <n v="0"/>
    <x v="21"/>
    <n v="-520"/>
    <m/>
    <n v="442267"/>
    <n v="42.325714285714277"/>
    <m/>
    <n v="0"/>
    <m/>
    <n v="42.325714285714277"/>
    <n v="-42.325714285714277"/>
    <m/>
    <n v="0"/>
  </r>
  <r>
    <n v="21"/>
    <n v="2024"/>
    <s v="Auction"/>
    <s v="VROLIJK BLOEMEN"/>
    <s v="VROLIJK BLOEMEN"/>
    <x v="77"/>
    <s v="Polyantha Roses"/>
    <s v="60CM"/>
    <n v="1"/>
    <n v="12"/>
    <n v="480"/>
    <n v="0.52"/>
    <n v="249.6"/>
    <s v="EUR"/>
    <m/>
    <m/>
    <x v="21"/>
    <n v="-40"/>
    <x v="3"/>
    <x v="0"/>
    <n v="520"/>
    <n v="0.57538461538461538"/>
    <n v="299.2"/>
    <n v="-20.889852941176496"/>
    <n v="278.31014705882347"/>
    <x v="21"/>
    <n v="40"/>
    <m/>
    <n v="442267"/>
    <n v="42.325714285714277"/>
    <m/>
    <n v="10.4"/>
    <m/>
    <n v="52.725714285714275"/>
    <n v="225.5844327731092"/>
    <m/>
    <n v="520"/>
  </r>
  <r>
    <n v="21"/>
    <n v="2024"/>
    <s v="Auction"/>
    <s v="VROLIJK BLOEMEN"/>
    <s v="VROLIJK BLOEMEN"/>
    <x v="77"/>
    <s v="Grandiflora Roses"/>
    <s v="60CM"/>
    <n v="1"/>
    <n v="12"/>
    <n v="720"/>
    <n v="0.24"/>
    <n v="172.8"/>
    <s v="EUR"/>
    <m/>
    <m/>
    <x v="21"/>
    <n v="-600"/>
    <x v="0"/>
    <x v="0"/>
    <n v="1320"/>
    <n v="0.26"/>
    <n v="343.2"/>
    <n v="-53.028088235294184"/>
    <n v="290.17191176470578"/>
    <x v="21"/>
    <n v="600"/>
    <m/>
    <n v="442267"/>
    <n v="42.325714285714277"/>
    <m/>
    <n v="26.400000000000002"/>
    <m/>
    <n v="68.725714285714275"/>
    <n v="221.44619747899151"/>
    <m/>
    <n v="1320"/>
  </r>
  <r>
    <n v="21"/>
    <n v="2024"/>
    <s v="Auction"/>
    <s v="VROLIJK BLOEMEN"/>
    <s v="VROLIJK BLOEMEN"/>
    <x v="77"/>
    <s v="Grandiflora Roses"/>
    <s v="70CM"/>
    <n v="1"/>
    <n v="12"/>
    <n v="520"/>
    <n v="0.28000000000000003"/>
    <n v="145.6"/>
    <s v="EUR"/>
    <m/>
    <m/>
    <x v="21"/>
    <n v="-80"/>
    <x v="0"/>
    <x v="1"/>
    <n v="600"/>
    <n v="0.32200000000000001"/>
    <n v="193.20000000000002"/>
    <n v="-24.103676470588265"/>
    <n v="169.09632352941176"/>
    <x v="21"/>
    <n v="80"/>
    <m/>
    <n v="442267"/>
    <n v="42.325714285714277"/>
    <m/>
    <n v="12"/>
    <m/>
    <n v="54.325714285714277"/>
    <n v="114.77060924369749"/>
    <m/>
    <n v="600"/>
  </r>
  <r>
    <n v="21"/>
    <n v="2024"/>
    <s v="Auction"/>
    <s v="VROLIJK BLOEMEN"/>
    <s v="VROLIJK BLOEMEN"/>
    <x v="77"/>
    <s v="Grandiflora Roses"/>
    <s v="80CM"/>
    <n v="1"/>
    <n v="12"/>
    <n v="480"/>
    <n v="0.33"/>
    <n v="158.4"/>
    <s v="EUR"/>
    <m/>
    <m/>
    <x v="21"/>
    <n v="0"/>
    <x v="0"/>
    <x v="2"/>
    <n v="480"/>
    <n v="0.38250000000000001"/>
    <n v="183.6"/>
    <n v="-19.282941176470612"/>
    <n v="164.31705882352938"/>
    <x v="21"/>
    <n v="0"/>
    <m/>
    <n v="442267"/>
    <n v="42.325714285714277"/>
    <m/>
    <n v="9.6"/>
    <m/>
    <n v="51.925714285714278"/>
    <n v="112.3913445378151"/>
    <m/>
    <n v="480"/>
  </r>
  <r>
    <n v="21"/>
    <n v="2024"/>
    <s v="Auction"/>
    <s v="VROLIJK BLOEMEN"/>
    <s v="VROLIJK BLOEMEN"/>
    <x v="77"/>
    <s v="Grandiflora Roses"/>
    <s v="50CM"/>
    <n v="1"/>
    <n v="12"/>
    <n v="920"/>
    <n v="0.14000000000000001"/>
    <n v="128.80000000000001"/>
    <s v="EUR"/>
    <m/>
    <m/>
    <x v="21"/>
    <n v="0"/>
    <x v="0"/>
    <x v="5"/>
    <n v="920"/>
    <n v="0.13"/>
    <n v="119.60000000000001"/>
    <n v="-36.958970588235339"/>
    <n v="82.641029411764663"/>
    <x v="21"/>
    <n v="0"/>
    <m/>
    <n v="442267"/>
    <n v="42.325714285714277"/>
    <m/>
    <n v="18.400000000000002"/>
    <m/>
    <n v="60.725714285714275"/>
    <n v="21.915315126050388"/>
    <m/>
    <n v="920"/>
  </r>
  <r>
    <n v="21"/>
    <n v="2024"/>
    <s v="Auction"/>
    <s v="VROLIJK BLOEMEN"/>
    <s v="VROLIJK BLOEMEN"/>
    <x v="77"/>
    <s v="English Roses"/>
    <s v="50CM"/>
    <n v="1"/>
    <n v="3.2727272727272725"/>
    <n v="120"/>
    <n v="0.38"/>
    <n v="45.6"/>
    <s v="EUR"/>
    <m/>
    <m/>
    <x v="21"/>
    <n v="-520"/>
    <x v="1"/>
    <x v="5"/>
    <n v="640"/>
    <n v="0.58062500000000006"/>
    <n v="371.6"/>
    <n v="-25.71058823529415"/>
    <n v="345.88941176470587"/>
    <x v="21"/>
    <n v="520"/>
    <m/>
    <n v="442267"/>
    <n v="11.543376623376622"/>
    <m/>
    <n v="12.8"/>
    <m/>
    <n v="24.343376623376621"/>
    <n v="321.54603514132924"/>
    <m/>
    <n v="640"/>
  </r>
  <r>
    <n v="21"/>
    <n v="2024"/>
    <s v="Auction"/>
    <s v="VROLIJK BLOEMEN"/>
    <s v="VROLIJK BLOEMEN"/>
    <x v="77"/>
    <s v="English Roses"/>
    <s v="60CM"/>
    <m/>
    <n v="6.545454545454545"/>
    <n v="240"/>
    <n v="0.47"/>
    <n v="112.8"/>
    <s v="EUR"/>
    <m/>
    <m/>
    <x v="21"/>
    <n v="0"/>
    <x v="1"/>
    <x v="0"/>
    <n v="240"/>
    <n v="0.77833333333333343"/>
    <n v="186.8"/>
    <n v="-9.6414705882353058"/>
    <n v="177.1585294117647"/>
    <x v="21"/>
    <n v="0"/>
    <m/>
    <n v="442267"/>
    <n v="23.086753246753243"/>
    <m/>
    <n v="4.8"/>
    <m/>
    <n v="27.886753246753244"/>
    <n v="149.27177616501146"/>
    <m/>
    <n v="240"/>
  </r>
  <r>
    <n v="21"/>
    <n v="2024"/>
    <s v="Auction"/>
    <s v="VROLIJK BLOEMEN"/>
    <s v="VROLIJK BLOEMEN"/>
    <x v="77"/>
    <s v="English Roses"/>
    <s v="80CM"/>
    <m/>
    <n v="1.0909090909090908"/>
    <n v="40"/>
    <n v="0.56999999999999995"/>
    <n v="22.8"/>
    <s v="EUR"/>
    <m/>
    <m/>
    <x v="21"/>
    <n v="0"/>
    <x v="1"/>
    <x v="2"/>
    <n v="40"/>
    <n v="0.5"/>
    <n v="20"/>
    <n v="-1.6069117647058844"/>
    <n v="18.393088235294115"/>
    <x v="21"/>
    <n v="0"/>
    <m/>
    <n v="442267"/>
    <n v="3.8477922077922071"/>
    <m/>
    <n v="0.8"/>
    <m/>
    <n v="4.6477922077922074"/>
    <n v="13.745296027501908"/>
    <m/>
    <n v="40"/>
  </r>
  <r>
    <n v="21"/>
    <n v="2024"/>
    <s v="Auction"/>
    <s v="VROLIJK BLOEMEN"/>
    <s v="VROLIJK BLOEMEN"/>
    <x v="77"/>
    <s v="English Roses"/>
    <s v="90CM"/>
    <m/>
    <n v="1.0909090909090908"/>
    <n v="40"/>
    <n v="0.75"/>
    <n v="30"/>
    <s v="EUR"/>
    <m/>
    <m/>
    <x v="21"/>
    <n v="0"/>
    <x v="1"/>
    <x v="3"/>
    <n v="40"/>
    <n v="0.41"/>
    <n v="16.399999999999999"/>
    <n v="-1.6069117647058844"/>
    <n v="14.793088235294114"/>
    <x v="21"/>
    <n v="0"/>
    <m/>
    <n v="442267"/>
    <n v="3.8477922077922071"/>
    <m/>
    <n v="0.8"/>
    <m/>
    <n v="4.6477922077922074"/>
    <n v="10.145296027501907"/>
    <m/>
    <n v="40"/>
  </r>
  <r>
    <n v="21"/>
    <n v="2024"/>
    <s v="Auction"/>
    <s v="VROLIJK BLOEMEN"/>
    <s v="VROLIJK BLOEMEN"/>
    <x v="77"/>
    <s v="Floribunda Roses"/>
    <s v="50CM"/>
    <n v="1"/>
    <n v="2.1818181818181817"/>
    <n v="80"/>
    <n v="0.38"/>
    <n v="30.4"/>
    <s v="EUR"/>
    <m/>
    <m/>
    <x v="21"/>
    <n v="80"/>
    <x v="2"/>
    <x v="5"/>
    <m/>
    <m/>
    <n v="0"/>
    <n v="0"/>
    <n v="0"/>
    <x v="21"/>
    <n v="-80"/>
    <m/>
    <n v="442267"/>
    <n v="7.6955844155844142"/>
    <m/>
    <n v="0"/>
    <m/>
    <n v="7.6955844155844142"/>
    <n v="-7.6955844155844142"/>
    <m/>
    <n v="0"/>
  </r>
  <r>
    <n v="21"/>
    <n v="2024"/>
    <s v="Auction"/>
    <s v="VROLIJK BLOEMEN"/>
    <s v="VROLIJK BLOEMEN"/>
    <x v="77"/>
    <s v="Floribunda Roses"/>
    <s v="60CM"/>
    <m/>
    <n v="5.4545454545454541"/>
    <n v="200"/>
    <n v="0.47"/>
    <n v="94"/>
    <s v="EUR"/>
    <m/>
    <m/>
    <x v="21"/>
    <n v="200"/>
    <x v="2"/>
    <x v="0"/>
    <m/>
    <m/>
    <n v="0"/>
    <n v="0"/>
    <n v="0"/>
    <x v="21"/>
    <n v="-200"/>
    <m/>
    <n v="442267"/>
    <n v="19.238961038961037"/>
    <m/>
    <n v="0"/>
    <m/>
    <n v="19.238961038961037"/>
    <n v="-19.238961038961037"/>
    <m/>
    <n v="0"/>
  </r>
  <r>
    <n v="21"/>
    <n v="2024"/>
    <s v="Auction"/>
    <s v="VROLIJK BLOEMEN"/>
    <s v="VROLIJK BLOEMEN"/>
    <x v="77"/>
    <s v="Floribunda Roses"/>
    <s v="70CM"/>
    <m/>
    <n v="2.1818181818181817"/>
    <n v="80"/>
    <n v="0.52"/>
    <n v="41.6"/>
    <s v="EUR"/>
    <m/>
    <m/>
    <x v="21"/>
    <n v="0"/>
    <x v="2"/>
    <x v="1"/>
    <n v="80"/>
    <n v="0.94000000000000006"/>
    <n v="75.2"/>
    <n v="-3.2138235294117687"/>
    <n v="71.986176470588234"/>
    <x v="21"/>
    <n v="0"/>
    <m/>
    <n v="442267"/>
    <n v="7.6955844155844142"/>
    <m/>
    <n v="1.6"/>
    <m/>
    <n v="9.2955844155844147"/>
    <n v="62.690592055003819"/>
    <m/>
    <n v="80"/>
  </r>
  <r>
    <n v="21"/>
    <n v="2024"/>
    <s v="Auction"/>
    <s v="VROLIJK BLOEMEN"/>
    <s v="VROLIJK BLOEMEN"/>
    <x v="77"/>
    <s v="Floribunda Roses"/>
    <s v="80CM"/>
    <m/>
    <n v="2.1818181818181817"/>
    <n v="80"/>
    <n v="0.56999999999999995"/>
    <n v="45.6"/>
    <s v="EUR"/>
    <m/>
    <m/>
    <x v="21"/>
    <n v="80"/>
    <x v="2"/>
    <x v="2"/>
    <m/>
    <m/>
    <n v="0"/>
    <n v="0"/>
    <n v="0"/>
    <x v="21"/>
    <n v="-80"/>
    <m/>
    <n v="442267"/>
    <n v="7.6955844155844142"/>
    <m/>
    <n v="0"/>
    <m/>
    <n v="7.6955844155844142"/>
    <n v="-7.6955844155844142"/>
    <m/>
    <n v="0"/>
  </r>
  <r>
    <n v="21"/>
    <n v="2024"/>
    <s v="Auction"/>
    <s v="VROLIJK BLOEMEN"/>
    <s v="VROLIJK BLOEMEN"/>
    <x v="77"/>
    <s v="Polyantha Roses"/>
    <s v="50CM"/>
    <n v="1"/>
    <n v="10.909090909090908"/>
    <n v="400"/>
    <n v="0.42"/>
    <n v="168"/>
    <s v="EUR"/>
    <m/>
    <m/>
    <x v="21"/>
    <n v="0"/>
    <x v="3"/>
    <x v="5"/>
    <n v="400"/>
    <n v="0.39600000000000002"/>
    <n v="158.4"/>
    <n v="-16.069117647058846"/>
    <n v="142.33088235294116"/>
    <x v="21"/>
    <n v="0"/>
    <m/>
    <n v="442267"/>
    <n v="38.477922077922074"/>
    <m/>
    <n v="8"/>
    <m/>
    <n v="46.477922077922074"/>
    <n v="95.852960275019086"/>
    <m/>
    <n v="400"/>
  </r>
  <r>
    <n v="21"/>
    <n v="2024"/>
    <s v="Auction"/>
    <s v="VROLIJK BLOEMEN"/>
    <s v="VROLIJK BLOEMEN"/>
    <x v="77"/>
    <s v="Polyantha Roses"/>
    <s v="60CM"/>
    <m/>
    <n v="1.0909090909090908"/>
    <n v="40"/>
    <n v="0.52"/>
    <n v="20.8"/>
    <s v="EUR"/>
    <m/>
    <m/>
    <x v="21"/>
    <n v="40"/>
    <x v="3"/>
    <x v="0"/>
    <m/>
    <m/>
    <n v="0"/>
    <n v="0"/>
    <n v="0"/>
    <x v="21"/>
    <n v="-40"/>
    <m/>
    <n v="442267"/>
    <n v="3.8477922077922071"/>
    <m/>
    <n v="0"/>
    <m/>
    <n v="3.8477922077922071"/>
    <n v="-3.8477922077922071"/>
    <m/>
    <n v="0"/>
  </r>
  <r>
    <n v="21"/>
    <n v="2024"/>
    <s v="Auction"/>
    <s v="VROLIJK BLOEMEN"/>
    <s v="VROLIJK BLOEMEN"/>
    <x v="77"/>
    <s v="Grandiflora Roses"/>
    <s v="100CM"/>
    <n v="1"/>
    <n v="2"/>
    <n v="120"/>
    <n v="0.47"/>
    <n v="56.4"/>
    <s v="EUR"/>
    <m/>
    <m/>
    <x v="21"/>
    <n v="0"/>
    <x v="0"/>
    <x v="4"/>
    <n v="120"/>
    <n v="0.46666666666666667"/>
    <n v="56"/>
    <n v="-4.8207352941176529"/>
    <n v="51.179264705882346"/>
    <x v="21"/>
    <n v="0"/>
    <m/>
    <n v="442267"/>
    <n v="7.0542857142857134"/>
    <m/>
    <n v="2.4"/>
    <m/>
    <n v="9.4542857142857137"/>
    <n v="41.724978991596629"/>
    <m/>
    <n v="120"/>
  </r>
  <r>
    <n v="21"/>
    <n v="2024"/>
    <s v="Auction"/>
    <s v="VROLIJK BLOEMEN"/>
    <s v="VROLIJK BLOEMEN"/>
    <x v="77"/>
    <s v="Grandiflora Roses"/>
    <s v="60CM"/>
    <m/>
    <n v="10"/>
    <n v="600"/>
    <n v="0.24"/>
    <n v="144"/>
    <s v="EUR"/>
    <m/>
    <m/>
    <x v="21"/>
    <n v="600"/>
    <x v="0"/>
    <x v="0"/>
    <m/>
    <m/>
    <n v="0"/>
    <n v="0"/>
    <n v="0"/>
    <x v="21"/>
    <n v="-600"/>
    <m/>
    <n v="442267"/>
    <n v="35.271428571428565"/>
    <m/>
    <n v="0"/>
    <m/>
    <n v="35.271428571428565"/>
    <n v="-35.271428571428565"/>
    <m/>
    <n v="0"/>
  </r>
  <r>
    <n v="21"/>
    <n v="2024"/>
    <s v="Auction"/>
    <s v="VROLIJK BLOEMEN"/>
    <s v="VROLIJK BLOEMEN"/>
    <x v="77"/>
    <s v="Grandiflora Roses"/>
    <s v="70CM"/>
    <n v="1"/>
    <n v="2.1818181818181817"/>
    <n v="80"/>
    <n v="0.28000000000000003"/>
    <n v="22.4"/>
    <s v="EUR"/>
    <m/>
    <m/>
    <x v="21"/>
    <n v="80"/>
    <x v="0"/>
    <x v="1"/>
    <m/>
    <m/>
    <n v="0"/>
    <n v="0"/>
    <n v="0"/>
    <x v="21"/>
    <n v="-80"/>
    <m/>
    <n v="442267"/>
    <n v="7.6955844155844142"/>
    <m/>
    <n v="0"/>
    <m/>
    <n v="7.6955844155844142"/>
    <n v="-7.6955844155844142"/>
    <m/>
    <n v="0"/>
  </r>
  <r>
    <n v="21"/>
    <n v="2024"/>
    <s v="Auction"/>
    <s v="VROLIJK BLOEMEN"/>
    <s v="VROLIJK BLOEMEN"/>
    <x v="77"/>
    <s v="Grandiflora Roses"/>
    <s v="90CM"/>
    <m/>
    <n v="9.8181818181818183"/>
    <n v="360"/>
    <n v="0.38"/>
    <n v="136.80000000000001"/>
    <s v="EUR"/>
    <m/>
    <m/>
    <x v="21"/>
    <n v="0"/>
    <x v="0"/>
    <x v="3"/>
    <n v="360"/>
    <n v="0.32"/>
    <n v="115.2"/>
    <n v="-14.46220588235296"/>
    <n v="100.73779411764704"/>
    <x v="21"/>
    <n v="0"/>
    <m/>
    <n v="442267"/>
    <n v="34.630129870129863"/>
    <m/>
    <n v="7.2"/>
    <m/>
    <n v="41.830129870129866"/>
    <n v="58.907664247517175"/>
    <m/>
    <n v="360"/>
  </r>
  <r>
    <n v="21"/>
    <n v="2024"/>
    <s v="Auction"/>
    <s v="VROLIJK BLOEMEN"/>
    <s v="VROLIJK BLOEMEN"/>
    <x v="77"/>
    <s v="Floribunda Roses"/>
    <s v="100CM"/>
    <m/>
    <m/>
    <m/>
    <m/>
    <m/>
    <s v="EUR"/>
    <m/>
    <m/>
    <x v="21"/>
    <n v="-80"/>
    <x v="2"/>
    <x v="4"/>
    <n v="80"/>
    <n v="1.0349999999999999"/>
    <n v="82.8"/>
    <n v="-3.2138235294117687"/>
    <n v="79.586176470588228"/>
    <x v="21"/>
    <n v="80"/>
    <m/>
    <n v="442267"/>
    <n v="0"/>
    <m/>
    <n v="1.6"/>
    <m/>
    <n v="1.6"/>
    <n v="77.986176470588234"/>
    <m/>
    <n v="80"/>
  </r>
  <r>
    <n v="22"/>
    <n v="2024"/>
    <s v="Auction"/>
    <s v="VROLIJK BLOEMEN"/>
    <s v="VROLIJK BLOEMEN"/>
    <x v="78"/>
    <s v="Floribunda Roses"/>
    <s v="50CM"/>
    <n v="1"/>
    <n v="12"/>
    <n v="760"/>
    <n v="0.38"/>
    <n v="288.8"/>
    <s v="EUR"/>
    <m/>
    <m/>
    <x v="21"/>
    <n v="-200"/>
    <x v="2"/>
    <x v="5"/>
    <n v="960"/>
    <n v="0.56833333333333336"/>
    <n v="545.6"/>
    <n v="-47.547499999999985"/>
    <n v="498.05250000000001"/>
    <x v="21"/>
    <n v="200"/>
    <m/>
    <n v="442281"/>
    <n v="43.402500000000003"/>
    <m/>
    <n v="19.2"/>
    <m/>
    <n v="62.602500000000006"/>
    <n v="435.45"/>
    <m/>
    <n v="960"/>
  </r>
  <r>
    <n v="22"/>
    <n v="2024"/>
    <s v="Auction"/>
    <s v="VROLIJK BLOEMEN"/>
    <s v="VROLIJK BLOEMEN"/>
    <x v="78"/>
    <s v="English Roses"/>
    <s v="50CM"/>
    <n v="1"/>
    <n v="12"/>
    <n v="520"/>
    <n v="0.38"/>
    <n v="197.6"/>
    <s v="EUR"/>
    <m/>
    <m/>
    <x v="21"/>
    <n v="520"/>
    <x v="1"/>
    <x v="5"/>
    <m/>
    <m/>
    <n v="0"/>
    <n v="0"/>
    <n v="0"/>
    <x v="21"/>
    <n v="-520"/>
    <m/>
    <n v="442281"/>
    <n v="43.402500000000003"/>
    <m/>
    <n v="0"/>
    <m/>
    <n v="43.402500000000003"/>
    <n v="-43.402500000000003"/>
    <m/>
    <n v="0"/>
  </r>
  <r>
    <n v="22"/>
    <n v="2024"/>
    <s v="Auction"/>
    <s v="VROLIJK BLOEMEN"/>
    <s v="VROLIJK BLOEMEN"/>
    <x v="78"/>
    <s v="Grandiflora Roses"/>
    <s v="70CM"/>
    <n v="1"/>
    <n v="12"/>
    <n v="520"/>
    <n v="0.28000000000000003"/>
    <n v="145.6"/>
    <s v="EUR"/>
    <m/>
    <m/>
    <x v="21"/>
    <n v="-280"/>
    <x v="0"/>
    <x v="1"/>
    <n v="800"/>
    <n v="0.23899999999999999"/>
    <n v="191.2"/>
    <n v="-39.622916666666654"/>
    <n v="151.57708333333335"/>
    <x v="21"/>
    <n v="280"/>
    <m/>
    <n v="442281"/>
    <n v="43.402500000000003"/>
    <m/>
    <n v="16"/>
    <m/>
    <n v="59.402500000000003"/>
    <n v="92.174583333333345"/>
    <m/>
    <n v="800"/>
  </r>
  <r>
    <n v="22"/>
    <n v="2024"/>
    <s v="Auction"/>
    <s v="VROLIJK BLOEMEN"/>
    <s v="VROLIJK BLOEMEN"/>
    <x v="78"/>
    <s v="Grandiflora Roses"/>
    <s v="90CM"/>
    <n v="1"/>
    <n v="12"/>
    <n v="280"/>
    <n v="0.38"/>
    <n v="106.4"/>
    <s v="EUR"/>
    <m/>
    <m/>
    <x v="21"/>
    <n v="0"/>
    <x v="0"/>
    <x v="3"/>
    <n v="280"/>
    <n v="0.43857142857142856"/>
    <n v="122.8"/>
    <n v="-13.868020833333329"/>
    <n v="108.93197916666666"/>
    <x v="21"/>
    <n v="0"/>
    <m/>
    <n v="442281"/>
    <n v="43.402500000000003"/>
    <m/>
    <n v="5.6000000000000005"/>
    <m/>
    <n v="49.002500000000005"/>
    <n v="59.92947916666666"/>
    <m/>
    <n v="280"/>
  </r>
  <r>
    <n v="22"/>
    <n v="2024"/>
    <s v="Auction"/>
    <s v="VROLIJK BLOEMEN"/>
    <s v="VROLIJK BLOEMEN"/>
    <x v="78"/>
    <s v="English Roses"/>
    <s v="50CM"/>
    <n v="1"/>
    <n v="6"/>
    <n v="160"/>
    <n v="0.38"/>
    <n v="60.8"/>
    <s v="EUR"/>
    <m/>
    <m/>
    <x v="21"/>
    <n v="-520"/>
    <x v="1"/>
    <x v="5"/>
    <n v="680"/>
    <n v="0.59411764705882353"/>
    <n v="404"/>
    <n v="-33.679479166666653"/>
    <n v="370.32052083333338"/>
    <x v="21"/>
    <n v="520"/>
    <m/>
    <n v="442281"/>
    <n v="21.701250000000002"/>
    <m/>
    <n v="13.6"/>
    <m/>
    <n v="35.301250000000003"/>
    <n v="335.01927083333339"/>
    <m/>
    <n v="680"/>
  </r>
  <r>
    <n v="22"/>
    <n v="2024"/>
    <s v="Auction"/>
    <s v="VROLIJK BLOEMEN"/>
    <s v="VROLIJK BLOEMEN"/>
    <x v="78"/>
    <s v="English Roses"/>
    <s v="70CM"/>
    <m/>
    <n v="3"/>
    <n v="80"/>
    <n v="0.52"/>
    <n v="41.6"/>
    <s v="EUR"/>
    <m/>
    <m/>
    <x v="21"/>
    <n v="0"/>
    <x v="1"/>
    <x v="1"/>
    <n v="80"/>
    <n v="0.32"/>
    <n v="25.6"/>
    <n v="-3.9622916666666654"/>
    <n v="21.637708333333336"/>
    <x v="21"/>
    <n v="0"/>
    <m/>
    <n v="442281"/>
    <n v="10.850625000000001"/>
    <m/>
    <n v="1.6"/>
    <m/>
    <n v="12.450625"/>
    <n v="9.1870833333333355"/>
    <m/>
    <n v="80"/>
  </r>
  <r>
    <n v="22"/>
    <n v="2024"/>
    <s v="Auction"/>
    <s v="VROLIJK BLOEMEN"/>
    <s v="VROLIJK BLOEMEN"/>
    <x v="78"/>
    <s v="English Roses"/>
    <s v="80CM"/>
    <m/>
    <n v="3"/>
    <n v="80"/>
    <n v="0.56999999999999995"/>
    <n v="45.6"/>
    <s v="EUR"/>
    <m/>
    <m/>
    <x v="21"/>
    <n v="0"/>
    <x v="1"/>
    <x v="2"/>
    <n v="80"/>
    <n v="0.27999999999999997"/>
    <n v="22.4"/>
    <n v="-3.9622916666666654"/>
    <n v="18.437708333333333"/>
    <x v="21"/>
    <n v="0"/>
    <m/>
    <n v="442281"/>
    <n v="10.850625000000001"/>
    <m/>
    <n v="1.6"/>
    <m/>
    <n v="12.450625"/>
    <n v="5.9870833333333326"/>
    <m/>
    <n v="80"/>
  </r>
  <r>
    <n v="22"/>
    <n v="2024"/>
    <s v="Auction"/>
    <s v="VROLIJK BLOEMEN"/>
    <s v="VROLIJK BLOEMEN"/>
    <x v="78"/>
    <s v="Polyantha Roses"/>
    <s v="50CM"/>
    <n v="1"/>
    <n v="6"/>
    <n v="280"/>
    <n v="0.42"/>
    <n v="117.6"/>
    <s v="EUR"/>
    <m/>
    <m/>
    <x v="21"/>
    <n v="0"/>
    <x v="3"/>
    <x v="5"/>
    <n v="280"/>
    <n v="0.17857142857142858"/>
    <n v="50"/>
    <n v="-13.868020833333329"/>
    <n v="36.131979166666667"/>
    <x v="21"/>
    <n v="0"/>
    <m/>
    <n v="442281"/>
    <n v="21.701250000000002"/>
    <m/>
    <n v="5.6000000000000005"/>
    <m/>
    <n v="27.301250000000003"/>
    <n v="8.8307291666666643"/>
    <m/>
    <n v="280"/>
  </r>
  <r>
    <n v="22"/>
    <n v="2024"/>
    <s v="Auction"/>
    <s v="VROLIJK BLOEMEN"/>
    <s v="VROLIJK BLOEMEN"/>
    <x v="78"/>
    <s v="Polyantha Roses"/>
    <s v="60CM"/>
    <m/>
    <n v="4.2857142857142856"/>
    <n v="200"/>
    <n v="0.52"/>
    <n v="104"/>
    <s v="EUR"/>
    <m/>
    <m/>
    <x v="21"/>
    <n v="0"/>
    <x v="3"/>
    <x v="0"/>
    <n v="200"/>
    <n v="0.39799999999999996"/>
    <n v="79.599999999999994"/>
    <n v="-9.9057291666666636"/>
    <n v="69.694270833333334"/>
    <x v="21"/>
    <n v="0"/>
    <m/>
    <n v="442281"/>
    <n v="15.500892857142858"/>
    <m/>
    <n v="4"/>
    <m/>
    <n v="19.500892857142858"/>
    <n v="50.193377976190476"/>
    <m/>
    <n v="200"/>
  </r>
  <r>
    <n v="22"/>
    <n v="2024"/>
    <s v="Auction"/>
    <s v="VROLIJK BLOEMEN"/>
    <s v="VROLIJK BLOEMEN"/>
    <x v="78"/>
    <s v="Polyantha Roses"/>
    <s v="70CM"/>
    <m/>
    <n v="1.7142857142857142"/>
    <n v="80"/>
    <n v="0.61"/>
    <n v="48.8"/>
    <s v="EUR"/>
    <m/>
    <m/>
    <x v="21"/>
    <n v="0"/>
    <x v="3"/>
    <x v="1"/>
    <n v="80"/>
    <n v="0.6"/>
    <n v="48"/>
    <n v="-3.9622916666666654"/>
    <n v="44.037708333333335"/>
    <x v="21"/>
    <n v="0"/>
    <m/>
    <n v="442281"/>
    <n v="6.2003571428571433"/>
    <m/>
    <n v="1.6"/>
    <m/>
    <n v="7.800357142857143"/>
    <n v="36.23735119047619"/>
    <m/>
    <n v="80"/>
  </r>
  <r>
    <n v="22"/>
    <n v="2024"/>
    <s v="Auction"/>
    <s v="VROLIJK BLOEMEN"/>
    <s v="VROLIJK BLOEMEN"/>
    <x v="78"/>
    <s v="Floribunda Roses"/>
    <s v="50CM"/>
    <n v="1"/>
    <n v="6"/>
    <n v="200"/>
    <n v="0.38"/>
    <n v="76"/>
    <s v="EUR"/>
    <m/>
    <m/>
    <x v="21"/>
    <n v="-280"/>
    <x v="2"/>
    <x v="5"/>
    <n v="480"/>
    <n v="7.0000000000000007E-2"/>
    <n v="33.6"/>
    <n v="-23.773749999999993"/>
    <n v="9.8262500000000088"/>
    <x v="21"/>
    <n v="280"/>
    <m/>
    <n v="442281"/>
    <n v="21.701250000000002"/>
    <m/>
    <n v="9.6"/>
    <m/>
    <n v="31.301250000000003"/>
    <n v="-21.474999999999994"/>
    <m/>
    <n v="480"/>
  </r>
  <r>
    <n v="22"/>
    <n v="2024"/>
    <s v="Auction"/>
    <s v="VROLIJK BLOEMEN"/>
    <s v="VROLIJK BLOEMEN"/>
    <x v="78"/>
    <s v="Floribunda Roses"/>
    <s v="90CM"/>
    <m/>
    <n v="2.4000000000000004"/>
    <n v="80"/>
    <n v="0.75"/>
    <n v="60"/>
    <s v="EUR"/>
    <m/>
    <m/>
    <x v="21"/>
    <n v="0"/>
    <x v="2"/>
    <x v="3"/>
    <n v="80"/>
    <n v="1.3199999999999998"/>
    <n v="105.6"/>
    <n v="-3.9622916666666654"/>
    <n v="101.63770833333334"/>
    <x v="21"/>
    <n v="0"/>
    <m/>
    <n v="442281"/>
    <n v="8.6805000000000021"/>
    <m/>
    <n v="1.6"/>
    <m/>
    <n v="10.280500000000002"/>
    <n v="91.357208333333332"/>
    <m/>
    <n v="80"/>
  </r>
  <r>
    <n v="22"/>
    <n v="2024"/>
    <s v="Auction"/>
    <s v="VROLIJK BLOEMEN"/>
    <s v="VROLIJK BLOEMEN"/>
    <x v="78"/>
    <s v="Floribunda Roses"/>
    <s v="70CM"/>
    <m/>
    <n v="2.4000000000000004"/>
    <n v="80"/>
    <n v="0.52"/>
    <n v="41.6"/>
    <s v="EUR"/>
    <m/>
    <m/>
    <x v="21"/>
    <n v="0"/>
    <x v="2"/>
    <x v="1"/>
    <n v="80"/>
    <n v="0.6"/>
    <n v="48"/>
    <n v="-3.9622916666666654"/>
    <n v="44.037708333333335"/>
    <x v="21"/>
    <n v="0"/>
    <m/>
    <n v="442281"/>
    <n v="8.6805000000000021"/>
    <m/>
    <n v="1.6"/>
    <m/>
    <n v="10.280500000000002"/>
    <n v="33.757208333333331"/>
    <m/>
    <n v="80"/>
  </r>
  <r>
    <n v="22"/>
    <n v="2024"/>
    <s v="Auction"/>
    <s v="VROLIJK BLOEMEN"/>
    <s v="VROLIJK BLOEMEN"/>
    <x v="78"/>
    <s v="Floribunda Roses"/>
    <s v="80CM"/>
    <m/>
    <n v="1.2000000000000002"/>
    <n v="40"/>
    <n v="0.56999999999999995"/>
    <n v="22.8"/>
    <s v="EUR"/>
    <m/>
    <m/>
    <x v="21"/>
    <n v="0"/>
    <x v="2"/>
    <x v="2"/>
    <n v="40"/>
    <n v="0.8"/>
    <n v="32"/>
    <n v="-1.9811458333333327"/>
    <n v="30.018854166666667"/>
    <x v="21"/>
    <n v="0"/>
    <m/>
    <n v="442281"/>
    <n v="4.3402500000000011"/>
    <m/>
    <n v="0.8"/>
    <m/>
    <n v="5.1402500000000009"/>
    <n v="24.878604166666666"/>
    <m/>
    <n v="40"/>
  </r>
  <r>
    <n v="22"/>
    <n v="2024"/>
    <s v="Auction"/>
    <s v="VROLIJK BLOEMEN"/>
    <s v="VROLIJK BLOEMEN"/>
    <x v="78"/>
    <s v="Grandiflora Roses"/>
    <s v="70CM"/>
    <n v="1"/>
    <n v="7"/>
    <n v="280"/>
    <n v="0.28000000000000003"/>
    <n v="78.400000000000006"/>
    <s v="EUR"/>
    <m/>
    <m/>
    <x v="21"/>
    <n v="280"/>
    <x v="0"/>
    <x v="1"/>
    <m/>
    <m/>
    <n v="0"/>
    <n v="0"/>
    <n v="0"/>
    <x v="21"/>
    <n v="-280"/>
    <m/>
    <n v="442281"/>
    <n v="25.318125000000002"/>
    <m/>
    <n v="0"/>
    <m/>
    <n v="25.318125000000002"/>
    <n v="-25.318125000000002"/>
    <m/>
    <n v="0"/>
  </r>
  <r>
    <n v="22"/>
    <n v="2024"/>
    <s v="Auction"/>
    <s v="VROLIJK BLOEMEN"/>
    <s v="VROLIJK BLOEMEN"/>
    <x v="78"/>
    <s v="Grandiflora Roses"/>
    <s v="80CM"/>
    <m/>
    <n v="2"/>
    <n v="80"/>
    <n v="0.33"/>
    <n v="26.4"/>
    <s v="EUR"/>
    <m/>
    <m/>
    <x v="21"/>
    <n v="0"/>
    <x v="0"/>
    <x v="2"/>
    <n v="80"/>
    <n v="0.36"/>
    <n v="28.799999999999997"/>
    <n v="-3.9622916666666654"/>
    <n v="24.837708333333332"/>
    <x v="21"/>
    <n v="0"/>
    <m/>
    <n v="442281"/>
    <n v="7.2337500000000006"/>
    <m/>
    <n v="1.6"/>
    <m/>
    <n v="8.8337500000000002"/>
    <n v="16.00395833333333"/>
    <m/>
    <n v="80"/>
  </r>
  <r>
    <n v="22"/>
    <n v="2024"/>
    <s v="Auction"/>
    <s v="VROLIJK BLOEMEN"/>
    <s v="VROLIJK BLOEMEN"/>
    <x v="78"/>
    <s v="Grandiflora Roses"/>
    <s v="100CM"/>
    <m/>
    <n v="3"/>
    <n v="120"/>
    <n v="0.47"/>
    <n v="56.4"/>
    <s v="EUR"/>
    <m/>
    <m/>
    <x v="21"/>
    <n v="0"/>
    <x v="0"/>
    <x v="4"/>
    <n v="120"/>
    <n v="0.58333333333333337"/>
    <n v="70"/>
    <n v="-5.9434374999999982"/>
    <n v="64.056562499999998"/>
    <x v="21"/>
    <n v="0"/>
    <m/>
    <n v="442281"/>
    <n v="10.850625000000001"/>
    <m/>
    <n v="2.4"/>
    <m/>
    <n v="13.250625000000001"/>
    <n v="50.805937499999999"/>
    <m/>
    <n v="120"/>
  </r>
  <r>
    <n v="22"/>
    <n v="2024"/>
    <s v="Auction"/>
    <s v="VROLIJK BLOEMEN"/>
    <s v="VROLIJK BLOEMEN"/>
    <x v="78"/>
    <s v="Floribunda Roses"/>
    <s v="60CM"/>
    <m/>
    <m/>
    <m/>
    <m/>
    <m/>
    <s v="EUR"/>
    <m/>
    <m/>
    <x v="21"/>
    <n v="-360"/>
    <x v="2"/>
    <x v="0"/>
    <n v="360"/>
    <n v="0.08"/>
    <n v="28.8"/>
    <n v="-17.830312499999994"/>
    <n v="10.969687500000006"/>
    <x v="21"/>
    <n v="360"/>
    <m/>
    <n v="442281"/>
    <n v="0"/>
    <m/>
    <n v="7.2"/>
    <m/>
    <n v="7.2"/>
    <n v="3.7696875000000061"/>
    <m/>
    <n v="360"/>
  </r>
  <r>
    <n v="22"/>
    <n v="2024"/>
    <s v="Auction"/>
    <s v="VROLIJK BLOEMEN"/>
    <s v="VROLIJK BLOEMEN"/>
    <x v="78"/>
    <s v="Floribunda Roses"/>
    <s v="50CM"/>
    <m/>
    <m/>
    <m/>
    <m/>
    <m/>
    <s v="EUR"/>
    <m/>
    <m/>
    <x v="21"/>
    <n v="-240"/>
    <x v="2"/>
    <x v="5"/>
    <n v="240"/>
    <n v="6.0000000000000005E-2"/>
    <n v="14.4"/>
    <n v="-11.886874999999996"/>
    <n v="2.5131250000000041"/>
    <x v="21"/>
    <n v="240"/>
    <m/>
    <n v="442281"/>
    <n v="0"/>
    <m/>
    <n v="4.8"/>
    <m/>
    <n v="4.8"/>
    <n v="-2.2868749999999958"/>
    <m/>
    <n v="240"/>
  </r>
  <r>
    <n v="22"/>
    <n v="2024"/>
    <s v="Auction"/>
    <s v="VROLIJK BLOEMEN"/>
    <s v="VROLIJK BLOEMEN"/>
    <x v="78"/>
    <s v="Floribunda Roses"/>
    <s v="60CM"/>
    <m/>
    <m/>
    <m/>
    <m/>
    <m/>
    <s v="EUR"/>
    <m/>
    <m/>
    <x v="21"/>
    <n v="360"/>
    <x v="2"/>
    <x v="0"/>
    <n v="-360"/>
    <n v="0.8"/>
    <n v="-288"/>
    <n v="17.830312499999994"/>
    <n v="-270.16968750000001"/>
    <x v="21"/>
    <n v="-360"/>
    <m/>
    <n v="442281"/>
    <n v="0"/>
    <m/>
    <n v="-7.2"/>
    <m/>
    <n v="-7.2"/>
    <n v="-262.96968750000002"/>
    <m/>
    <n v="-360"/>
  </r>
  <r>
    <n v="22"/>
    <n v="2024"/>
    <s v="Auction"/>
    <s v="VROLIJK BLOEMEN"/>
    <s v="VROLIJK BLOEMEN"/>
    <x v="78"/>
    <s v="Floribunda Roses"/>
    <s v="50CM"/>
    <m/>
    <m/>
    <m/>
    <m/>
    <m/>
    <s v="EUR"/>
    <m/>
    <m/>
    <x v="21"/>
    <n v="480"/>
    <x v="2"/>
    <x v="5"/>
    <n v="-480"/>
    <n v="0.61"/>
    <n v="-292.8"/>
    <n v="23.773749999999993"/>
    <n v="-269.02625"/>
    <x v="21"/>
    <n v="-480"/>
    <m/>
    <n v="442281"/>
    <n v="0"/>
    <m/>
    <n v="-9.6"/>
    <m/>
    <n v="-9.6"/>
    <n v="-259.42624999999998"/>
    <m/>
    <n v="-480"/>
  </r>
  <r>
    <n v="22"/>
    <n v="2024"/>
    <s v="Auction"/>
    <s v="VROLIJK BLOEMEN"/>
    <s v="VROLIJK BLOEMEN"/>
    <x v="78"/>
    <s v="Floribunda Roses"/>
    <s v="50CM"/>
    <m/>
    <m/>
    <m/>
    <m/>
    <m/>
    <s v="EUR"/>
    <m/>
    <m/>
    <x v="21"/>
    <n v="240"/>
    <x v="2"/>
    <x v="5"/>
    <n v="-240"/>
    <n v="0.55000000000000004"/>
    <n v="-132"/>
    <n v="11.886874999999996"/>
    <n v="-120.113125"/>
    <x v="21"/>
    <n v="-240"/>
    <m/>
    <n v="442281"/>
    <n v="0"/>
    <m/>
    <n v="-4.8"/>
    <m/>
    <n v="-4.8"/>
    <n v="-115.313125"/>
    <m/>
    <n v="-240"/>
  </r>
  <r>
    <n v="22"/>
    <n v="2024"/>
    <s v="Auction"/>
    <s v="VROLIJK BLOEMEN"/>
    <s v="VROLIJK BLOEMEN"/>
    <x v="79"/>
    <s v="English Roses"/>
    <s v="50CM"/>
    <n v="1"/>
    <n v="12"/>
    <n v="520"/>
    <n v="0.38"/>
    <n v="197.6"/>
    <s v="EUR"/>
    <m/>
    <m/>
    <x v="21"/>
    <n v="520"/>
    <x v="1"/>
    <x v="5"/>
    <m/>
    <m/>
    <n v="0"/>
    <n v="0"/>
    <n v="0"/>
    <x v="21"/>
    <n v="-520"/>
    <m/>
    <s v="F087136"/>
    <n v="45.644999999999996"/>
    <m/>
    <n v="0"/>
    <m/>
    <n v="45.644999999999996"/>
    <n v="-45.644999999999996"/>
    <m/>
    <n v="0"/>
  </r>
  <r>
    <n v="22"/>
    <n v="2024"/>
    <s v="Auction"/>
    <s v="VROLIJK BLOEMEN"/>
    <s v="VROLIJK BLOEMEN"/>
    <x v="79"/>
    <s v="English Roses"/>
    <s v="80CM"/>
    <n v="1"/>
    <n v="12"/>
    <n v="280"/>
    <n v="0.56999999999999995"/>
    <n v="159.6"/>
    <s v="EUR"/>
    <m/>
    <m/>
    <x v="21"/>
    <n v="120"/>
    <x v="1"/>
    <x v="2"/>
    <n v="160"/>
    <n v="0.77750000000000008"/>
    <n v="124.4"/>
    <n v="-8.1921212121212168"/>
    <n v="116.20787878787878"/>
    <x v="21"/>
    <n v="-120"/>
    <m/>
    <s v="F087136"/>
    <n v="45.644999999999996"/>
    <m/>
    <n v="3.2"/>
    <m/>
    <n v="48.844999999999999"/>
    <n v="67.362878787878785"/>
    <m/>
    <n v="160"/>
  </r>
  <r>
    <n v="22"/>
    <n v="2024"/>
    <s v="Auction"/>
    <s v="VROLIJK BLOEMEN"/>
    <s v="VROLIJK BLOEMEN"/>
    <x v="79"/>
    <s v="Grandiflora Roses"/>
    <s v="70CM"/>
    <n v="1"/>
    <n v="12"/>
    <n v="520"/>
    <n v="0.28000000000000003"/>
    <n v="145.6"/>
    <s v="EUR"/>
    <m/>
    <m/>
    <x v="21"/>
    <n v="0"/>
    <x v="0"/>
    <x v="1"/>
    <n v="520"/>
    <n v="0.32"/>
    <n v="166.4"/>
    <n v="-26.624393939393954"/>
    <n v="139.77560606060604"/>
    <x v="21"/>
    <n v="0"/>
    <m/>
    <s v="F087136"/>
    <n v="45.644999999999996"/>
    <m/>
    <n v="10.4"/>
    <m/>
    <n v="56.044999999999995"/>
    <n v="83.73060606060605"/>
    <m/>
    <n v="520"/>
  </r>
  <r>
    <n v="22"/>
    <n v="2024"/>
    <s v="Auction"/>
    <s v="VROLIJK BLOEMEN"/>
    <s v="VROLIJK BLOEMEN"/>
    <x v="79"/>
    <s v="Floribunda Roses"/>
    <s v="50CM"/>
    <n v="1"/>
    <n v="12"/>
    <n v="760"/>
    <n v="0.38"/>
    <n v="288.8"/>
    <s v="EUR"/>
    <m/>
    <m/>
    <x v="21"/>
    <n v="40"/>
    <x v="2"/>
    <x v="5"/>
    <n v="720"/>
    <n v="0.57055555555555559"/>
    <n v="410.8"/>
    <n v="-36.864545454545471"/>
    <n v="373.93545454545455"/>
    <x v="21"/>
    <n v="-40"/>
    <m/>
    <s v="F087136"/>
    <n v="45.644999999999996"/>
    <m/>
    <n v="14.4"/>
    <m/>
    <n v="60.044999999999995"/>
    <n v="313.89045454545453"/>
    <m/>
    <n v="720"/>
  </r>
  <r>
    <n v="22"/>
    <n v="2024"/>
    <s v="Auction"/>
    <s v="VROLIJK BLOEMEN"/>
    <s v="VROLIJK BLOEMEN"/>
    <x v="79"/>
    <s v="Floribunda Roses"/>
    <s v="60CM"/>
    <n v="1"/>
    <n v="12"/>
    <n v="520"/>
    <n v="0.47"/>
    <n v="244.4"/>
    <s v="EUR"/>
    <m/>
    <m/>
    <x v="21"/>
    <n v="520"/>
    <x v="2"/>
    <x v="0"/>
    <m/>
    <m/>
    <n v="0"/>
    <n v="0"/>
    <n v="0"/>
    <x v="21"/>
    <n v="-520"/>
    <m/>
    <s v="F087136"/>
    <n v="45.644999999999996"/>
    <m/>
    <n v="0"/>
    <m/>
    <n v="45.644999999999996"/>
    <n v="-45.644999999999996"/>
    <m/>
    <n v="0"/>
  </r>
  <r>
    <n v="22"/>
    <n v="2024"/>
    <s v="Auction"/>
    <s v="VROLIJK BLOEMEN"/>
    <s v="VROLIJK BLOEMEN"/>
    <x v="79"/>
    <s v="Floribunda Roses"/>
    <s v="60CM"/>
    <n v="1"/>
    <n v="12"/>
    <n v="360"/>
    <n v="0.47"/>
    <n v="169.2"/>
    <s v="EUR"/>
    <m/>
    <m/>
    <x v="21"/>
    <n v="-480"/>
    <x v="2"/>
    <x v="0"/>
    <n v="840"/>
    <n v="0.57000000000000006"/>
    <n v="478.80000000000007"/>
    <n v="-43.008636363636384"/>
    <n v="435.79136363636371"/>
    <x v="21"/>
    <n v="480"/>
    <m/>
    <s v="F087136"/>
    <n v="45.644999999999996"/>
    <m/>
    <n v="16.8"/>
    <m/>
    <n v="62.444999999999993"/>
    <n v="373.34636363636372"/>
    <m/>
    <n v="840"/>
  </r>
  <r>
    <n v="22"/>
    <n v="2024"/>
    <s v="Auction"/>
    <s v="VROLIJK BLOEMEN"/>
    <s v="VROLIJK BLOEMEN"/>
    <x v="79"/>
    <s v="Floribunda Roses"/>
    <s v="70CM"/>
    <n v="1"/>
    <n v="12"/>
    <n v="400"/>
    <n v="0.52"/>
    <n v="208"/>
    <s v="EUR"/>
    <m/>
    <m/>
    <x v="21"/>
    <n v="-120"/>
    <x v="2"/>
    <x v="1"/>
    <n v="520"/>
    <n v="0.78538461538461535"/>
    <n v="408.4"/>
    <n v="-26.624393939393954"/>
    <n v="381.77560606060604"/>
    <x v="21"/>
    <n v="120"/>
    <m/>
    <s v="F087136"/>
    <n v="45.644999999999996"/>
    <m/>
    <n v="10.4"/>
    <m/>
    <n v="56.044999999999995"/>
    <n v="325.73060606060602"/>
    <m/>
    <n v="520"/>
  </r>
  <r>
    <n v="22"/>
    <n v="2024"/>
    <s v="Auction"/>
    <s v="VROLIJK BLOEMEN"/>
    <s v="VROLIJK BLOEMEN"/>
    <x v="79"/>
    <s v="Floribunda Roses"/>
    <s v="80CM"/>
    <n v="1"/>
    <n v="12"/>
    <n v="280"/>
    <n v="0.56999999999999995"/>
    <n v="159.6"/>
    <s v="EUR"/>
    <m/>
    <m/>
    <x v="21"/>
    <n v="0"/>
    <x v="2"/>
    <x v="2"/>
    <n v="280"/>
    <n v="0.90142857142857147"/>
    <n v="252.4"/>
    <n v="-14.336212121212128"/>
    <n v="238.06378787878788"/>
    <x v="21"/>
    <n v="0"/>
    <m/>
    <s v="F087136"/>
    <n v="45.644999999999996"/>
    <m/>
    <n v="5.6000000000000005"/>
    <m/>
    <n v="51.244999999999997"/>
    <n v="186.81878787878787"/>
    <m/>
    <n v="280"/>
  </r>
  <r>
    <n v="22"/>
    <n v="2024"/>
    <s v="Auction"/>
    <s v="VROLIJK BLOEMEN"/>
    <s v="VROLIJK BLOEMEN"/>
    <x v="79"/>
    <s v="Floribunda Roses"/>
    <s v="90CM"/>
    <n v="1"/>
    <n v="12"/>
    <n v="200"/>
    <n v="0.75"/>
    <n v="150"/>
    <s v="EUR"/>
    <m/>
    <m/>
    <x v="21"/>
    <n v="-160"/>
    <x v="2"/>
    <x v="3"/>
    <n v="360"/>
    <n v="1.01"/>
    <n v="363.6"/>
    <n v="-18.432272727272736"/>
    <n v="345.16772727272729"/>
    <x v="21"/>
    <n v="160"/>
    <m/>
    <s v="F087136"/>
    <n v="45.644999999999996"/>
    <m/>
    <n v="7.2"/>
    <m/>
    <n v="52.844999999999999"/>
    <n v="292.32272727272732"/>
    <m/>
    <n v="360"/>
  </r>
  <r>
    <n v="22"/>
    <n v="2024"/>
    <s v="Auction"/>
    <s v="VROLIJK BLOEMEN"/>
    <s v="VROLIJK BLOEMEN"/>
    <x v="79"/>
    <s v="English Roses"/>
    <s v="50CM"/>
    <n v="1"/>
    <n v="6.545454545454545"/>
    <n v="240"/>
    <n v="0.38"/>
    <n v="91.2"/>
    <s v="EUR"/>
    <m/>
    <m/>
    <x v="21"/>
    <n v="-520"/>
    <x v="1"/>
    <x v="5"/>
    <n v="760"/>
    <n v="0.37"/>
    <n v="281.2"/>
    <n v="-38.91257575757578"/>
    <n v="242.28742424242421"/>
    <x v="21"/>
    <n v="520"/>
    <m/>
    <s v="F087136"/>
    <n v="24.897272727272725"/>
    <m/>
    <n v="15.200000000000001"/>
    <m/>
    <n v="40.097272727272724"/>
    <n v="202.19015151515148"/>
    <m/>
    <n v="760"/>
  </r>
  <r>
    <n v="22"/>
    <n v="2024"/>
    <s v="Auction"/>
    <s v="VROLIJK BLOEMEN"/>
    <s v="VROLIJK BLOEMEN"/>
    <x v="79"/>
    <s v="English Roses"/>
    <s v="70CM"/>
    <m/>
    <n v="4.3636363636363633"/>
    <n v="160"/>
    <n v="0.52"/>
    <n v="83.2"/>
    <s v="EUR"/>
    <m/>
    <m/>
    <x v="21"/>
    <n v="-80"/>
    <x v="1"/>
    <x v="1"/>
    <n v="240"/>
    <n v="0.80833333333333335"/>
    <n v="194"/>
    <n v="-12.288181818181824"/>
    <n v="181.71181818181819"/>
    <x v="21"/>
    <n v="80"/>
    <m/>
    <s v="F087136"/>
    <n v="16.598181818181818"/>
    <m/>
    <n v="4.8"/>
    <m/>
    <n v="21.398181818181818"/>
    <n v="160.31363636363636"/>
    <m/>
    <n v="240"/>
  </r>
  <r>
    <n v="22"/>
    <n v="2024"/>
    <s v="Auction"/>
    <s v="VROLIJK BLOEMEN"/>
    <s v="VROLIJK BLOEMEN"/>
    <x v="79"/>
    <s v="English Roses"/>
    <s v="100CM"/>
    <m/>
    <n v="1.0909090909090908"/>
    <n v="40"/>
    <n v="0.94"/>
    <n v="37.6"/>
    <s v="EUR"/>
    <m/>
    <m/>
    <x v="21"/>
    <n v="40"/>
    <x v="1"/>
    <x v="4"/>
    <m/>
    <m/>
    <n v="0"/>
    <n v="0"/>
    <n v="0"/>
    <x v="21"/>
    <n v="-40"/>
    <m/>
    <s v="F087136"/>
    <n v="4.1495454545454544"/>
    <m/>
    <n v="0"/>
    <m/>
    <n v="4.1495454545454544"/>
    <n v="-4.1495454545454544"/>
    <m/>
    <n v="0"/>
  </r>
  <r>
    <n v="22"/>
    <n v="2024"/>
    <s v="Auction"/>
    <s v="VROLIJK BLOEMEN"/>
    <s v="VROLIJK BLOEMEN"/>
    <x v="79"/>
    <s v="Grandiflora Roses"/>
    <s v="80CM"/>
    <n v="1"/>
    <n v="7.384615384615385"/>
    <n v="320"/>
    <n v="0.33"/>
    <n v="105.6"/>
    <s v="EUR"/>
    <m/>
    <m/>
    <x v="21"/>
    <n v="40"/>
    <x v="0"/>
    <x v="2"/>
    <n v="280"/>
    <n v="0.51"/>
    <n v="142.80000000000001"/>
    <n v="35.472499999999997"/>
    <n v="178.27250000000001"/>
    <x v="21"/>
    <n v="-40"/>
    <m/>
    <s v="F087136"/>
    <n v="28.08923076923077"/>
    <m/>
    <n v="5.6000000000000005"/>
    <m/>
    <n v="33.689230769230768"/>
    <n v="144.58326923076925"/>
    <m/>
    <n v="280"/>
  </r>
  <r>
    <n v="22"/>
    <n v="2024"/>
    <s v="Auction"/>
    <s v="VROLIJK BLOEMEN"/>
    <s v="VROLIJK BLOEMEN"/>
    <x v="79"/>
    <s v="Grandiflora Roses"/>
    <s v="90CM"/>
    <m/>
    <n v="4.6153846153846159"/>
    <n v="200"/>
    <n v="0.38"/>
    <n v="76"/>
    <s v="EUR"/>
    <m/>
    <m/>
    <x v="21"/>
    <n v="0"/>
    <x v="0"/>
    <x v="3"/>
    <n v="200"/>
    <n v="0.48"/>
    <n v="96"/>
    <n v="25.337499999999999"/>
    <n v="121.33750000000001"/>
    <x v="21"/>
    <n v="0"/>
    <m/>
    <s v="F087136"/>
    <n v="17.555769230769233"/>
    <m/>
    <n v="4"/>
    <m/>
    <n v="21.555769230769233"/>
    <n v="99.781730769230776"/>
    <m/>
    <n v="200"/>
  </r>
  <r>
    <n v="22"/>
    <n v="2024"/>
    <s v="Auction"/>
    <s v="VROLIJK BLOEMEN"/>
    <s v="VROLIJK BLOEMEN"/>
    <x v="79"/>
    <s v="Polyantha Roses"/>
    <s v="50CM"/>
    <n v="1"/>
    <n v="10.666666666666666"/>
    <n v="320"/>
    <n v="0.42"/>
    <n v="134.4"/>
    <s v="EUR"/>
    <m/>
    <m/>
    <x v="21"/>
    <n v="0"/>
    <x v="3"/>
    <x v="5"/>
    <n v="320"/>
    <n v="0.31"/>
    <n v="99.2"/>
    <n v="-16.384242424242434"/>
    <n v="82.815757575757573"/>
    <x v="21"/>
    <n v="0"/>
    <m/>
    <s v="F087136"/>
    <n v="40.573333333333331"/>
    <m/>
    <n v="6.4"/>
    <m/>
    <n v="46.973333333333329"/>
    <n v="35.842424242424244"/>
    <m/>
    <n v="320"/>
  </r>
  <r>
    <n v="22"/>
    <n v="2024"/>
    <s v="Auction"/>
    <s v="VROLIJK BLOEMEN"/>
    <s v="VROLIJK BLOEMEN"/>
    <x v="79"/>
    <s v="Polyantha Roses"/>
    <s v="70CM"/>
    <m/>
    <n v="1.3333333333333333"/>
    <n v="40"/>
    <n v="0.61"/>
    <n v="24.4"/>
    <s v="EUR"/>
    <m/>
    <m/>
    <x v="21"/>
    <n v="0"/>
    <x v="3"/>
    <x v="1"/>
    <n v="40"/>
    <n v="0.57000000000000006"/>
    <n v="22.800000000000004"/>
    <n v="-2.0480303030303042"/>
    <n v="20.751969696969699"/>
    <x v="21"/>
    <n v="0"/>
    <m/>
    <s v="F087136"/>
    <n v="5.0716666666666663"/>
    <m/>
    <n v="0.8"/>
    <m/>
    <n v="5.8716666666666661"/>
    <n v="14.880303030303033"/>
    <m/>
    <n v="40"/>
  </r>
  <r>
    <n v="22"/>
    <n v="2024"/>
    <s v="Auction"/>
    <s v="VROLIJK BLOEMEN"/>
    <s v="VROLIJK BLOEMEN"/>
    <x v="79"/>
    <s v="Floribunda Roses"/>
    <s v="70CM"/>
    <n v="1"/>
    <n v="7.5"/>
    <n v="200"/>
    <n v="0.52"/>
    <n v="104"/>
    <s v="EUR"/>
    <m/>
    <m/>
    <x v="21"/>
    <n v="200"/>
    <x v="2"/>
    <x v="1"/>
    <m/>
    <m/>
    <n v="0"/>
    <n v="0"/>
    <n v="0"/>
    <x v="21"/>
    <n v="-200"/>
    <m/>
    <s v="F087136"/>
    <n v="28.528124999999999"/>
    <m/>
    <n v="0"/>
    <m/>
    <n v="28.528124999999999"/>
    <n v="-28.528124999999999"/>
    <m/>
    <n v="0"/>
  </r>
  <r>
    <n v="22"/>
    <n v="2024"/>
    <s v="Auction"/>
    <s v="VROLIJK BLOEMEN"/>
    <s v="VROLIJK BLOEMEN"/>
    <x v="79"/>
    <s v="Floribunda Roses"/>
    <s v="100CM"/>
    <m/>
    <n v="4.5"/>
    <n v="120"/>
    <n v="0.94"/>
    <n v="112.8"/>
    <s v="EUR"/>
    <m/>
    <m/>
    <x v="21"/>
    <n v="40"/>
    <x v="2"/>
    <x v="4"/>
    <n v="80"/>
    <n v="1.25"/>
    <n v="100"/>
    <n v="-4.0960606060606084"/>
    <n v="95.903939393939396"/>
    <x v="21"/>
    <n v="-40"/>
    <m/>
    <s v="F087136"/>
    <n v="17.116874999999997"/>
    <m/>
    <n v="1.6"/>
    <m/>
    <n v="18.716874999999998"/>
    <n v="77.187064393939394"/>
    <m/>
    <n v="80"/>
  </r>
  <r>
    <n v="22"/>
    <n v="2024"/>
    <s v="Auction"/>
    <s v="VROLIJK BLOEMEN"/>
    <s v="VROLIJK BLOEMEN"/>
    <x v="79"/>
    <s v="Polyantha Roses"/>
    <s v="60CM"/>
    <n v="1"/>
    <n v="9.3333333333333339"/>
    <n v="280"/>
    <n v="0.52"/>
    <n v="145.6"/>
    <s v="EUR"/>
    <m/>
    <m/>
    <x v="21"/>
    <n v="-40"/>
    <x v="3"/>
    <x v="0"/>
    <n v="320"/>
    <n v="0.48499999999999999"/>
    <n v="155.19999999999999"/>
    <n v="-16.384242424242434"/>
    <n v="138.81575757575754"/>
    <x v="21"/>
    <n v="40"/>
    <m/>
    <s v="F087136"/>
    <n v="35.501666666666665"/>
    <m/>
    <n v="6.4"/>
    <m/>
    <n v="41.901666666666664"/>
    <n v="96.914090909090874"/>
    <m/>
    <n v="320"/>
  </r>
  <r>
    <n v="22"/>
    <n v="2024"/>
    <s v="Auction"/>
    <s v="VROLIJK BLOEMEN"/>
    <s v="VROLIJK BLOEMEN"/>
    <x v="79"/>
    <s v="Polyantha Roses"/>
    <s v="80CM"/>
    <m/>
    <n v="2.6666666666666665"/>
    <n v="80"/>
    <n v="0.66"/>
    <n v="52.8"/>
    <s v="EUR"/>
    <m/>
    <m/>
    <x v="21"/>
    <n v="40"/>
    <x v="3"/>
    <x v="2"/>
    <n v="40"/>
    <n v="0.71"/>
    <n v="28.4"/>
    <n v="-2.0480303030303042"/>
    <n v="26.351969696969693"/>
    <x v="21"/>
    <n v="-40"/>
    <m/>
    <s v="F087136"/>
    <n v="10.143333333333333"/>
    <m/>
    <n v="0.8"/>
    <m/>
    <n v="10.943333333333333"/>
    <n v="15.40863636363636"/>
    <m/>
    <n v="40"/>
  </r>
  <r>
    <n v="22"/>
    <n v="2024"/>
    <s v="Auction"/>
    <s v="VROLIJK BLOEMEN"/>
    <s v="VROLIJK BLOEMEN"/>
    <x v="79"/>
    <s v="English Roses"/>
    <s v="90CM"/>
    <m/>
    <m/>
    <m/>
    <m/>
    <m/>
    <s v="EUR"/>
    <m/>
    <m/>
    <x v="21"/>
    <n v="-80"/>
    <x v="1"/>
    <x v="3"/>
    <n v="80"/>
    <n v="0.86"/>
    <n v="68.8"/>
    <n v="-4.0960606060606084"/>
    <n v="64.703939393939393"/>
    <x v="21"/>
    <n v="80"/>
    <m/>
    <s v="F087136"/>
    <n v="0"/>
    <m/>
    <n v="1.6"/>
    <m/>
    <n v="1.6"/>
    <n v="63.103939393939392"/>
    <m/>
    <n v="80"/>
  </r>
  <r>
    <n v="22"/>
    <n v="2024"/>
    <s v="Auction"/>
    <s v="VROLIJK BLOEMEN"/>
    <s v="VROLIJK BLOEMEN"/>
    <x v="80"/>
    <s v="Floribunda Roses"/>
    <s v="60CM"/>
    <n v="1"/>
    <n v="12"/>
    <n v="400"/>
    <n v="0.47"/>
    <n v="188"/>
    <s v="EUR"/>
    <m/>
    <m/>
    <x v="22"/>
    <n v="-960"/>
    <x v="2"/>
    <x v="0"/>
    <n v="1360"/>
    <n v="0.69882352941176473"/>
    <n v="950.40000000000009"/>
    <n v="-64.115999999999985"/>
    <n v="886.28400000000011"/>
    <x v="22"/>
    <n v="960"/>
    <m/>
    <n v="442699"/>
    <n v="41.037333333333329"/>
    <m/>
    <n v="27.2"/>
    <m/>
    <n v="68.237333333333325"/>
    <n v="818.04666666666674"/>
    <m/>
    <n v="1360"/>
  </r>
  <r>
    <n v="22"/>
    <n v="2024"/>
    <s v="Auction"/>
    <s v="VROLIJK BLOEMEN"/>
    <s v="VROLIJK BLOEMEN"/>
    <x v="80"/>
    <s v="Floribunda Roses"/>
    <s v="60CM"/>
    <n v="1"/>
    <n v="12"/>
    <n v="440"/>
    <n v="0.47"/>
    <n v="206.8"/>
    <s v="EUR"/>
    <m/>
    <m/>
    <x v="22"/>
    <n v="440"/>
    <x v="2"/>
    <x v="0"/>
    <m/>
    <m/>
    <n v="0"/>
    <n v="0"/>
    <n v="0"/>
    <x v="22"/>
    <n v="-440"/>
    <m/>
    <n v="442699"/>
    <n v="41.037333333333329"/>
    <m/>
    <n v="0"/>
    <m/>
    <n v="41.037333333333329"/>
    <n v="-41.037333333333329"/>
    <m/>
    <n v="0"/>
  </r>
  <r>
    <n v="22"/>
    <n v="2024"/>
    <s v="Auction"/>
    <s v="VROLIJK BLOEMEN"/>
    <s v="VROLIJK BLOEMEN"/>
    <x v="80"/>
    <s v="Floribunda Roses"/>
    <s v="60CM"/>
    <n v="1"/>
    <n v="12"/>
    <n v="520"/>
    <n v="0.47"/>
    <n v="244.4"/>
    <s v="EUR"/>
    <m/>
    <m/>
    <x v="22"/>
    <n v="520"/>
    <x v="2"/>
    <x v="0"/>
    <m/>
    <m/>
    <n v="0"/>
    <n v="0"/>
    <n v="0"/>
    <x v="22"/>
    <n v="-520"/>
    <m/>
    <n v="442699"/>
    <n v="41.037333333333329"/>
    <m/>
    <n v="0"/>
    <m/>
    <n v="41.037333333333329"/>
    <n v="-41.037333333333329"/>
    <m/>
    <n v="0"/>
  </r>
  <r>
    <n v="22"/>
    <n v="2024"/>
    <s v="Auction"/>
    <s v="VROLIJK BLOEMEN"/>
    <s v="VROLIJK BLOEMEN"/>
    <x v="80"/>
    <s v="Floribunda Roses"/>
    <s v="70CM"/>
    <n v="1"/>
    <n v="12"/>
    <n v="400"/>
    <n v="0.52"/>
    <n v="208"/>
    <s v="EUR"/>
    <m/>
    <m/>
    <x v="22"/>
    <n v="-40"/>
    <x v="2"/>
    <x v="1"/>
    <n v="440"/>
    <n v="0.73"/>
    <n v="321.2"/>
    <n v="-20.743411764705876"/>
    <n v="300.45658823529413"/>
    <x v="22"/>
    <n v="40"/>
    <m/>
    <n v="442699"/>
    <n v="41.037333333333329"/>
    <m/>
    <n v="8.8000000000000007"/>
    <m/>
    <n v="49.837333333333333"/>
    <n v="250.6192549019608"/>
    <m/>
    <n v="440"/>
  </r>
  <r>
    <n v="22"/>
    <n v="2024"/>
    <s v="Auction"/>
    <s v="VROLIJK BLOEMEN"/>
    <s v="VROLIJK BLOEMEN"/>
    <x v="80"/>
    <s v="Floribunda Roses"/>
    <s v="80CM"/>
    <n v="1"/>
    <n v="12"/>
    <n v="280"/>
    <n v="0.56999999999999995"/>
    <n v="159.6"/>
    <s v="EUR"/>
    <m/>
    <m/>
    <x v="22"/>
    <n v="0"/>
    <x v="2"/>
    <x v="2"/>
    <n v="280"/>
    <n v="0.74571428571428577"/>
    <n v="208.8"/>
    <n v="-13.200352941176467"/>
    <n v="195.59964705882354"/>
    <x v="22"/>
    <n v="0"/>
    <m/>
    <n v="442699"/>
    <n v="41.037333333333329"/>
    <m/>
    <n v="5.6000000000000005"/>
    <m/>
    <n v="46.637333333333331"/>
    <n v="148.96231372549022"/>
    <m/>
    <n v="280"/>
  </r>
  <r>
    <n v="22"/>
    <n v="2024"/>
    <s v="Auction"/>
    <s v="VROLIJK BLOEMEN"/>
    <s v="VROLIJK BLOEMEN"/>
    <x v="80"/>
    <s v="English Roses"/>
    <s v="50CM"/>
    <n v="1"/>
    <n v="12"/>
    <n v="520"/>
    <n v="0.38"/>
    <n v="197.6"/>
    <s v="EUR"/>
    <m/>
    <m/>
    <x v="22"/>
    <n v="-400"/>
    <x v="1"/>
    <x v="5"/>
    <n v="920"/>
    <n v="0.44391304347826083"/>
    <n v="408.4"/>
    <n v="-43.372588235294103"/>
    <n v="365.0274117647059"/>
    <x v="22"/>
    <n v="400"/>
    <m/>
    <n v="442699"/>
    <n v="41.037333333333329"/>
    <m/>
    <n v="18.400000000000002"/>
    <m/>
    <n v="59.437333333333328"/>
    <n v="305.5900784313726"/>
    <m/>
    <n v="920"/>
  </r>
  <r>
    <n v="22"/>
    <n v="2024"/>
    <s v="Auction"/>
    <s v="VROLIJK BLOEMEN"/>
    <s v="VROLIJK BLOEMEN"/>
    <x v="80"/>
    <s v="Polyantha Roses"/>
    <s v="50CM"/>
    <n v="1"/>
    <n v="12"/>
    <n v="440"/>
    <n v="0.42"/>
    <n v="184.8"/>
    <s v="EUR"/>
    <m/>
    <m/>
    <x v="22"/>
    <n v="0"/>
    <x v="3"/>
    <x v="5"/>
    <n v="440"/>
    <n v="0.45909090909090911"/>
    <n v="202"/>
    <n v="-20.743411764705876"/>
    <n v="181.25658823529412"/>
    <x v="22"/>
    <n v="0"/>
    <m/>
    <n v="442699"/>
    <n v="41.037333333333329"/>
    <m/>
    <n v="8.8000000000000007"/>
    <m/>
    <n v="49.837333333333333"/>
    <n v="131.41925490196078"/>
    <m/>
    <n v="440"/>
  </r>
  <r>
    <n v="22"/>
    <n v="2024"/>
    <s v="Auction"/>
    <s v="VROLIJK BLOEMEN"/>
    <s v="VROLIJK BLOEMEN"/>
    <x v="80"/>
    <s v="Polyantha Roses"/>
    <s v="60CM"/>
    <n v="1"/>
    <n v="12"/>
    <n v="400"/>
    <n v="0.52"/>
    <n v="208"/>
    <s v="EUR"/>
    <m/>
    <m/>
    <x v="22"/>
    <n v="0"/>
    <x v="3"/>
    <x v="0"/>
    <n v="400"/>
    <n v="0.51"/>
    <n v="204"/>
    <n v="-18.857647058823524"/>
    <n v="185.14235294117648"/>
    <x v="22"/>
    <n v="0"/>
    <m/>
    <n v="442699"/>
    <n v="41.037333333333329"/>
    <m/>
    <n v="8"/>
    <m/>
    <n v="49.037333333333329"/>
    <n v="136.10501960784316"/>
    <m/>
    <n v="400"/>
  </r>
  <r>
    <n v="22"/>
    <n v="2024"/>
    <s v="Auction"/>
    <s v="VROLIJK BLOEMEN"/>
    <s v="VROLIJK BLOEMEN"/>
    <x v="80"/>
    <s v="Grandiflora Roses"/>
    <s v="60CM"/>
    <n v="1"/>
    <n v="12"/>
    <n v="720"/>
    <n v="0.24"/>
    <n v="172.8"/>
    <s v="EUR"/>
    <m/>
    <m/>
    <x v="22"/>
    <n v="720"/>
    <x v="0"/>
    <x v="0"/>
    <m/>
    <m/>
    <n v="0"/>
    <n v="0"/>
    <n v="0"/>
    <x v="22"/>
    <n v="-720"/>
    <m/>
    <n v="442699"/>
    <n v="41.037333333333329"/>
    <m/>
    <n v="0"/>
    <m/>
    <n v="41.037333333333329"/>
    <n v="-41.037333333333329"/>
    <m/>
    <n v="0"/>
  </r>
  <r>
    <n v="22"/>
    <n v="2024"/>
    <s v="Auction"/>
    <s v="VROLIJK BLOEMEN"/>
    <s v="VROLIJK BLOEMEN"/>
    <x v="80"/>
    <s v="Grandiflora Roses"/>
    <s v="60CM"/>
    <n v="1"/>
    <n v="12"/>
    <n v="520"/>
    <n v="0.24"/>
    <n v="124.8"/>
    <s v="EUR"/>
    <m/>
    <m/>
    <x v="22"/>
    <n v="-760"/>
    <x v="0"/>
    <x v="0"/>
    <n v="1280"/>
    <n v="0.43"/>
    <n v="550.4"/>
    <n v="-60.344470588235282"/>
    <n v="490.05552941176472"/>
    <x v="22"/>
    <n v="760"/>
    <m/>
    <n v="442699"/>
    <n v="41.037333333333329"/>
    <m/>
    <n v="25.6"/>
    <m/>
    <n v="66.637333333333331"/>
    <n v="423.41819607843138"/>
    <m/>
    <n v="1280"/>
  </r>
  <r>
    <n v="22"/>
    <n v="2024"/>
    <s v="Auction"/>
    <s v="VROLIJK BLOEMEN"/>
    <s v="VROLIJK BLOEMEN"/>
    <x v="80"/>
    <s v="Grandiflora Roses"/>
    <s v="80CM"/>
    <n v="1"/>
    <n v="12"/>
    <n v="480"/>
    <n v="0.33"/>
    <n v="158.4"/>
    <s v="EUR"/>
    <m/>
    <m/>
    <x v="22"/>
    <n v="0"/>
    <x v="0"/>
    <x v="2"/>
    <n v="480"/>
    <n v="0.51"/>
    <n v="244.8"/>
    <n v="-22.629176470588231"/>
    <n v="222.17082352941179"/>
    <x v="22"/>
    <n v="0"/>
    <m/>
    <n v="442699"/>
    <n v="41.037333333333329"/>
    <m/>
    <n v="9.6"/>
    <m/>
    <n v="50.637333333333331"/>
    <n v="171.53349019607845"/>
    <m/>
    <n v="480"/>
  </r>
  <r>
    <n v="22"/>
    <n v="2024"/>
    <s v="Auction"/>
    <s v="VROLIJK BLOEMEN"/>
    <s v="VROLIJK BLOEMEN"/>
    <x v="80"/>
    <s v="Grandiflora Roses"/>
    <s v="90CM"/>
    <n v="1"/>
    <n v="10.5"/>
    <n v="280"/>
    <n v="0.38"/>
    <n v="106.4"/>
    <s v="EUR"/>
    <m/>
    <m/>
    <x v="22"/>
    <n v="0"/>
    <x v="0"/>
    <x v="3"/>
    <n v="280"/>
    <n v="0.72142857142857142"/>
    <n v="202"/>
    <n v="-13.200352941176467"/>
    <n v="188.79964705882352"/>
    <x v="22"/>
    <n v="0"/>
    <m/>
    <n v="442699"/>
    <n v="35.907666666666664"/>
    <m/>
    <n v="5.6000000000000005"/>
    <m/>
    <n v="41.507666666666665"/>
    <n v="147.29198039215686"/>
    <m/>
    <n v="280"/>
  </r>
  <r>
    <n v="22"/>
    <n v="2024"/>
    <s v="Auction"/>
    <s v="VROLIJK BLOEMEN"/>
    <s v="VROLIJK BLOEMEN"/>
    <x v="80"/>
    <s v="Grandiflora Roses"/>
    <s v="100CM"/>
    <m/>
    <n v="1.5"/>
    <n v="40"/>
    <n v="0.47"/>
    <n v="18.8"/>
    <s v="EUR"/>
    <m/>
    <m/>
    <x v="22"/>
    <n v="0"/>
    <x v="0"/>
    <x v="4"/>
    <n v="40"/>
    <n v="0.80999999999999994"/>
    <n v="32.4"/>
    <n v="-1.8857647058823526"/>
    <n v="30.514235294117647"/>
    <x v="22"/>
    <n v="0"/>
    <m/>
    <n v="442699"/>
    <n v="5.1296666666666662"/>
    <m/>
    <n v="0.8"/>
    <m/>
    <n v="5.929666666666666"/>
    <n v="24.584568627450981"/>
    <m/>
    <n v="40"/>
  </r>
  <r>
    <n v="22"/>
    <n v="2024"/>
    <s v="Auction"/>
    <s v="VROLIJK BLOEMEN"/>
    <s v="VROLIJK BLOEMEN"/>
    <x v="80"/>
    <s v="Floribunda Roses"/>
    <s v="90CM"/>
    <n v="1"/>
    <n v="10.285714285714285"/>
    <n v="240"/>
    <n v="0.75"/>
    <n v="180"/>
    <s v="EUR"/>
    <m/>
    <m/>
    <x v="22"/>
    <n v="0"/>
    <x v="2"/>
    <x v="3"/>
    <n v="240"/>
    <n v="0.88500000000000001"/>
    <n v="212.4"/>
    <n v="-11.314588235294115"/>
    <n v="201.0854117647059"/>
    <x v="22"/>
    <n v="0"/>
    <m/>
    <n v="442699"/>
    <n v="35.174857142857135"/>
    <m/>
    <n v="4.8"/>
    <m/>
    <n v="39.974857142857132"/>
    <n v="161.11055462184876"/>
    <m/>
    <n v="240"/>
  </r>
  <r>
    <n v="22"/>
    <n v="2024"/>
    <s v="Auction"/>
    <s v="VROLIJK BLOEMEN"/>
    <s v="VROLIJK BLOEMEN"/>
    <x v="80"/>
    <s v="Floribunda Roses"/>
    <s v="70CM"/>
    <m/>
    <n v="1.7142857142857142"/>
    <n v="40"/>
    <n v="0.52"/>
    <n v="20.8"/>
    <s v="EUR"/>
    <m/>
    <m/>
    <x v="22"/>
    <n v="40"/>
    <x v="2"/>
    <x v="1"/>
    <m/>
    <m/>
    <n v="0"/>
    <n v="0"/>
    <n v="0"/>
    <x v="22"/>
    <n v="-40"/>
    <m/>
    <n v="442699"/>
    <n v="5.8624761904761895"/>
    <m/>
    <n v="0"/>
    <m/>
    <n v="5.8624761904761895"/>
    <n v="-5.8624761904761895"/>
    <m/>
    <n v="0"/>
  </r>
  <r>
    <n v="22"/>
    <n v="2024"/>
    <s v="Auction"/>
    <s v="VROLIJK BLOEMEN"/>
    <s v="VROLIJK BLOEMEN"/>
    <x v="80"/>
    <s v="Grandiflora Roses"/>
    <s v="70CM"/>
    <n v="1"/>
    <n v="11"/>
    <n v="440"/>
    <n v="0.28000000000000003"/>
    <n v="123.2"/>
    <s v="EUR"/>
    <m/>
    <m/>
    <x v="22"/>
    <n v="-40"/>
    <x v="0"/>
    <x v="1"/>
    <n v="480"/>
    <n v="0.54333333333333333"/>
    <n v="260.8"/>
    <n v="-22.629176470588231"/>
    <n v="238.17082352941179"/>
    <x v="22"/>
    <n v="40"/>
    <m/>
    <n v="442699"/>
    <n v="37.617555555555548"/>
    <m/>
    <n v="9.6"/>
    <m/>
    <n v="47.217555555555549"/>
    <n v="190.95326797385624"/>
    <m/>
    <n v="480"/>
  </r>
  <r>
    <n v="22"/>
    <n v="2024"/>
    <s v="Auction"/>
    <s v="VROLIJK BLOEMEN"/>
    <s v="VROLIJK BLOEMEN"/>
    <x v="80"/>
    <s v="Grandiflora Roses"/>
    <s v="80CM"/>
    <m/>
    <n v="1"/>
    <n v="40"/>
    <n v="0.33"/>
    <n v="13.2"/>
    <s v="EUR"/>
    <m/>
    <m/>
    <x v="22"/>
    <n v="40"/>
    <x v="0"/>
    <x v="2"/>
    <m/>
    <m/>
    <n v="0"/>
    <n v="0"/>
    <n v="0"/>
    <x v="22"/>
    <n v="-40"/>
    <m/>
    <n v="442699"/>
    <n v="3.4197777777777776"/>
    <m/>
    <n v="0"/>
    <m/>
    <n v="3.4197777777777776"/>
    <n v="-3.4197777777777776"/>
    <m/>
    <n v="0"/>
  </r>
  <r>
    <n v="22"/>
    <n v="2024"/>
    <s v="Auction"/>
    <s v="VROLIJK BLOEMEN"/>
    <s v="VROLIJK BLOEMEN"/>
    <x v="80"/>
    <s v="English Roses"/>
    <s v="50CM"/>
    <n v="1"/>
    <n v="8.5714285714285712"/>
    <n v="400"/>
    <n v="0.38"/>
    <n v="152"/>
    <s v="EUR"/>
    <m/>
    <m/>
    <x v="22"/>
    <n v="400"/>
    <x v="1"/>
    <x v="5"/>
    <m/>
    <m/>
    <n v="0"/>
    <n v="0"/>
    <n v="0"/>
    <x v="22"/>
    <n v="-400"/>
    <m/>
    <n v="442699"/>
    <n v="29.312380952380948"/>
    <m/>
    <n v="0"/>
    <m/>
    <n v="29.312380952380948"/>
    <n v="-29.312380952380948"/>
    <m/>
    <n v="0"/>
  </r>
  <r>
    <n v="22"/>
    <n v="2024"/>
    <s v="Auction"/>
    <s v="VROLIJK BLOEMEN"/>
    <s v="VROLIJK BLOEMEN"/>
    <x v="80"/>
    <s v="English Roses"/>
    <s v="60CM"/>
    <m/>
    <n v="3.4285714285714284"/>
    <n v="160"/>
    <n v="0.47"/>
    <n v="75.2"/>
    <s v="EUR"/>
    <m/>
    <m/>
    <x v="22"/>
    <n v="0"/>
    <x v="1"/>
    <x v="0"/>
    <n v="160"/>
    <n v="0.59000000000000008"/>
    <n v="94.4"/>
    <n v="-7.5430588235294103"/>
    <n v="86.856941176470599"/>
    <x v="22"/>
    <n v="0"/>
    <m/>
    <n v="442699"/>
    <n v="11.724952380952379"/>
    <m/>
    <n v="3.2"/>
    <m/>
    <n v="14.92495238095238"/>
    <n v="71.931988795518222"/>
    <m/>
    <n v="160"/>
  </r>
  <r>
    <n v="23"/>
    <n v="2024"/>
    <s v="Auction"/>
    <s v="VROLIJK BLOEMEN"/>
    <s v="VROLIJK BLOEMEN"/>
    <x v="81"/>
    <s v="Floribunda Roses"/>
    <s v="50CM"/>
    <n v="4"/>
    <n v="12"/>
    <n v="3040"/>
    <n v="0.38"/>
    <n v="1155.2"/>
    <s v="EUR"/>
    <m/>
    <m/>
    <x v="22"/>
    <n v="0"/>
    <x v="2"/>
    <x v="5"/>
    <n v="3040"/>
    <n v="0.48355263157894735"/>
    <n v="1470"/>
    <n v="-125.00538461538468"/>
    <n v="1344.9946153846154"/>
    <x v="22"/>
    <n v="0"/>
    <m/>
    <n v="442910"/>
    <n v="43.813636363636363"/>
    <m/>
    <n v="60.800000000000004"/>
    <m/>
    <n v="104.61363636363637"/>
    <n v="1240.3809790209789"/>
    <m/>
    <n v="3040"/>
  </r>
  <r>
    <n v="23"/>
    <n v="2024"/>
    <s v="Auction"/>
    <s v="VROLIJK BLOEMEN"/>
    <s v="VROLIJK BLOEMEN"/>
    <x v="81"/>
    <s v="Grandiflora Roses"/>
    <s v="70CM"/>
    <n v="1"/>
    <n v="12"/>
    <n v="520"/>
    <n v="0.28000000000000003"/>
    <n v="145.6"/>
    <s v="EUR"/>
    <m/>
    <m/>
    <x v="22"/>
    <n v="-40"/>
    <x v="0"/>
    <x v="1"/>
    <n v="560"/>
    <n v="0.5178571428571429"/>
    <n v="290"/>
    <n v="-23.027307692307705"/>
    <n v="266.97269230769228"/>
    <x v="22"/>
    <n v="40"/>
    <m/>
    <n v="442910"/>
    <n v="43.813636363636363"/>
    <m/>
    <n v="11.200000000000001"/>
    <m/>
    <n v="55.013636363636365"/>
    <n v="211.95905594405593"/>
    <m/>
    <n v="560"/>
  </r>
  <r>
    <n v="23"/>
    <n v="2024"/>
    <s v="Auction"/>
    <s v="VROLIJK BLOEMEN"/>
    <s v="VROLIJK BLOEMEN"/>
    <x v="81"/>
    <s v="Grandiflora Roses"/>
    <s v="60CM"/>
    <n v="1"/>
    <n v="12"/>
    <n v="840"/>
    <n v="0.24"/>
    <n v="201.6"/>
    <s v="EUR"/>
    <m/>
    <m/>
    <x v="22"/>
    <n v="0"/>
    <x v="0"/>
    <x v="0"/>
    <n v="840"/>
    <n v="0.42857142857142855"/>
    <n v="360"/>
    <n v="-34.540961538461559"/>
    <n v="325.45903846153846"/>
    <x v="22"/>
    <n v="0"/>
    <m/>
    <n v="442910"/>
    <n v="43.813636363636363"/>
    <m/>
    <n v="16.8"/>
    <m/>
    <n v="60.61363636363636"/>
    <n v="264.84540209790208"/>
    <m/>
    <n v="840"/>
  </r>
  <r>
    <n v="23"/>
    <n v="2024"/>
    <s v="Auction"/>
    <s v="VROLIJK BLOEMEN"/>
    <s v="VROLIJK BLOEMEN"/>
    <x v="81"/>
    <s v="English Roses"/>
    <s v="50CM"/>
    <n v="1"/>
    <n v="12"/>
    <n v="520"/>
    <n v="0.38"/>
    <n v="197.6"/>
    <s v="EUR"/>
    <m/>
    <m/>
    <x v="22"/>
    <n v="0"/>
    <x v="1"/>
    <x v="5"/>
    <n v="520"/>
    <n v="0.61769230769230765"/>
    <n v="321.2"/>
    <n v="-21.382500000000011"/>
    <n v="299.8175"/>
    <x v="22"/>
    <n v="0"/>
    <m/>
    <n v="442910"/>
    <n v="43.813636363636363"/>
    <m/>
    <n v="10.4"/>
    <m/>
    <n v="54.213636363636361"/>
    <n v="245.60386363636363"/>
    <m/>
    <n v="520"/>
  </r>
  <r>
    <n v="23"/>
    <n v="2024"/>
    <s v="Auction"/>
    <s v="VROLIJK BLOEMEN"/>
    <s v="VROLIJK BLOEMEN"/>
    <x v="81"/>
    <s v="Floribunda Roses"/>
    <s v="60CM"/>
    <n v="1"/>
    <n v="12"/>
    <n v="480"/>
    <n v="0.47"/>
    <n v="225.6"/>
    <s v="EUR"/>
    <m/>
    <m/>
    <x v="22"/>
    <n v="0"/>
    <x v="2"/>
    <x v="0"/>
    <n v="480"/>
    <n v="0.64333333333333331"/>
    <n v="308.8"/>
    <n v="-19.737692307692321"/>
    <n v="289.06230769230768"/>
    <x v="22"/>
    <n v="0"/>
    <m/>
    <n v="442910"/>
    <n v="43.813636363636363"/>
    <m/>
    <n v="9.6"/>
    <m/>
    <n v="53.413636363636364"/>
    <n v="235.64867132867133"/>
    <m/>
    <n v="480"/>
  </r>
  <r>
    <n v="23"/>
    <n v="2024"/>
    <s v="Auction"/>
    <s v="VROLIJK BLOEMEN"/>
    <s v="VROLIJK BLOEMEN"/>
    <x v="81"/>
    <s v="Floribunda Roses"/>
    <s v="90CM"/>
    <n v="1"/>
    <n v="9.6000000000000014"/>
    <n v="160"/>
    <n v="0.75"/>
    <n v="120"/>
    <s v="EUR"/>
    <m/>
    <m/>
    <x v="22"/>
    <n v="0"/>
    <x v="2"/>
    <x v="3"/>
    <n v="160"/>
    <n v="0.59000000000000008"/>
    <n v="94.4"/>
    <n v="-6.5792307692307732"/>
    <n v="87.82076923076923"/>
    <x v="22"/>
    <n v="0"/>
    <m/>
    <n v="442910"/>
    <n v="35.050909090909094"/>
    <m/>
    <n v="3.2"/>
    <m/>
    <n v="38.250909090909097"/>
    <n v="49.569860139860133"/>
    <m/>
    <n v="160"/>
  </r>
  <r>
    <n v="23"/>
    <n v="2024"/>
    <s v="Auction"/>
    <s v="VROLIJK BLOEMEN"/>
    <s v="VROLIJK BLOEMEN"/>
    <x v="81"/>
    <s v="Floribunda Roses"/>
    <s v="100CM"/>
    <m/>
    <n v="2.4000000000000004"/>
    <n v="40"/>
    <n v="0.94"/>
    <n v="37.6"/>
    <s v="EUR"/>
    <m/>
    <m/>
    <x v="22"/>
    <n v="0"/>
    <x v="2"/>
    <x v="4"/>
    <n v="40"/>
    <n v="0.57999999999999996"/>
    <n v="23.2"/>
    <n v="-1.6448076923076933"/>
    <n v="21.555192307692305"/>
    <x v="22"/>
    <n v="0"/>
    <m/>
    <n v="442910"/>
    <n v="8.7627272727272736"/>
    <m/>
    <n v="0.8"/>
    <m/>
    <n v="9.5627272727272743"/>
    <n v="11.992465034965031"/>
    <m/>
    <n v="40"/>
  </r>
  <r>
    <n v="23"/>
    <n v="2024"/>
    <s v="Auction"/>
    <s v="VROLIJK BLOEMEN"/>
    <s v="VROLIJK BLOEMEN"/>
    <x v="81"/>
    <s v="Polyantha Roses"/>
    <s v="90CM"/>
    <n v="1"/>
    <n v="9.6000000000000014"/>
    <n v="160"/>
    <n v="0.85"/>
    <n v="136"/>
    <s v="EUR"/>
    <m/>
    <m/>
    <x v="22"/>
    <n v="0"/>
    <x v="3"/>
    <x v="3"/>
    <n v="160"/>
    <n v="0.57999999999999996"/>
    <n v="92.8"/>
    <n v="-6.5792307692307732"/>
    <n v="86.220769230769221"/>
    <x v="22"/>
    <n v="0"/>
    <m/>
    <n v="442910"/>
    <n v="35.050909090909094"/>
    <m/>
    <n v="3.2"/>
    <m/>
    <n v="38.250909090909097"/>
    <n v="47.969860139860124"/>
    <m/>
    <n v="160"/>
  </r>
  <r>
    <n v="23"/>
    <n v="2024"/>
    <s v="Auction"/>
    <s v="VROLIJK BLOEMEN"/>
    <s v="VROLIJK BLOEMEN"/>
    <x v="81"/>
    <s v="Polyantha Roses"/>
    <s v="100CM"/>
    <m/>
    <n v="2.4000000000000004"/>
    <n v="40"/>
    <n v="1.04"/>
    <n v="41.6"/>
    <s v="EUR"/>
    <m/>
    <m/>
    <x v="22"/>
    <n v="0"/>
    <x v="3"/>
    <x v="4"/>
    <n v="40"/>
    <n v="0.55999999999999994"/>
    <n v="22.4"/>
    <n v="-1.6448076923076933"/>
    <n v="20.755192307692305"/>
    <x v="22"/>
    <n v="0"/>
    <m/>
    <n v="442910"/>
    <n v="8.7627272727272736"/>
    <m/>
    <n v="0.8"/>
    <m/>
    <n v="9.5627272727272743"/>
    <n v="11.19246503496503"/>
    <m/>
    <n v="40"/>
  </r>
  <r>
    <n v="23"/>
    <n v="2024"/>
    <s v="Auction"/>
    <s v="VROLIJK BLOEMEN"/>
    <s v="VROLIJK BLOEMEN"/>
    <x v="81"/>
    <s v="Grandiflora Roses"/>
    <s v="70CM"/>
    <n v="1"/>
    <n v="1.0909090909090908"/>
    <n v="40"/>
    <n v="0.28000000000000003"/>
    <n v="11.2"/>
    <s v="EUR"/>
    <m/>
    <m/>
    <x v="22"/>
    <n v="40"/>
    <x v="0"/>
    <x v="1"/>
    <m/>
    <m/>
    <n v="0"/>
    <n v="0"/>
    <n v="0"/>
    <x v="22"/>
    <n v="-40"/>
    <m/>
    <n v="442910"/>
    <n v="3.9830578512396695"/>
    <m/>
    <n v="0"/>
    <m/>
    <n v="3.9830578512396695"/>
    <n v="-3.9830578512396695"/>
    <m/>
    <n v="0"/>
  </r>
  <r>
    <n v="23"/>
    <n v="2024"/>
    <s v="Auction"/>
    <s v="VROLIJK BLOEMEN"/>
    <s v="VROLIJK BLOEMEN"/>
    <x v="81"/>
    <s v="Grandiflora Roses"/>
    <s v="80CM"/>
    <m/>
    <n v="10.909090909090908"/>
    <n v="400"/>
    <n v="0.33"/>
    <n v="132"/>
    <s v="EUR"/>
    <m/>
    <m/>
    <x v="22"/>
    <n v="0"/>
    <x v="0"/>
    <x v="2"/>
    <n v="400"/>
    <n v="0.53"/>
    <n v="212"/>
    <n v="-16.448076923076933"/>
    <n v="195.55192307692306"/>
    <x v="22"/>
    <n v="0"/>
    <m/>
    <n v="442910"/>
    <n v="39.830578512396684"/>
    <m/>
    <n v="8"/>
    <m/>
    <n v="47.830578512396684"/>
    <n v="147.72134456452636"/>
    <m/>
    <n v="400"/>
  </r>
  <r>
    <n v="23"/>
    <n v="2024"/>
    <s v="Auction"/>
    <s v="VROLIJK BLOEMEN"/>
    <s v="VROLIJK BLOEMEN"/>
    <x v="82"/>
    <s v="English Roses"/>
    <s v="50CM"/>
    <n v="2"/>
    <n v="24"/>
    <n v="1040"/>
    <n v="0.38"/>
    <n v="395.2"/>
    <s v="EUR"/>
    <m/>
    <m/>
    <x v="22"/>
    <n v="-80"/>
    <x v="1"/>
    <x v="5"/>
    <n v="1120"/>
    <n v="0.29642857142857143"/>
    <n v="332"/>
    <n v="-43.627225130890039"/>
    <n v="288.37277486910995"/>
    <x v="22"/>
    <n v="80"/>
    <m/>
    <s v="F088028"/>
    <n v="80.593333333333334"/>
    <m/>
    <n v="22.400000000000002"/>
    <m/>
    <n v="102.99333333333334"/>
    <n v="185.37944153577661"/>
    <m/>
    <n v="1120"/>
  </r>
  <r>
    <n v="23"/>
    <n v="2024"/>
    <s v="Auction"/>
    <s v="VROLIJK BLOEMEN"/>
    <s v="VROLIJK BLOEMEN"/>
    <x v="82"/>
    <s v="English Roses"/>
    <s v="100CM"/>
    <n v="1"/>
    <n v="12"/>
    <n v="200"/>
    <n v="0.94"/>
    <n v="188"/>
    <s v="EUR"/>
    <m/>
    <m/>
    <x v="22"/>
    <n v="0"/>
    <x v="1"/>
    <x v="4"/>
    <n v="200"/>
    <n v="1.0680000000000001"/>
    <n v="213.60000000000002"/>
    <n v="-7.7905759162303649"/>
    <n v="205.80942408376967"/>
    <x v="22"/>
    <n v="0"/>
    <m/>
    <s v="F088028"/>
    <n v="40.296666666666667"/>
    <m/>
    <n v="4"/>
    <m/>
    <n v="44.296666666666667"/>
    <n v="161.51275741710299"/>
    <m/>
    <n v="200"/>
  </r>
  <r>
    <n v="23"/>
    <n v="2024"/>
    <s v="Auction"/>
    <s v="VROLIJK BLOEMEN"/>
    <s v="VROLIJK BLOEMEN"/>
    <x v="82"/>
    <s v="Grandiflora Roses"/>
    <s v="50CM"/>
    <n v="3"/>
    <n v="36"/>
    <n v="2400"/>
    <n v="0.14000000000000001"/>
    <n v="336"/>
    <s v="EUR"/>
    <m/>
    <m/>
    <x v="22"/>
    <n v="-400"/>
    <x v="0"/>
    <x v="5"/>
    <n v="2800"/>
    <n v="0.26957142857142857"/>
    <n v="754.8"/>
    <n v="-109.06806282722511"/>
    <n v="645.73193717277491"/>
    <x v="22"/>
    <n v="400"/>
    <m/>
    <s v="F088028"/>
    <n v="120.89000000000001"/>
    <m/>
    <n v="56"/>
    <m/>
    <n v="176.89000000000001"/>
    <n v="468.84193717277492"/>
    <m/>
    <n v="2800"/>
  </r>
  <r>
    <n v="23"/>
    <n v="2024"/>
    <s v="Auction"/>
    <s v="VROLIJK BLOEMEN"/>
    <s v="VROLIJK BLOEMEN"/>
    <x v="82"/>
    <s v="Grandiflora Roses"/>
    <s v="60CM"/>
    <n v="1"/>
    <n v="12"/>
    <n v="720"/>
    <n v="0.24"/>
    <n v="172.8"/>
    <s v="EUR"/>
    <m/>
    <m/>
    <x v="22"/>
    <n v="0"/>
    <x v="0"/>
    <x v="0"/>
    <n v="720"/>
    <n v="0.45999999999999996"/>
    <n v="331.2"/>
    <n v="-28.046073298429313"/>
    <n v="303.1539267015707"/>
    <x v="22"/>
    <n v="0"/>
    <m/>
    <s v="F088028"/>
    <n v="40.296666666666667"/>
    <m/>
    <n v="14.4"/>
    <m/>
    <n v="54.696666666666665"/>
    <n v="248.45726003490404"/>
    <m/>
    <n v="720"/>
  </r>
  <r>
    <n v="23"/>
    <n v="2024"/>
    <s v="Auction"/>
    <s v="VROLIJK BLOEMEN"/>
    <s v="VROLIJK BLOEMEN"/>
    <x v="82"/>
    <s v="Grandiflora Roses"/>
    <s v="70CM"/>
    <n v="1"/>
    <n v="12"/>
    <n v="400"/>
    <n v="0.28000000000000003"/>
    <n v="112"/>
    <s v="EUR"/>
    <m/>
    <m/>
    <x v="22"/>
    <n v="0"/>
    <x v="0"/>
    <x v="1"/>
    <n v="400"/>
    <n v="0.56999999999999995"/>
    <n v="227.99999999999997"/>
    <n v="-15.58115183246073"/>
    <n v="212.41884816753924"/>
    <x v="22"/>
    <n v="0"/>
    <m/>
    <s v="F088028"/>
    <n v="40.296666666666667"/>
    <m/>
    <n v="8"/>
    <m/>
    <n v="48.296666666666667"/>
    <n v="164.12218150087256"/>
    <m/>
    <n v="400"/>
  </r>
  <r>
    <n v="23"/>
    <n v="2024"/>
    <s v="Auction"/>
    <s v="VROLIJK BLOEMEN"/>
    <s v="VROLIJK BLOEMEN"/>
    <x v="82"/>
    <s v="Floribunda Roses"/>
    <s v="60CM"/>
    <n v="1"/>
    <n v="12"/>
    <n v="520"/>
    <n v="0.47"/>
    <n v="244.4"/>
    <s v="EUR"/>
    <m/>
    <m/>
    <x v="22"/>
    <n v="-240"/>
    <x v="2"/>
    <x v="0"/>
    <n v="760"/>
    <n v="0.57052631578947366"/>
    <n v="433.59999999999997"/>
    <n v="-29.604188481675386"/>
    <n v="403.99581151832456"/>
    <x v="22"/>
    <n v="240"/>
    <m/>
    <s v="F088028"/>
    <n v="40.296666666666667"/>
    <m/>
    <n v="15.200000000000001"/>
    <m/>
    <n v="55.49666666666667"/>
    <n v="348.49914485165789"/>
    <m/>
    <n v="760"/>
  </r>
  <r>
    <n v="23"/>
    <n v="2024"/>
    <s v="Auction"/>
    <s v="VROLIJK BLOEMEN"/>
    <s v="VROLIJK BLOEMEN"/>
    <x v="82"/>
    <s v="Floribunda Roses"/>
    <s v="70CM"/>
    <n v="1"/>
    <n v="12"/>
    <n v="360"/>
    <n v="0.52"/>
    <n v="187.2"/>
    <s v="EUR"/>
    <m/>
    <m/>
    <x v="22"/>
    <n v="0"/>
    <x v="2"/>
    <x v="1"/>
    <n v="360"/>
    <n v="0.75111111111111106"/>
    <n v="270.39999999999998"/>
    <n v="-14.023036649214657"/>
    <n v="256.37696335078533"/>
    <x v="22"/>
    <n v="0"/>
    <m/>
    <s v="F088028"/>
    <n v="40.296666666666667"/>
    <m/>
    <n v="7.2"/>
    <m/>
    <n v="47.49666666666667"/>
    <n v="208.88029668411866"/>
    <m/>
    <n v="360"/>
  </r>
  <r>
    <n v="23"/>
    <n v="2024"/>
    <s v="Auction"/>
    <s v="VROLIJK BLOEMEN"/>
    <s v="VROLIJK BLOEMEN"/>
    <x v="82"/>
    <s v="English Roses"/>
    <s v="50CM"/>
    <n v="1"/>
    <n v="2.1818181818181817"/>
    <n v="80"/>
    <n v="0.38"/>
    <n v="30.4"/>
    <s v="EUR"/>
    <m/>
    <m/>
    <x v="22"/>
    <n v="80"/>
    <x v="1"/>
    <x v="5"/>
    <m/>
    <m/>
    <n v="0"/>
    <n v="0"/>
    <n v="0"/>
    <x v="22"/>
    <n v="-80"/>
    <m/>
    <s v="F088028"/>
    <n v="7.3266666666666662"/>
    <m/>
    <n v="0"/>
    <m/>
    <n v="7.3266666666666662"/>
    <n v="-7.3266666666666662"/>
    <m/>
    <n v="0"/>
  </r>
  <r>
    <n v="23"/>
    <n v="2024"/>
    <s v="Auction"/>
    <s v="VROLIJK BLOEMEN"/>
    <s v="VROLIJK BLOEMEN"/>
    <x v="82"/>
    <s v="English Roses"/>
    <s v="60CM"/>
    <m/>
    <n v="5.4545454545454541"/>
    <n v="200"/>
    <n v="0.47"/>
    <n v="94"/>
    <s v="EUR"/>
    <m/>
    <m/>
    <x v="22"/>
    <n v="0"/>
    <x v="1"/>
    <x v="0"/>
    <n v="200"/>
    <n v="0.46600000000000003"/>
    <n v="93.2"/>
    <n v="-7.7905759162303649"/>
    <n v="85.409424083769636"/>
    <x v="22"/>
    <n v="0"/>
    <m/>
    <s v="F088028"/>
    <n v="18.316666666666666"/>
    <m/>
    <n v="4"/>
    <m/>
    <n v="22.316666666666666"/>
    <n v="63.092757417102973"/>
    <m/>
    <n v="200"/>
  </r>
  <r>
    <n v="23"/>
    <n v="2024"/>
    <s v="Auction"/>
    <s v="VROLIJK BLOEMEN"/>
    <s v="VROLIJK BLOEMEN"/>
    <x v="82"/>
    <s v="English Roses"/>
    <s v="70CM"/>
    <m/>
    <n v="4.3636363636363633"/>
    <n v="160"/>
    <n v="0.52"/>
    <n v="83.2"/>
    <s v="EUR"/>
    <m/>
    <m/>
    <x v="22"/>
    <n v="0"/>
    <x v="1"/>
    <x v="1"/>
    <n v="160"/>
    <n v="0.97"/>
    <n v="155.19999999999999"/>
    <n v="-6.2324607329842916"/>
    <n v="148.9675392670157"/>
    <x v="22"/>
    <n v="0"/>
    <m/>
    <s v="F088028"/>
    <n v="14.653333333333332"/>
    <m/>
    <n v="3.2"/>
    <m/>
    <n v="17.853333333333332"/>
    <n v="131.11420593368237"/>
    <m/>
    <n v="160"/>
  </r>
  <r>
    <n v="23"/>
    <n v="2024"/>
    <s v="Auction"/>
    <s v="VROLIJK BLOEMEN"/>
    <s v="VROLIJK BLOEMEN"/>
    <x v="82"/>
    <s v="Grandiflora Roses"/>
    <s v="50CM"/>
    <n v="1"/>
    <n v="8"/>
    <n v="400"/>
    <n v="0.14000000000000001"/>
    <n v="56"/>
    <s v="EUR"/>
    <m/>
    <m/>
    <x v="22"/>
    <n v="400"/>
    <x v="0"/>
    <x v="5"/>
    <m/>
    <m/>
    <n v="0"/>
    <n v="0"/>
    <n v="0"/>
    <x v="22"/>
    <n v="-400"/>
    <m/>
    <s v="F088028"/>
    <n v="26.864444444444448"/>
    <m/>
    <n v="0"/>
    <m/>
    <n v="26.864444444444448"/>
    <n v="-26.864444444444448"/>
    <m/>
    <n v="0"/>
  </r>
  <r>
    <n v="23"/>
    <n v="2024"/>
    <s v="Auction"/>
    <s v="VROLIJK BLOEMEN"/>
    <s v="VROLIJK BLOEMEN"/>
    <x v="82"/>
    <s v="Grandiflora Roses"/>
    <s v="80CM"/>
    <m/>
    <n v="4"/>
    <n v="200"/>
    <n v="0.33"/>
    <n v="66"/>
    <s v="EUR"/>
    <m/>
    <m/>
    <x v="22"/>
    <n v="0"/>
    <x v="0"/>
    <x v="2"/>
    <n v="200"/>
    <n v="0.624"/>
    <n v="124.8"/>
    <n v="-7.7905759162303649"/>
    <n v="117.00942408376963"/>
    <x v="22"/>
    <n v="0"/>
    <m/>
    <s v="F088028"/>
    <n v="13.432222222222224"/>
    <m/>
    <n v="4"/>
    <m/>
    <n v="17.432222222222222"/>
    <n v="99.577201861547408"/>
    <m/>
    <n v="200"/>
  </r>
  <r>
    <n v="23"/>
    <n v="2024"/>
    <s v="Auction"/>
    <s v="VROLIJK BLOEMEN"/>
    <s v="VROLIJK BLOEMEN"/>
    <x v="82"/>
    <s v="Polyantha Roses"/>
    <s v="50CM"/>
    <n v="1"/>
    <n v="11"/>
    <n v="440"/>
    <n v="0.42"/>
    <n v="184.8"/>
    <s v="EUR"/>
    <m/>
    <m/>
    <x v="22"/>
    <n v="0"/>
    <x v="3"/>
    <x v="5"/>
    <n v="440"/>
    <n v="0.62181818181818183"/>
    <n v="273.60000000000002"/>
    <n v="-17.1392670157068"/>
    <n v="256.4607329842932"/>
    <x v="22"/>
    <n v="0"/>
    <m/>
    <s v="F088028"/>
    <n v="36.938611111111115"/>
    <m/>
    <n v="8.8000000000000007"/>
    <m/>
    <n v="45.738611111111112"/>
    <n v="210.72212187318209"/>
    <m/>
    <n v="440"/>
  </r>
  <r>
    <n v="23"/>
    <n v="2024"/>
    <s v="Auction"/>
    <s v="VROLIJK BLOEMEN"/>
    <s v="VROLIJK BLOEMEN"/>
    <x v="82"/>
    <s v="Polyantha Roses"/>
    <s v="70CM"/>
    <m/>
    <n v="1"/>
    <n v="40"/>
    <n v="0.61"/>
    <n v="24.4"/>
    <s v="EUR"/>
    <m/>
    <m/>
    <x v="22"/>
    <n v="0"/>
    <x v="3"/>
    <x v="1"/>
    <n v="40"/>
    <n v="0.84000000000000008"/>
    <n v="33.6"/>
    <n v="-1.5581151832460729"/>
    <n v="32.041884816753928"/>
    <x v="22"/>
    <n v="0"/>
    <m/>
    <s v="F088028"/>
    <n v="3.358055555555556"/>
    <m/>
    <n v="0.8"/>
    <m/>
    <n v="4.1580555555555563"/>
    <n v="27.883829261198372"/>
    <m/>
    <n v="40"/>
  </r>
  <r>
    <n v="23"/>
    <n v="2024"/>
    <s v="Auction"/>
    <s v="VROLIJK BLOEMEN"/>
    <s v="VROLIJK BLOEMEN"/>
    <x v="82"/>
    <s v="Floribunda Roses"/>
    <s v="60CM"/>
    <n v="1"/>
    <n v="10.285714285714285"/>
    <n v="240"/>
    <n v="0.47"/>
    <n v="112.8"/>
    <s v="EUR"/>
    <m/>
    <m/>
    <x v="22"/>
    <n v="240"/>
    <x v="2"/>
    <x v="0"/>
    <m/>
    <m/>
    <n v="0"/>
    <n v="0"/>
    <n v="0"/>
    <x v="22"/>
    <n v="-240"/>
    <m/>
    <s v="F088028"/>
    <n v="34.54"/>
    <m/>
    <n v="0"/>
    <m/>
    <n v="34.54"/>
    <n v="-34.54"/>
    <m/>
    <n v="0"/>
  </r>
  <r>
    <n v="23"/>
    <n v="2024"/>
    <s v="Auction"/>
    <s v="VROLIJK BLOEMEN"/>
    <s v="VROLIJK BLOEMEN"/>
    <x v="82"/>
    <s v="Floribunda Roses"/>
    <s v="80CM"/>
    <m/>
    <n v="1.7142857142857142"/>
    <n v="40"/>
    <n v="0.56999999999999995"/>
    <n v="22.8"/>
    <s v="EUR"/>
    <m/>
    <m/>
    <x v="22"/>
    <n v="0"/>
    <x v="2"/>
    <x v="2"/>
    <n v="40"/>
    <n v="0.77"/>
    <n v="30.8"/>
    <n v="-1.5581151832460729"/>
    <n v="29.241884816753927"/>
    <x v="22"/>
    <n v="0"/>
    <m/>
    <s v="F088028"/>
    <n v="5.7566666666666668"/>
    <m/>
    <n v="0.8"/>
    <m/>
    <n v="6.5566666666666666"/>
    <n v="22.685218150087259"/>
    <m/>
    <n v="40"/>
  </r>
  <r>
    <n v="23"/>
    <n v="2024"/>
    <s v="Auction"/>
    <s v="VROLIJK BLOEMEN"/>
    <s v="VROLIJK BLOEMEN"/>
    <x v="82"/>
    <s v="Floribunda Roses"/>
    <s v="90CM"/>
    <n v="1"/>
    <n v="9.6000000000000014"/>
    <n v="160"/>
    <n v="0.75"/>
    <n v="120"/>
    <s v="EUR"/>
    <m/>
    <m/>
    <x v="22"/>
    <n v="0"/>
    <x v="2"/>
    <x v="3"/>
    <n v="160"/>
    <n v="0.85"/>
    <n v="136"/>
    <n v="-6.2324607329842916"/>
    <n v="129.76753926701571"/>
    <x v="22"/>
    <n v="0"/>
    <m/>
    <s v="F088028"/>
    <n v="32.237333333333339"/>
    <m/>
    <n v="3.2"/>
    <m/>
    <n v="35.437333333333342"/>
    <n v="94.330205933682365"/>
    <m/>
    <n v="160"/>
  </r>
  <r>
    <n v="23"/>
    <n v="2024"/>
    <s v="Auction"/>
    <s v="VROLIJK BLOEMEN"/>
    <s v="VROLIJK BLOEMEN"/>
    <x v="82"/>
    <s v="Floribunda Roses"/>
    <s v="100CM"/>
    <m/>
    <n v="2.4000000000000004"/>
    <n v="40"/>
    <n v="0.94"/>
    <n v="37.6"/>
    <s v="EUR"/>
    <m/>
    <m/>
    <x v="22"/>
    <n v="0"/>
    <x v="2"/>
    <x v="4"/>
    <n v="40"/>
    <n v="0.86999999999999988"/>
    <n v="34.799999999999997"/>
    <n v="-1.5581151832460729"/>
    <n v="33.241884816753924"/>
    <x v="22"/>
    <n v="0"/>
    <m/>
    <s v="F088028"/>
    <n v="8.0593333333333348"/>
    <m/>
    <n v="0.8"/>
    <m/>
    <n v="8.8593333333333355"/>
    <n v="24.382551483420588"/>
    <m/>
    <n v="40"/>
  </r>
  <r>
    <n v="23"/>
    <n v="2024"/>
    <s v="Auction"/>
    <s v="VROLIJK BLOEMEN"/>
    <s v="VROLIJK BLOEMEN"/>
    <x v="83"/>
    <s v="English Roses"/>
    <s v="50CM"/>
    <n v="2"/>
    <n v="24"/>
    <n v="1040"/>
    <n v="0.38"/>
    <n v="395.2"/>
    <s v="EUR"/>
    <m/>
    <m/>
    <x v="23"/>
    <n v="0"/>
    <x v="1"/>
    <x v="5"/>
    <n v="1040"/>
    <n v="0.34"/>
    <n v="353.6"/>
    <n v="-47.416211453744545"/>
    <n v="306.18378854625547"/>
    <x v="23"/>
    <n v="0"/>
    <m/>
    <n v="443555"/>
    <n v="86.221176470588233"/>
    <m/>
    <n v="20.8"/>
    <m/>
    <n v="107.02117647058823"/>
    <n v="199.16261207566725"/>
    <m/>
    <n v="1040"/>
  </r>
  <r>
    <n v="23"/>
    <n v="2024"/>
    <s v="Auction"/>
    <s v="VROLIJK BLOEMEN"/>
    <s v="VROLIJK BLOEMEN"/>
    <x v="83"/>
    <s v="English Roses"/>
    <s v="60CM"/>
    <n v="1"/>
    <n v="12"/>
    <n v="480"/>
    <n v="0.47"/>
    <n v="225.6"/>
    <s v="EUR"/>
    <m/>
    <m/>
    <x v="23"/>
    <n v="480"/>
    <x v="1"/>
    <x v="0"/>
    <m/>
    <m/>
    <n v="0"/>
    <n v="0"/>
    <n v="0"/>
    <x v="23"/>
    <n v="-480"/>
    <m/>
    <n v="443555"/>
    <n v="43.110588235294117"/>
    <m/>
    <n v="0"/>
    <m/>
    <n v="43.110588235294117"/>
    <n v="-43.110588235294117"/>
    <m/>
    <n v="0"/>
  </r>
  <r>
    <n v="23"/>
    <n v="2024"/>
    <s v="Auction"/>
    <s v="VROLIJK BLOEMEN"/>
    <s v="VROLIJK BLOEMEN"/>
    <x v="83"/>
    <s v="Floribunda Roses"/>
    <s v="50CM"/>
    <n v="2"/>
    <n v="24"/>
    <n v="1520"/>
    <n v="0.38"/>
    <n v="577.6"/>
    <s v="EUR"/>
    <m/>
    <m/>
    <x v="23"/>
    <n v="-120"/>
    <x v="2"/>
    <x v="5"/>
    <n v="1640"/>
    <n v="0.32902439024390245"/>
    <n v="539.6"/>
    <n v="-74.771718061674093"/>
    <n v="464.82828193832592"/>
    <x v="23"/>
    <n v="120"/>
    <m/>
    <n v="443555"/>
    <n v="86.221176470588233"/>
    <m/>
    <n v="32.799999999999997"/>
    <m/>
    <n v="119.02117647058823"/>
    <n v="345.8071054677377"/>
    <m/>
    <n v="1640"/>
  </r>
  <r>
    <n v="23"/>
    <n v="2024"/>
    <s v="Auction"/>
    <s v="VROLIJK BLOEMEN"/>
    <s v="VROLIJK BLOEMEN"/>
    <x v="83"/>
    <s v="Floribunda Roses"/>
    <s v="60CM"/>
    <n v="1"/>
    <n v="12"/>
    <n v="520"/>
    <n v="0.47"/>
    <n v="244.4"/>
    <s v="EUR"/>
    <m/>
    <m/>
    <x v="23"/>
    <n v="-320"/>
    <x v="2"/>
    <x v="0"/>
    <n v="840"/>
    <n v="0.88428571428571423"/>
    <n v="742.8"/>
    <n v="-38.297709251101367"/>
    <n v="704.50229074889853"/>
    <x v="23"/>
    <n v="320"/>
    <m/>
    <n v="443555"/>
    <n v="43.110588235294117"/>
    <m/>
    <n v="16.8"/>
    <m/>
    <n v="59.910588235294114"/>
    <n v="644.59170251360445"/>
    <m/>
    <n v="840"/>
  </r>
  <r>
    <n v="23"/>
    <n v="2024"/>
    <s v="Auction"/>
    <s v="VROLIJK BLOEMEN"/>
    <s v="VROLIJK BLOEMEN"/>
    <x v="83"/>
    <s v="Floribunda Roses"/>
    <s v="70CM"/>
    <n v="1"/>
    <n v="12"/>
    <n v="400"/>
    <n v="0.52"/>
    <n v="208"/>
    <s v="EUR"/>
    <m/>
    <m/>
    <x v="23"/>
    <n v="-40"/>
    <x v="2"/>
    <x v="1"/>
    <n v="440"/>
    <n v="1.1045454545454545"/>
    <n v="486"/>
    <n v="-20.060704845815003"/>
    <n v="465.939295154185"/>
    <x v="23"/>
    <n v="40"/>
    <m/>
    <n v="443555"/>
    <n v="43.110588235294117"/>
    <m/>
    <n v="8.8000000000000007"/>
    <m/>
    <n v="51.910588235294114"/>
    <n v="414.02870691889086"/>
    <m/>
    <n v="440"/>
  </r>
  <r>
    <n v="23"/>
    <n v="2024"/>
    <s v="Auction"/>
    <s v="VROLIJK BLOEMEN"/>
    <s v="VROLIJK BLOEMEN"/>
    <x v="83"/>
    <s v="Floribunda Roses"/>
    <s v="80CM"/>
    <n v="1"/>
    <n v="12"/>
    <n v="320"/>
    <n v="0.56999999999999995"/>
    <n v="182.4"/>
    <s v="EUR"/>
    <m/>
    <m/>
    <x v="23"/>
    <n v="0"/>
    <x v="2"/>
    <x v="2"/>
    <n v="320"/>
    <n v="0.98000000000000009"/>
    <n v="313.60000000000002"/>
    <n v="-14.589603524229091"/>
    <n v="299.0103964757709"/>
    <x v="23"/>
    <n v="0"/>
    <m/>
    <n v="443555"/>
    <n v="43.110588235294117"/>
    <m/>
    <n v="6.4"/>
    <m/>
    <n v="49.510588235294115"/>
    <n v="249.4998082404768"/>
    <m/>
    <n v="320"/>
  </r>
  <r>
    <n v="23"/>
    <n v="2024"/>
    <s v="Auction"/>
    <s v="VROLIJK BLOEMEN"/>
    <s v="VROLIJK BLOEMEN"/>
    <x v="83"/>
    <s v="Grandiflora Roses"/>
    <s v="50CM"/>
    <n v="1"/>
    <n v="12"/>
    <n v="800"/>
    <n v="0.14000000000000001"/>
    <n v="112"/>
    <s v="EUR"/>
    <m/>
    <m/>
    <x v="23"/>
    <n v="0"/>
    <x v="0"/>
    <x v="5"/>
    <n v="800"/>
    <n v="0.3175"/>
    <n v="254"/>
    <n v="-36.474008810572727"/>
    <n v="217.52599118942726"/>
    <x v="23"/>
    <n v="0"/>
    <m/>
    <n v="443555"/>
    <n v="43.110588235294117"/>
    <m/>
    <n v="16"/>
    <m/>
    <n v="59.110588235294117"/>
    <n v="158.41540295413313"/>
    <m/>
    <n v="800"/>
  </r>
  <r>
    <n v="23"/>
    <n v="2024"/>
    <s v="Auction"/>
    <s v="VROLIJK BLOEMEN"/>
    <s v="VROLIJK BLOEMEN"/>
    <x v="83"/>
    <s v="Grandiflora Roses"/>
    <s v="60CM"/>
    <n v="1"/>
    <n v="12"/>
    <n v="720"/>
    <n v="0.24"/>
    <n v="172.8"/>
    <s v="EUR"/>
    <m/>
    <m/>
    <x v="23"/>
    <n v="-280"/>
    <x v="0"/>
    <x v="0"/>
    <n v="1000"/>
    <n v="0.56840000000000002"/>
    <n v="568.4"/>
    <n v="-45.592511013215912"/>
    <n v="522.80748898678405"/>
    <x v="23"/>
    <n v="280"/>
    <m/>
    <n v="443555"/>
    <n v="43.110588235294117"/>
    <m/>
    <n v="20"/>
    <m/>
    <n v="63.110588235294117"/>
    <n v="459.69690075148992"/>
    <m/>
    <n v="1000"/>
  </r>
  <r>
    <n v="23"/>
    <n v="2024"/>
    <s v="Auction"/>
    <s v="VROLIJK BLOEMEN"/>
    <s v="VROLIJK BLOEMEN"/>
    <x v="83"/>
    <s v="Grandiflora Roses"/>
    <s v="50CM"/>
    <n v="1"/>
    <n v="8.3478260869565215"/>
    <n v="640"/>
    <n v="0.14000000000000001"/>
    <n v="89.6"/>
    <s v="EUR"/>
    <m/>
    <m/>
    <x v="23"/>
    <n v="0"/>
    <x v="0"/>
    <x v="5"/>
    <n v="640"/>
    <n v="0.36625000000000002"/>
    <n v="234.4"/>
    <n v="-29.179207048458181"/>
    <n v="205.22079295154182"/>
    <x v="23"/>
    <n v="0"/>
    <m/>
    <n v="443555"/>
    <n v="29.989974424552425"/>
    <m/>
    <n v="12.8"/>
    <m/>
    <n v="42.789974424552426"/>
    <n v="162.43081852698941"/>
    <m/>
    <n v="640"/>
  </r>
  <r>
    <n v="23"/>
    <n v="2024"/>
    <s v="Auction"/>
    <s v="VROLIJK BLOEMEN"/>
    <s v="VROLIJK BLOEMEN"/>
    <x v="83"/>
    <s v="Grandiflora Roses"/>
    <s v="60CM"/>
    <m/>
    <n v="3.6521739130434785"/>
    <n v="280"/>
    <n v="0.24"/>
    <n v="67.2"/>
    <s v="EUR"/>
    <m/>
    <m/>
    <x v="23"/>
    <n v="280"/>
    <x v="0"/>
    <x v="0"/>
    <m/>
    <m/>
    <n v="0"/>
    <n v="0"/>
    <n v="0"/>
    <x v="23"/>
    <n v="-280"/>
    <m/>
    <n v="443555"/>
    <n v="13.120613810741689"/>
    <m/>
    <n v="0"/>
    <m/>
    <n v="13.120613810741689"/>
    <n v="-13.120613810741689"/>
    <m/>
    <n v="0"/>
  </r>
  <r>
    <n v="23"/>
    <n v="2024"/>
    <s v="Auction"/>
    <s v="VROLIJK BLOEMEN"/>
    <s v="VROLIJK BLOEMEN"/>
    <x v="83"/>
    <s v="Grandiflora Roses"/>
    <s v="90CM"/>
    <n v="1"/>
    <n v="4.5"/>
    <n v="120"/>
    <n v="0.38"/>
    <n v="45.6"/>
    <s v="EUR"/>
    <m/>
    <m/>
    <x v="23"/>
    <n v="40"/>
    <x v="0"/>
    <x v="3"/>
    <n v="80"/>
    <n v="0.59000000000000008"/>
    <n v="47.2"/>
    <n v="-3.6474008810572727"/>
    <n v="43.55259911894273"/>
    <x v="23"/>
    <n v="-40"/>
    <m/>
    <n v="443555"/>
    <n v="16.166470588235295"/>
    <m/>
    <n v="1.6"/>
    <m/>
    <n v="17.766470588235297"/>
    <n v="25.786128530707433"/>
    <m/>
    <n v="80"/>
  </r>
  <r>
    <n v="23"/>
    <n v="2024"/>
    <s v="Auction"/>
    <s v="VROLIJK BLOEMEN"/>
    <s v="VROLIJK BLOEMEN"/>
    <x v="83"/>
    <s v="Grandiflora Roses"/>
    <s v="80CM"/>
    <m/>
    <n v="7.5"/>
    <n v="200"/>
    <n v="0.33"/>
    <n v="66"/>
    <s v="EUR"/>
    <m/>
    <m/>
    <x v="23"/>
    <n v="-40"/>
    <x v="0"/>
    <x v="2"/>
    <n v="240"/>
    <n v="0.53"/>
    <n v="127.2"/>
    <n v="-10.942202643171818"/>
    <n v="116.25779735682818"/>
    <x v="23"/>
    <n v="40"/>
    <m/>
    <n v="443555"/>
    <n v="26.944117647058825"/>
    <m/>
    <n v="4.8"/>
    <m/>
    <n v="31.744117647058825"/>
    <n v="84.513679709769349"/>
    <m/>
    <n v="240"/>
  </r>
  <r>
    <n v="23"/>
    <n v="2024"/>
    <s v="Auction"/>
    <s v="VROLIJK BLOEMEN"/>
    <s v="VROLIJK BLOEMEN"/>
    <x v="83"/>
    <s v="Floribunda Roses"/>
    <s v="50CM"/>
    <n v="1"/>
    <n v="1.8461538461538463"/>
    <n v="80"/>
    <n v="0.38"/>
    <n v="30.4"/>
    <s v="EUR"/>
    <m/>
    <m/>
    <x v="23"/>
    <n v="80"/>
    <x v="2"/>
    <x v="5"/>
    <m/>
    <m/>
    <n v="0"/>
    <n v="0"/>
    <n v="0"/>
    <x v="23"/>
    <n v="-80"/>
    <m/>
    <n v="443555"/>
    <n v="6.6323981900452491"/>
    <m/>
    <n v="0"/>
    <m/>
    <n v="6.6323981900452491"/>
    <n v="-6.6323981900452491"/>
    <m/>
    <n v="0"/>
  </r>
  <r>
    <n v="23"/>
    <n v="2024"/>
    <s v="Auction"/>
    <s v="VROLIJK BLOEMEN"/>
    <s v="VROLIJK BLOEMEN"/>
    <x v="83"/>
    <s v="Floribunda Roses"/>
    <s v="60CM"/>
    <m/>
    <n v="9.2307692307692317"/>
    <n v="400"/>
    <n v="0.47"/>
    <n v="188"/>
    <s v="EUR"/>
    <m/>
    <m/>
    <x v="23"/>
    <n v="400"/>
    <x v="2"/>
    <x v="0"/>
    <m/>
    <m/>
    <n v="0"/>
    <n v="0"/>
    <n v="0"/>
    <x v="23"/>
    <n v="-400"/>
    <m/>
    <n v="443555"/>
    <n v="33.161990950226247"/>
    <m/>
    <n v="0"/>
    <m/>
    <n v="33.161990950226247"/>
    <n v="-33.161990950226247"/>
    <m/>
    <n v="0"/>
  </r>
  <r>
    <n v="23"/>
    <n v="2024"/>
    <s v="Auction"/>
    <s v="VROLIJK BLOEMEN"/>
    <s v="VROLIJK BLOEMEN"/>
    <x v="83"/>
    <s v="Floribunda Roses"/>
    <s v="70CM"/>
    <m/>
    <n v="0.92307692307692313"/>
    <n v="40"/>
    <n v="0.52"/>
    <n v="20.8"/>
    <s v="EUR"/>
    <m/>
    <m/>
    <x v="23"/>
    <n v="40"/>
    <x v="2"/>
    <x v="1"/>
    <m/>
    <m/>
    <n v="0"/>
    <n v="0"/>
    <n v="0"/>
    <x v="23"/>
    <n v="-40"/>
    <m/>
    <n v="443555"/>
    <n v="3.3161990950226246"/>
    <m/>
    <n v="0"/>
    <m/>
    <n v="3.3161990950226246"/>
    <n v="-3.3161990950226246"/>
    <m/>
    <n v="0"/>
  </r>
  <r>
    <n v="23"/>
    <n v="2024"/>
    <s v="Auction"/>
    <s v="VROLIJK BLOEMEN"/>
    <s v="VROLIJK BLOEMEN"/>
    <x v="83"/>
    <s v="Floribunda Roses"/>
    <s v="90CM"/>
    <n v="1"/>
    <n v="8.5714285714285712"/>
    <n v="200"/>
    <n v="0.75"/>
    <n v="150"/>
    <s v="EUR"/>
    <m/>
    <m/>
    <x v="23"/>
    <n v="0"/>
    <x v="2"/>
    <x v="3"/>
    <n v="200"/>
    <n v="0.94"/>
    <n v="188"/>
    <n v="-9.1185022026431817"/>
    <n v="178.88149779735681"/>
    <x v="23"/>
    <n v="0"/>
    <m/>
    <n v="443555"/>
    <n v="30.793277310924367"/>
    <m/>
    <n v="4"/>
    <m/>
    <n v="34.793277310924367"/>
    <n v="144.08822048643245"/>
    <m/>
    <n v="200"/>
  </r>
  <r>
    <n v="23"/>
    <n v="2024"/>
    <s v="Auction"/>
    <s v="VROLIJK BLOEMEN"/>
    <s v="VROLIJK BLOEMEN"/>
    <x v="83"/>
    <s v="Floribunda Roses"/>
    <s v="100CM"/>
    <m/>
    <n v="3.4285714285714284"/>
    <n v="80"/>
    <n v="0.94"/>
    <n v="75.2"/>
    <s v="EUR"/>
    <m/>
    <m/>
    <x v="23"/>
    <n v="0"/>
    <x v="2"/>
    <x v="4"/>
    <n v="80"/>
    <n v="0.99499999999999988"/>
    <n v="79.599999999999994"/>
    <n v="-3.6474008810572727"/>
    <n v="75.952599118942715"/>
    <x v="23"/>
    <n v="0"/>
    <m/>
    <n v="443555"/>
    <n v="12.317310924369748"/>
    <m/>
    <n v="1.6"/>
    <m/>
    <n v="13.917310924369747"/>
    <n v="62.035288194572971"/>
    <m/>
    <n v="80"/>
  </r>
  <r>
    <n v="23"/>
    <n v="2024"/>
    <s v="Auction"/>
    <s v="VROLIJK BLOEMEN"/>
    <s v="VROLIJK BLOEMEN"/>
    <x v="83"/>
    <s v="English Roses"/>
    <s v="80CM"/>
    <n v="1"/>
    <n v="3.4285714285714284"/>
    <n v="80"/>
    <n v="0.56999999999999995"/>
    <n v="45.6"/>
    <s v="EUR"/>
    <m/>
    <m/>
    <x v="23"/>
    <n v="0"/>
    <x v="1"/>
    <x v="2"/>
    <n v="80"/>
    <n v="1.04"/>
    <n v="83.2"/>
    <n v="-3.6474008810572727"/>
    <n v="79.552599118942737"/>
    <x v="23"/>
    <n v="0"/>
    <m/>
    <n v="443555"/>
    <n v="12.317310924369748"/>
    <m/>
    <n v="1.6"/>
    <m/>
    <n v="13.917310924369747"/>
    <n v="65.635288194572993"/>
    <m/>
    <n v="80"/>
  </r>
  <r>
    <n v="23"/>
    <n v="2024"/>
    <s v="Auction"/>
    <s v="VROLIJK BLOEMEN"/>
    <s v="VROLIJK BLOEMEN"/>
    <x v="83"/>
    <s v="English Roses"/>
    <s v="90CM"/>
    <m/>
    <n v="6.8571428571428568"/>
    <n v="160"/>
    <n v="0.75"/>
    <n v="120"/>
    <s v="EUR"/>
    <m/>
    <m/>
    <x v="23"/>
    <n v="0"/>
    <x v="1"/>
    <x v="3"/>
    <n v="160"/>
    <n v="1.0525"/>
    <n v="168.4"/>
    <n v="-7.2948017621145453"/>
    <n v="161.10519823788547"/>
    <x v="23"/>
    <n v="0"/>
    <m/>
    <n v="443555"/>
    <n v="24.634621848739496"/>
    <m/>
    <n v="3.2"/>
    <m/>
    <n v="27.834621848739495"/>
    <n v="133.27057638914599"/>
    <m/>
    <n v="160"/>
  </r>
  <r>
    <n v="23"/>
    <n v="2024"/>
    <s v="Auction"/>
    <s v="VROLIJK BLOEMEN"/>
    <s v="VROLIJK BLOEMEN"/>
    <x v="83"/>
    <s v="English Roses"/>
    <s v="100CM"/>
    <m/>
    <n v="1.7142857142857142"/>
    <n v="40"/>
    <n v="0.94"/>
    <n v="37.6"/>
    <s v="EUR"/>
    <m/>
    <m/>
    <x v="23"/>
    <n v="0"/>
    <x v="1"/>
    <x v="4"/>
    <n v="40"/>
    <n v="0.96"/>
    <n v="38.4"/>
    <n v="-1.8237004405286363"/>
    <n v="36.576299559471366"/>
    <x v="23"/>
    <n v="0"/>
    <m/>
    <n v="443555"/>
    <n v="6.1586554621848739"/>
    <m/>
    <n v="0.8"/>
    <m/>
    <n v="6.9586554621848737"/>
    <n v="29.617644097286494"/>
    <m/>
    <n v="40"/>
  </r>
  <r>
    <n v="23"/>
    <n v="2024"/>
    <s v="Auction"/>
    <s v="VROLIJK BLOEMEN"/>
    <s v="VROLIJK BLOEMEN"/>
    <x v="83"/>
    <s v="English Roses"/>
    <s v="60CM"/>
    <n v="1"/>
    <n v="6"/>
    <n v="280"/>
    <n v="0.47"/>
    <n v="131.6"/>
    <s v="EUR"/>
    <m/>
    <m/>
    <x v="23"/>
    <n v="-480"/>
    <x v="1"/>
    <x v="0"/>
    <n v="760"/>
    <n v="0.95684210526315794"/>
    <n v="727.2"/>
    <n v="-34.650308370044087"/>
    <n v="692.54969162995599"/>
    <x v="23"/>
    <n v="480"/>
    <m/>
    <n v="443555"/>
    <n v="21.555294117647058"/>
    <m/>
    <n v="15.200000000000001"/>
    <m/>
    <n v="36.755294117647061"/>
    <n v="655.79439751230893"/>
    <m/>
    <n v="760"/>
  </r>
  <r>
    <n v="23"/>
    <n v="2024"/>
    <s v="Auction"/>
    <s v="VROLIJK BLOEMEN"/>
    <s v="VROLIJK BLOEMEN"/>
    <x v="83"/>
    <s v="English Roses"/>
    <s v="70CM"/>
    <m/>
    <n v="6"/>
    <n v="280"/>
    <n v="0.52"/>
    <n v="145.6"/>
    <s v="EUR"/>
    <m/>
    <m/>
    <x v="23"/>
    <n v="0"/>
    <x v="1"/>
    <x v="1"/>
    <n v="280"/>
    <n v="1.2785714285714285"/>
    <n v="358"/>
    <n v="-12.765903083700456"/>
    <n v="345.23409691629956"/>
    <x v="23"/>
    <n v="0"/>
    <m/>
    <n v="443555"/>
    <n v="21.555294117647058"/>
    <m/>
    <n v="5.6000000000000005"/>
    <m/>
    <n v="27.15529411764706"/>
    <n v="318.07880279865253"/>
    <m/>
    <n v="280"/>
  </r>
  <r>
    <n v="23"/>
    <n v="2024"/>
    <s v="Auction"/>
    <s v="VROLIJK BLOEMEN"/>
    <s v="VROLIJK BLOEMEN"/>
    <x v="83"/>
    <s v="Polyantha Roses"/>
    <s v="50CM"/>
    <n v="1"/>
    <n v="5.4545454545454541"/>
    <n v="200"/>
    <n v="0.42"/>
    <n v="84"/>
    <s v="EUR"/>
    <m/>
    <m/>
    <x v="23"/>
    <n v="0"/>
    <x v="3"/>
    <x v="5"/>
    <n v="200"/>
    <n v="0.434"/>
    <n v="86.8"/>
    <n v="-9.1185022026431817"/>
    <n v="77.681497797356812"/>
    <x v="23"/>
    <n v="0"/>
    <m/>
    <n v="443555"/>
    <n v="19.595721925133688"/>
    <m/>
    <n v="4"/>
    <m/>
    <n v="23.595721925133688"/>
    <n v="54.085775872223124"/>
    <m/>
    <n v="200"/>
  </r>
  <r>
    <n v="23"/>
    <n v="2024"/>
    <s v="Auction"/>
    <s v="VROLIJK BLOEMEN"/>
    <s v="VROLIJK BLOEMEN"/>
    <x v="83"/>
    <s v="Polyantha Roses"/>
    <s v="60CM"/>
    <m/>
    <n v="6.545454545454545"/>
    <n v="240"/>
    <n v="0.52"/>
    <n v="124.8"/>
    <s v="EUR"/>
    <m/>
    <m/>
    <x v="23"/>
    <n v="0"/>
    <x v="3"/>
    <x v="0"/>
    <n v="240"/>
    <n v="0.49333333333333335"/>
    <n v="118.4"/>
    <n v="-10.942202643171818"/>
    <n v="107.45779735682819"/>
    <x v="23"/>
    <n v="0"/>
    <m/>
    <n v="443555"/>
    <n v="23.514866310160425"/>
    <m/>
    <n v="4.8"/>
    <m/>
    <n v="28.314866310160426"/>
    <n v="79.142931046667769"/>
    <m/>
    <n v="240"/>
  </r>
  <r>
    <n v="24"/>
    <n v="2024"/>
    <s v="Auction"/>
    <s v="VROLIJK BLOEMEN"/>
    <s v="VROLIJK BLOEMEN"/>
    <x v="84"/>
    <s v="Floribunda Roses"/>
    <s v="60CM"/>
    <n v="1"/>
    <n v="12"/>
    <n v="520"/>
    <n v="0.47"/>
    <n v="244.4"/>
    <s v="EUR"/>
    <m/>
    <m/>
    <x v="23"/>
    <n v="520"/>
    <x v="2"/>
    <x v="0"/>
    <m/>
    <m/>
    <n v="0"/>
    <n v="0"/>
    <n v="0"/>
    <x v="23"/>
    <n v="-520"/>
    <m/>
    <n v="443762"/>
    <n v="42.366250000000001"/>
    <m/>
    <n v="0"/>
    <m/>
    <n v="42.366250000000001"/>
    <n v="-42.366250000000001"/>
    <m/>
    <n v="0"/>
  </r>
  <r>
    <n v="24"/>
    <n v="2024"/>
    <s v="Auction"/>
    <s v="VROLIJK BLOEMEN"/>
    <s v="VROLIJK BLOEMEN"/>
    <x v="84"/>
    <s v="Grandiflora Roses"/>
    <s v="70CM"/>
    <n v="1"/>
    <n v="12"/>
    <n v="600"/>
    <n v="0.28000000000000003"/>
    <n v="168"/>
    <s v="EUR"/>
    <m/>
    <m/>
    <x v="23"/>
    <n v="0"/>
    <x v="0"/>
    <x v="1"/>
    <n v="600"/>
    <n v="0.69533333333333336"/>
    <n v="417.2"/>
    <n v="-32.010309278350519"/>
    <n v="385.18969072164947"/>
    <x v="23"/>
    <n v="0"/>
    <m/>
    <n v="443762"/>
    <n v="42.366250000000001"/>
    <m/>
    <n v="12"/>
    <m/>
    <n v="54.366250000000001"/>
    <n v="330.82344072164949"/>
    <m/>
    <n v="600"/>
  </r>
  <r>
    <n v="24"/>
    <n v="2024"/>
    <s v="Auction"/>
    <s v="VROLIJK BLOEMEN"/>
    <s v="VROLIJK BLOEMEN"/>
    <x v="84"/>
    <s v="Grandiflora Roses"/>
    <s v="60CM"/>
    <n v="1"/>
    <n v="12"/>
    <n v="720"/>
    <n v="0.24"/>
    <n v="172.8"/>
    <s v="EUR"/>
    <m/>
    <m/>
    <x v="23"/>
    <n v="-400"/>
    <x v="0"/>
    <x v="0"/>
    <n v="1120"/>
    <n v="0.71071428571428574"/>
    <n v="796"/>
    <n v="-59.75257731958763"/>
    <n v="736.24742268041234"/>
    <x v="23"/>
    <n v="400"/>
    <m/>
    <n v="443762"/>
    <n v="42.366250000000001"/>
    <m/>
    <n v="22.400000000000002"/>
    <m/>
    <n v="64.766249999999999"/>
    <n v="671.48117268041233"/>
    <m/>
    <n v="1120"/>
  </r>
  <r>
    <n v="24"/>
    <n v="2024"/>
    <s v="Auction"/>
    <s v="VROLIJK BLOEMEN"/>
    <s v="VROLIJK BLOEMEN"/>
    <x v="84"/>
    <s v="English Roses"/>
    <s v="50CM"/>
    <n v="1"/>
    <n v="12"/>
    <n v="400"/>
    <n v="0.38"/>
    <n v="152"/>
    <s v="EUR"/>
    <m/>
    <m/>
    <x v="23"/>
    <n v="0"/>
    <x v="1"/>
    <x v="5"/>
    <n v="400"/>
    <n v="0.52900000000000003"/>
    <n v="211.60000000000002"/>
    <n v="-21.340206185567009"/>
    <n v="190.25979381443301"/>
    <x v="23"/>
    <n v="0"/>
    <m/>
    <n v="443762"/>
    <n v="42.366250000000001"/>
    <m/>
    <n v="8"/>
    <m/>
    <n v="50.366250000000001"/>
    <n v="139.893543814433"/>
    <m/>
    <n v="400"/>
  </r>
  <r>
    <n v="24"/>
    <n v="2024"/>
    <s v="Auction"/>
    <s v="VROLIJK BLOEMEN"/>
    <s v="VROLIJK BLOEMEN"/>
    <x v="84"/>
    <s v="English Roses"/>
    <s v="100CM"/>
    <n v="1"/>
    <n v="12"/>
    <n v="200"/>
    <n v="0.94"/>
    <n v="188"/>
    <s v="EUR"/>
    <m/>
    <m/>
    <x v="23"/>
    <n v="0"/>
    <x v="1"/>
    <x v="4"/>
    <n v="200"/>
    <n v="1.3240000000000001"/>
    <n v="264.8"/>
    <n v="-10.670103092783505"/>
    <n v="254.12989690721651"/>
    <x v="23"/>
    <n v="0"/>
    <m/>
    <n v="443762"/>
    <n v="42.366250000000001"/>
    <m/>
    <n v="4"/>
    <m/>
    <n v="46.366250000000001"/>
    <n v="207.7636469072165"/>
    <m/>
    <n v="200"/>
  </r>
  <r>
    <n v="24"/>
    <n v="2024"/>
    <s v="Auction"/>
    <s v="VROLIJK BLOEMEN"/>
    <s v="VROLIJK BLOEMEN"/>
    <x v="84"/>
    <s v="Floribunda Roses"/>
    <s v="60CM"/>
    <n v="1"/>
    <n v="6.545454545454545"/>
    <n v="240"/>
    <n v="0.47"/>
    <n v="112.8"/>
    <s v="EUR"/>
    <m/>
    <m/>
    <x v="23"/>
    <n v="-520"/>
    <x v="2"/>
    <x v="0"/>
    <n v="760"/>
    <n v="0.66421052631578947"/>
    <n v="504.8"/>
    <n v="-40.546391752577321"/>
    <n v="464.25360824742268"/>
    <x v="23"/>
    <n v="520"/>
    <m/>
    <n v="443762"/>
    <n v="23.108863636363637"/>
    <m/>
    <n v="15.200000000000001"/>
    <m/>
    <n v="38.30886363636364"/>
    <n v="425.94474461105904"/>
    <m/>
    <n v="760"/>
  </r>
  <r>
    <n v="24"/>
    <n v="2024"/>
    <s v="Auction"/>
    <s v="VROLIJK BLOEMEN"/>
    <s v="VROLIJK BLOEMEN"/>
    <x v="84"/>
    <s v="Floribunda Roses"/>
    <s v="70CM"/>
    <m/>
    <n v="5.4545454545454541"/>
    <n v="200"/>
    <n v="0.52"/>
    <n v="104"/>
    <s v="EUR"/>
    <m/>
    <m/>
    <x v="23"/>
    <n v="0"/>
    <x v="2"/>
    <x v="1"/>
    <n v="200"/>
    <n v="0.99400000000000011"/>
    <n v="198.8"/>
    <n v="-10.670103092783505"/>
    <n v="188.12989690721651"/>
    <x v="23"/>
    <n v="0"/>
    <m/>
    <n v="443762"/>
    <n v="19.257386363636364"/>
    <m/>
    <n v="4"/>
    <m/>
    <n v="23.257386363636364"/>
    <n v="164.87251054358015"/>
    <m/>
    <n v="200"/>
  </r>
  <r>
    <n v="24"/>
    <n v="2024"/>
    <s v="Auction"/>
    <s v="VROLIJK BLOEMEN"/>
    <s v="VROLIJK BLOEMEN"/>
    <x v="84"/>
    <s v="Floribunda Roses"/>
    <s v="90CM"/>
    <n v="1"/>
    <n v="4.8000000000000007"/>
    <n v="80"/>
    <n v="0.75"/>
    <n v="60"/>
    <s v="EUR"/>
    <m/>
    <m/>
    <x v="23"/>
    <n v="0"/>
    <x v="2"/>
    <x v="3"/>
    <n v="80"/>
    <n v="1.02"/>
    <n v="81.599999999999994"/>
    <n v="-4.268041237113402"/>
    <n v="77.331958762886586"/>
    <x v="23"/>
    <n v="0"/>
    <m/>
    <n v="443762"/>
    <n v="16.946500000000004"/>
    <m/>
    <n v="1.6"/>
    <m/>
    <n v="18.546500000000005"/>
    <n v="58.785458762886577"/>
    <m/>
    <n v="80"/>
  </r>
  <r>
    <n v="24"/>
    <n v="2024"/>
    <s v="Auction"/>
    <s v="VROLIJK BLOEMEN"/>
    <s v="VROLIJK BLOEMEN"/>
    <x v="84"/>
    <s v="Floribunda Roses"/>
    <s v="100CM"/>
    <m/>
    <n v="7.1999999999999993"/>
    <n v="120"/>
    <n v="0.94"/>
    <n v="112.8"/>
    <s v="EUR"/>
    <m/>
    <m/>
    <x v="23"/>
    <n v="0"/>
    <x v="2"/>
    <x v="4"/>
    <n v="120"/>
    <n v="1.1900000000000002"/>
    <n v="142.80000000000001"/>
    <n v="-6.4020618556701034"/>
    <n v="136.39793814432991"/>
    <x v="23"/>
    <n v="0"/>
    <m/>
    <n v="443762"/>
    <n v="25.419750000000001"/>
    <m/>
    <n v="2.4"/>
    <m/>
    <n v="27.819749999999999"/>
    <n v="108.57818814432991"/>
    <m/>
    <n v="120"/>
  </r>
  <r>
    <n v="24"/>
    <n v="2024"/>
    <s v="Auction"/>
    <s v="VROLIJK BLOEMEN"/>
    <s v="VROLIJK BLOEMEN"/>
    <x v="84"/>
    <s v="Grandiflora Roses"/>
    <s v="50CM"/>
    <n v="1"/>
    <n v="3.5999999999999996"/>
    <n v="240"/>
    <n v="0.14000000000000001"/>
    <n v="33.6"/>
    <s v="EUR"/>
    <m/>
    <m/>
    <x v="23"/>
    <n v="0"/>
    <x v="0"/>
    <x v="5"/>
    <n v="240"/>
    <n v="0.59"/>
    <n v="141.6"/>
    <n v="-12.804123711340207"/>
    <n v="128.7958762886598"/>
    <x v="23"/>
    <n v="0"/>
    <m/>
    <n v="443762"/>
    <n v="12.709875"/>
    <m/>
    <n v="4.8"/>
    <m/>
    <n v="17.509875000000001"/>
    <n v="111.2860012886598"/>
    <m/>
    <n v="240"/>
  </r>
  <r>
    <n v="24"/>
    <n v="2024"/>
    <s v="Auction"/>
    <s v="VROLIJK BLOEMEN"/>
    <s v="VROLIJK BLOEMEN"/>
    <x v="84"/>
    <s v="Grandiflora Roses"/>
    <s v="80CM"/>
    <m/>
    <n v="1.2000000000000002"/>
    <n v="80"/>
    <n v="0.33"/>
    <n v="26.4"/>
    <s v="EUR"/>
    <m/>
    <m/>
    <x v="23"/>
    <n v="0"/>
    <x v="0"/>
    <x v="2"/>
    <n v="80"/>
    <n v="0.81500000000000006"/>
    <n v="65.2"/>
    <n v="-4.268041237113402"/>
    <n v="60.931958762886602"/>
    <x v="23"/>
    <n v="0"/>
    <m/>
    <n v="443762"/>
    <n v="4.236625000000001"/>
    <m/>
    <n v="1.6"/>
    <m/>
    <n v="5.8366250000000015"/>
    <n v="55.095333762886597"/>
    <m/>
    <n v="80"/>
  </r>
  <r>
    <n v="24"/>
    <n v="2024"/>
    <s v="Auction"/>
    <s v="VROLIJK BLOEMEN"/>
    <s v="VROLIJK BLOEMEN"/>
    <x v="84"/>
    <s v="Grandiflora Roses"/>
    <s v="90CM"/>
    <m/>
    <n v="1.2000000000000002"/>
    <n v="80"/>
    <n v="0.38"/>
    <n v="30.4"/>
    <s v="EUR"/>
    <m/>
    <m/>
    <x v="23"/>
    <n v="0"/>
    <x v="0"/>
    <x v="3"/>
    <n v="80"/>
    <n v="0.88000000000000012"/>
    <n v="70.400000000000006"/>
    <n v="-4.268041237113402"/>
    <n v="66.131958762886597"/>
    <x v="23"/>
    <n v="0"/>
    <m/>
    <n v="443762"/>
    <n v="4.236625000000001"/>
    <m/>
    <n v="1.6"/>
    <m/>
    <n v="5.8366250000000015"/>
    <n v="60.2953337628866"/>
    <m/>
    <n v="80"/>
  </r>
  <r>
    <n v="24"/>
    <n v="2024"/>
    <s v="Auction"/>
    <s v="VROLIJK BLOEMEN"/>
    <s v="VROLIJK BLOEMEN"/>
    <x v="84"/>
    <s v="Grandiflora Roses"/>
    <s v="60CM"/>
    <m/>
    <n v="6"/>
    <n v="400"/>
    <n v="0.24"/>
    <n v="96"/>
    <s v="EUR"/>
    <m/>
    <m/>
    <x v="23"/>
    <n v="400"/>
    <x v="0"/>
    <x v="0"/>
    <m/>
    <m/>
    <n v="0"/>
    <n v="0"/>
    <n v="0"/>
    <x v="23"/>
    <n v="-400"/>
    <m/>
    <n v="443762"/>
    <n v="21.183125"/>
    <m/>
    <n v="0"/>
    <m/>
    <n v="21.183125"/>
    <n v="-21.183125"/>
    <m/>
    <n v="0"/>
  </r>
  <r>
    <n v="24"/>
    <n v="2024"/>
    <s v="Auction"/>
    <s v="VROLIJK BLOEMEN"/>
    <s v="VROLIJK BLOEMEN"/>
    <x v="84"/>
    <s v="Grandiflora Roses"/>
    <s v="60CM"/>
    <m/>
    <m/>
    <m/>
    <m/>
    <m/>
    <s v="EUR"/>
    <m/>
    <m/>
    <x v="23"/>
    <n v="-80"/>
    <x v="0"/>
    <x v="0"/>
    <n v="80"/>
    <n v="0.08"/>
    <n v="6.4"/>
    <m/>
    <n v="6.4"/>
    <x v="23"/>
    <n v="80"/>
    <m/>
    <n v="443762"/>
    <n v="0"/>
    <m/>
    <n v="1.6"/>
    <m/>
    <n v="1.6"/>
    <n v="4.8000000000000007"/>
    <m/>
    <n v="80"/>
  </r>
  <r>
    <n v="24"/>
    <n v="2024"/>
    <s v="Auction"/>
    <s v="VROLIJK BLOEMEN"/>
    <s v="VROLIJK BLOEMEN"/>
    <x v="84"/>
    <s v="Grandiflora Roses"/>
    <s v="60CM"/>
    <m/>
    <m/>
    <m/>
    <m/>
    <m/>
    <s v="EUR"/>
    <m/>
    <m/>
    <x v="23"/>
    <n v="80"/>
    <x v="0"/>
    <x v="0"/>
    <n v="-80"/>
    <n v="0.61"/>
    <n v="-48.8"/>
    <n v="-12.280000000000001"/>
    <n v="-61.08"/>
    <x v="23"/>
    <n v="-80"/>
    <m/>
    <n v="443762"/>
    <n v="0"/>
    <m/>
    <n v="-1.6"/>
    <m/>
    <n v="-1.6"/>
    <n v="-59.48"/>
    <m/>
    <n v="-80"/>
  </r>
  <r>
    <n v="24"/>
    <n v="2024"/>
    <s v="Auction"/>
    <s v="VROLIJK BLOEMEN"/>
    <s v="VROLIJK BLOEMEN"/>
    <x v="85"/>
    <s v="English Roses"/>
    <s v="50CM"/>
    <n v="1"/>
    <n v="12"/>
    <n v="520"/>
    <n v="0.38"/>
    <n v="197.6"/>
    <s v="EUR"/>
    <m/>
    <m/>
    <x v="23"/>
    <n v="-80"/>
    <x v="1"/>
    <x v="5"/>
    <n v="600"/>
    <n v="0.40333333333333332"/>
    <n v="242"/>
    <n v="-38.168965517241396"/>
    <n v="203.83103448275861"/>
    <x v="23"/>
    <n v="80"/>
    <m/>
    <s v="F088294"/>
    <n v="45.94"/>
    <m/>
    <n v="12"/>
    <m/>
    <n v="57.94"/>
    <n v="145.89103448275861"/>
    <m/>
    <n v="600"/>
  </r>
  <r>
    <n v="24"/>
    <n v="2024"/>
    <s v="Auction"/>
    <s v="VROLIJK BLOEMEN"/>
    <s v="VROLIJK BLOEMEN"/>
    <x v="85"/>
    <s v="English Roses"/>
    <s v="90CM"/>
    <n v="1"/>
    <n v="12"/>
    <n v="240"/>
    <n v="0.75"/>
    <n v="180"/>
    <s v="EUR"/>
    <m/>
    <m/>
    <x v="23"/>
    <n v="-40"/>
    <x v="1"/>
    <x v="3"/>
    <n v="280"/>
    <n v="1.2357142857142858"/>
    <n v="346"/>
    <n v="-17.812183908045984"/>
    <n v="328.18781609195401"/>
    <x v="23"/>
    <n v="40"/>
    <m/>
    <s v="F088294"/>
    <n v="45.94"/>
    <m/>
    <n v="5.6000000000000005"/>
    <m/>
    <n v="51.54"/>
    <n v="276.64781609195398"/>
    <m/>
    <n v="280"/>
  </r>
  <r>
    <n v="24"/>
    <n v="2024"/>
    <s v="Auction"/>
    <s v="VROLIJK BLOEMEN"/>
    <s v="VROLIJK BLOEMEN"/>
    <x v="85"/>
    <s v="Grandiflora Roses"/>
    <s v="60CM"/>
    <n v="1"/>
    <n v="12"/>
    <n v="640"/>
    <n v="0.24"/>
    <n v="153.6"/>
    <s v="EUR"/>
    <m/>
    <m/>
    <x v="23"/>
    <n v="0"/>
    <x v="0"/>
    <x v="0"/>
    <n v="640"/>
    <n v="0.8"/>
    <n v="512"/>
    <n v="-40.713563218390824"/>
    <n v="471.28643678160915"/>
    <x v="23"/>
    <n v="0"/>
    <m/>
    <s v="F088294"/>
    <n v="45.94"/>
    <m/>
    <n v="12.8"/>
    <m/>
    <n v="58.739999999999995"/>
    <n v="412.54643678160915"/>
    <m/>
    <n v="640"/>
  </r>
  <r>
    <n v="24"/>
    <n v="2024"/>
    <s v="Auction"/>
    <s v="VROLIJK BLOEMEN"/>
    <s v="VROLIJK BLOEMEN"/>
    <x v="85"/>
    <s v="English Roses"/>
    <s v="60CM"/>
    <n v="1"/>
    <n v="7.5"/>
    <n v="200"/>
    <n v="0.47"/>
    <n v="94"/>
    <s v="EUR"/>
    <m/>
    <m/>
    <x v="23"/>
    <n v="0"/>
    <x v="1"/>
    <x v="0"/>
    <n v="200"/>
    <n v="0.75"/>
    <n v="150"/>
    <n v="-12.722988505747132"/>
    <n v="137.27701149425286"/>
    <x v="23"/>
    <n v="0"/>
    <m/>
    <s v="F088294"/>
    <n v="28.712499999999999"/>
    <m/>
    <n v="4"/>
    <m/>
    <n v="32.712499999999999"/>
    <n v="104.56451149425286"/>
    <m/>
    <n v="200"/>
  </r>
  <r>
    <n v="24"/>
    <n v="2024"/>
    <s v="Auction"/>
    <s v="VROLIJK BLOEMEN"/>
    <s v="VROLIJK BLOEMEN"/>
    <x v="85"/>
    <s v="English Roses"/>
    <s v="80CM"/>
    <m/>
    <n v="4.5"/>
    <n v="120"/>
    <n v="0.56999999999999995"/>
    <n v="68.400000000000006"/>
    <s v="EUR"/>
    <m/>
    <m/>
    <x v="23"/>
    <n v="0"/>
    <x v="1"/>
    <x v="2"/>
    <n v="120"/>
    <n v="0.88"/>
    <n v="105.6"/>
    <n v="-7.63379310344828"/>
    <n v="97.966206896551711"/>
    <x v="23"/>
    <n v="0"/>
    <m/>
    <s v="F088294"/>
    <n v="17.227499999999999"/>
    <m/>
    <n v="2.4"/>
    <m/>
    <n v="19.627499999999998"/>
    <n v="78.338706896551713"/>
    <m/>
    <n v="120"/>
  </r>
  <r>
    <n v="24"/>
    <n v="2024"/>
    <s v="Auction"/>
    <s v="VROLIJK BLOEMEN"/>
    <s v="VROLIJK BLOEMEN"/>
    <x v="85"/>
    <s v="English Roses"/>
    <s v="50CM"/>
    <n v="1"/>
    <n v="3"/>
    <n v="80"/>
    <n v="0.38"/>
    <n v="30.4"/>
    <s v="EUR"/>
    <m/>
    <m/>
    <x v="23"/>
    <n v="80"/>
    <x v="1"/>
    <x v="5"/>
    <m/>
    <m/>
    <n v="0"/>
    <n v="0"/>
    <n v="0"/>
    <x v="23"/>
    <n v="-80"/>
    <m/>
    <s v="F088294"/>
    <n v="11.484999999999999"/>
    <m/>
    <n v="0"/>
    <m/>
    <n v="11.484999999999999"/>
    <n v="-11.484999999999999"/>
    <m/>
    <n v="0"/>
  </r>
  <r>
    <n v="24"/>
    <n v="2024"/>
    <s v="Auction"/>
    <s v="VROLIJK BLOEMEN"/>
    <s v="VROLIJK BLOEMEN"/>
    <x v="85"/>
    <s v="English Roses"/>
    <s v="70CM"/>
    <m/>
    <n v="9"/>
    <n v="240"/>
    <n v="0.52"/>
    <n v="124.8"/>
    <s v="EUR"/>
    <m/>
    <m/>
    <x v="23"/>
    <n v="0"/>
    <x v="1"/>
    <x v="1"/>
    <n v="240"/>
    <n v="0.88"/>
    <n v="211.2"/>
    <n v="-15.26758620689656"/>
    <n v="195.93241379310342"/>
    <x v="23"/>
    <n v="0"/>
    <m/>
    <s v="F088294"/>
    <n v="34.454999999999998"/>
    <m/>
    <n v="4.8"/>
    <m/>
    <n v="39.254999999999995"/>
    <n v="156.67741379310343"/>
    <m/>
    <n v="240"/>
  </r>
  <r>
    <n v="24"/>
    <n v="2024"/>
    <s v="Auction"/>
    <s v="VROLIJK BLOEMEN"/>
    <s v="VROLIJK BLOEMEN"/>
    <x v="85"/>
    <s v="Grandiflora Roses"/>
    <s v="70CM"/>
    <n v="1"/>
    <n v="9.8181818181818183"/>
    <n v="360"/>
    <n v="0.28000000000000003"/>
    <n v="100.8"/>
    <s v="EUR"/>
    <m/>
    <m/>
    <x v="23"/>
    <n v="0"/>
    <x v="0"/>
    <x v="1"/>
    <n v="360"/>
    <n v="0.84777777777777774"/>
    <n v="305.2"/>
    <n v="-22.90137931034484"/>
    <n v="282.29862068965514"/>
    <x v="23"/>
    <n v="0"/>
    <m/>
    <s v="F088294"/>
    <n v="37.587272727272726"/>
    <m/>
    <n v="7.2"/>
    <m/>
    <n v="44.787272727272729"/>
    <n v="237.51134796238242"/>
    <m/>
    <n v="360"/>
  </r>
  <r>
    <n v="24"/>
    <n v="2024"/>
    <s v="Auction"/>
    <s v="VROLIJK BLOEMEN"/>
    <s v="VROLIJK BLOEMEN"/>
    <x v="85"/>
    <s v="Grandiflora Roses"/>
    <s v="90CM"/>
    <m/>
    <n v="1.0909090909090908"/>
    <n v="40"/>
    <n v="0.38"/>
    <n v="15.2"/>
    <s v="EUR"/>
    <m/>
    <m/>
    <x v="23"/>
    <n v="0"/>
    <x v="0"/>
    <x v="3"/>
    <n v="40"/>
    <n v="1.06"/>
    <n v="42.400000000000006"/>
    <n v="-2.5445977011494265"/>
    <n v="39.855402298850578"/>
    <x v="23"/>
    <n v="0"/>
    <m/>
    <s v="F088294"/>
    <n v="4.1763636363636358"/>
    <m/>
    <n v="0.8"/>
    <m/>
    <n v="4.9763636363636357"/>
    <n v="34.879038662486941"/>
    <m/>
    <n v="40"/>
  </r>
  <r>
    <n v="24"/>
    <n v="2024"/>
    <s v="Auction"/>
    <s v="VROLIJK BLOEMEN"/>
    <s v="VROLIJK BLOEMEN"/>
    <x v="85"/>
    <s v="Grandiflora Roses"/>
    <s v="100CM"/>
    <m/>
    <n v="1.0909090909090908"/>
    <n v="40"/>
    <n v="0.47"/>
    <n v="18.8"/>
    <s v="EUR"/>
    <m/>
    <m/>
    <x v="23"/>
    <n v="0"/>
    <x v="0"/>
    <x v="4"/>
    <n v="40"/>
    <n v="1.1000000000000001"/>
    <n v="44"/>
    <n v="-2.5445977011494265"/>
    <n v="41.455402298850572"/>
    <x v="23"/>
    <n v="0"/>
    <m/>
    <s v="F088294"/>
    <n v="4.1763636363636358"/>
    <m/>
    <n v="0.8"/>
    <m/>
    <n v="4.9763636363636357"/>
    <n v="36.479038662486936"/>
    <m/>
    <n v="40"/>
  </r>
  <r>
    <n v="24"/>
    <n v="2024"/>
    <s v="Auction"/>
    <s v="VROLIJK BLOEMEN"/>
    <s v="VROLIJK BLOEMEN"/>
    <x v="85"/>
    <s v="English Roses"/>
    <s v="90CM"/>
    <n v="1"/>
    <n v="2.4000000000000004"/>
    <n v="40"/>
    <n v="0.75"/>
    <n v="30"/>
    <s v="EUR"/>
    <m/>
    <m/>
    <x v="23"/>
    <n v="40"/>
    <x v="1"/>
    <x v="3"/>
    <m/>
    <m/>
    <n v="0"/>
    <n v="0"/>
    <n v="0"/>
    <x v="23"/>
    <n v="-40"/>
    <m/>
    <s v="F088294"/>
    <n v="9.1880000000000006"/>
    <m/>
    <n v="0"/>
    <m/>
    <n v="9.1880000000000006"/>
    <n v="-9.1880000000000006"/>
    <m/>
    <n v="0"/>
  </r>
  <r>
    <n v="24"/>
    <n v="2024"/>
    <s v="Auction"/>
    <s v="VROLIJK BLOEMEN"/>
    <s v="VROLIJK BLOEMEN"/>
    <x v="85"/>
    <s v="English Roses"/>
    <s v="100CM"/>
    <m/>
    <n v="9.6000000000000014"/>
    <n v="160"/>
    <n v="0.94"/>
    <n v="150.4"/>
    <s v="EUR"/>
    <m/>
    <m/>
    <x v="23"/>
    <n v="0"/>
    <x v="1"/>
    <x v="4"/>
    <n v="160"/>
    <n v="1.1499999999999999"/>
    <n v="184"/>
    <n v="-10.178390804597706"/>
    <n v="173.82160919540229"/>
    <x v="23"/>
    <n v="0"/>
    <m/>
    <s v="F088294"/>
    <n v="36.752000000000002"/>
    <m/>
    <n v="3.2"/>
    <m/>
    <n v="39.952000000000005"/>
    <n v="133.86960919540229"/>
    <m/>
    <n v="160"/>
  </r>
  <r>
    <n v="24"/>
    <n v="2024"/>
    <s v="Auction"/>
    <s v="VROLIJK BLOEMEN"/>
    <s v="VROLIJK BLOEMEN"/>
    <x v="85"/>
    <s v="Floribunda Roses"/>
    <s v="90CM"/>
    <n v="1"/>
    <n v="10"/>
    <n v="200"/>
    <n v="0.75"/>
    <n v="150"/>
    <s v="EUR"/>
    <m/>
    <m/>
    <x v="23"/>
    <n v="0"/>
    <x v="2"/>
    <x v="3"/>
    <n v="200"/>
    <n v="1.2819999999999998"/>
    <n v="256.39999999999998"/>
    <n v="-12.722988505747132"/>
    <n v="243.67701149425284"/>
    <x v="23"/>
    <n v="0"/>
    <m/>
    <s v="F088294"/>
    <n v="38.283333333333331"/>
    <m/>
    <n v="4"/>
    <m/>
    <n v="42.283333333333331"/>
    <n v="201.39367816091951"/>
    <m/>
    <n v="200"/>
  </r>
  <r>
    <n v="24"/>
    <n v="2024"/>
    <s v="Auction"/>
    <s v="VROLIJK BLOEMEN"/>
    <s v="VROLIJK BLOEMEN"/>
    <x v="85"/>
    <s v="Floribunda Roses"/>
    <s v="100CM"/>
    <m/>
    <n v="2"/>
    <n v="40"/>
    <n v="0.94"/>
    <n v="37.6"/>
    <s v="EUR"/>
    <m/>
    <m/>
    <x v="23"/>
    <n v="0"/>
    <x v="2"/>
    <x v="4"/>
    <n v="40"/>
    <n v="1.26"/>
    <n v="50.4"/>
    <n v="-2.5445977011494265"/>
    <n v="47.855402298850571"/>
    <x v="23"/>
    <n v="0"/>
    <m/>
    <s v="F088294"/>
    <n v="7.6566666666666663"/>
    <m/>
    <n v="0.8"/>
    <m/>
    <n v="8.456666666666667"/>
    <n v="39.3987356321839"/>
    <m/>
    <n v="40"/>
  </r>
  <r>
    <n v="24"/>
    <n v="2024"/>
    <s v="Auction"/>
    <s v="VROLIJK BLOEMEN"/>
    <s v="VROLIJK BLOEMEN"/>
    <x v="85"/>
    <s v="Floribunda Roses"/>
    <s v="60CM"/>
    <n v="1"/>
    <n v="5.1428571428571423"/>
    <n v="240"/>
    <n v="0.47"/>
    <n v="112.8"/>
    <s v="EUR"/>
    <m/>
    <m/>
    <x v="23"/>
    <n v="0"/>
    <x v="2"/>
    <x v="0"/>
    <n v="240"/>
    <n v="0.61"/>
    <n v="146.4"/>
    <n v="-15.26758620689656"/>
    <n v="131.13241379310344"/>
    <x v="23"/>
    <n v="0"/>
    <m/>
    <s v="F088294"/>
    <n v="19.688571428571425"/>
    <m/>
    <n v="4.8"/>
    <m/>
    <n v="24.488571428571426"/>
    <n v="106.64384236453202"/>
    <m/>
    <n v="240"/>
  </r>
  <r>
    <n v="24"/>
    <n v="2024"/>
    <s v="Auction"/>
    <s v="VROLIJK BLOEMEN"/>
    <s v="VROLIJK BLOEMEN"/>
    <x v="85"/>
    <s v="Floribunda Roses"/>
    <s v="70CM"/>
    <m/>
    <n v="6.8571428571428568"/>
    <n v="320"/>
    <n v="0.52"/>
    <n v="166.4"/>
    <s v="EUR"/>
    <m/>
    <m/>
    <x v="23"/>
    <n v="0"/>
    <x v="2"/>
    <x v="1"/>
    <n v="320"/>
    <n v="0.85624999999999996"/>
    <n v="274"/>
    <n v="-20.356781609195412"/>
    <n v="253.64321839080458"/>
    <x v="23"/>
    <n v="0"/>
    <m/>
    <s v="F088294"/>
    <n v="26.251428571428569"/>
    <m/>
    <n v="6.4"/>
    <m/>
    <n v="32.651428571428568"/>
    <n v="220.99178981937601"/>
    <m/>
    <n v="320"/>
  </r>
  <r>
    <n v="24"/>
    <n v="2024"/>
    <s v="Auction"/>
    <s v="VROLIJK BLOEMEN"/>
    <s v="VROLIJK BLOEMEN"/>
    <x v="86"/>
    <s v="English Roses"/>
    <s v="50CM"/>
    <n v="1"/>
    <n v="12"/>
    <n v="520"/>
    <n v="0.38"/>
    <n v="197.6"/>
    <s v="EUR"/>
    <m/>
    <m/>
    <x v="24"/>
    <n v="-160"/>
    <x v="1"/>
    <x v="5"/>
    <n v="680"/>
    <n v="0.65294117647058825"/>
    <n v="444"/>
    <n v="-44.622499999999945"/>
    <n v="399.37750000000005"/>
    <x v="24"/>
    <n v="160"/>
    <m/>
    <n v="444359"/>
    <n v="39.953333333333333"/>
    <m/>
    <n v="13.6"/>
    <m/>
    <n v="53.553333333333335"/>
    <n v="345.82416666666671"/>
    <m/>
    <n v="680"/>
  </r>
  <r>
    <n v="24"/>
    <n v="2024"/>
    <s v="Auction"/>
    <s v="VROLIJK BLOEMEN"/>
    <s v="VROLIJK BLOEMEN"/>
    <x v="86"/>
    <s v="English Roses"/>
    <s v="90CM"/>
    <n v="1"/>
    <n v="12"/>
    <n v="240"/>
    <n v="0.75"/>
    <n v="180"/>
    <s v="EUR"/>
    <m/>
    <m/>
    <x v="24"/>
    <n v="0"/>
    <x v="1"/>
    <x v="3"/>
    <n v="240"/>
    <n v="1.3833333333333333"/>
    <n v="332"/>
    <n v="-15.749117647058805"/>
    <n v="316.25088235294118"/>
    <x v="24"/>
    <n v="0"/>
    <m/>
    <n v="443555"/>
    <n v="39.953333333333333"/>
    <m/>
    <n v="4.8"/>
    <m/>
    <n v="44.75333333333333"/>
    <n v="271.49754901960785"/>
    <m/>
    <n v="240"/>
  </r>
  <r>
    <n v="24"/>
    <n v="2024"/>
    <s v="Auction"/>
    <s v="VROLIJK BLOEMEN"/>
    <s v="VROLIJK BLOEMEN"/>
    <x v="86"/>
    <s v="English Roses"/>
    <s v="100CM"/>
    <n v="1"/>
    <n v="12"/>
    <n v="200"/>
    <n v="0.94"/>
    <n v="188"/>
    <s v="EUR"/>
    <m/>
    <m/>
    <x v="24"/>
    <n v="-80"/>
    <x v="1"/>
    <x v="4"/>
    <n v="280"/>
    <n v="1.7214285714285715"/>
    <n v="482"/>
    <n v="-18.37397058823527"/>
    <n v="463.6260294117647"/>
    <x v="24"/>
    <n v="80"/>
    <m/>
    <n v="443555"/>
    <n v="39.953333333333333"/>
    <m/>
    <n v="5.6000000000000005"/>
    <m/>
    <n v="45.553333333333335"/>
    <n v="418.07269607843136"/>
    <m/>
    <n v="280"/>
  </r>
  <r>
    <n v="24"/>
    <n v="2024"/>
    <s v="Auction"/>
    <s v="VROLIJK BLOEMEN"/>
    <s v="VROLIJK BLOEMEN"/>
    <x v="86"/>
    <s v="Floribunda Roses"/>
    <s v="60CM"/>
    <n v="1"/>
    <n v="12"/>
    <n v="520"/>
    <n v="0.47"/>
    <n v="244.4"/>
    <s v="EUR"/>
    <m/>
    <m/>
    <x v="24"/>
    <n v="-400"/>
    <x v="2"/>
    <x v="0"/>
    <n v="920"/>
    <n v="0.90782608695652178"/>
    <n v="835.2"/>
    <n v="-60.371617647058756"/>
    <n v="774.82838235294128"/>
    <x v="24"/>
    <n v="400"/>
    <m/>
    <n v="443555"/>
    <n v="39.953333333333333"/>
    <m/>
    <n v="18.400000000000002"/>
    <m/>
    <n v="58.353333333333339"/>
    <n v="716.47504901960792"/>
    <m/>
    <n v="920"/>
  </r>
  <r>
    <n v="24"/>
    <n v="2024"/>
    <s v="Auction"/>
    <s v="VROLIJK BLOEMEN"/>
    <s v="VROLIJK BLOEMEN"/>
    <x v="86"/>
    <s v="Grandiflora Roses"/>
    <s v="50CM"/>
    <n v="1"/>
    <n v="12"/>
    <n v="800"/>
    <n v="0.14000000000000001"/>
    <n v="112"/>
    <s v="EUR"/>
    <m/>
    <m/>
    <x v="24"/>
    <n v="0"/>
    <x v="0"/>
    <x v="5"/>
    <n v="800"/>
    <n v="0.5"/>
    <n v="400"/>
    <n v="-52.49705882352935"/>
    <n v="347.50294117647064"/>
    <x v="24"/>
    <n v="0"/>
    <m/>
    <n v="443555"/>
    <n v="39.953333333333333"/>
    <m/>
    <n v="16"/>
    <m/>
    <n v="55.953333333333333"/>
    <n v="291.54960784313732"/>
    <m/>
    <n v="800"/>
  </r>
  <r>
    <n v="24"/>
    <n v="2024"/>
    <s v="Auction"/>
    <s v="VROLIJK BLOEMEN"/>
    <s v="VROLIJK BLOEMEN"/>
    <x v="86"/>
    <s v="Grandiflora Roses"/>
    <s v="60CM"/>
    <n v="1"/>
    <n v="12"/>
    <n v="720"/>
    <n v="0.24"/>
    <n v="172.8"/>
    <s v="EUR"/>
    <m/>
    <m/>
    <x v="24"/>
    <n v="0"/>
    <x v="0"/>
    <x v="0"/>
    <n v="720"/>
    <n v="0.8305555555555556"/>
    <n v="598"/>
    <n v="-47.247352941176416"/>
    <n v="550.75264705882364"/>
    <x v="24"/>
    <n v="0"/>
    <m/>
    <n v="443555"/>
    <n v="39.953333333333333"/>
    <m/>
    <n v="14.4"/>
    <m/>
    <n v="54.353333333333332"/>
    <n v="496.39931372549029"/>
    <m/>
    <n v="720"/>
  </r>
  <r>
    <n v="24"/>
    <n v="2024"/>
    <s v="Auction"/>
    <s v="VROLIJK BLOEMEN"/>
    <s v="VROLIJK BLOEMEN"/>
    <x v="86"/>
    <s v="Grandiflora Roses"/>
    <s v="70CM"/>
    <n v="1"/>
    <n v="6"/>
    <n v="200"/>
    <n v="0.28000000000000003"/>
    <n v="56"/>
    <s v="EUR"/>
    <m/>
    <m/>
    <x v="24"/>
    <n v="0"/>
    <x v="0"/>
    <x v="1"/>
    <n v="200"/>
    <n v="0.90599999999999992"/>
    <n v="181.2"/>
    <n v="-13.124264705882338"/>
    <n v="168.07573529411766"/>
    <x v="24"/>
    <n v="0"/>
    <m/>
    <n v="443555"/>
    <n v="19.976666666666667"/>
    <m/>
    <n v="4"/>
    <m/>
    <n v="23.976666666666667"/>
    <n v="144.099068627451"/>
    <m/>
    <n v="200"/>
  </r>
  <r>
    <n v="24"/>
    <n v="2024"/>
    <s v="Auction"/>
    <s v="VROLIJK BLOEMEN"/>
    <s v="VROLIJK BLOEMEN"/>
    <x v="86"/>
    <s v="Grandiflora Roses"/>
    <s v="80CM"/>
    <m/>
    <n v="6"/>
    <n v="200"/>
    <n v="0.33"/>
    <n v="66"/>
    <s v="EUR"/>
    <m/>
    <m/>
    <x v="24"/>
    <n v="0"/>
    <x v="0"/>
    <x v="2"/>
    <n v="200"/>
    <n v="0.97599999999999998"/>
    <n v="195.2"/>
    <n v="-13.124264705882338"/>
    <n v="182.07573529411766"/>
    <x v="24"/>
    <n v="0"/>
    <m/>
    <n v="443555"/>
    <n v="19.976666666666667"/>
    <m/>
    <n v="4"/>
    <m/>
    <n v="23.976666666666667"/>
    <n v="158.099068627451"/>
    <m/>
    <n v="200"/>
  </r>
  <r>
    <n v="24"/>
    <n v="2024"/>
    <s v="Auction"/>
    <s v="VROLIJK BLOEMEN"/>
    <s v="VROLIJK BLOEMEN"/>
    <x v="86"/>
    <s v="Floribunda Roses"/>
    <s v="80CM"/>
    <n v="1"/>
    <n v="1.7142857142857142"/>
    <n v="80"/>
    <n v="0.56999999999999995"/>
    <n v="45.6"/>
    <s v="EUR"/>
    <m/>
    <m/>
    <x v="24"/>
    <n v="0"/>
    <x v="2"/>
    <x v="2"/>
    <n v="80"/>
    <n v="1.9"/>
    <n v="152"/>
    <n v="-5.2497058823529343"/>
    <n v="146.75029411764706"/>
    <x v="24"/>
    <n v="0"/>
    <m/>
    <n v="443555"/>
    <n v="5.7076190476190476"/>
    <m/>
    <n v="1.6"/>
    <m/>
    <n v="7.3076190476190472"/>
    <n v="139.442675070028"/>
    <m/>
    <n v="80"/>
  </r>
  <r>
    <n v="24"/>
    <n v="2024"/>
    <s v="Auction"/>
    <s v="VROLIJK BLOEMEN"/>
    <s v="VROLIJK BLOEMEN"/>
    <x v="86"/>
    <s v="Floribunda Roses"/>
    <s v="60CM"/>
    <m/>
    <n v="7.7142857142857153"/>
    <n v="360"/>
    <n v="0.47"/>
    <n v="169.2"/>
    <s v="EUR"/>
    <m/>
    <m/>
    <x v="24"/>
    <n v="360"/>
    <x v="2"/>
    <x v="0"/>
    <m/>
    <m/>
    <n v="0"/>
    <n v="0"/>
    <n v="0"/>
    <x v="24"/>
    <n v="-360"/>
    <m/>
    <n v="443555"/>
    <n v="25.684285714285718"/>
    <m/>
    <n v="0"/>
    <m/>
    <n v="25.684285714285718"/>
    <n v="-25.684285714285718"/>
    <m/>
    <n v="0"/>
  </r>
  <r>
    <n v="24"/>
    <n v="2024"/>
    <s v="Auction"/>
    <s v="VROLIJK BLOEMEN"/>
    <s v="VROLIJK BLOEMEN"/>
    <x v="86"/>
    <s v="Floribunda Roses"/>
    <s v="70CM"/>
    <m/>
    <n v="2.5714285714285712"/>
    <n v="120"/>
    <n v="0.52"/>
    <n v="62.4"/>
    <s v="EUR"/>
    <m/>
    <m/>
    <x v="24"/>
    <n v="40"/>
    <x v="2"/>
    <x v="1"/>
    <n v="80"/>
    <n v="2.125"/>
    <n v="170"/>
    <n v="-5.2497058823529343"/>
    <n v="164.75029411764706"/>
    <x v="24"/>
    <n v="-40"/>
    <m/>
    <n v="443555"/>
    <n v="8.5614285714285714"/>
    <m/>
    <n v="1.6"/>
    <m/>
    <n v="10.161428571428571"/>
    <n v="154.5888655462185"/>
    <m/>
    <n v="80"/>
  </r>
  <r>
    <n v="24"/>
    <n v="2024"/>
    <s v="Auction"/>
    <s v="VROLIJK BLOEMEN"/>
    <s v="VROLIJK BLOEMEN"/>
    <x v="86"/>
    <s v="Floribunda Roses"/>
    <s v="90CM"/>
    <n v="1"/>
    <n v="6"/>
    <n v="120"/>
    <n v="0.75"/>
    <n v="90"/>
    <s v="EUR"/>
    <m/>
    <m/>
    <x v="24"/>
    <n v="0"/>
    <x v="2"/>
    <x v="3"/>
    <n v="120"/>
    <n v="1.7166666666666666"/>
    <n v="206"/>
    <n v="-7.8745588235294024"/>
    <n v="198.12544117647059"/>
    <x v="24"/>
    <n v="0"/>
    <m/>
    <n v="443555"/>
    <n v="19.976666666666667"/>
    <m/>
    <n v="2.4"/>
    <m/>
    <n v="22.376666666666665"/>
    <n v="175.74877450980392"/>
    <m/>
    <n v="120"/>
  </r>
  <r>
    <n v="24"/>
    <n v="2024"/>
    <s v="Auction"/>
    <s v="VROLIJK BLOEMEN"/>
    <s v="VROLIJK BLOEMEN"/>
    <x v="86"/>
    <s v="Floribunda Roses"/>
    <s v="100CM"/>
    <m/>
    <n v="6"/>
    <n v="120"/>
    <n v="0.94"/>
    <n v="112.8"/>
    <s v="EUR"/>
    <m/>
    <m/>
    <x v="24"/>
    <n v="0"/>
    <x v="2"/>
    <x v="4"/>
    <n v="120"/>
    <n v="1.6"/>
    <n v="192"/>
    <n v="-7.8745588235294024"/>
    <n v="184.12544117647059"/>
    <x v="24"/>
    <n v="0"/>
    <m/>
    <n v="443555"/>
    <n v="19.976666666666667"/>
    <m/>
    <n v="2.4"/>
    <m/>
    <n v="22.376666666666665"/>
    <n v="161.74877450980392"/>
    <m/>
    <n v="120"/>
  </r>
  <r>
    <n v="24"/>
    <n v="2024"/>
    <s v="Auction"/>
    <s v="VROLIJK BLOEMEN"/>
    <s v="VROLIJK BLOEMEN"/>
    <x v="86"/>
    <s v="English Roses"/>
    <s v="80CM"/>
    <n v="1"/>
    <n v="2.6666666666666665"/>
    <n v="80"/>
    <n v="0.56999999999999995"/>
    <n v="45.6"/>
    <s v="EUR"/>
    <m/>
    <m/>
    <x v="24"/>
    <n v="0"/>
    <x v="1"/>
    <x v="2"/>
    <n v="80"/>
    <n v="1.7250000000000001"/>
    <n v="138"/>
    <n v="-5.2497058823529343"/>
    <n v="132.75029411764706"/>
    <x v="24"/>
    <n v="0"/>
    <m/>
    <n v="443555"/>
    <n v="8.8785185185185185"/>
    <m/>
    <n v="1.6"/>
    <m/>
    <n v="10.478518518518518"/>
    <n v="122.27177559912855"/>
    <m/>
    <n v="80"/>
  </r>
  <r>
    <n v="24"/>
    <n v="2024"/>
    <s v="Auction"/>
    <s v="VROLIJK BLOEMEN"/>
    <s v="VROLIJK BLOEMEN"/>
    <x v="86"/>
    <s v="English Roses"/>
    <s v="100CM"/>
    <m/>
    <n v="2.6666666666666665"/>
    <n v="80"/>
    <n v="0.94"/>
    <n v="75.2"/>
    <s v="EUR"/>
    <m/>
    <m/>
    <x v="24"/>
    <n v="80"/>
    <x v="1"/>
    <x v="4"/>
    <m/>
    <m/>
    <n v="0"/>
    <n v="0"/>
    <n v="0"/>
    <x v="24"/>
    <n v="-80"/>
    <m/>
    <n v="443555"/>
    <n v="8.8785185185185185"/>
    <m/>
    <n v="0"/>
    <m/>
    <n v="8.8785185185185185"/>
    <n v="-8.8785185185185185"/>
    <m/>
    <n v="0"/>
  </r>
  <r>
    <n v="24"/>
    <n v="2024"/>
    <s v="Auction"/>
    <s v="VROLIJK BLOEMEN"/>
    <s v="VROLIJK BLOEMEN"/>
    <x v="86"/>
    <s v="English Roses"/>
    <s v="70CM"/>
    <m/>
    <n v="6.666666666666667"/>
    <n v="200"/>
    <n v="0.52"/>
    <n v="104"/>
    <s v="EUR"/>
    <m/>
    <m/>
    <x v="24"/>
    <n v="0"/>
    <x v="1"/>
    <x v="1"/>
    <n v="200"/>
    <n v="1.44"/>
    <n v="288"/>
    <n v="-13.124264705882338"/>
    <n v="274.87573529411765"/>
    <x v="24"/>
    <n v="0"/>
    <m/>
    <n v="443555"/>
    <n v="22.1962962962963"/>
    <m/>
    <n v="4"/>
    <m/>
    <n v="26.1962962962963"/>
    <n v="248.67943899782134"/>
    <m/>
    <n v="200"/>
  </r>
  <r>
    <n v="24"/>
    <n v="2024"/>
    <s v="Auction"/>
    <s v="VROLIJK BLOEMEN"/>
    <s v="VROLIJK BLOEMEN"/>
    <x v="86"/>
    <s v="English Roses"/>
    <s v="60CM"/>
    <n v="1"/>
    <n v="6.666666666666667"/>
    <n v="200"/>
    <n v="0.47"/>
    <n v="94"/>
    <s v="EUR"/>
    <m/>
    <m/>
    <x v="24"/>
    <n v="0"/>
    <x v="1"/>
    <x v="0"/>
    <n v="200"/>
    <n v="1.44"/>
    <n v="288"/>
    <n v="-13.124264705882338"/>
    <n v="274.87573529411765"/>
    <x v="24"/>
    <n v="0"/>
    <m/>
    <n v="443555"/>
    <n v="22.1962962962963"/>
    <m/>
    <n v="4"/>
    <m/>
    <n v="26.1962962962963"/>
    <n v="248.67943899782134"/>
    <m/>
    <n v="200"/>
  </r>
  <r>
    <n v="24"/>
    <n v="2024"/>
    <s v="Auction"/>
    <s v="VROLIJK BLOEMEN"/>
    <s v="VROLIJK BLOEMEN"/>
    <x v="86"/>
    <s v="English Roses"/>
    <s v="50CM"/>
    <m/>
    <n v="5.333333333333333"/>
    <n v="160"/>
    <n v="0.38"/>
    <n v="60.8"/>
    <s v="EUR"/>
    <m/>
    <m/>
    <x v="24"/>
    <n v="160"/>
    <x v="1"/>
    <x v="5"/>
    <m/>
    <m/>
    <n v="0"/>
    <n v="0"/>
    <n v="0"/>
    <x v="24"/>
    <n v="-160"/>
    <m/>
    <n v="443555"/>
    <n v="17.757037037037037"/>
    <m/>
    <n v="0"/>
    <m/>
    <n v="17.757037037037037"/>
    <n v="-17.757037037037037"/>
    <m/>
    <n v="0"/>
  </r>
  <r>
    <n v="24"/>
    <n v="2024"/>
    <s v="Auction"/>
    <s v="VROLIJK BLOEMEN"/>
    <s v="VROLIJK BLOEMEN"/>
    <x v="86"/>
    <s v="Polyantha Roses"/>
    <s v="50CM"/>
    <n v="1"/>
    <n v="7.384615384615385"/>
    <n v="320"/>
    <n v="0.42"/>
    <n v="134.4"/>
    <s v="EUR"/>
    <m/>
    <m/>
    <x v="24"/>
    <n v="0"/>
    <x v="3"/>
    <x v="5"/>
    <n v="320"/>
    <n v="0.71500000000000008"/>
    <n v="228.8"/>
    <n v="-20.998823529411737"/>
    <n v="207.80117647058827"/>
    <x v="24"/>
    <n v="0"/>
    <m/>
    <n v="443555"/>
    <n v="24.58666666666667"/>
    <m/>
    <n v="6.4"/>
    <m/>
    <n v="30.986666666666672"/>
    <n v="176.8145098039216"/>
    <m/>
    <n v="320"/>
  </r>
  <r>
    <n v="24"/>
    <n v="2024"/>
    <s v="Auction"/>
    <s v="VROLIJK BLOEMEN"/>
    <s v="VROLIJK BLOEMEN"/>
    <x v="86"/>
    <s v="Polyantha Roses"/>
    <s v="60CM"/>
    <m/>
    <n v="4.6153846153846159"/>
    <n v="200"/>
    <n v="0.52"/>
    <n v="104"/>
    <s v="EUR"/>
    <m/>
    <m/>
    <x v="24"/>
    <n v="0"/>
    <x v="3"/>
    <x v="0"/>
    <n v="200"/>
    <n v="1.028"/>
    <n v="205.6"/>
    <n v="-13.124264705882338"/>
    <n v="192.47573529411767"/>
    <x v="24"/>
    <n v="0"/>
    <m/>
    <n v="443555"/>
    <n v="15.366666666666669"/>
    <m/>
    <n v="4"/>
    <m/>
    <n v="19.366666666666667"/>
    <n v="173.10906862745099"/>
    <m/>
    <n v="200"/>
  </r>
  <r>
    <n v="25"/>
    <n v="2024"/>
    <s v="Auction"/>
    <s v="VROLIJK BLOEMEN"/>
    <s v="VROLIJK BLOEMEN"/>
    <x v="87"/>
    <s v="Floribunda Roses"/>
    <s v="60CM"/>
    <n v="1"/>
    <n v="12"/>
    <n v="520"/>
    <n v="0.47"/>
    <n v="244.4"/>
    <s v="EUR"/>
    <m/>
    <m/>
    <x v="24"/>
    <n v="0"/>
    <x v="2"/>
    <x v="0"/>
    <n v="520"/>
    <n v="0.84230769230769231"/>
    <n v="438"/>
    <n v="-30.086172839506176"/>
    <n v="407.91382716049384"/>
    <x v="24"/>
    <n v="0"/>
    <m/>
    <n v="444365"/>
    <n v="42.324285714285708"/>
    <m/>
    <n v="10.4"/>
    <m/>
    <n v="52.724285714285706"/>
    <n v="355.18954144620812"/>
    <m/>
    <n v="520"/>
  </r>
  <r>
    <n v="25"/>
    <n v="2024"/>
    <s v="Auction"/>
    <s v="VROLIJK BLOEMEN"/>
    <s v="VROLIJK BLOEMEN"/>
    <x v="87"/>
    <s v="Grandiflora Roses"/>
    <s v="70CM"/>
    <n v="1"/>
    <n v="12"/>
    <n v="480"/>
    <n v="0.28000000000000003"/>
    <n v="134.4"/>
    <s v="EUR"/>
    <m/>
    <m/>
    <x v="24"/>
    <n v="0"/>
    <x v="0"/>
    <x v="1"/>
    <n v="480"/>
    <n v="0.89"/>
    <n v="427.2"/>
    <n v="-27.771851851851856"/>
    <n v="399.42814814814813"/>
    <x v="24"/>
    <n v="0"/>
    <m/>
    <n v="443762"/>
    <n v="42.324285714285708"/>
    <m/>
    <n v="9.6"/>
    <m/>
    <n v="51.924285714285709"/>
    <n v="347.50386243386242"/>
    <m/>
    <n v="480"/>
  </r>
  <r>
    <n v="25"/>
    <n v="2024"/>
    <s v="Auction"/>
    <s v="VROLIJK BLOEMEN"/>
    <s v="VROLIJK BLOEMEN"/>
    <x v="87"/>
    <s v="Grandiflora Roses"/>
    <s v="60CM"/>
    <n v="1"/>
    <n v="12"/>
    <n v="720"/>
    <n v="0.24"/>
    <n v="172.8"/>
    <s v="EUR"/>
    <m/>
    <m/>
    <x v="24"/>
    <n v="0"/>
    <x v="0"/>
    <x v="0"/>
    <n v="720"/>
    <n v="0.84"/>
    <n v="604.79999999999995"/>
    <n v="-41.657777777777781"/>
    <n v="563.14222222222213"/>
    <x v="24"/>
    <n v="0"/>
    <m/>
    <n v="443762"/>
    <n v="42.324285714285708"/>
    <m/>
    <n v="14.4"/>
    <m/>
    <n v="56.724285714285706"/>
    <n v="506.41793650793642"/>
    <m/>
    <n v="720"/>
  </r>
  <r>
    <n v="25"/>
    <n v="2024"/>
    <s v="Auction"/>
    <s v="VROLIJK BLOEMEN"/>
    <s v="VROLIJK BLOEMEN"/>
    <x v="87"/>
    <s v="Floribunda Roses"/>
    <s v="90CM"/>
    <n v="1"/>
    <n v="3.4285714285714284"/>
    <n v="80"/>
    <n v="0.75"/>
    <n v="60"/>
    <s v="EUR"/>
    <m/>
    <m/>
    <x v="24"/>
    <n v="0"/>
    <x v="2"/>
    <x v="3"/>
    <n v="80"/>
    <n v="1.04"/>
    <n v="83.2"/>
    <n v="-4.6286419753086427"/>
    <n v="78.571358024691364"/>
    <x v="24"/>
    <n v="0"/>
    <m/>
    <n v="443762"/>
    <n v="12.092653061224489"/>
    <m/>
    <n v="1.6"/>
    <m/>
    <n v="13.692653061224489"/>
    <n v="64.878704963466873"/>
    <m/>
    <n v="80"/>
  </r>
  <r>
    <n v="25"/>
    <n v="2024"/>
    <s v="Auction"/>
    <s v="VROLIJK BLOEMEN"/>
    <s v="VROLIJK BLOEMEN"/>
    <x v="87"/>
    <s v="Floribunda Roses"/>
    <s v="80CM"/>
    <m/>
    <n v="8.5714285714285712"/>
    <n v="200"/>
    <n v="0.56999999999999995"/>
    <n v="114"/>
    <s v="EUR"/>
    <m/>
    <m/>
    <x v="24"/>
    <n v="0"/>
    <x v="2"/>
    <x v="2"/>
    <n v="200"/>
    <n v="1.06"/>
    <n v="212"/>
    <n v="-11.571604938271607"/>
    <n v="200.42839506172839"/>
    <x v="24"/>
    <n v="0"/>
    <m/>
    <n v="443762"/>
    <n v="30.231632653061222"/>
    <m/>
    <n v="4"/>
    <m/>
    <n v="34.231632653061226"/>
    <n v="166.19676240866715"/>
    <m/>
    <n v="200"/>
  </r>
  <r>
    <n v="25"/>
    <n v="2024"/>
    <s v="Auction"/>
    <s v="VROLIJK BLOEMEN"/>
    <s v="VROLIJK BLOEMEN"/>
    <x v="87"/>
    <s v="Grandiflora Roses"/>
    <s v="80CM"/>
    <n v="1"/>
    <n v="8"/>
    <n v="320"/>
    <n v="0.33"/>
    <n v="105.6"/>
    <s v="EUR"/>
    <m/>
    <m/>
    <x v="24"/>
    <n v="0"/>
    <x v="0"/>
    <x v="2"/>
    <n v="320"/>
    <n v="0.88124999999999998"/>
    <n v="282"/>
    <n v="-18.514567901234571"/>
    <n v="263.48543209876544"/>
    <x v="24"/>
    <n v="0"/>
    <m/>
    <n v="443762"/>
    <n v="28.216190476190473"/>
    <m/>
    <n v="6.4"/>
    <m/>
    <n v="34.616190476190475"/>
    <n v="228.86924162257498"/>
    <m/>
    <n v="320"/>
  </r>
  <r>
    <n v="25"/>
    <n v="2024"/>
    <s v="Auction"/>
    <s v="VROLIJK BLOEMEN"/>
    <s v="VROLIJK BLOEMEN"/>
    <x v="87"/>
    <s v="Grandiflora Roses"/>
    <s v="90CM"/>
    <m/>
    <n v="4"/>
    <n v="160"/>
    <n v="0.38"/>
    <n v="60.8"/>
    <s v="EUR"/>
    <m/>
    <m/>
    <x v="24"/>
    <n v="0"/>
    <x v="0"/>
    <x v="3"/>
    <n v="160"/>
    <n v="0.97499999999999998"/>
    <n v="156"/>
    <n v="-9.2572839506172855"/>
    <n v="146.74271604938272"/>
    <x v="24"/>
    <n v="0"/>
    <m/>
    <n v="443762"/>
    <n v="14.108095238095236"/>
    <m/>
    <n v="3.2"/>
    <m/>
    <n v="17.308095238095238"/>
    <n v="129.43462081128749"/>
    <m/>
    <n v="160"/>
  </r>
  <r>
    <n v="25"/>
    <n v="2024"/>
    <s v="Auction"/>
    <s v="VROLIJK BLOEMEN"/>
    <s v="VROLIJK BLOEMEN"/>
    <x v="87"/>
    <s v="English Roses"/>
    <s v="70CM"/>
    <n v="1"/>
    <n v="7.5"/>
    <n v="200"/>
    <n v="0.52"/>
    <n v="104"/>
    <s v="EUR"/>
    <m/>
    <m/>
    <x v="24"/>
    <n v="0"/>
    <x v="1"/>
    <x v="1"/>
    <n v="200"/>
    <n v="0.89400000000000002"/>
    <n v="178.8"/>
    <n v="-11.571604938271607"/>
    <n v="167.22839506172841"/>
    <x v="24"/>
    <n v="0"/>
    <m/>
    <n v="443762"/>
    <n v="26.452678571428571"/>
    <m/>
    <n v="4"/>
    <m/>
    <n v="30.452678571428571"/>
    <n v="136.77571649029983"/>
    <m/>
    <n v="200"/>
  </r>
  <r>
    <n v="25"/>
    <n v="2024"/>
    <s v="Auction"/>
    <s v="VROLIJK BLOEMEN"/>
    <s v="VROLIJK BLOEMEN"/>
    <x v="87"/>
    <s v="English Roses"/>
    <s v="80CM"/>
    <m/>
    <n v="3"/>
    <n v="80"/>
    <n v="0.56999999999999995"/>
    <n v="45.6"/>
    <s v="EUR"/>
    <m/>
    <m/>
    <x v="24"/>
    <n v="0"/>
    <x v="1"/>
    <x v="2"/>
    <n v="80"/>
    <n v="0.95500000000000007"/>
    <n v="76.400000000000006"/>
    <n v="-4.6286419753086427"/>
    <n v="71.771358024691366"/>
    <x v="24"/>
    <n v="0"/>
    <m/>
    <n v="443762"/>
    <n v="10.581071428571427"/>
    <m/>
    <n v="1.6"/>
    <m/>
    <n v="12.181071428571427"/>
    <n v="59.590286596119938"/>
    <m/>
    <n v="80"/>
  </r>
  <r>
    <n v="25"/>
    <n v="2024"/>
    <s v="Auction"/>
    <s v="VROLIJK BLOEMEN"/>
    <s v="VROLIJK BLOEMEN"/>
    <x v="87"/>
    <s v="English Roses"/>
    <s v="100CM"/>
    <m/>
    <n v="1.5"/>
    <n v="40"/>
    <n v="0.94"/>
    <n v="37.6"/>
    <s v="EUR"/>
    <m/>
    <m/>
    <x v="24"/>
    <n v="0"/>
    <x v="1"/>
    <x v="4"/>
    <n v="40"/>
    <n v="0.90999999999999992"/>
    <n v="36.4"/>
    <n v="-2.3143209876543214"/>
    <n v="34.085679012345679"/>
    <x v="24"/>
    <n v="0"/>
    <m/>
    <n v="443762"/>
    <n v="5.2905357142857135"/>
    <m/>
    <n v="0.8"/>
    <m/>
    <n v="6.0905357142857133"/>
    <n v="27.995143298059965"/>
    <m/>
    <n v="40"/>
  </r>
  <r>
    <n v="25"/>
    <n v="2024"/>
    <s v="Auction"/>
    <s v="VROLIJK BLOEMEN"/>
    <s v="VROLIJK BLOEMEN"/>
    <x v="87"/>
    <s v="English Roses"/>
    <s v="50CM"/>
    <n v="1"/>
    <n v="7.6363636363636367"/>
    <n v="280"/>
    <n v="0.38"/>
    <n v="106.4"/>
    <s v="EUR"/>
    <m/>
    <m/>
    <x v="24"/>
    <n v="0"/>
    <x v="1"/>
    <x v="5"/>
    <n v="280"/>
    <n v="0.50142857142857145"/>
    <n v="140.4"/>
    <n v="-16.200246913580251"/>
    <n v="124.19975308641975"/>
    <x v="24"/>
    <n v="0"/>
    <m/>
    <n v="443762"/>
    <n v="26.933636363636364"/>
    <m/>
    <n v="5.6000000000000005"/>
    <m/>
    <n v="32.533636363636361"/>
    <n v="91.666116722783386"/>
    <m/>
    <n v="280"/>
  </r>
  <r>
    <n v="25"/>
    <n v="2024"/>
    <s v="Auction"/>
    <s v="VROLIJK BLOEMEN"/>
    <s v="VROLIJK BLOEMEN"/>
    <x v="87"/>
    <s v="English Roses"/>
    <s v="60CM"/>
    <m/>
    <n v="4.3636363636363633"/>
    <n v="160"/>
    <n v="0.47"/>
    <n v="75.2"/>
    <s v="EUR"/>
    <m/>
    <m/>
    <x v="24"/>
    <n v="0"/>
    <x v="1"/>
    <x v="0"/>
    <n v="160"/>
    <n v="0.9"/>
    <n v="144"/>
    <n v="-9.2572839506172855"/>
    <n v="134.74271604938272"/>
    <x v="24"/>
    <n v="0"/>
    <m/>
    <n v="443762"/>
    <n v="15.390649350649349"/>
    <m/>
    <n v="3.2"/>
    <m/>
    <n v="18.59064935064935"/>
    <n v="116.15206669873336"/>
    <m/>
    <n v="160"/>
  </r>
  <r>
    <n v="25"/>
    <n v="2024"/>
    <s v="Auction"/>
    <s v="VROLIJK BLOEMEN"/>
    <s v="VROLIJK BLOEMEN"/>
    <x v="88"/>
    <s v="English Roses"/>
    <s v="50CM"/>
    <n v="1"/>
    <n v="12"/>
    <n v="520"/>
    <n v="0.38"/>
    <n v="197.6"/>
    <s v="EUR"/>
    <m/>
    <m/>
    <x v="24"/>
    <n v="-280"/>
    <x v="1"/>
    <x v="5"/>
    <n v="800"/>
    <n v="0.48"/>
    <n v="384"/>
    <n v="-51.893793103448338"/>
    <n v="332.10620689655167"/>
    <x v="24"/>
    <n v="280"/>
    <m/>
    <s v="F088651"/>
    <n v="43.583999999999996"/>
    <m/>
    <n v="16"/>
    <m/>
    <n v="59.583999999999996"/>
    <n v="272.52220689655167"/>
    <m/>
    <n v="800"/>
  </r>
  <r>
    <n v="25"/>
    <n v="2024"/>
    <s v="Auction"/>
    <s v="VROLIJK BLOEMEN"/>
    <s v="VROLIJK BLOEMEN"/>
    <x v="88"/>
    <s v="English Roses"/>
    <s v="90CM"/>
    <n v="1"/>
    <n v="12"/>
    <n v="240"/>
    <n v="0.75"/>
    <n v="180"/>
    <s v="EUR"/>
    <m/>
    <m/>
    <x v="24"/>
    <n v="-120"/>
    <x v="1"/>
    <x v="3"/>
    <n v="360"/>
    <n v="1.0866666666666667"/>
    <n v="391.2"/>
    <n v="-23.352206896551753"/>
    <n v="367.84779310344823"/>
    <x v="24"/>
    <n v="120"/>
    <m/>
    <s v="F088651"/>
    <n v="43.583999999999996"/>
    <m/>
    <n v="7.2"/>
    <m/>
    <n v="50.783999999999999"/>
    <n v="317.06379310344823"/>
    <m/>
    <n v="360"/>
  </r>
  <r>
    <n v="25"/>
    <n v="2024"/>
    <s v="Auction"/>
    <s v="VROLIJK BLOEMEN"/>
    <s v="VROLIJK BLOEMEN"/>
    <x v="88"/>
    <s v="English Roses"/>
    <s v="100CM"/>
    <n v="1"/>
    <n v="12"/>
    <n v="200"/>
    <n v="0.94"/>
    <n v="188"/>
    <s v="EUR"/>
    <m/>
    <m/>
    <x v="24"/>
    <n v="-40"/>
    <x v="1"/>
    <x v="4"/>
    <n v="240"/>
    <n v="1.02"/>
    <n v="244.8"/>
    <n v="-15.568137931034503"/>
    <n v="229.23186206896551"/>
    <x v="24"/>
    <n v="40"/>
    <m/>
    <s v="F088651"/>
    <n v="43.583999999999996"/>
    <m/>
    <n v="4.8"/>
    <m/>
    <n v="48.383999999999993"/>
    <n v="180.84786206896553"/>
    <m/>
    <n v="240"/>
  </r>
  <r>
    <n v="25"/>
    <n v="2024"/>
    <s v="Auction"/>
    <s v="VROLIJK BLOEMEN"/>
    <s v="VROLIJK BLOEMEN"/>
    <x v="88"/>
    <s v="Floribunda Roses"/>
    <s v="50CM"/>
    <n v="1"/>
    <n v="12"/>
    <n v="760"/>
    <n v="0.38"/>
    <n v="288.8"/>
    <s v="EUR"/>
    <m/>
    <m/>
    <x v="24"/>
    <n v="-40"/>
    <x v="2"/>
    <x v="5"/>
    <n v="800"/>
    <n v="0.64"/>
    <n v="512"/>
    <n v="-51.893793103448338"/>
    <n v="460.10620689655167"/>
    <x v="24"/>
    <n v="40"/>
    <m/>
    <s v="F088651"/>
    <n v="43.583999999999996"/>
    <m/>
    <n v="16"/>
    <m/>
    <n v="59.583999999999996"/>
    <n v="400.52220689655167"/>
    <m/>
    <n v="800"/>
  </r>
  <r>
    <n v="25"/>
    <n v="2024"/>
    <s v="Auction"/>
    <s v="VROLIJK BLOEMEN"/>
    <s v="VROLIJK BLOEMEN"/>
    <x v="88"/>
    <s v="Floribunda Roses"/>
    <s v="60CM"/>
    <n v="1"/>
    <n v="12"/>
    <n v="520"/>
    <n v="0.47"/>
    <n v="244.4"/>
    <s v="EUR"/>
    <m/>
    <m/>
    <x v="24"/>
    <n v="-200"/>
    <x v="2"/>
    <x v="0"/>
    <n v="720"/>
    <n v="1.0277777777777777"/>
    <n v="739.99999999999989"/>
    <n v="-46.704413793103505"/>
    <n v="693.29558620689636"/>
    <x v="24"/>
    <n v="200"/>
    <m/>
    <s v="F088651"/>
    <n v="43.583999999999996"/>
    <m/>
    <n v="14.4"/>
    <m/>
    <n v="57.983999999999995"/>
    <n v="635.31158620689632"/>
    <m/>
    <n v="720"/>
  </r>
  <r>
    <n v="25"/>
    <n v="2024"/>
    <s v="Auction"/>
    <s v="VROLIJK BLOEMEN"/>
    <s v="VROLIJK BLOEMEN"/>
    <x v="88"/>
    <s v="Floribunda Roses"/>
    <s v="70CM"/>
    <n v="1"/>
    <n v="12"/>
    <n v="400"/>
    <n v="0.52"/>
    <n v="208"/>
    <s v="EUR"/>
    <m/>
    <m/>
    <x v="24"/>
    <n v="-120"/>
    <x v="2"/>
    <x v="1"/>
    <n v="520"/>
    <n v="1.24"/>
    <n v="644.79999999999995"/>
    <n v="-33.730965517241422"/>
    <n v="611.06903448275852"/>
    <x v="24"/>
    <n v="120"/>
    <m/>
    <s v="F088651"/>
    <n v="43.583999999999996"/>
    <m/>
    <n v="10.4"/>
    <m/>
    <n v="53.983999999999995"/>
    <n v="557.08503448275849"/>
    <m/>
    <n v="520"/>
  </r>
  <r>
    <n v="25"/>
    <n v="2024"/>
    <s v="Auction"/>
    <s v="VROLIJK BLOEMEN"/>
    <s v="VROLIJK BLOEMEN"/>
    <x v="88"/>
    <s v="Floribunda Roses"/>
    <s v="80CM"/>
    <n v="1"/>
    <n v="12"/>
    <n v="320"/>
    <n v="0.56999999999999995"/>
    <n v="182.4"/>
    <s v="EUR"/>
    <m/>
    <m/>
    <x v="24"/>
    <n v="-40"/>
    <x v="2"/>
    <x v="2"/>
    <n v="360"/>
    <n v="1.19"/>
    <n v="428.4"/>
    <n v="-23.352206896551753"/>
    <n v="405.04779310344821"/>
    <x v="24"/>
    <n v="40"/>
    <m/>
    <s v="F088651"/>
    <n v="43.583999999999996"/>
    <m/>
    <n v="7.2"/>
    <m/>
    <n v="50.783999999999999"/>
    <n v="354.26379310344822"/>
    <m/>
    <n v="360"/>
  </r>
  <r>
    <n v="25"/>
    <n v="2024"/>
    <s v="Auction"/>
    <s v="VROLIJK BLOEMEN"/>
    <s v="VROLIJK BLOEMEN"/>
    <x v="88"/>
    <s v="Floribunda Roses"/>
    <s v="90CM"/>
    <n v="1"/>
    <n v="12"/>
    <n v="240"/>
    <n v="0.75"/>
    <n v="180"/>
    <s v="EUR"/>
    <m/>
    <m/>
    <x v="24"/>
    <n v="-120"/>
    <x v="2"/>
    <x v="3"/>
    <n v="360"/>
    <n v="1.27"/>
    <n v="457.2"/>
    <n v="-23.352206896551753"/>
    <n v="433.84779310344823"/>
    <x v="24"/>
    <n v="120"/>
    <m/>
    <s v="F088651"/>
    <n v="43.583999999999996"/>
    <m/>
    <n v="7.2"/>
    <m/>
    <n v="50.783999999999999"/>
    <n v="383.06379310344823"/>
    <m/>
    <n v="360"/>
  </r>
  <r>
    <n v="25"/>
    <n v="2024"/>
    <s v="Auction"/>
    <s v="VROLIJK BLOEMEN"/>
    <s v="VROLIJK BLOEMEN"/>
    <x v="88"/>
    <s v="English Roses"/>
    <s v="60CM"/>
    <n v="1"/>
    <n v="5.5384615384615383"/>
    <n v="240"/>
    <n v="0.47"/>
    <n v="112.8"/>
    <s v="EUR"/>
    <m/>
    <m/>
    <x v="24"/>
    <n v="0"/>
    <x v="1"/>
    <x v="0"/>
    <n v="240"/>
    <n v="0.98666666666666669"/>
    <n v="236.8"/>
    <n v="-15.568137931034503"/>
    <n v="221.23186206896551"/>
    <x v="24"/>
    <n v="0"/>
    <m/>
    <s v="F088651"/>
    <n v="20.115692307692306"/>
    <m/>
    <n v="4.8"/>
    <m/>
    <n v="24.915692307692307"/>
    <n v="196.31616976127322"/>
    <m/>
    <n v="240"/>
  </r>
  <r>
    <n v="25"/>
    <n v="2024"/>
    <s v="Auction"/>
    <s v="VROLIJK BLOEMEN"/>
    <s v="VROLIJK BLOEMEN"/>
    <x v="88"/>
    <s v="English Roses"/>
    <s v="50CM"/>
    <m/>
    <n v="6.4615384615384617"/>
    <n v="280"/>
    <n v="0.38"/>
    <n v="106.4"/>
    <s v="EUR"/>
    <m/>
    <m/>
    <x v="24"/>
    <n v="280"/>
    <x v="1"/>
    <x v="5"/>
    <m/>
    <m/>
    <n v="0"/>
    <n v="0"/>
    <n v="0"/>
    <x v="24"/>
    <n v="-280"/>
    <m/>
    <s v="F088651"/>
    <n v="23.46830769230769"/>
    <m/>
    <n v="0"/>
    <m/>
    <n v="23.46830769230769"/>
    <n v="-23.46830769230769"/>
    <m/>
    <n v="0"/>
  </r>
  <r>
    <n v="25"/>
    <n v="2024"/>
    <s v="Auction"/>
    <s v="VROLIJK BLOEMEN"/>
    <s v="VROLIJK BLOEMEN"/>
    <x v="88"/>
    <s v="English Roses"/>
    <s v="100CM"/>
    <n v="1"/>
    <n v="1.5"/>
    <n v="40"/>
    <n v="0.94"/>
    <n v="37.6"/>
    <s v="EUR"/>
    <m/>
    <m/>
    <x v="24"/>
    <n v="40"/>
    <x v="1"/>
    <x v="4"/>
    <m/>
    <m/>
    <n v="0"/>
    <n v="0"/>
    <n v="0"/>
    <x v="24"/>
    <n v="-40"/>
    <m/>
    <s v="F088651"/>
    <n v="5.4479999999999995"/>
    <m/>
    <n v="0"/>
    <m/>
    <n v="5.4479999999999995"/>
    <n v="-5.4479999999999995"/>
    <m/>
    <n v="0"/>
  </r>
  <r>
    <n v="25"/>
    <n v="2024"/>
    <s v="Auction"/>
    <s v="VROLIJK BLOEMEN"/>
    <s v="VROLIJK BLOEMEN"/>
    <x v="88"/>
    <s v="English Roses"/>
    <s v="70CM"/>
    <m/>
    <n v="10.5"/>
    <n v="280"/>
    <n v="0.52"/>
    <n v="145.6"/>
    <s v="EUR"/>
    <m/>
    <m/>
    <x v="24"/>
    <n v="0"/>
    <x v="1"/>
    <x v="1"/>
    <n v="280"/>
    <n v="1.18"/>
    <n v="330.4"/>
    <n v="-18.16282758620692"/>
    <n v="312.23717241379308"/>
    <x v="24"/>
    <n v="0"/>
    <m/>
    <s v="F088651"/>
    <n v="38.136000000000003"/>
    <m/>
    <n v="5.6000000000000005"/>
    <m/>
    <n v="43.736000000000004"/>
    <n v="268.50117241379309"/>
    <m/>
    <n v="280"/>
  </r>
  <r>
    <n v="25"/>
    <n v="2024"/>
    <s v="Auction"/>
    <s v="VROLIJK BLOEMEN"/>
    <s v="VROLIJK BLOEMEN"/>
    <x v="88"/>
    <s v="Grandiflora Roses"/>
    <s v="70CM"/>
    <n v="1"/>
    <n v="4.8000000000000007"/>
    <n v="240"/>
    <n v="0.28000000000000003"/>
    <n v="67.2"/>
    <s v="EUR"/>
    <m/>
    <m/>
    <x v="24"/>
    <n v="0"/>
    <x v="0"/>
    <x v="1"/>
    <n v="240"/>
    <n v="0.78833333333333333"/>
    <n v="189.2"/>
    <n v="-15.568137931034503"/>
    <n v="173.63186206896549"/>
    <x v="24"/>
    <n v="0"/>
    <m/>
    <s v="F088651"/>
    <n v="17.433600000000002"/>
    <m/>
    <n v="4.8"/>
    <m/>
    <n v="22.233600000000003"/>
    <n v="151.39826206896549"/>
    <m/>
    <n v="240"/>
  </r>
  <r>
    <n v="25"/>
    <n v="2024"/>
    <s v="Auction"/>
    <s v="VROLIJK BLOEMEN"/>
    <s v="VROLIJK BLOEMEN"/>
    <x v="88"/>
    <s v="Grandiflora Roses"/>
    <s v="90CM"/>
    <m/>
    <n v="2.4000000000000004"/>
    <n v="120"/>
    <n v="0.38"/>
    <n v="45.6"/>
    <s v="EUR"/>
    <m/>
    <m/>
    <x v="24"/>
    <n v="0"/>
    <x v="0"/>
    <x v="3"/>
    <n v="120"/>
    <n v="0.75"/>
    <n v="90"/>
    <n v="-7.7840689655172515"/>
    <n v="82.21593103448275"/>
    <x v="24"/>
    <n v="0"/>
    <m/>
    <s v="F088651"/>
    <n v="8.716800000000001"/>
    <m/>
    <n v="2.4"/>
    <m/>
    <n v="11.116800000000001"/>
    <n v="71.099131034482753"/>
    <m/>
    <n v="120"/>
  </r>
  <r>
    <n v="25"/>
    <n v="2024"/>
    <s v="Auction"/>
    <s v="VROLIJK BLOEMEN"/>
    <s v="VROLIJK BLOEMEN"/>
    <x v="88"/>
    <s v="Grandiflora Roses"/>
    <s v="80CM"/>
    <m/>
    <n v="4.8000000000000007"/>
    <n v="240"/>
    <n v="0.33"/>
    <n v="79.2"/>
    <s v="EUR"/>
    <m/>
    <m/>
    <x v="24"/>
    <n v="0"/>
    <x v="0"/>
    <x v="2"/>
    <n v="240"/>
    <n v="0.73"/>
    <n v="175.2"/>
    <n v="-15.568137931034503"/>
    <n v="159.63186206896549"/>
    <x v="24"/>
    <n v="0"/>
    <m/>
    <s v="F088651"/>
    <n v="17.433600000000002"/>
    <m/>
    <n v="4.8"/>
    <m/>
    <n v="22.233600000000003"/>
    <n v="137.39826206896549"/>
    <m/>
    <n v="240"/>
  </r>
  <r>
    <n v="25"/>
    <n v="2024"/>
    <s v="Auction"/>
    <s v="VROLIJK BLOEMEN"/>
    <s v="VROLIJK BLOEMEN"/>
    <x v="88"/>
    <s v="English Roses"/>
    <s v="90CM"/>
    <n v="1"/>
    <n v="6"/>
    <n v="120"/>
    <n v="0.75"/>
    <n v="90"/>
    <s v="EUR"/>
    <m/>
    <m/>
    <x v="24"/>
    <n v="120"/>
    <x v="1"/>
    <x v="3"/>
    <m/>
    <m/>
    <n v="0"/>
    <n v="0"/>
    <n v="0"/>
    <x v="24"/>
    <n v="-120"/>
    <m/>
    <s v="F088651"/>
    <n v="21.791999999999998"/>
    <m/>
    <n v="0"/>
    <m/>
    <n v="21.791999999999998"/>
    <n v="-21.791999999999998"/>
    <m/>
    <n v="0"/>
  </r>
  <r>
    <n v="25"/>
    <n v="2024"/>
    <s v="Auction"/>
    <s v="VROLIJK BLOEMEN"/>
    <s v="VROLIJK BLOEMEN"/>
    <x v="88"/>
    <s v="English Roses"/>
    <s v="80CM"/>
    <m/>
    <n v="6"/>
    <n v="120"/>
    <n v="0.56999999999999995"/>
    <n v="68.400000000000006"/>
    <s v="EUR"/>
    <m/>
    <m/>
    <x v="24"/>
    <n v="0"/>
    <x v="1"/>
    <x v="2"/>
    <n v="120"/>
    <n v="1.45"/>
    <n v="174"/>
    <n v="-7.7840689655172515"/>
    <n v="166.21593103448274"/>
    <x v="24"/>
    <n v="0"/>
    <m/>
    <s v="F088651"/>
    <n v="21.791999999999998"/>
    <m/>
    <n v="2.4"/>
    <m/>
    <n v="24.191999999999997"/>
    <n v="142.02393103448273"/>
    <m/>
    <n v="120"/>
  </r>
  <r>
    <n v="25"/>
    <n v="2024"/>
    <s v="Auction"/>
    <s v="VROLIJK BLOEMEN"/>
    <s v="VROLIJK BLOEMEN"/>
    <x v="88"/>
    <s v="Floribunda Roses"/>
    <s v="90CM"/>
    <n v="1"/>
    <n v="4"/>
    <n v="80"/>
    <n v="0.75"/>
    <n v="60"/>
    <s v="EUR"/>
    <m/>
    <m/>
    <x v="24"/>
    <n v="80"/>
    <x v="2"/>
    <x v="3"/>
    <m/>
    <m/>
    <n v="0"/>
    <n v="0"/>
    <n v="0"/>
    <x v="24"/>
    <n v="-80"/>
    <m/>
    <s v="F088651"/>
    <n v="14.528"/>
    <m/>
    <n v="0"/>
    <m/>
    <n v="14.528"/>
    <n v="-14.528"/>
    <m/>
    <n v="0"/>
  </r>
  <r>
    <n v="25"/>
    <n v="2024"/>
    <s v="Auction"/>
    <s v="VROLIJK BLOEMEN"/>
    <s v="VROLIJK BLOEMEN"/>
    <x v="88"/>
    <s v="Floribunda Roses"/>
    <s v="80CM"/>
    <m/>
    <n v="2"/>
    <n v="40"/>
    <n v="0.56999999999999995"/>
    <n v="22.8"/>
    <s v="EUR"/>
    <m/>
    <m/>
    <x v="24"/>
    <n v="40"/>
    <x v="2"/>
    <x v="2"/>
    <m/>
    <m/>
    <n v="0"/>
    <n v="0"/>
    <n v="0"/>
    <x v="24"/>
    <n v="-40"/>
    <m/>
    <s v="F088651"/>
    <n v="7.2640000000000002"/>
    <m/>
    <n v="0"/>
    <m/>
    <n v="7.2640000000000002"/>
    <n v="-7.2640000000000002"/>
    <m/>
    <n v="0"/>
  </r>
  <r>
    <n v="25"/>
    <n v="2024"/>
    <s v="Auction"/>
    <s v="VROLIJK BLOEMEN"/>
    <s v="VROLIJK BLOEMEN"/>
    <x v="88"/>
    <s v="Floribunda Roses"/>
    <s v="100CM"/>
    <m/>
    <n v="6"/>
    <n v="120"/>
    <n v="0.94"/>
    <n v="112.8"/>
    <s v="EUR"/>
    <m/>
    <m/>
    <x v="24"/>
    <n v="40"/>
    <x v="2"/>
    <x v="4"/>
    <n v="80"/>
    <n v="1.345"/>
    <n v="107.6"/>
    <n v="-5.189379310344834"/>
    <n v="102.41062068965516"/>
    <x v="24"/>
    <n v="-40"/>
    <m/>
    <s v="F088651"/>
    <n v="21.791999999999998"/>
    <m/>
    <n v="1.6"/>
    <m/>
    <n v="23.391999999999999"/>
    <n v="79.018620689655165"/>
    <m/>
    <n v="80"/>
  </r>
  <r>
    <n v="25"/>
    <n v="2024"/>
    <s v="Auction"/>
    <s v="VROLIJK BLOEMEN"/>
    <s v="VROLIJK BLOEMEN"/>
    <x v="88"/>
    <s v="Floribunda Roses"/>
    <s v="60CM"/>
    <n v="1"/>
    <n v="6.666666666666667"/>
    <n v="200"/>
    <n v="0.47"/>
    <n v="94"/>
    <s v="EUR"/>
    <m/>
    <m/>
    <x v="24"/>
    <n v="200"/>
    <x v="2"/>
    <x v="0"/>
    <m/>
    <m/>
    <n v="0"/>
    <n v="0"/>
    <n v="0"/>
    <x v="24"/>
    <n v="-200"/>
    <m/>
    <s v="F088651"/>
    <n v="24.213333333333335"/>
    <m/>
    <n v="0"/>
    <m/>
    <n v="24.213333333333335"/>
    <n v="-24.213333333333335"/>
    <m/>
    <n v="0"/>
  </r>
  <r>
    <n v="25"/>
    <n v="2024"/>
    <s v="Auction"/>
    <s v="VROLIJK BLOEMEN"/>
    <s v="VROLIJK BLOEMEN"/>
    <x v="88"/>
    <s v="Floribunda Roses"/>
    <s v="50CM"/>
    <m/>
    <n v="1.3333333333333333"/>
    <n v="40"/>
    <n v="0.38"/>
    <n v="15.2"/>
    <s v="EUR"/>
    <m/>
    <m/>
    <x v="24"/>
    <n v="40"/>
    <x v="2"/>
    <x v="5"/>
    <m/>
    <m/>
    <n v="0"/>
    <n v="0"/>
    <n v="0"/>
    <x v="24"/>
    <n v="-40"/>
    <m/>
    <s v="F088651"/>
    <n v="4.8426666666666662"/>
    <m/>
    <n v="0"/>
    <m/>
    <n v="4.8426666666666662"/>
    <n v="-4.8426666666666662"/>
    <m/>
    <n v="0"/>
  </r>
  <r>
    <n v="25"/>
    <n v="2024"/>
    <s v="Auction"/>
    <s v="VROLIJK BLOEMEN"/>
    <s v="VROLIJK BLOEMEN"/>
    <x v="88"/>
    <s v="Floribunda Roses"/>
    <s v="70CM"/>
    <m/>
    <n v="4"/>
    <n v="120"/>
    <n v="0.52"/>
    <n v="62.4"/>
    <s v="EUR"/>
    <m/>
    <m/>
    <x v="24"/>
    <n v="120"/>
    <x v="2"/>
    <x v="1"/>
    <m/>
    <m/>
    <n v="0"/>
    <n v="0"/>
    <n v="0"/>
    <x v="24"/>
    <n v="-120"/>
    <m/>
    <s v="F088651"/>
    <n v="14.528"/>
    <m/>
    <n v="0"/>
    <m/>
    <n v="14.528"/>
    <n v="-14.528"/>
    <m/>
    <n v="0"/>
  </r>
  <r>
    <n v="25"/>
    <n v="2024"/>
    <s v="Auction"/>
    <s v="VROLIJK BLOEMEN"/>
    <s v="VROLIJK BLOEMEN"/>
    <x v="88"/>
    <s v="Moss Roses"/>
    <s v="70CM"/>
    <n v="1"/>
    <n v="3"/>
    <n v="80"/>
    <n v="0.28000000000000003"/>
    <n v="22.4"/>
    <s v="EUR"/>
    <m/>
    <m/>
    <x v="24"/>
    <n v="0"/>
    <x v="4"/>
    <x v="1"/>
    <n v="80"/>
    <n v="0.97"/>
    <n v="77.599999999999994"/>
    <n v="-5.189379310344834"/>
    <n v="72.410620689655161"/>
    <x v="24"/>
    <n v="0"/>
    <m/>
    <s v="F088651"/>
    <n v="10.895999999999999"/>
    <m/>
    <n v="1.6"/>
    <m/>
    <n v="12.495999999999999"/>
    <n v="59.914620689655166"/>
    <m/>
    <n v="80"/>
  </r>
  <r>
    <n v="25"/>
    <n v="2024"/>
    <s v="Auction"/>
    <s v="VROLIJK BLOEMEN"/>
    <s v="VROLIJK BLOEMEN"/>
    <x v="88"/>
    <s v="Moss Roses"/>
    <s v="60CM"/>
    <m/>
    <n v="4.5"/>
    <n v="120"/>
    <n v="0.24"/>
    <n v="28.8"/>
    <s v="EUR"/>
    <m/>
    <m/>
    <x v="24"/>
    <n v="0"/>
    <x v="4"/>
    <x v="0"/>
    <n v="120"/>
    <n v="0.95"/>
    <n v="114"/>
    <n v="-7.7840689655172515"/>
    <n v="106.21593103448275"/>
    <x v="24"/>
    <n v="0"/>
    <m/>
    <s v="F088651"/>
    <n v="16.344000000000001"/>
    <m/>
    <n v="2.4"/>
    <m/>
    <n v="18.744"/>
    <n v="87.471931034482751"/>
    <m/>
    <n v="120"/>
  </r>
  <r>
    <n v="25"/>
    <n v="2024"/>
    <s v="Auction"/>
    <s v="VROLIJK BLOEMEN"/>
    <s v="VROLIJK BLOEMEN"/>
    <x v="88"/>
    <s v="Moss Roses"/>
    <s v="50CM"/>
    <m/>
    <n v="4.5"/>
    <n v="120"/>
    <n v="0.14000000000000001"/>
    <n v="16.8"/>
    <s v="EUR"/>
    <m/>
    <m/>
    <x v="24"/>
    <n v="0"/>
    <x v="4"/>
    <x v="5"/>
    <n v="120"/>
    <n v="0.85333333333333339"/>
    <n v="102.4"/>
    <n v="-7.7840689655172515"/>
    <n v="94.615931034482756"/>
    <x v="24"/>
    <n v="0"/>
    <m/>
    <s v="F088651"/>
    <n v="16.344000000000001"/>
    <m/>
    <n v="2.4"/>
    <m/>
    <n v="18.744"/>
    <n v="75.871931034482756"/>
    <m/>
    <n v="120"/>
  </r>
  <r>
    <n v="25"/>
    <n v="2024"/>
    <s v="Auction"/>
    <s v="VROLIJK BLOEMEN"/>
    <s v="VROLIJK BLOEMEN"/>
    <x v="89"/>
    <s v="English Roses"/>
    <s v="90CM"/>
    <n v="1"/>
    <n v="12"/>
    <n v="240"/>
    <n v="0.75"/>
    <n v="180"/>
    <s v="EUR"/>
    <m/>
    <m/>
    <x v="25"/>
    <n v="0"/>
    <x v="1"/>
    <x v="3"/>
    <n v="240"/>
    <n v="1.2216666666666667"/>
    <n v="293.2"/>
    <n v="-16.013709677419346"/>
    <n v="277.18629032258065"/>
    <x v="25"/>
    <n v="0"/>
    <m/>
    <n v="445120"/>
    <n v="41"/>
    <m/>
    <n v="4.8"/>
    <m/>
    <n v="45.8"/>
    <n v="231.38629032258063"/>
    <m/>
    <n v="240"/>
  </r>
  <r>
    <n v="25"/>
    <n v="2024"/>
    <s v="Auction"/>
    <s v="VROLIJK BLOEMEN"/>
    <s v="VROLIJK BLOEMEN"/>
    <x v="89"/>
    <s v="Floribunda Roses"/>
    <s v="50CM"/>
    <n v="1"/>
    <n v="12"/>
    <n v="760"/>
    <n v="0.38"/>
    <n v="288.8"/>
    <s v="EUR"/>
    <m/>
    <m/>
    <x v="25"/>
    <n v="0"/>
    <x v="2"/>
    <x v="5"/>
    <n v="760"/>
    <n v="0.81"/>
    <n v="615.6"/>
    <n v="-50.710080645161263"/>
    <n v="564.88991935483875"/>
    <x v="25"/>
    <n v="0"/>
    <m/>
    <n v="445120"/>
    <n v="41"/>
    <m/>
    <n v="15.200000000000001"/>
    <m/>
    <n v="56.2"/>
    <n v="508.68991935483876"/>
    <m/>
    <n v="760"/>
  </r>
  <r>
    <n v="25"/>
    <n v="2024"/>
    <s v="Auction"/>
    <s v="VROLIJK BLOEMEN"/>
    <s v="VROLIJK BLOEMEN"/>
    <x v="89"/>
    <s v="Floribunda Roses"/>
    <s v="90CM"/>
    <n v="1"/>
    <n v="12"/>
    <n v="240"/>
    <n v="0.75"/>
    <n v="180"/>
    <s v="EUR"/>
    <m/>
    <m/>
    <x v="25"/>
    <n v="0"/>
    <x v="2"/>
    <x v="3"/>
    <n v="240"/>
    <n v="1.1833333333333333"/>
    <n v="284"/>
    <n v="-16.013709677419346"/>
    <n v="267.98629032258066"/>
    <x v="25"/>
    <n v="0"/>
    <m/>
    <n v="445120"/>
    <n v="41"/>
    <m/>
    <n v="4.8"/>
    <m/>
    <n v="45.8"/>
    <n v="222.18629032258065"/>
    <m/>
    <n v="240"/>
  </r>
  <r>
    <n v="25"/>
    <n v="2024"/>
    <s v="Auction"/>
    <s v="VROLIJK BLOEMEN"/>
    <s v="VROLIJK BLOEMEN"/>
    <x v="89"/>
    <s v="Floribunda Roses"/>
    <s v="70CM"/>
    <n v="1"/>
    <n v="12"/>
    <n v="400"/>
    <n v="0.52"/>
    <n v="208"/>
    <s v="EUR"/>
    <m/>
    <m/>
    <x v="25"/>
    <n v="0"/>
    <x v="2"/>
    <x v="1"/>
    <n v="400"/>
    <n v="1.345"/>
    <n v="538"/>
    <n v="-26.689516129032246"/>
    <n v="511.31048387096774"/>
    <x v="25"/>
    <n v="0"/>
    <m/>
    <n v="445120"/>
    <n v="41"/>
    <m/>
    <n v="8"/>
    <m/>
    <n v="49"/>
    <n v="462.31048387096774"/>
    <m/>
    <n v="400"/>
  </r>
  <r>
    <n v="25"/>
    <n v="2024"/>
    <s v="Auction"/>
    <s v="VROLIJK BLOEMEN"/>
    <s v="VROLIJK BLOEMEN"/>
    <x v="89"/>
    <s v="Floribunda Roses"/>
    <s v="60CM"/>
    <n v="1"/>
    <n v="12"/>
    <n v="520"/>
    <n v="0.47"/>
    <n v="244.4"/>
    <s v="EUR"/>
    <m/>
    <m/>
    <x v="25"/>
    <n v="0"/>
    <x v="2"/>
    <x v="0"/>
    <n v="520"/>
    <n v="1.323076923076923"/>
    <n v="688"/>
    <n v="-34.69637096774192"/>
    <n v="653.30362903225807"/>
    <x v="25"/>
    <n v="0"/>
    <m/>
    <n v="445120"/>
    <n v="41"/>
    <m/>
    <n v="10.4"/>
    <m/>
    <n v="51.4"/>
    <n v="601.9036290322581"/>
    <m/>
    <n v="520"/>
  </r>
  <r>
    <n v="25"/>
    <n v="2024"/>
    <s v="Auction"/>
    <s v="VROLIJK BLOEMEN"/>
    <s v="VROLIJK BLOEMEN"/>
    <x v="89"/>
    <s v="Grandiflora Roses"/>
    <s v="60CM"/>
    <n v="1"/>
    <n v="12"/>
    <n v="720"/>
    <n v="0.24"/>
    <n v="172.8"/>
    <s v="EUR"/>
    <m/>
    <m/>
    <x v="25"/>
    <n v="0"/>
    <x v="0"/>
    <x v="0"/>
    <n v="720"/>
    <n v="0.71"/>
    <n v="511.2"/>
    <n v="-48.041129032258041"/>
    <n v="463.15887096774196"/>
    <x v="25"/>
    <n v="0"/>
    <m/>
    <n v="445120"/>
    <n v="41"/>
    <m/>
    <n v="14.4"/>
    <m/>
    <n v="55.4"/>
    <n v="407.75887096774198"/>
    <m/>
    <n v="720"/>
  </r>
  <r>
    <n v="25"/>
    <n v="2024"/>
    <s v="Auction"/>
    <s v="VROLIJK BLOEMEN"/>
    <s v="VROLIJK BLOEMEN"/>
    <x v="89"/>
    <s v="Grandiflora Roses"/>
    <s v="70CM"/>
    <n v="1"/>
    <n v="1.6"/>
    <n v="80"/>
    <n v="0.28000000000000003"/>
    <n v="22.4"/>
    <s v="EUR"/>
    <m/>
    <m/>
    <x v="25"/>
    <n v="0"/>
    <x v="0"/>
    <x v="1"/>
    <n v="80"/>
    <n v="0.76"/>
    <n v="60.8"/>
    <n v="-5.3379032258064489"/>
    <n v="55.462096774193547"/>
    <x v="25"/>
    <n v="0"/>
    <m/>
    <n v="445120"/>
    <n v="5.4666666666666668"/>
    <m/>
    <n v="1.6"/>
    <m/>
    <n v="7.0666666666666664"/>
    <n v="48.395430107526877"/>
    <m/>
    <n v="80"/>
  </r>
  <r>
    <n v="25"/>
    <n v="2024"/>
    <s v="Auction"/>
    <s v="VROLIJK BLOEMEN"/>
    <s v="VROLIJK BLOEMEN"/>
    <x v="89"/>
    <s v="Grandiflora Roses"/>
    <s v="80CM"/>
    <m/>
    <n v="4"/>
    <n v="200"/>
    <n v="0.33"/>
    <n v="66"/>
    <s v="EUR"/>
    <m/>
    <m/>
    <x v="25"/>
    <n v="0"/>
    <x v="0"/>
    <x v="2"/>
    <n v="200"/>
    <n v="0.76"/>
    <n v="152"/>
    <n v="-13.344758064516123"/>
    <n v="138.65524193548387"/>
    <x v="25"/>
    <n v="0"/>
    <m/>
    <n v="445120"/>
    <n v="13.666666666666668"/>
    <m/>
    <n v="4"/>
    <m/>
    <n v="17.666666666666668"/>
    <n v="120.9885752688172"/>
    <m/>
    <n v="200"/>
  </r>
  <r>
    <n v="25"/>
    <n v="2024"/>
    <s v="Auction"/>
    <s v="VROLIJK BLOEMEN"/>
    <s v="VROLIJK BLOEMEN"/>
    <x v="89"/>
    <s v="Grandiflora Roses"/>
    <s v="50CM"/>
    <m/>
    <n v="6.4"/>
    <n v="320"/>
    <n v="0.14000000000000001"/>
    <n v="44.8"/>
    <s v="EUR"/>
    <m/>
    <m/>
    <x v="25"/>
    <n v="0"/>
    <x v="0"/>
    <x v="5"/>
    <n v="320"/>
    <n v="0.48125000000000001"/>
    <n v="154"/>
    <n v="-21.351612903225796"/>
    <n v="132.6483870967742"/>
    <x v="25"/>
    <n v="0"/>
    <m/>
    <n v="445120"/>
    <n v="21.866666666666667"/>
    <m/>
    <n v="6.4"/>
    <m/>
    <n v="28.266666666666666"/>
    <n v="104.38172043010753"/>
    <m/>
    <n v="320"/>
  </r>
  <r>
    <n v="25"/>
    <n v="2024"/>
    <s v="Auction"/>
    <s v="VROLIJK BLOEMEN"/>
    <s v="VROLIJK BLOEMEN"/>
    <x v="89"/>
    <s v="Floribunda Roses"/>
    <s v="80CM"/>
    <n v="1"/>
    <n v="8.5714285714285712"/>
    <n v="200"/>
    <n v="0.56999999999999995"/>
    <n v="114"/>
    <s v="EUR"/>
    <m/>
    <m/>
    <x v="25"/>
    <n v="0"/>
    <x v="2"/>
    <x v="2"/>
    <n v="200"/>
    <n v="1.19"/>
    <n v="238"/>
    <n v="-13.344758064516123"/>
    <n v="224.65524193548387"/>
    <x v="25"/>
    <n v="0"/>
    <m/>
    <n v="445120"/>
    <n v="29.285714285714285"/>
    <m/>
    <n v="4"/>
    <m/>
    <n v="33.285714285714285"/>
    <n v="191.36952764976959"/>
    <m/>
    <n v="200"/>
  </r>
  <r>
    <n v="25"/>
    <n v="2024"/>
    <s v="Auction"/>
    <s v="VROLIJK BLOEMEN"/>
    <s v="VROLIJK BLOEMEN"/>
    <x v="89"/>
    <s v="Floribunda Roses"/>
    <s v="100CM"/>
    <m/>
    <n v="3.4285714285714284"/>
    <n v="80"/>
    <n v="0.94"/>
    <n v="75.2"/>
    <s v="EUR"/>
    <m/>
    <m/>
    <x v="25"/>
    <n v="0"/>
    <x v="2"/>
    <x v="4"/>
    <n v="80"/>
    <n v="1.2749999999999999"/>
    <n v="102"/>
    <n v="-5.3379032258064489"/>
    <n v="96.662096774193557"/>
    <x v="25"/>
    <n v="0"/>
    <m/>
    <n v="445120"/>
    <n v="11.714285714285714"/>
    <m/>
    <n v="1.6"/>
    <m/>
    <n v="13.314285714285713"/>
    <n v="83.347811059907841"/>
    <m/>
    <n v="80"/>
  </r>
  <r>
    <n v="25"/>
    <n v="2024"/>
    <s v="Auction"/>
    <s v="VROLIJK BLOEMEN"/>
    <s v="VROLIJK BLOEMEN"/>
    <x v="89"/>
    <s v="English Roses"/>
    <s v="80CM"/>
    <n v="1"/>
    <n v="4"/>
    <n v="120"/>
    <n v="0.56999999999999995"/>
    <n v="68.400000000000006"/>
    <s v="EUR"/>
    <m/>
    <m/>
    <x v="25"/>
    <n v="0"/>
    <x v="1"/>
    <x v="2"/>
    <n v="120"/>
    <n v="1.23"/>
    <n v="147.6"/>
    <n v="-8.006854838709673"/>
    <n v="139.59314516129032"/>
    <x v="25"/>
    <n v="0"/>
    <m/>
    <n v="445120"/>
    <n v="13.666666666666668"/>
    <m/>
    <n v="2.4"/>
    <m/>
    <n v="16.066666666666666"/>
    <n v="123.52647849462366"/>
    <m/>
    <n v="120"/>
  </r>
  <r>
    <n v="25"/>
    <n v="2024"/>
    <s v="Auction"/>
    <s v="VROLIJK BLOEMEN"/>
    <s v="VROLIJK BLOEMEN"/>
    <x v="89"/>
    <s v="English Roses"/>
    <s v="70CM"/>
    <m/>
    <n v="8"/>
    <n v="240"/>
    <n v="0.52"/>
    <n v="124.8"/>
    <s v="EUR"/>
    <m/>
    <m/>
    <x v="25"/>
    <n v="0"/>
    <x v="1"/>
    <x v="1"/>
    <n v="240"/>
    <n v="1.4750000000000001"/>
    <n v="354"/>
    <n v="-16.013709677419346"/>
    <n v="337.98629032258066"/>
    <x v="25"/>
    <n v="0"/>
    <m/>
    <n v="445120"/>
    <n v="27.333333333333336"/>
    <m/>
    <n v="4.8"/>
    <m/>
    <n v="32.133333333333333"/>
    <n v="305.85295698924733"/>
    <m/>
    <n v="240"/>
  </r>
  <r>
    <n v="25"/>
    <n v="2024"/>
    <s v="Auction"/>
    <s v="VROLIJK BLOEMEN"/>
    <s v="VROLIJK BLOEMEN"/>
    <x v="89"/>
    <s v="English Roses"/>
    <s v="100CM"/>
    <n v="1"/>
    <n v="3.2727272727272725"/>
    <n v="120"/>
    <n v="0.94"/>
    <n v="112.8"/>
    <s v="EUR"/>
    <m/>
    <m/>
    <x v="25"/>
    <n v="0"/>
    <x v="1"/>
    <x v="4"/>
    <n v="120"/>
    <n v="1.2"/>
    <n v="144"/>
    <n v="-8.006854838709673"/>
    <n v="135.99314516129033"/>
    <x v="25"/>
    <n v="0"/>
    <m/>
    <n v="445120"/>
    <n v="11.18181818181818"/>
    <m/>
    <n v="2.4"/>
    <m/>
    <n v="13.58181818181818"/>
    <n v="122.41132697947215"/>
    <m/>
    <n v="120"/>
  </r>
  <r>
    <n v="25"/>
    <n v="2024"/>
    <s v="Auction"/>
    <s v="VROLIJK BLOEMEN"/>
    <s v="VROLIJK BLOEMEN"/>
    <x v="89"/>
    <s v="English Roses"/>
    <s v="50CM"/>
    <m/>
    <n v="8.7272727272727266"/>
    <n v="320"/>
    <n v="0.38"/>
    <n v="121.6"/>
    <s v="EUR"/>
    <m/>
    <m/>
    <x v="25"/>
    <n v="0"/>
    <x v="1"/>
    <x v="5"/>
    <n v="320"/>
    <n v="0.71250000000000002"/>
    <n v="228"/>
    <n v="-21.351612903225796"/>
    <n v="206.6483870967742"/>
    <x v="25"/>
    <n v="0"/>
    <m/>
    <n v="445120"/>
    <n v="29.81818181818182"/>
    <m/>
    <n v="6.4"/>
    <m/>
    <n v="36.218181818181819"/>
    <n v="170.43020527859238"/>
    <m/>
    <n v="320"/>
  </r>
  <r>
    <n v="25"/>
    <n v="2024"/>
    <s v="Auction"/>
    <s v="VROLIJK BLOEMEN"/>
    <s v="VROLIJK BLOEMEN"/>
    <x v="89"/>
    <s v="Polyantha Roses"/>
    <s v="50CM"/>
    <n v="1"/>
    <n v="8.3999999999999986"/>
    <n v="280"/>
    <n v="0.42"/>
    <n v="117.6"/>
    <s v="EUR"/>
    <m/>
    <m/>
    <x v="25"/>
    <n v="0"/>
    <x v="3"/>
    <x v="5"/>
    <n v="280"/>
    <n v="0.59142857142857141"/>
    <n v="165.6"/>
    <n v="-18.682661290322567"/>
    <n v="146.91733870967744"/>
    <x v="25"/>
    <n v="0"/>
    <m/>
    <n v="445120"/>
    <n v="28.699999999999996"/>
    <m/>
    <n v="5.6000000000000005"/>
    <m/>
    <n v="34.299999999999997"/>
    <n v="112.61733870967744"/>
    <m/>
    <n v="280"/>
  </r>
  <r>
    <n v="25"/>
    <n v="2024"/>
    <s v="Auction"/>
    <s v="VROLIJK BLOEMEN"/>
    <s v="VROLIJK BLOEMEN"/>
    <x v="89"/>
    <s v="Polyantha Roses"/>
    <s v="70CM"/>
    <m/>
    <n v="3.5999999999999996"/>
    <n v="120"/>
    <n v="0.61"/>
    <n v="73.2"/>
    <s v="EUR"/>
    <m/>
    <m/>
    <x v="25"/>
    <n v="0"/>
    <x v="3"/>
    <x v="1"/>
    <n v="120"/>
    <n v="1.0366666666666666"/>
    <n v="124.39999999999999"/>
    <n v="-8.006854838709673"/>
    <n v="116.39314516129032"/>
    <x v="25"/>
    <n v="0"/>
    <m/>
    <n v="445120"/>
    <n v="12.299999999999999"/>
    <m/>
    <n v="2.4"/>
    <m/>
    <n v="14.7"/>
    <n v="101.69314516129032"/>
    <m/>
    <n v="120"/>
  </r>
  <r>
    <n v="26"/>
    <n v="2024"/>
    <s v="Auction"/>
    <s v="VROLIJK BLOEMEN"/>
    <s v="VROLIJK BLOEMEN"/>
    <x v="90"/>
    <s v="Floribunda Roses"/>
    <s v="60CM"/>
    <n v="2"/>
    <n v="24"/>
    <n v="1040"/>
    <n v="0.47"/>
    <n v="488.8"/>
    <s v="EUR"/>
    <m/>
    <m/>
    <x v="25"/>
    <n v="-160"/>
    <x v="2"/>
    <x v="0"/>
    <n v="1200"/>
    <n v="0.629"/>
    <n v="754.8"/>
    <n v="-63.512820512820589"/>
    <n v="691.2871794871794"/>
    <x v="25"/>
    <n v="160"/>
    <m/>
    <n v="445268"/>
    <n v="80.824000000000012"/>
    <m/>
    <n v="24"/>
    <m/>
    <n v="104.82400000000001"/>
    <n v="586.46317948717933"/>
    <m/>
    <n v="1200"/>
  </r>
  <r>
    <n v="26"/>
    <n v="2024"/>
    <s v="Auction"/>
    <s v="VROLIJK BLOEMEN"/>
    <s v="VROLIJK BLOEMEN"/>
    <x v="90"/>
    <s v="English Roses"/>
    <s v="50CM"/>
    <n v="1"/>
    <n v="12"/>
    <n v="520"/>
    <n v="0.38"/>
    <n v="197.6"/>
    <s v="EUR"/>
    <m/>
    <m/>
    <x v="25"/>
    <n v="0"/>
    <x v="1"/>
    <x v="5"/>
    <n v="520"/>
    <n v="0.45615384615384613"/>
    <n v="237.2"/>
    <n v="-27.522222222222254"/>
    <n v="209.67777777777775"/>
    <x v="25"/>
    <n v="0"/>
    <m/>
    <n v="445268"/>
    <n v="40.412000000000006"/>
    <m/>
    <n v="10.4"/>
    <m/>
    <n v="50.812000000000005"/>
    <n v="158.86577777777774"/>
    <m/>
    <n v="520"/>
  </r>
  <r>
    <n v="26"/>
    <n v="2024"/>
    <s v="Auction"/>
    <s v="VROLIJK BLOEMEN"/>
    <s v="VROLIJK BLOEMEN"/>
    <x v="90"/>
    <s v="Grandiflora Roses"/>
    <s v="60CM"/>
    <n v="1"/>
    <n v="12"/>
    <n v="720"/>
    <n v="0.24"/>
    <n v="172.8"/>
    <s v="EUR"/>
    <m/>
    <m/>
    <x v="25"/>
    <n v="-200"/>
    <x v="0"/>
    <x v="0"/>
    <n v="920"/>
    <n v="0.56521739130434778"/>
    <n v="520"/>
    <n v="-48.693162393162446"/>
    <n v="471.30683760683758"/>
    <x v="25"/>
    <n v="200"/>
    <m/>
    <n v="445268"/>
    <n v="40.412000000000006"/>
    <m/>
    <n v="18.400000000000002"/>
    <m/>
    <n v="58.812000000000012"/>
    <n v="412.49483760683756"/>
    <m/>
    <n v="920"/>
  </r>
  <r>
    <n v="26"/>
    <n v="2024"/>
    <s v="Auction"/>
    <s v="VROLIJK BLOEMEN"/>
    <s v="VROLIJK BLOEMEN"/>
    <x v="90"/>
    <s v="Floribunda Roses"/>
    <s v="90CM"/>
    <n v="1"/>
    <n v="2"/>
    <n v="40"/>
    <n v="0.75"/>
    <n v="30"/>
    <s v="EUR"/>
    <m/>
    <m/>
    <x v="25"/>
    <n v="0"/>
    <x v="2"/>
    <x v="3"/>
    <n v="40"/>
    <n v="1.04"/>
    <n v="41.6"/>
    <n v="-2.1170940170940193"/>
    <n v="39.482905982905983"/>
    <x v="25"/>
    <n v="0"/>
    <m/>
    <n v="445268"/>
    <n v="6.7353333333333332"/>
    <m/>
    <n v="0.8"/>
    <m/>
    <n v="7.535333333333333"/>
    <n v="31.947572649572649"/>
    <m/>
    <n v="40"/>
  </r>
  <r>
    <n v="26"/>
    <n v="2024"/>
    <s v="Auction"/>
    <s v="VROLIJK BLOEMEN"/>
    <s v="VROLIJK BLOEMEN"/>
    <x v="90"/>
    <s v="Floribunda Roses"/>
    <s v="60CM"/>
    <m/>
    <n v="8"/>
    <n v="160"/>
    <n v="0.47"/>
    <n v="75.2"/>
    <s v="EUR"/>
    <m/>
    <m/>
    <x v="25"/>
    <n v="160"/>
    <x v="2"/>
    <x v="0"/>
    <m/>
    <m/>
    <n v="0"/>
    <n v="0"/>
    <n v="0"/>
    <x v="25"/>
    <n v="-160"/>
    <m/>
    <n v="445268"/>
    <n v="26.941333333333333"/>
    <m/>
    <n v="0"/>
    <m/>
    <n v="26.941333333333333"/>
    <n v="-26.941333333333333"/>
    <m/>
    <n v="0"/>
  </r>
  <r>
    <n v="26"/>
    <n v="2024"/>
    <s v="Auction"/>
    <s v="VROLIJK BLOEMEN"/>
    <s v="VROLIJK BLOEMEN"/>
    <x v="90"/>
    <s v="Floribunda Roses"/>
    <s v="100CM"/>
    <m/>
    <n v="2"/>
    <n v="40"/>
    <n v="0.94"/>
    <n v="37.6"/>
    <s v="EUR"/>
    <m/>
    <m/>
    <x v="25"/>
    <n v="0"/>
    <x v="2"/>
    <x v="4"/>
    <n v="40"/>
    <n v="1.1000000000000001"/>
    <n v="44"/>
    <n v="-2.1170940170940193"/>
    <n v="41.882905982905982"/>
    <x v="25"/>
    <n v="0"/>
    <m/>
    <n v="445268"/>
    <n v="6.7353333333333332"/>
    <m/>
    <n v="0.8"/>
    <m/>
    <n v="7.535333333333333"/>
    <n v="34.347572649572648"/>
    <m/>
    <n v="40"/>
  </r>
  <r>
    <n v="26"/>
    <n v="2024"/>
    <s v="Auction"/>
    <s v="VROLIJK BLOEMEN"/>
    <s v="VROLIJK BLOEMEN"/>
    <x v="90"/>
    <s v="Grandiflora Roses"/>
    <s v="60CM"/>
    <n v="1"/>
    <n v="3.75"/>
    <n v="200"/>
    <n v="0.24"/>
    <n v="48"/>
    <s v="EUR"/>
    <m/>
    <m/>
    <x v="25"/>
    <n v="200"/>
    <x v="0"/>
    <x v="0"/>
    <m/>
    <m/>
    <n v="0"/>
    <n v="0"/>
    <n v="0"/>
    <x v="25"/>
    <n v="-200"/>
    <m/>
    <n v="445268"/>
    <n v="12.62875"/>
    <m/>
    <n v="0"/>
    <m/>
    <n v="12.62875"/>
    <n v="-12.62875"/>
    <m/>
    <n v="0"/>
  </r>
  <r>
    <n v="26"/>
    <n v="2024"/>
    <s v="Auction"/>
    <s v="VROLIJK BLOEMEN"/>
    <s v="VROLIJK BLOEMEN"/>
    <x v="90"/>
    <s v="Grandiflora Roses"/>
    <s v="70CM"/>
    <m/>
    <n v="8.25"/>
    <n v="440"/>
    <n v="0.28000000000000003"/>
    <n v="123.2"/>
    <s v="EUR"/>
    <m/>
    <m/>
    <x v="25"/>
    <n v="0"/>
    <x v="0"/>
    <x v="1"/>
    <n v="440"/>
    <n v="0.59000000000000008"/>
    <n v="259.60000000000002"/>
    <n v="-23.288034188034214"/>
    <n v="236.31196581196582"/>
    <x v="25"/>
    <n v="0"/>
    <m/>
    <n v="445268"/>
    <n v="27.783250000000002"/>
    <m/>
    <n v="8.8000000000000007"/>
    <m/>
    <n v="36.583250000000007"/>
    <n v="199.7287158119658"/>
    <m/>
    <n v="440"/>
  </r>
  <r>
    <n v="26"/>
    <n v="2024"/>
    <s v="Auction"/>
    <s v="VROLIJK BLOEMEN"/>
    <s v="VROLIJK BLOEMEN"/>
    <x v="90"/>
    <s v="English Roses"/>
    <s v="60CM"/>
    <n v="1"/>
    <n v="9.4285714285714288"/>
    <n v="440"/>
    <n v="0.47"/>
    <n v="206.8"/>
    <s v="EUR"/>
    <m/>
    <m/>
    <x v="25"/>
    <n v="0"/>
    <x v="1"/>
    <x v="0"/>
    <n v="440"/>
    <n v="0.64363636363636356"/>
    <n v="283.2"/>
    <n v="-23.288034188034214"/>
    <n v="259.91196581196579"/>
    <x v="25"/>
    <n v="0"/>
    <m/>
    <n v="445268"/>
    <n v="31.752285714285716"/>
    <m/>
    <n v="8.8000000000000007"/>
    <m/>
    <n v="40.552285714285716"/>
    <n v="219.35968009768007"/>
    <m/>
    <n v="440"/>
  </r>
  <r>
    <n v="26"/>
    <n v="2024"/>
    <s v="Auction"/>
    <s v="VROLIJK BLOEMEN"/>
    <s v="VROLIJK BLOEMEN"/>
    <x v="90"/>
    <s v="English Roses"/>
    <s v="70CM"/>
    <m/>
    <n v="0.8571428571428571"/>
    <n v="40"/>
    <n v="0.52"/>
    <n v="20.8"/>
    <s v="EUR"/>
    <m/>
    <m/>
    <x v="25"/>
    <n v="0"/>
    <x v="1"/>
    <x v="1"/>
    <n v="40"/>
    <n v="1.04"/>
    <n v="41.6"/>
    <n v="-2.1170940170940193"/>
    <n v="39.482905982905983"/>
    <x v="25"/>
    <n v="0"/>
    <m/>
    <n v="445268"/>
    <n v="2.8865714285714286"/>
    <m/>
    <n v="0.8"/>
    <m/>
    <n v="3.6865714285714288"/>
    <n v="35.796334554334557"/>
    <m/>
    <n v="40"/>
  </r>
  <r>
    <n v="26"/>
    <n v="2024"/>
    <s v="Auction"/>
    <s v="VROLIJK BLOEMEN"/>
    <s v="VROLIJK BLOEMEN"/>
    <x v="90"/>
    <s v="English Roses"/>
    <s v="80CM"/>
    <m/>
    <n v="1.7142857142857142"/>
    <n v="80"/>
    <n v="0.56999999999999995"/>
    <n v="45.6"/>
    <s v="EUR"/>
    <m/>
    <m/>
    <x v="25"/>
    <n v="0"/>
    <x v="1"/>
    <x v="2"/>
    <n v="80"/>
    <n v="1.085"/>
    <n v="86.8"/>
    <n v="-4.2341880341880387"/>
    <n v="82.56581196581196"/>
    <x v="25"/>
    <n v="0"/>
    <m/>
    <n v="445268"/>
    <n v="5.7731428571428571"/>
    <m/>
    <n v="1.6"/>
    <m/>
    <n v="7.3731428571428577"/>
    <n v="75.192669108669108"/>
    <m/>
    <n v="80"/>
  </r>
  <r>
    <n v="26"/>
    <n v="2024"/>
    <s v="Auction"/>
    <s v="VROLIJK BLOEMEN"/>
    <s v="VROLIJK BLOEMEN"/>
    <x v="90"/>
    <s v="English Roses"/>
    <s v="90CM"/>
    <n v="1"/>
    <n v="6"/>
    <n v="120"/>
    <n v="0.75"/>
    <n v="90"/>
    <s v="EUR"/>
    <m/>
    <m/>
    <x v="25"/>
    <n v="0"/>
    <x v="1"/>
    <x v="3"/>
    <n v="120"/>
    <n v="1.1499999999999999"/>
    <n v="138"/>
    <n v="-6.351282051282058"/>
    <n v="131.64871794871794"/>
    <x v="25"/>
    <n v="0"/>
    <m/>
    <n v="445268"/>
    <n v="20.206000000000003"/>
    <m/>
    <n v="2.4"/>
    <m/>
    <n v="22.606000000000002"/>
    <n v="109.04271794871795"/>
    <m/>
    <n v="120"/>
  </r>
  <r>
    <n v="26"/>
    <n v="2024"/>
    <s v="Auction"/>
    <s v="VROLIJK BLOEMEN"/>
    <s v="VROLIJK BLOEMEN"/>
    <x v="90"/>
    <s v="English Roses"/>
    <s v="100CM"/>
    <m/>
    <n v="6"/>
    <n v="120"/>
    <n v="0.94"/>
    <n v="112.8"/>
    <s v="EUR"/>
    <m/>
    <m/>
    <x v="25"/>
    <n v="0"/>
    <x v="1"/>
    <x v="4"/>
    <n v="120"/>
    <n v="1.07"/>
    <n v="128.4"/>
    <n v="-6.351282051282058"/>
    <n v="122.04871794871795"/>
    <x v="25"/>
    <n v="0"/>
    <m/>
    <n v="445268"/>
    <n v="20.206000000000003"/>
    <m/>
    <n v="2.4"/>
    <m/>
    <n v="22.606000000000002"/>
    <n v="99.442717948717956"/>
    <m/>
    <n v="120"/>
  </r>
  <r>
    <n v="26"/>
    <n v="2024"/>
    <s v="Auction"/>
    <s v="VROLIJK BLOEMEN"/>
    <s v="VROLIJK BLOEMEN"/>
    <x v="90"/>
    <s v="Grandiflora Roses"/>
    <s v="80CM"/>
    <n v="1"/>
    <n v="5.1428571428571423"/>
    <n v="120"/>
    <n v="0.33"/>
    <n v="39.6"/>
    <s v="EUR"/>
    <m/>
    <m/>
    <x v="25"/>
    <n v="0"/>
    <x v="0"/>
    <x v="2"/>
    <n v="120"/>
    <n v="0.67333333333333334"/>
    <n v="80.8"/>
    <n v="-6.351282051282058"/>
    <n v="74.448717948717942"/>
    <x v="25"/>
    <n v="0"/>
    <m/>
    <n v="445268"/>
    <n v="17.319428571428571"/>
    <m/>
    <n v="2.4"/>
    <m/>
    <n v="19.719428571428569"/>
    <n v="54.729289377289376"/>
    <m/>
    <n v="120"/>
  </r>
  <r>
    <n v="26"/>
    <n v="2024"/>
    <s v="Auction"/>
    <s v="VROLIJK BLOEMEN"/>
    <s v="VROLIJK BLOEMEN"/>
    <x v="90"/>
    <s v="Grandiflora Roses"/>
    <s v="90CM"/>
    <m/>
    <n v="6.8571428571428568"/>
    <n v="160"/>
    <n v="0.38"/>
    <n v="60.8"/>
    <s v="EUR"/>
    <m/>
    <m/>
    <x v="25"/>
    <n v="0"/>
    <x v="0"/>
    <x v="3"/>
    <n v="160"/>
    <n v="0.72"/>
    <n v="115.19999999999999"/>
    <n v="-8.4683760683760774"/>
    <n v="106.73162393162391"/>
    <x v="25"/>
    <n v="0"/>
    <m/>
    <n v="445268"/>
    <n v="23.092571428571429"/>
    <m/>
    <n v="3.2"/>
    <m/>
    <n v="26.292571428571428"/>
    <n v="80.439052503052494"/>
    <m/>
    <n v="160"/>
  </r>
  <r>
    <n v="26"/>
    <n v="2024"/>
    <s v="Auction"/>
    <s v="VROLIJK BLOEMEN"/>
    <s v="VROLIJK BLOEMEN"/>
    <x v="90"/>
    <s v="Polyantha Roses"/>
    <s v="50CM"/>
    <n v="1"/>
    <n v="4.3636363636363633"/>
    <n v="160"/>
    <n v="0.42"/>
    <n v="67.2"/>
    <s v="EUR"/>
    <m/>
    <m/>
    <x v="25"/>
    <n v="0"/>
    <x v="3"/>
    <x v="5"/>
    <n v="160"/>
    <n v="0.38250000000000001"/>
    <n v="61.2"/>
    <n v="-8.4683760683760774"/>
    <n v="52.731623931623929"/>
    <x v="25"/>
    <n v="0"/>
    <m/>
    <n v="445268"/>
    <n v="14.695272727272727"/>
    <m/>
    <n v="3.2"/>
    <m/>
    <n v="17.895272727272726"/>
    <n v="34.836351204351203"/>
    <m/>
    <n v="160"/>
  </r>
  <r>
    <n v="26"/>
    <n v="2024"/>
    <s v="Auction"/>
    <s v="VROLIJK BLOEMEN"/>
    <s v="VROLIJK BLOEMEN"/>
    <x v="90"/>
    <s v="Polyantha Roses"/>
    <s v="60CM"/>
    <m/>
    <n v="7.6363636363636367"/>
    <n v="280"/>
    <n v="0.52"/>
    <n v="145.6"/>
    <s v="EUR"/>
    <m/>
    <m/>
    <x v="25"/>
    <n v="0"/>
    <x v="3"/>
    <x v="0"/>
    <n v="280"/>
    <n v="0.65"/>
    <n v="182"/>
    <n v="-14.819658119658135"/>
    <n v="167.18034188034187"/>
    <x v="25"/>
    <n v="0"/>
    <m/>
    <n v="445268"/>
    <n v="25.716727272727276"/>
    <m/>
    <n v="5.6000000000000005"/>
    <m/>
    <n v="31.316727272727277"/>
    <n v="135.86361460761458"/>
    <m/>
    <n v="280"/>
  </r>
  <r>
    <n v="26"/>
    <n v="2024"/>
    <s v="Auction"/>
    <s v="VROLIJK BLOEMEN"/>
    <s v="VROLIJK BLOEMEN"/>
    <x v="91"/>
    <s v="English Roses"/>
    <s v="50CM"/>
    <n v="1"/>
    <n v="12"/>
    <n v="520"/>
    <n v="0.38"/>
    <n v="197.6"/>
    <s v="EUR"/>
    <m/>
    <m/>
    <x v="25"/>
    <n v="0"/>
    <x v="1"/>
    <x v="5"/>
    <n v="520"/>
    <n v="0.48"/>
    <n v="249.6"/>
    <n v="-31.974537815126055"/>
    <n v="217.62546218487392"/>
    <x v="25"/>
    <n v="0"/>
    <m/>
    <s v="F089329"/>
    <n v="41.332499999999996"/>
    <m/>
    <n v="10.4"/>
    <m/>
    <n v="51.732499999999995"/>
    <n v="165.89296218487394"/>
    <m/>
    <n v="520"/>
  </r>
  <r>
    <n v="26"/>
    <n v="2024"/>
    <s v="Auction"/>
    <s v="VROLIJK BLOEMEN"/>
    <s v="VROLIJK BLOEMEN"/>
    <x v="91"/>
    <s v="English Roses"/>
    <s v="70CM"/>
    <n v="1"/>
    <n v="12"/>
    <n v="320"/>
    <n v="0.52"/>
    <n v="166.4"/>
    <s v="EUR"/>
    <m/>
    <m/>
    <x v="25"/>
    <n v="0"/>
    <x v="1"/>
    <x v="1"/>
    <n v="320"/>
    <n v="1.0349999999999999"/>
    <n v="331.2"/>
    <n v="-19.676638655462188"/>
    <n v="311.52336134453782"/>
    <x v="25"/>
    <n v="0"/>
    <m/>
    <s v="F089329"/>
    <n v="41.332499999999996"/>
    <m/>
    <n v="6.4"/>
    <m/>
    <n v="47.732499999999995"/>
    <n v="263.7908613445378"/>
    <m/>
    <n v="320"/>
  </r>
  <r>
    <n v="26"/>
    <n v="2024"/>
    <s v="Auction"/>
    <s v="VROLIJK BLOEMEN"/>
    <s v="VROLIJK BLOEMEN"/>
    <x v="91"/>
    <s v="Grandiflora Roses"/>
    <s v="60CM"/>
    <n v="1"/>
    <n v="12"/>
    <n v="600"/>
    <n v="0.24"/>
    <n v="144"/>
    <s v="EUR"/>
    <m/>
    <m/>
    <x v="25"/>
    <n v="0"/>
    <x v="0"/>
    <x v="0"/>
    <n v="600"/>
    <n v="0.43"/>
    <n v="258"/>
    <n v="-36.893697478991605"/>
    <n v="221.10630252100839"/>
    <x v="25"/>
    <n v="0"/>
    <m/>
    <s v="F089329"/>
    <n v="41.332499999999996"/>
    <m/>
    <n v="12"/>
    <m/>
    <n v="53.332499999999996"/>
    <n v="167.77380252100841"/>
    <m/>
    <n v="600"/>
  </r>
  <r>
    <n v="26"/>
    <n v="2024"/>
    <s v="Auction"/>
    <s v="VROLIJK BLOEMEN"/>
    <s v="VROLIJK BLOEMEN"/>
    <x v="91"/>
    <s v="Floribunda Roses"/>
    <s v="60CM"/>
    <n v="1"/>
    <n v="12"/>
    <n v="520"/>
    <n v="0.47"/>
    <n v="244.4"/>
    <s v="EUR"/>
    <m/>
    <m/>
    <x v="25"/>
    <n v="-240"/>
    <x v="2"/>
    <x v="0"/>
    <n v="760"/>
    <n v="0.78842105263157902"/>
    <n v="599.20000000000005"/>
    <n v="-46.732016806722697"/>
    <n v="552.46798319327741"/>
    <x v="25"/>
    <n v="240"/>
    <m/>
    <s v="F089329"/>
    <n v="41.332499999999996"/>
    <m/>
    <n v="15.200000000000001"/>
    <m/>
    <n v="56.532499999999999"/>
    <n v="495.93548319327738"/>
    <m/>
    <n v="760"/>
  </r>
  <r>
    <n v="26"/>
    <n v="2024"/>
    <s v="Auction"/>
    <s v="VROLIJK BLOEMEN"/>
    <s v="VROLIJK BLOEMEN"/>
    <x v="91"/>
    <s v="English Roses"/>
    <s v="90CM"/>
    <n v="1"/>
    <n v="4.8000000000000007"/>
    <n v="80"/>
    <n v="0.75"/>
    <n v="60"/>
    <s v="EUR"/>
    <m/>
    <m/>
    <x v="25"/>
    <n v="0"/>
    <x v="1"/>
    <x v="3"/>
    <n v="80"/>
    <n v="1.115"/>
    <n v="89.2"/>
    <n v="-4.919159663865547"/>
    <n v="84.28084033613446"/>
    <x v="25"/>
    <n v="0"/>
    <m/>
    <s v="F089329"/>
    <n v="16.533000000000005"/>
    <m/>
    <n v="1.6"/>
    <m/>
    <n v="18.133000000000006"/>
    <n v="66.14784033613445"/>
    <m/>
    <n v="80"/>
  </r>
  <r>
    <n v="26"/>
    <n v="2024"/>
    <s v="Auction"/>
    <s v="VROLIJK BLOEMEN"/>
    <s v="VROLIJK BLOEMEN"/>
    <x v="91"/>
    <s v="English Roses"/>
    <s v="100CM"/>
    <m/>
    <n v="7.1999999999999993"/>
    <n v="120"/>
    <n v="0.94"/>
    <n v="112.8"/>
    <s v="EUR"/>
    <m/>
    <m/>
    <x v="25"/>
    <n v="0"/>
    <x v="1"/>
    <x v="4"/>
    <n v="120"/>
    <n v="1.1666666666666667"/>
    <n v="140"/>
    <n v="-7.3787394957983201"/>
    <n v="132.62126050420167"/>
    <x v="25"/>
    <n v="0"/>
    <m/>
    <s v="F089329"/>
    <n v="24.799499999999998"/>
    <m/>
    <n v="2.4"/>
    <m/>
    <n v="27.199499999999997"/>
    <n v="105.42176050420167"/>
    <m/>
    <n v="120"/>
  </r>
  <r>
    <n v="26"/>
    <n v="2024"/>
    <s v="Auction"/>
    <s v="VROLIJK BLOEMEN"/>
    <s v="VROLIJK BLOEMEN"/>
    <x v="91"/>
    <s v="English Roses"/>
    <s v="60CM"/>
    <n v="1"/>
    <n v="8.7272727272727266"/>
    <n v="320"/>
    <n v="0.47"/>
    <n v="150.4"/>
    <s v="EUR"/>
    <m/>
    <m/>
    <x v="25"/>
    <n v="0"/>
    <x v="1"/>
    <x v="0"/>
    <n v="320"/>
    <n v="0.83750000000000002"/>
    <n v="268"/>
    <n v="-19.676638655462188"/>
    <n v="248.3233613445378"/>
    <x v="25"/>
    <n v="0"/>
    <m/>
    <s v="F089329"/>
    <n v="30.06"/>
    <m/>
    <n v="6.4"/>
    <m/>
    <n v="36.46"/>
    <n v="211.86336134453779"/>
    <m/>
    <n v="320"/>
  </r>
  <r>
    <n v="26"/>
    <n v="2024"/>
    <s v="Auction"/>
    <s v="VROLIJK BLOEMEN"/>
    <s v="VROLIJK BLOEMEN"/>
    <x v="91"/>
    <s v="English Roses"/>
    <s v="80CM"/>
    <m/>
    <n v="3.2727272727272725"/>
    <n v="120"/>
    <n v="0.56999999999999995"/>
    <n v="68.400000000000006"/>
    <s v="EUR"/>
    <m/>
    <m/>
    <x v="25"/>
    <n v="0"/>
    <x v="1"/>
    <x v="2"/>
    <n v="120"/>
    <n v="0.95"/>
    <n v="114"/>
    <n v="-7.3787394957983201"/>
    <n v="106.62126050420169"/>
    <x v="25"/>
    <n v="0"/>
    <m/>
    <s v="F089329"/>
    <n v="11.272499999999999"/>
    <m/>
    <n v="2.4"/>
    <m/>
    <n v="13.672499999999999"/>
    <n v="92.948760504201687"/>
    <m/>
    <n v="120"/>
  </r>
  <r>
    <n v="26"/>
    <n v="2024"/>
    <s v="Auction"/>
    <s v="VROLIJK BLOEMEN"/>
    <s v="VROLIJK BLOEMEN"/>
    <x v="91"/>
    <s v="Floribunda Roses"/>
    <s v="50CM"/>
    <n v="1"/>
    <n v="8.4705882352941178"/>
    <n v="480"/>
    <n v="0.38"/>
    <n v="182.4"/>
    <s v="EUR"/>
    <m/>
    <m/>
    <x v="25"/>
    <n v="40"/>
    <x v="2"/>
    <x v="5"/>
    <n v="440"/>
    <n v="0.58545454545454556"/>
    <n v="257.60000000000002"/>
    <n v="-27.055378151260509"/>
    <n v="230.54462184873952"/>
    <x v="25"/>
    <n v="-40"/>
    <m/>
    <s v="F089329"/>
    <n v="29.175882352941176"/>
    <m/>
    <n v="8.8000000000000007"/>
    <m/>
    <n v="37.975882352941177"/>
    <n v="192.56873949579835"/>
    <m/>
    <n v="440"/>
  </r>
  <r>
    <n v="26"/>
    <n v="2024"/>
    <s v="Auction"/>
    <s v="VROLIJK BLOEMEN"/>
    <s v="VROLIJK BLOEMEN"/>
    <x v="91"/>
    <s v="Floribunda Roses"/>
    <s v="60CM"/>
    <m/>
    <n v="3.5294117647058822"/>
    <n v="200"/>
    <n v="0.47"/>
    <n v="94"/>
    <s v="EUR"/>
    <m/>
    <m/>
    <x v="25"/>
    <n v="200"/>
    <x v="2"/>
    <x v="0"/>
    <m/>
    <m/>
    <n v="0"/>
    <n v="0"/>
    <n v="0"/>
    <x v="25"/>
    <n v="-200"/>
    <m/>
    <s v="F089329"/>
    <n v="12.156617647058823"/>
    <m/>
    <n v="0"/>
    <m/>
    <n v="12.156617647058823"/>
    <n v="-12.156617647058823"/>
    <m/>
    <n v="0"/>
  </r>
  <r>
    <n v="26"/>
    <n v="2024"/>
    <s v="Auction"/>
    <s v="VROLIJK BLOEMEN"/>
    <s v="VROLIJK BLOEMEN"/>
    <x v="91"/>
    <s v="Grandiflora Roses"/>
    <s v="70CM"/>
    <n v="1"/>
    <n v="6"/>
    <n v="240"/>
    <n v="0.28000000000000003"/>
    <n v="67.2"/>
    <s v="EUR"/>
    <m/>
    <m/>
    <x v="25"/>
    <n v="0"/>
    <x v="0"/>
    <x v="1"/>
    <n v="240"/>
    <n v="0.51833333333333331"/>
    <n v="124.39999999999999"/>
    <n v="-14.75747899159664"/>
    <n v="109.64252100840335"/>
    <x v="25"/>
    <n v="0"/>
    <m/>
    <s v="F089329"/>
    <n v="20.666249999999998"/>
    <m/>
    <n v="4.8"/>
    <m/>
    <n v="25.466249999999999"/>
    <n v="84.176271008403347"/>
    <m/>
    <n v="240"/>
  </r>
  <r>
    <n v="26"/>
    <n v="2024"/>
    <s v="Auction"/>
    <s v="VROLIJK BLOEMEN"/>
    <s v="VROLIJK BLOEMEN"/>
    <x v="91"/>
    <s v="Grandiflora Roses"/>
    <s v="90CM"/>
    <m/>
    <n v="1"/>
    <n v="40"/>
    <n v="0.38"/>
    <n v="15.2"/>
    <s v="EUR"/>
    <m/>
    <m/>
    <x v="25"/>
    <n v="0"/>
    <x v="0"/>
    <x v="3"/>
    <n v="40"/>
    <n v="0.61"/>
    <n v="24.4"/>
    <n v="-2.4595798319327735"/>
    <n v="21.940420168067224"/>
    <x v="25"/>
    <n v="0"/>
    <m/>
    <s v="F089329"/>
    <n v="3.444375"/>
    <m/>
    <n v="0.8"/>
    <m/>
    <n v="4.2443749999999998"/>
    <n v="17.696045168067222"/>
    <m/>
    <n v="40"/>
  </r>
  <r>
    <n v="26"/>
    <n v="2024"/>
    <s v="Auction"/>
    <s v="VROLIJK BLOEMEN"/>
    <s v="VROLIJK BLOEMEN"/>
    <x v="91"/>
    <s v="Grandiflora Roses"/>
    <s v="80CM"/>
    <m/>
    <n v="5"/>
    <n v="200"/>
    <n v="0.33"/>
    <n v="66"/>
    <s v="EUR"/>
    <m/>
    <m/>
    <x v="25"/>
    <n v="0"/>
    <x v="0"/>
    <x v="2"/>
    <n v="200"/>
    <n v="0.56000000000000005"/>
    <n v="112.00000000000001"/>
    <n v="-12.297899159663869"/>
    <n v="99.702100840336144"/>
    <x v="25"/>
    <n v="0"/>
    <m/>
    <s v="F089329"/>
    <n v="17.221875000000001"/>
    <m/>
    <n v="4"/>
    <m/>
    <n v="21.221875000000001"/>
    <n v="78.480225840336146"/>
    <m/>
    <n v="200"/>
  </r>
  <r>
    <n v="26"/>
    <n v="2024"/>
    <s v="Auction"/>
    <s v="VROLIJK BLOEMEN"/>
    <s v="VROLIJK BLOEMEN"/>
    <x v="91"/>
    <s v="Floribunda Roses"/>
    <s v="70CM"/>
    <n v="1"/>
    <n v="6.8571428571428568"/>
    <n v="160"/>
    <n v="0.52"/>
    <n v="83.2"/>
    <s v="EUR"/>
    <m/>
    <m/>
    <x v="25"/>
    <n v="0"/>
    <x v="2"/>
    <x v="1"/>
    <n v="160"/>
    <n v="1.08"/>
    <n v="172.8"/>
    <n v="-9.8383193277310941"/>
    <n v="162.96168067226893"/>
    <x v="25"/>
    <n v="0"/>
    <m/>
    <s v="F089329"/>
    <n v="23.618571428571428"/>
    <m/>
    <n v="3.2"/>
    <m/>
    <n v="26.818571428571428"/>
    <n v="136.1431092436975"/>
    <m/>
    <n v="160"/>
  </r>
  <r>
    <n v="26"/>
    <n v="2024"/>
    <s v="Auction"/>
    <s v="VROLIJK BLOEMEN"/>
    <s v="VROLIJK BLOEMEN"/>
    <x v="91"/>
    <s v="Floribunda Roses"/>
    <s v="80CM"/>
    <m/>
    <n v="5.1428571428571423"/>
    <n v="120"/>
    <n v="0.56999999999999995"/>
    <n v="68.400000000000006"/>
    <s v="EUR"/>
    <m/>
    <m/>
    <x v="25"/>
    <n v="0"/>
    <x v="2"/>
    <x v="2"/>
    <n v="120"/>
    <n v="1.1900000000000002"/>
    <n v="142.80000000000001"/>
    <n v="-7.3787394957983201"/>
    <n v="135.42126050420168"/>
    <x v="25"/>
    <n v="0"/>
    <m/>
    <s v="F089329"/>
    <n v="17.713928571428571"/>
    <m/>
    <n v="2.4"/>
    <m/>
    <n v="20.11392857142857"/>
    <n v="115.30733193277311"/>
    <m/>
    <n v="120"/>
  </r>
  <r>
    <n v="26"/>
    <n v="2024"/>
    <s v="Auction"/>
    <s v="VROLIJK BLOEMEN"/>
    <s v="VROLIJK BLOEMEN"/>
    <x v="91"/>
    <s v="Floribunda Roses"/>
    <s v="90CM"/>
    <n v="1"/>
    <n v="9"/>
    <n v="120"/>
    <n v="0.75"/>
    <n v="90"/>
    <s v="EUR"/>
    <m/>
    <m/>
    <x v="25"/>
    <n v="0"/>
    <x v="2"/>
    <x v="3"/>
    <n v="120"/>
    <n v="1.25"/>
    <n v="150"/>
    <n v="-7.3787394957983201"/>
    <n v="142.62126050420167"/>
    <x v="25"/>
    <n v="0"/>
    <m/>
    <s v="F089329"/>
    <n v="30.999375000000001"/>
    <m/>
    <n v="2.4"/>
    <m/>
    <n v="33.399374999999999"/>
    <n v="109.22188550420168"/>
    <m/>
    <n v="120"/>
  </r>
  <r>
    <n v="26"/>
    <n v="2024"/>
    <s v="Auction"/>
    <s v="VROLIJK BLOEMEN"/>
    <s v="VROLIJK BLOEMEN"/>
    <x v="91"/>
    <s v="Floribunda Roses"/>
    <s v="100CM"/>
    <m/>
    <n v="3"/>
    <n v="40"/>
    <n v="0.94"/>
    <n v="37.6"/>
    <s v="EUR"/>
    <m/>
    <m/>
    <x v="25"/>
    <n v="0"/>
    <x v="2"/>
    <x v="4"/>
    <n v="40"/>
    <n v="1.3"/>
    <n v="52"/>
    <n v="-2.4595798319327735"/>
    <n v="49.540420168067229"/>
    <x v="25"/>
    <n v="0"/>
    <m/>
    <s v="F089329"/>
    <n v="10.333124999999999"/>
    <m/>
    <n v="0.8"/>
    <m/>
    <n v="11.133125"/>
    <n v="38.407295168067229"/>
    <m/>
    <n v="40"/>
  </r>
  <r>
    <n v="26"/>
    <n v="2024"/>
    <s v="Auction"/>
    <s v="VROLIJK BLOEMEN"/>
    <s v="VROLIJK BLOEMEN"/>
    <x v="91"/>
    <s v="Polyantha Roses"/>
    <s v="50CM"/>
    <n v="1"/>
    <n v="6.666666666666667"/>
    <n v="200"/>
    <n v="0.42"/>
    <n v="84"/>
    <s v="EUR"/>
    <m/>
    <m/>
    <x v="25"/>
    <n v="0"/>
    <x v="3"/>
    <x v="5"/>
    <n v="200"/>
    <n v="0.48"/>
    <n v="96"/>
    <n v="-12.297899159663869"/>
    <n v="83.702100840336129"/>
    <x v="25"/>
    <n v="0"/>
    <m/>
    <s v="F089329"/>
    <n v="22.962500000000002"/>
    <m/>
    <n v="4"/>
    <m/>
    <n v="26.962500000000002"/>
    <n v="56.739600840336124"/>
    <m/>
    <n v="200"/>
  </r>
  <r>
    <n v="26"/>
    <n v="2024"/>
    <s v="Auction"/>
    <s v="VROLIJK BLOEMEN"/>
    <s v="VROLIJK BLOEMEN"/>
    <x v="91"/>
    <s v="Polyantha Roses"/>
    <s v="60CM"/>
    <m/>
    <n v="5.333333333333333"/>
    <n v="160"/>
    <n v="0.52"/>
    <n v="83.2"/>
    <s v="EUR"/>
    <m/>
    <m/>
    <x v="25"/>
    <n v="0"/>
    <x v="3"/>
    <x v="0"/>
    <n v="160"/>
    <n v="0.6875"/>
    <n v="110"/>
    <n v="-9.8383193277310941"/>
    <n v="100.1616806722689"/>
    <x v="25"/>
    <n v="0"/>
    <m/>
    <s v="F089329"/>
    <n v="18.37"/>
    <m/>
    <n v="3.2"/>
    <m/>
    <n v="21.57"/>
    <n v="78.591680672268893"/>
    <m/>
    <n v="160"/>
  </r>
  <r>
    <n v="26"/>
    <n v="2024"/>
    <s v="Auction"/>
    <s v="VROLIJK BLOEMEN"/>
    <s v="VROLIJK BLOEMEN"/>
    <x v="91"/>
    <s v="Polyantha Roses"/>
    <s v="70CM"/>
    <n v="1"/>
    <n v="4.8000000000000007"/>
    <n v="80"/>
    <n v="0.61"/>
    <n v="48.8"/>
    <s v="EUR"/>
    <m/>
    <m/>
    <x v="25"/>
    <n v="0"/>
    <x v="3"/>
    <x v="1"/>
    <n v="80"/>
    <n v="0.73499999999999999"/>
    <n v="58.8"/>
    <n v="-4.919159663865547"/>
    <n v="53.880840336134447"/>
    <x v="25"/>
    <n v="0"/>
    <m/>
    <s v="F089329"/>
    <n v="16.533000000000005"/>
    <m/>
    <n v="1.6"/>
    <m/>
    <n v="18.133000000000006"/>
    <n v="35.747840336134445"/>
    <m/>
    <n v="80"/>
  </r>
  <r>
    <n v="26"/>
    <n v="2024"/>
    <s v="Auction"/>
    <s v="VROLIJK BLOEMEN"/>
    <s v="VROLIJK BLOEMEN"/>
    <x v="91"/>
    <s v="Polyantha Roses"/>
    <s v="90CM"/>
    <m/>
    <n v="7.1999999999999993"/>
    <n v="120"/>
    <n v="0.85"/>
    <n v="102"/>
    <s v="EUR"/>
    <m/>
    <m/>
    <x v="25"/>
    <n v="0"/>
    <x v="3"/>
    <x v="3"/>
    <n v="120"/>
    <n v="1.3333333333333333"/>
    <n v="160"/>
    <n v="-7.3787394957983201"/>
    <n v="152.62126050420167"/>
    <x v="25"/>
    <n v="0"/>
    <m/>
    <s v="F089329"/>
    <n v="24.799499999999998"/>
    <m/>
    <n v="2.4"/>
    <m/>
    <n v="27.199499999999997"/>
    <n v="125.42176050420167"/>
    <m/>
    <n v="120"/>
  </r>
  <r>
    <n v="26"/>
    <n v="2024"/>
    <s v="Auction"/>
    <s v="VROLIJK BLOEMEN"/>
    <s v="VROLIJK BLOEMEN"/>
    <x v="92"/>
    <s v="English Roses"/>
    <s v="50CM"/>
    <n v="1"/>
    <n v="12"/>
    <n v="520"/>
    <n v="0.38"/>
    <n v="197.6"/>
    <s v="EUR"/>
    <m/>
    <m/>
    <x v="26"/>
    <n v="520"/>
    <x v="1"/>
    <x v="5"/>
    <m/>
    <m/>
    <n v="0"/>
    <n v="0"/>
    <n v="0"/>
    <x v="26"/>
    <n v="-520"/>
    <m/>
    <n v="446086"/>
    <n v="40.928750000000001"/>
    <m/>
    <n v="0"/>
    <m/>
    <n v="40.928750000000001"/>
    <n v="-40.928750000000001"/>
    <m/>
    <n v="0"/>
  </r>
  <r>
    <n v="26"/>
    <n v="2024"/>
    <s v="Auction"/>
    <s v="VROLIJK BLOEMEN"/>
    <s v="VROLIJK BLOEMEN"/>
    <x v="92"/>
    <s v="Floribunda Roses"/>
    <s v="60CM"/>
    <n v="1"/>
    <n v="12"/>
    <n v="440"/>
    <n v="0.47"/>
    <n v="206.8"/>
    <s v="EUR"/>
    <m/>
    <m/>
    <x v="26"/>
    <n v="440"/>
    <x v="2"/>
    <x v="0"/>
    <m/>
    <m/>
    <n v="0"/>
    <n v="0"/>
    <n v="0"/>
    <x v="26"/>
    <n v="-440"/>
    <m/>
    <n v="446086"/>
    <n v="40.928750000000001"/>
    <m/>
    <n v="0"/>
    <m/>
    <n v="40.928750000000001"/>
    <n v="-40.928750000000001"/>
    <m/>
    <n v="0"/>
  </r>
  <r>
    <n v="26"/>
    <n v="2024"/>
    <s v="Auction"/>
    <s v="VROLIJK BLOEMEN"/>
    <s v="VROLIJK BLOEMEN"/>
    <x v="92"/>
    <s v="Floribunda Roses"/>
    <s v="60CM"/>
    <n v="1"/>
    <n v="12"/>
    <n v="400"/>
    <n v="0.47"/>
    <n v="188"/>
    <s v="EUR"/>
    <m/>
    <m/>
    <x v="26"/>
    <n v="-440"/>
    <x v="2"/>
    <x v="0"/>
    <n v="840"/>
    <n v="0.87"/>
    <n v="730.8"/>
    <n v="-43.822258064516163"/>
    <n v="686.97774193548378"/>
    <x v="26"/>
    <n v="440"/>
    <m/>
    <n v="446086"/>
    <n v="40.928750000000001"/>
    <m/>
    <n v="16.8"/>
    <m/>
    <n v="57.728750000000005"/>
    <n v="629.24899193548379"/>
    <m/>
    <n v="840"/>
  </r>
  <r>
    <n v="26"/>
    <n v="2024"/>
    <s v="Auction"/>
    <s v="VROLIJK BLOEMEN"/>
    <s v="VROLIJK BLOEMEN"/>
    <x v="92"/>
    <s v="Grandiflora Roses"/>
    <s v="60CM"/>
    <n v="1"/>
    <n v="12"/>
    <n v="720"/>
    <n v="0.24"/>
    <n v="172.8"/>
    <s v="EUR"/>
    <m/>
    <m/>
    <x v="26"/>
    <n v="0"/>
    <x v="0"/>
    <x v="0"/>
    <n v="720"/>
    <n v="0.60111111111111115"/>
    <n v="432.8"/>
    <n v="-37.561935483870997"/>
    <n v="395.23806451612904"/>
    <x v="26"/>
    <n v="0"/>
    <m/>
    <n v="446086"/>
    <n v="40.928750000000001"/>
    <m/>
    <n v="14.4"/>
    <m/>
    <n v="55.328749999999999"/>
    <n v="339.90931451612903"/>
    <m/>
    <n v="720"/>
  </r>
  <r>
    <n v="26"/>
    <n v="2024"/>
    <s v="Auction"/>
    <s v="VROLIJK BLOEMEN"/>
    <s v="VROLIJK BLOEMEN"/>
    <x v="92"/>
    <s v="Grandiflora Roses"/>
    <s v="70CM"/>
    <n v="1"/>
    <n v="5.333333333333333"/>
    <n v="160"/>
    <n v="0.28000000000000003"/>
    <n v="44.8"/>
    <s v="EUR"/>
    <m/>
    <m/>
    <x v="26"/>
    <n v="0"/>
    <x v="0"/>
    <x v="1"/>
    <n v="160"/>
    <n v="0.39"/>
    <n v="62.400000000000006"/>
    <n v="-8.347096774193556"/>
    <n v="54.052903225806446"/>
    <x v="26"/>
    <n v="0"/>
    <m/>
    <n v="446086"/>
    <n v="18.190555555555555"/>
    <m/>
    <n v="3.2"/>
    <m/>
    <n v="21.390555555555554"/>
    <n v="32.662347670250895"/>
    <m/>
    <n v="160"/>
  </r>
  <r>
    <n v="26"/>
    <n v="2024"/>
    <s v="Auction"/>
    <s v="VROLIJK BLOEMEN"/>
    <s v="VROLIJK BLOEMEN"/>
    <x v="92"/>
    <s v="Grandiflora Roses"/>
    <s v="80CM"/>
    <m/>
    <n v="5.333333333333333"/>
    <n v="160"/>
    <n v="0.33"/>
    <n v="52.8"/>
    <s v="EUR"/>
    <m/>
    <m/>
    <x v="26"/>
    <n v="0"/>
    <x v="0"/>
    <x v="2"/>
    <n v="160"/>
    <n v="0.44500000000000001"/>
    <n v="71.2"/>
    <n v="-8.347096774193556"/>
    <n v="62.852903225806443"/>
    <x v="26"/>
    <n v="0"/>
    <m/>
    <n v="446086"/>
    <n v="18.190555555555555"/>
    <m/>
    <n v="3.2"/>
    <m/>
    <n v="21.390555555555554"/>
    <n v="41.462347670250892"/>
    <m/>
    <n v="160"/>
  </r>
  <r>
    <n v="26"/>
    <n v="2024"/>
    <s v="Auction"/>
    <s v="VROLIJK BLOEMEN"/>
    <s v="VROLIJK BLOEMEN"/>
    <x v="92"/>
    <s v="Grandiflora Roses"/>
    <s v="90CM"/>
    <m/>
    <n v="1.3333333333333333"/>
    <n v="40"/>
    <n v="0.38"/>
    <n v="15.2"/>
    <s v="EUR"/>
    <m/>
    <m/>
    <x v="26"/>
    <n v="0"/>
    <x v="0"/>
    <x v="3"/>
    <n v="40"/>
    <n v="0.45"/>
    <n v="18"/>
    <n v="-2.086774193548389"/>
    <n v="15.91322580645161"/>
    <x v="26"/>
    <n v="0"/>
    <m/>
    <n v="446086"/>
    <n v="4.5476388888888888"/>
    <m/>
    <n v="0.8"/>
    <m/>
    <n v="5.3476388888888886"/>
    <n v="10.565586917562722"/>
    <m/>
    <n v="40"/>
  </r>
  <r>
    <n v="26"/>
    <n v="2024"/>
    <s v="Auction"/>
    <s v="VROLIJK BLOEMEN"/>
    <s v="VROLIJK BLOEMEN"/>
    <x v="92"/>
    <s v="Floribunda Roses"/>
    <s v="50CM"/>
    <n v="1"/>
    <n v="7.384615384615385"/>
    <n v="320"/>
    <n v="0.38"/>
    <n v="121.6"/>
    <s v="EUR"/>
    <m/>
    <m/>
    <x v="26"/>
    <n v="0"/>
    <x v="2"/>
    <x v="5"/>
    <n v="320"/>
    <n v="0.64"/>
    <n v="204.8"/>
    <n v="-16.694193548387112"/>
    <n v="188.10580645161289"/>
    <x v="26"/>
    <n v="0"/>
    <m/>
    <n v="446086"/>
    <n v="25.18692307692308"/>
    <m/>
    <n v="6.4"/>
    <m/>
    <n v="31.586923076923078"/>
    <n v="156.51888337468981"/>
    <m/>
    <n v="320"/>
  </r>
  <r>
    <n v="26"/>
    <n v="2024"/>
    <s v="Auction"/>
    <s v="VROLIJK BLOEMEN"/>
    <s v="VROLIJK BLOEMEN"/>
    <x v="92"/>
    <s v="Floribunda Roses"/>
    <s v="70CM"/>
    <m/>
    <n v="2.7692307692307692"/>
    <n v="120"/>
    <n v="0.52"/>
    <n v="62.4"/>
    <s v="EUR"/>
    <m/>
    <m/>
    <x v="26"/>
    <n v="0"/>
    <x v="2"/>
    <x v="1"/>
    <n v="120"/>
    <n v="0.51333333333333331"/>
    <n v="61.599999999999994"/>
    <n v="-6.260322580645167"/>
    <n v="55.339677419354828"/>
    <x v="26"/>
    <n v="0"/>
    <m/>
    <n v="446086"/>
    <n v="9.4450961538461531"/>
    <m/>
    <n v="2.4"/>
    <m/>
    <n v="11.845096153846153"/>
    <n v="43.494581265508671"/>
    <m/>
    <n v="120"/>
  </r>
  <r>
    <n v="26"/>
    <n v="2024"/>
    <s v="Auction"/>
    <s v="VROLIJK BLOEMEN"/>
    <s v="VROLIJK BLOEMEN"/>
    <x v="92"/>
    <s v="Floribunda Roses"/>
    <s v="80CM"/>
    <m/>
    <n v="1.8461538461538463"/>
    <n v="80"/>
    <n v="0.56999999999999995"/>
    <n v="45.6"/>
    <s v="EUR"/>
    <m/>
    <m/>
    <x v="26"/>
    <n v="0"/>
    <x v="2"/>
    <x v="2"/>
    <n v="80"/>
    <n v="0.8"/>
    <n v="64"/>
    <n v="-4.173548387096778"/>
    <n v="59.82645161290322"/>
    <x v="26"/>
    <n v="0"/>
    <m/>
    <n v="446086"/>
    <n v="6.2967307692307699"/>
    <m/>
    <n v="1.6"/>
    <m/>
    <n v="7.8967307692307696"/>
    <n v="51.929720843672449"/>
    <m/>
    <n v="80"/>
  </r>
  <r>
    <n v="26"/>
    <n v="2024"/>
    <s v="Auction"/>
    <s v="VROLIJK BLOEMEN"/>
    <s v="VROLIJK BLOEMEN"/>
    <x v="92"/>
    <s v="English Roses"/>
    <s v="50CM"/>
    <n v="1"/>
    <n v="5.4545454545454541"/>
    <n v="200"/>
    <n v="0.38"/>
    <n v="76"/>
    <s v="EUR"/>
    <m/>
    <m/>
    <x v="26"/>
    <n v="-520"/>
    <x v="1"/>
    <x v="5"/>
    <n v="720"/>
    <n v="0.71777777777777774"/>
    <n v="516.79999999999995"/>
    <n v="-37.561935483870997"/>
    <n v="479.23806451612893"/>
    <x v="26"/>
    <n v="520"/>
    <m/>
    <n v="446086"/>
    <n v="18.603977272727274"/>
    <m/>
    <n v="14.4"/>
    <m/>
    <n v="33.003977272727276"/>
    <n v="446.23408724340163"/>
    <m/>
    <n v="720"/>
  </r>
  <r>
    <n v="26"/>
    <n v="2024"/>
    <s v="Auction"/>
    <s v="VROLIJK BLOEMEN"/>
    <s v="VROLIJK BLOEMEN"/>
    <x v="92"/>
    <s v="English Roses"/>
    <s v="60CM"/>
    <m/>
    <n v="5.4545454545454541"/>
    <n v="200"/>
    <n v="0.47"/>
    <n v="94"/>
    <s v="EUR"/>
    <m/>
    <m/>
    <x v="26"/>
    <n v="0"/>
    <x v="1"/>
    <x v="0"/>
    <n v="200"/>
    <n v="0.97799999999999998"/>
    <n v="195.6"/>
    <n v="-10.433870967741944"/>
    <n v="185.16612903225806"/>
    <x v="26"/>
    <n v="0"/>
    <m/>
    <n v="446086"/>
    <n v="18.603977272727274"/>
    <m/>
    <n v="4"/>
    <m/>
    <n v="22.603977272727274"/>
    <n v="162.56215175953079"/>
    <m/>
    <n v="200"/>
  </r>
  <r>
    <n v="26"/>
    <n v="2024"/>
    <s v="Auction"/>
    <s v="VROLIJK BLOEMEN"/>
    <s v="VROLIJK BLOEMEN"/>
    <x v="92"/>
    <s v="English Roses"/>
    <s v="90CM"/>
    <m/>
    <n v="1.0909090909090908"/>
    <n v="40"/>
    <n v="0.75"/>
    <n v="30"/>
    <s v="EUR"/>
    <m/>
    <m/>
    <x v="26"/>
    <n v="0"/>
    <x v="1"/>
    <x v="3"/>
    <n v="40"/>
    <n v="0.51"/>
    <n v="20.399999999999999"/>
    <n v="-2.086774193548389"/>
    <n v="18.313225806451609"/>
    <x v="26"/>
    <n v="0"/>
    <m/>
    <n v="446086"/>
    <n v="3.720795454545454"/>
    <m/>
    <n v="0.8"/>
    <m/>
    <n v="4.5207954545454543"/>
    <n v="13.792430351906155"/>
    <m/>
    <n v="40"/>
  </r>
  <r>
    <n v="26"/>
    <n v="2024"/>
    <s v="Auction"/>
    <s v="VROLIJK BLOEMEN"/>
    <s v="VROLIJK BLOEMEN"/>
    <x v="92"/>
    <s v="English Roses"/>
    <s v="70CM"/>
    <n v="1"/>
    <n v="6"/>
    <n v="160"/>
    <n v="0.52"/>
    <n v="83.2"/>
    <s v="EUR"/>
    <m/>
    <m/>
    <x v="26"/>
    <n v="0"/>
    <x v="1"/>
    <x v="1"/>
    <n v="160"/>
    <n v="0.495"/>
    <n v="79.2"/>
    <n v="-8.347096774193556"/>
    <n v="70.852903225806443"/>
    <x v="26"/>
    <n v="0"/>
    <m/>
    <n v="446086"/>
    <n v="20.464375"/>
    <m/>
    <n v="3.2"/>
    <m/>
    <n v="23.664375"/>
    <n v="47.188528225806444"/>
    <m/>
    <n v="160"/>
  </r>
  <r>
    <n v="26"/>
    <n v="2024"/>
    <s v="Auction"/>
    <s v="VROLIJK BLOEMEN"/>
    <s v="VROLIJK BLOEMEN"/>
    <x v="92"/>
    <s v="English Roses"/>
    <s v="80CM"/>
    <m/>
    <n v="6"/>
    <n v="160"/>
    <n v="0.56999999999999995"/>
    <n v="91.2"/>
    <s v="EUR"/>
    <m/>
    <m/>
    <x v="26"/>
    <n v="0"/>
    <x v="1"/>
    <x v="2"/>
    <n v="160"/>
    <n v="0.49249999999999999"/>
    <n v="78.8"/>
    <n v="-8.347096774193556"/>
    <n v="70.452903225806438"/>
    <x v="26"/>
    <n v="0"/>
    <m/>
    <n v="446086"/>
    <n v="20.464375"/>
    <m/>
    <n v="3.2"/>
    <m/>
    <n v="23.664375"/>
    <n v="46.788528225806438"/>
    <m/>
    <n v="160"/>
  </r>
  <r>
    <n v="27"/>
    <n v="2024"/>
    <s v="Auction"/>
    <s v="VROLIJK BLOEMEN"/>
    <s v="VROLIJK BLOEMEN"/>
    <x v="93"/>
    <s v="English Roses"/>
    <s v="50CM"/>
    <n v="1"/>
    <n v="12"/>
    <n v="520"/>
    <n v="0.38"/>
    <n v="197.6"/>
    <s v="EUR"/>
    <m/>
    <m/>
    <x v="26"/>
    <n v="-120"/>
    <x v="1"/>
    <x v="5"/>
    <n v="640"/>
    <n v="0.42750000000000005"/>
    <n v="273.60000000000002"/>
    <n v="-34.449729729729761"/>
    <n v="239.15027027027025"/>
    <x v="26"/>
    <n v="120"/>
    <m/>
    <n v="446088"/>
    <n v="46.566000000000003"/>
    <m/>
    <n v="12.8"/>
    <m/>
    <n v="59.366"/>
    <n v="179.78427027027027"/>
    <m/>
    <n v="640"/>
  </r>
  <r>
    <n v="27"/>
    <n v="2024"/>
    <s v="Auction"/>
    <s v="VROLIJK BLOEMEN"/>
    <s v="VROLIJK BLOEMEN"/>
    <x v="93"/>
    <s v="Floribunda Roses"/>
    <s v="50CM"/>
    <n v="1"/>
    <n v="4"/>
    <n v="200"/>
    <n v="0.38"/>
    <n v="76"/>
    <s v="EUR"/>
    <m/>
    <m/>
    <x v="26"/>
    <n v="-40"/>
    <x v="2"/>
    <x v="5"/>
    <n v="240"/>
    <n v="0.78833333333333333"/>
    <n v="189.2"/>
    <n v="-12.918648648648663"/>
    <n v="176.28135135135133"/>
    <x v="26"/>
    <n v="40"/>
    <m/>
    <n v="446088"/>
    <n v="15.522"/>
    <m/>
    <n v="4.8"/>
    <m/>
    <n v="20.321999999999999"/>
    <n v="155.95935135135133"/>
    <m/>
    <n v="240"/>
  </r>
  <r>
    <n v="27"/>
    <n v="2024"/>
    <s v="Auction"/>
    <s v="VROLIJK BLOEMEN"/>
    <s v="VROLIJK BLOEMEN"/>
    <x v="93"/>
    <s v="Floribunda Roses"/>
    <s v="60CM"/>
    <m/>
    <n v="7.1999999999999993"/>
    <n v="360"/>
    <n v="0.47"/>
    <n v="169.2"/>
    <s v="EUR"/>
    <m/>
    <m/>
    <x v="26"/>
    <n v="40"/>
    <x v="2"/>
    <x v="0"/>
    <n v="320"/>
    <n v="0.7"/>
    <n v="224"/>
    <n v="-17.22486486486488"/>
    <n v="206.77513513513512"/>
    <x v="26"/>
    <n v="-40"/>
    <m/>
    <n v="446088"/>
    <n v="27.939599999999999"/>
    <m/>
    <n v="6.4"/>
    <m/>
    <n v="34.339599999999997"/>
    <n v="172.43553513513513"/>
    <m/>
    <n v="320"/>
  </r>
  <r>
    <n v="27"/>
    <n v="2024"/>
    <s v="Auction"/>
    <s v="VROLIJK BLOEMEN"/>
    <s v="VROLIJK BLOEMEN"/>
    <x v="93"/>
    <s v="Floribunda Roses"/>
    <s v="70CM"/>
    <m/>
    <n v="0.8"/>
    <n v="40"/>
    <n v="0.52"/>
    <n v="20.8"/>
    <s v="EUR"/>
    <m/>
    <m/>
    <x v="26"/>
    <n v="0"/>
    <x v="2"/>
    <x v="1"/>
    <n v="40"/>
    <n v="1.03"/>
    <n v="41.2"/>
    <n v="-2.15310810810811"/>
    <n v="39.046891891891896"/>
    <x v="26"/>
    <n v="0"/>
    <m/>
    <n v="446088"/>
    <n v="3.1044000000000005"/>
    <m/>
    <n v="0.8"/>
    <m/>
    <n v="3.9044000000000008"/>
    <n v="35.142491891891893"/>
    <m/>
    <n v="40"/>
  </r>
  <r>
    <n v="27"/>
    <n v="2024"/>
    <s v="Auction"/>
    <s v="VROLIJK BLOEMEN"/>
    <s v="VROLIJK BLOEMEN"/>
    <x v="93"/>
    <s v="Grandiflora Roses"/>
    <s v="50CM"/>
    <n v="1"/>
    <n v="4.3636363636363633"/>
    <n v="320"/>
    <n v="0.14000000000000001"/>
    <n v="44.8"/>
    <s v="EUR"/>
    <m/>
    <m/>
    <x v="26"/>
    <n v="0"/>
    <x v="0"/>
    <x v="5"/>
    <n v="320"/>
    <n v="0.49000000000000005"/>
    <n v="156.80000000000001"/>
    <n v="-17.22486486486488"/>
    <n v="139.57513513513513"/>
    <x v="26"/>
    <n v="0"/>
    <m/>
    <n v="446088"/>
    <n v="16.933090909090907"/>
    <m/>
    <n v="6.4"/>
    <m/>
    <n v="23.333090909090906"/>
    <n v="116.24204422604421"/>
    <m/>
    <n v="320"/>
  </r>
  <r>
    <n v="27"/>
    <n v="2024"/>
    <s v="Auction"/>
    <s v="VROLIJK BLOEMEN"/>
    <s v="VROLIJK BLOEMEN"/>
    <x v="93"/>
    <s v="Grandiflora Roses"/>
    <s v="60CM"/>
    <m/>
    <n v="4.3636363636363633"/>
    <n v="320"/>
    <n v="0.24"/>
    <n v="76.8"/>
    <s v="EUR"/>
    <m/>
    <m/>
    <x v="26"/>
    <n v="-240"/>
    <x v="0"/>
    <x v="0"/>
    <n v="560"/>
    <n v="0.36142857142857143"/>
    <n v="202.4"/>
    <n v="-30.143513513513543"/>
    <n v="172.25648648648647"/>
    <x v="26"/>
    <n v="240"/>
    <m/>
    <n v="446088"/>
    <n v="16.933090909090907"/>
    <m/>
    <n v="11.200000000000001"/>
    <m/>
    <n v="28.13309090909091"/>
    <n v="144.12339557739557"/>
    <m/>
    <n v="560"/>
  </r>
  <r>
    <n v="27"/>
    <n v="2024"/>
    <s v="Auction"/>
    <s v="VROLIJK BLOEMEN"/>
    <s v="VROLIJK BLOEMEN"/>
    <x v="93"/>
    <s v="Grandiflora Roses"/>
    <s v="70CM"/>
    <m/>
    <n v="1.6363636363636362"/>
    <n v="120"/>
    <n v="0.28000000000000003"/>
    <n v="33.6"/>
    <s v="EUR"/>
    <m/>
    <m/>
    <x v="26"/>
    <n v="120"/>
    <x v="0"/>
    <x v="1"/>
    <m/>
    <m/>
    <n v="0"/>
    <n v="0"/>
    <n v="0"/>
    <x v="26"/>
    <n v="-120"/>
    <m/>
    <n v="446088"/>
    <n v="6.3499090909090912"/>
    <m/>
    <n v="0"/>
    <m/>
    <n v="6.3499090909090912"/>
    <n v="-6.3499090909090912"/>
    <m/>
    <n v="0"/>
  </r>
  <r>
    <n v="27"/>
    <n v="2024"/>
    <s v="Auction"/>
    <s v="VROLIJK BLOEMEN"/>
    <s v="VROLIJK BLOEMEN"/>
    <x v="93"/>
    <s v="Grandiflora Roses"/>
    <s v="80CM"/>
    <m/>
    <n v="0.54545454545454541"/>
    <n v="40"/>
    <n v="0.33"/>
    <n v="13.2"/>
    <s v="EUR"/>
    <m/>
    <m/>
    <x v="26"/>
    <n v="40"/>
    <x v="0"/>
    <x v="2"/>
    <m/>
    <m/>
    <n v="0"/>
    <n v="0"/>
    <n v="0"/>
    <x v="26"/>
    <n v="-40"/>
    <m/>
    <n v="446088"/>
    <n v="2.1166363636363634"/>
    <m/>
    <n v="0"/>
    <m/>
    <n v="2.1166363636363634"/>
    <n v="-2.1166363636363634"/>
    <m/>
    <n v="0"/>
  </r>
  <r>
    <n v="27"/>
    <n v="2024"/>
    <s v="Auction"/>
    <s v="VROLIJK BLOEMEN"/>
    <s v="VROLIJK BLOEMEN"/>
    <x v="93"/>
    <s v="Grandiflora Roses"/>
    <s v="90CM"/>
    <m/>
    <n v="1.0909090909090908"/>
    <n v="80"/>
    <n v="0.38"/>
    <n v="30.4"/>
    <s v="EUR"/>
    <m/>
    <m/>
    <x v="26"/>
    <n v="80"/>
    <x v="0"/>
    <x v="3"/>
    <m/>
    <m/>
    <n v="0"/>
    <n v="0"/>
    <n v="0"/>
    <x v="26"/>
    <n v="-80"/>
    <m/>
    <n v="446088"/>
    <n v="4.2332727272727269"/>
    <m/>
    <n v="0"/>
    <m/>
    <n v="4.2332727272727269"/>
    <n v="-4.2332727272727269"/>
    <m/>
    <n v="0"/>
  </r>
  <r>
    <n v="27"/>
    <n v="2024"/>
    <s v="Auction"/>
    <s v="VROLIJK BLOEMEN"/>
    <s v="VROLIJK BLOEMEN"/>
    <x v="93"/>
    <s v="English Roses"/>
    <s v="50CM"/>
    <n v="1"/>
    <n v="3.5999999999999996"/>
    <n v="120"/>
    <n v="0.38"/>
    <n v="45.6"/>
    <s v="EUR"/>
    <m/>
    <m/>
    <x v="26"/>
    <n v="120"/>
    <x v="1"/>
    <x v="5"/>
    <m/>
    <m/>
    <n v="0"/>
    <n v="0"/>
    <n v="0"/>
    <x v="26"/>
    <n v="-120"/>
    <m/>
    <n v="446088"/>
    <n v="13.969799999999999"/>
    <m/>
    <n v="0"/>
    <m/>
    <n v="13.969799999999999"/>
    <n v="-13.969799999999999"/>
    <m/>
    <n v="0"/>
  </r>
  <r>
    <n v="27"/>
    <n v="2024"/>
    <s v="Auction"/>
    <s v="VROLIJK BLOEMEN"/>
    <s v="VROLIJK BLOEMEN"/>
    <x v="93"/>
    <s v="English Roses"/>
    <s v="60CM"/>
    <m/>
    <n v="7.1999999999999993"/>
    <n v="240"/>
    <n v="0.47"/>
    <n v="112.8"/>
    <s v="EUR"/>
    <m/>
    <m/>
    <x v="26"/>
    <n v="0"/>
    <x v="1"/>
    <x v="0"/>
    <n v="240"/>
    <n v="0.62"/>
    <n v="148.80000000000001"/>
    <n v="-12.918648648648663"/>
    <n v="135.88135135135136"/>
    <x v="26"/>
    <n v="0"/>
    <m/>
    <n v="446088"/>
    <n v="27.939599999999999"/>
    <m/>
    <n v="4.8"/>
    <m/>
    <n v="32.739599999999996"/>
    <n v="103.14175135135136"/>
    <m/>
    <n v="240"/>
  </r>
  <r>
    <n v="27"/>
    <n v="2024"/>
    <s v="Auction"/>
    <s v="VROLIJK BLOEMEN"/>
    <s v="VROLIJK BLOEMEN"/>
    <x v="93"/>
    <s v="English Roses"/>
    <s v="70CM"/>
    <m/>
    <n v="1.2000000000000002"/>
    <n v="40"/>
    <n v="0.52"/>
    <n v="20.8"/>
    <s v="EUR"/>
    <m/>
    <m/>
    <x v="26"/>
    <n v="0"/>
    <x v="1"/>
    <x v="1"/>
    <n v="40"/>
    <n v="0.95"/>
    <n v="38"/>
    <n v="-2.15310810810811"/>
    <n v="35.846891891891893"/>
    <x v="26"/>
    <n v="0"/>
    <m/>
    <n v="446088"/>
    <n v="4.656600000000001"/>
    <m/>
    <n v="0.8"/>
    <m/>
    <n v="5.4566000000000008"/>
    <n v="30.390291891891891"/>
    <m/>
    <n v="40"/>
  </r>
  <r>
    <n v="27"/>
    <n v="2024"/>
    <s v="Auction"/>
    <s v="VROLIJK BLOEMEN"/>
    <s v="VROLIJK BLOEMEN"/>
    <x v="93"/>
    <s v="Polyantha Roses"/>
    <s v="50CM"/>
    <n v="1"/>
    <n v="10.153846153846153"/>
    <n v="440"/>
    <n v="0.42"/>
    <n v="184.8"/>
    <s v="EUR"/>
    <m/>
    <m/>
    <x v="26"/>
    <n v="0"/>
    <x v="3"/>
    <x v="5"/>
    <n v="440"/>
    <n v="0.28000000000000003"/>
    <n v="123.20000000000002"/>
    <n v="-23.684189189189212"/>
    <n v="99.515810810810805"/>
    <x v="26"/>
    <n v="0"/>
    <m/>
    <n v="446088"/>
    <n v="39.402000000000001"/>
    <m/>
    <n v="8.8000000000000007"/>
    <m/>
    <n v="48.201999999999998"/>
    <n v="51.313810810810807"/>
    <m/>
    <n v="440"/>
  </r>
  <r>
    <n v="27"/>
    <n v="2024"/>
    <s v="Auction"/>
    <s v="VROLIJK BLOEMEN"/>
    <s v="VROLIJK BLOEMEN"/>
    <x v="93"/>
    <s v="Polyantha Roses"/>
    <s v="60CM"/>
    <m/>
    <n v="1.8461538461538463"/>
    <n v="80"/>
    <n v="0.52"/>
    <n v="41.6"/>
    <s v="EUR"/>
    <m/>
    <m/>
    <x v="26"/>
    <n v="0"/>
    <x v="3"/>
    <x v="0"/>
    <n v="80"/>
    <n v="0.25"/>
    <n v="20"/>
    <n v="-4.3062162162162201"/>
    <n v="15.693783783783779"/>
    <x v="26"/>
    <n v="0"/>
    <m/>
    <n v="446088"/>
    <n v="7.1640000000000006"/>
    <m/>
    <n v="1.6"/>
    <m/>
    <n v="8.7640000000000011"/>
    <n v="6.9297837837837779"/>
    <m/>
    <n v="80"/>
  </r>
  <r>
    <n v="27"/>
    <n v="2024"/>
    <s v="Auction"/>
    <s v="VROLIJK BLOEMEN"/>
    <s v="VROLIJK BLOEMEN"/>
    <x v="93"/>
    <s v="Miniature Roses"/>
    <s v="80CM"/>
    <m/>
    <m/>
    <n v="80"/>
    <m/>
    <m/>
    <s v="EUR"/>
    <m/>
    <m/>
    <x v="26"/>
    <n v="0"/>
    <x v="6"/>
    <x v="2"/>
    <n v="80"/>
    <n v="0.86999999999999988"/>
    <n v="69.599999999999994"/>
    <n v="-4.3062162162162201"/>
    <n v="65.29378378378378"/>
    <x v="26"/>
    <n v="0"/>
    <m/>
    <n v="446088"/>
    <n v="0"/>
    <m/>
    <n v="1.6"/>
    <m/>
    <n v="1.6"/>
    <n v="63.693783783783779"/>
    <m/>
    <n v="80"/>
  </r>
  <r>
    <n v="27"/>
    <n v="2024"/>
    <s v="Auction"/>
    <s v="VROLIJK BLOEMEN"/>
    <s v="VROLIJK BLOEMEN"/>
    <x v="93"/>
    <s v="Miniature Roses"/>
    <s v="70CM"/>
    <m/>
    <m/>
    <n v="120"/>
    <m/>
    <m/>
    <s v="EUR"/>
    <m/>
    <m/>
    <x v="26"/>
    <n v="0"/>
    <x v="6"/>
    <x v="1"/>
    <n v="120"/>
    <n v="0.91666666666666663"/>
    <n v="110"/>
    <n v="-6.4593243243243315"/>
    <n v="103.54067567567567"/>
    <x v="26"/>
    <n v="0"/>
    <m/>
    <n v="446088"/>
    <n v="0"/>
    <m/>
    <n v="2.4"/>
    <m/>
    <n v="2.4"/>
    <n v="101.14067567567567"/>
    <m/>
    <n v="120"/>
  </r>
  <r>
    <n v="27"/>
    <n v="2024"/>
    <s v="Auction"/>
    <s v="VROLIJK BLOEMEN"/>
    <s v="VROLIJK BLOEMEN"/>
    <x v="93"/>
    <s v="Miniature Roses"/>
    <s v="90CM"/>
    <m/>
    <m/>
    <n v="80"/>
    <m/>
    <m/>
    <s v="EUR"/>
    <m/>
    <m/>
    <x v="26"/>
    <n v="0"/>
    <x v="6"/>
    <x v="3"/>
    <n v="80"/>
    <n v="0.92500000000000004"/>
    <n v="74"/>
    <n v="-4.3062162162162201"/>
    <n v="69.693783783783786"/>
    <x v="26"/>
    <n v="0"/>
    <m/>
    <n v="446088"/>
    <n v="0"/>
    <m/>
    <n v="1.6"/>
    <m/>
    <n v="1.6"/>
    <n v="68.093783783783792"/>
    <m/>
    <n v="80"/>
  </r>
  <r>
    <n v="27"/>
    <n v="2024"/>
    <s v="Auction"/>
    <s v="VROLIJK BLOEMEN"/>
    <s v="VROLIJK BLOEMEN"/>
    <x v="93"/>
    <s v="Grandiflora Roses"/>
    <s v="60CM"/>
    <m/>
    <m/>
    <m/>
    <m/>
    <m/>
    <s v="EUR"/>
    <m/>
    <m/>
    <x v="26"/>
    <n v="240"/>
    <x v="0"/>
    <x v="0"/>
    <n v="-240"/>
    <n v="0.59"/>
    <n v="-141.6"/>
    <n v="12.918648648648663"/>
    <n v="-128.68135135135134"/>
    <x v="26"/>
    <n v="-240"/>
    <m/>
    <n v="446088"/>
    <n v="0"/>
    <m/>
    <n v="-4.8"/>
    <m/>
    <n v="-4.8"/>
    <n v="-123.88135135135134"/>
    <m/>
    <n v="-240"/>
  </r>
  <r>
    <n v="27"/>
    <n v="2024"/>
    <s v="Auction"/>
    <s v="VROLIJK BLOEMEN"/>
    <s v="VROLIJK BLOEMEN"/>
    <x v="94"/>
    <s v="English Roses"/>
    <s v="60CM"/>
    <n v="1"/>
    <n v="12"/>
    <n v="480"/>
    <n v="0.47"/>
    <n v="225.6"/>
    <s v="EUR"/>
    <m/>
    <m/>
    <x v="26"/>
    <n v="-40"/>
    <x v="1"/>
    <x v="0"/>
    <n v="520"/>
    <n v="0.5607692307692308"/>
    <n v="291.60000000000002"/>
    <n v="-24.434157303370785"/>
    <n v="267.16584269662923"/>
    <x v="26"/>
    <n v="40"/>
    <m/>
    <s v="F090060"/>
    <n v="49.702857142857141"/>
    <m/>
    <n v="10.4"/>
    <m/>
    <n v="60.10285714285714"/>
    <n v="207.06298555377208"/>
    <m/>
    <n v="520"/>
  </r>
  <r>
    <n v="27"/>
    <n v="2024"/>
    <s v="Auction"/>
    <s v="VROLIJK BLOEMEN"/>
    <s v="VROLIJK BLOEMEN"/>
    <x v="94"/>
    <s v="Floribunda Roses"/>
    <s v="60CM"/>
    <n v="1"/>
    <n v="12"/>
    <n v="480"/>
    <n v="0.47"/>
    <n v="225.6"/>
    <s v="EUR"/>
    <m/>
    <m/>
    <x v="26"/>
    <n v="480"/>
    <x v="2"/>
    <x v="0"/>
    <m/>
    <m/>
    <n v="0"/>
    <n v="0"/>
    <n v="0"/>
    <x v="26"/>
    <n v="-480"/>
    <m/>
    <s v="F090060"/>
    <n v="49.702857142857141"/>
    <m/>
    <n v="0"/>
    <m/>
    <n v="49.702857142857141"/>
    <n v="-49.702857142857141"/>
    <m/>
    <n v="0"/>
  </r>
  <r>
    <n v="27"/>
    <n v="2024"/>
    <s v="Auction"/>
    <s v="VROLIJK BLOEMEN"/>
    <s v="VROLIJK BLOEMEN"/>
    <x v="94"/>
    <s v="English Roses"/>
    <s v="50CM"/>
    <n v="1"/>
    <n v="11.076923076923077"/>
    <n v="480"/>
    <n v="0.38"/>
    <n v="182.4"/>
    <s v="EUR"/>
    <m/>
    <m/>
    <x v="26"/>
    <n v="0"/>
    <x v="1"/>
    <x v="5"/>
    <n v="480"/>
    <n v="0.47"/>
    <n v="225.6"/>
    <n v="-22.554606741573032"/>
    <n v="203.04539325842697"/>
    <x v="26"/>
    <n v="0"/>
    <m/>
    <s v="F090060"/>
    <n v="45.879560439560443"/>
    <m/>
    <n v="9.6"/>
    <m/>
    <n v="55.479560439560444"/>
    <n v="147.56583281886651"/>
    <m/>
    <n v="480"/>
  </r>
  <r>
    <n v="27"/>
    <n v="2024"/>
    <s v="Auction"/>
    <s v="VROLIJK BLOEMEN"/>
    <s v="VROLIJK BLOEMEN"/>
    <x v="94"/>
    <s v="English Roses"/>
    <s v="60CM"/>
    <m/>
    <n v="0.92307692307692313"/>
    <n v="40"/>
    <n v="0.47"/>
    <n v="18.8"/>
    <s v="EUR"/>
    <m/>
    <m/>
    <x v="26"/>
    <n v="40"/>
    <x v="1"/>
    <x v="0"/>
    <m/>
    <m/>
    <n v="0"/>
    <n v="0"/>
    <n v="0"/>
    <x v="26"/>
    <n v="-40"/>
    <m/>
    <s v="F090060"/>
    <n v="3.8232967032967036"/>
    <m/>
    <n v="0"/>
    <m/>
    <n v="3.8232967032967036"/>
    <n v="-3.8232967032967036"/>
    <m/>
    <n v="0"/>
  </r>
  <r>
    <n v="27"/>
    <n v="2024"/>
    <s v="Auction"/>
    <s v="VROLIJK BLOEMEN"/>
    <s v="VROLIJK BLOEMEN"/>
    <x v="94"/>
    <s v="Floribunda Roses"/>
    <s v="70CM"/>
    <n v="1"/>
    <n v="8"/>
    <n v="240"/>
    <n v="0.52"/>
    <n v="124.8"/>
    <s v="EUR"/>
    <m/>
    <m/>
    <x v="26"/>
    <n v="0"/>
    <x v="2"/>
    <x v="1"/>
    <n v="240"/>
    <n v="0.44500000000000001"/>
    <n v="106.8"/>
    <n v="-11.277303370786516"/>
    <n v="95.522696629213485"/>
    <x v="26"/>
    <n v="0"/>
    <m/>
    <s v="F090060"/>
    <n v="33.135238095238094"/>
    <m/>
    <n v="4.8"/>
    <m/>
    <n v="37.935238095238091"/>
    <n v="57.587458533975393"/>
    <m/>
    <n v="240"/>
  </r>
  <r>
    <n v="27"/>
    <n v="2024"/>
    <s v="Auction"/>
    <s v="VROLIJK BLOEMEN"/>
    <s v="VROLIJK BLOEMEN"/>
    <x v="94"/>
    <s v="Floribunda Roses"/>
    <s v="80CM"/>
    <m/>
    <n v="4"/>
    <n v="120"/>
    <n v="0.56999999999999995"/>
    <n v="68.400000000000006"/>
    <s v="EUR"/>
    <m/>
    <m/>
    <x v="26"/>
    <n v="0"/>
    <x v="2"/>
    <x v="2"/>
    <n v="120"/>
    <n v="0.4"/>
    <n v="48"/>
    <n v="-5.638651685393258"/>
    <n v="42.361348314606744"/>
    <x v="26"/>
    <n v="0"/>
    <m/>
    <s v="F090060"/>
    <n v="16.567619047619047"/>
    <m/>
    <n v="2.4"/>
    <m/>
    <n v="18.967619047619046"/>
    <n v="23.393729266987698"/>
    <m/>
    <n v="120"/>
  </r>
  <r>
    <n v="27"/>
    <n v="2024"/>
    <s v="Auction"/>
    <s v="VROLIJK BLOEMEN"/>
    <s v="VROLIJK BLOEMEN"/>
    <x v="94"/>
    <s v="Floribunda Roses"/>
    <s v="50CM"/>
    <n v="1"/>
    <n v="6.666666666666667"/>
    <n v="200"/>
    <n v="0.38"/>
    <n v="76"/>
    <s v="EUR"/>
    <m/>
    <m/>
    <x v="26"/>
    <n v="0"/>
    <x v="2"/>
    <x v="5"/>
    <n v="200"/>
    <n v="0.65400000000000003"/>
    <n v="130.80000000000001"/>
    <n v="-9.3977528089887628"/>
    <n v="121.40224719101124"/>
    <x v="26"/>
    <n v="0"/>
    <m/>
    <s v="F090060"/>
    <n v="27.612698412698418"/>
    <m/>
    <n v="4"/>
    <m/>
    <n v="31.612698412698418"/>
    <n v="89.78954877831282"/>
    <m/>
    <n v="200"/>
  </r>
  <r>
    <n v="27"/>
    <n v="2024"/>
    <s v="Auction"/>
    <s v="VROLIJK BLOEMEN"/>
    <s v="VROLIJK BLOEMEN"/>
    <x v="94"/>
    <s v="Floribunda Roses"/>
    <s v="60CM"/>
    <m/>
    <n v="5.333333333333333"/>
    <n v="160"/>
    <n v="0.47"/>
    <n v="75.2"/>
    <s v="EUR"/>
    <m/>
    <m/>
    <x v="26"/>
    <n v="-480"/>
    <x v="2"/>
    <x v="0"/>
    <n v="640"/>
    <n v="0.63"/>
    <n v="403.2"/>
    <n v="-30.072808988764042"/>
    <n v="373.12719101123594"/>
    <x v="26"/>
    <n v="480"/>
    <m/>
    <s v="F090060"/>
    <n v="22.090158730158731"/>
    <m/>
    <n v="12.8"/>
    <m/>
    <n v="34.890158730158731"/>
    <n v="338.23703228107718"/>
    <m/>
    <n v="640"/>
  </r>
  <r>
    <n v="27"/>
    <n v="2024"/>
    <s v="Auction"/>
    <s v="VROLIJK BLOEMEN"/>
    <s v="VROLIJK BLOEMEN"/>
    <x v="94"/>
    <s v="Grandiflora Roses"/>
    <s v="50CM"/>
    <n v="1"/>
    <n v="1.1428571428571428"/>
    <n v="80"/>
    <n v="0.14000000000000001"/>
    <n v="11.2"/>
    <s v="EUR"/>
    <m/>
    <m/>
    <x v="26"/>
    <n v="0"/>
    <x v="0"/>
    <x v="5"/>
    <n v="80"/>
    <n v="0.59000000000000008"/>
    <n v="47.2"/>
    <n v="-3.7591011235955052"/>
    <n v="43.440898876404496"/>
    <x v="26"/>
    <n v="0"/>
    <m/>
    <s v="F090060"/>
    <n v="4.733605442176871"/>
    <m/>
    <n v="1.6"/>
    <m/>
    <n v="6.3336054421768715"/>
    <n v="37.107293434227628"/>
    <m/>
    <n v="80"/>
  </r>
  <r>
    <n v="27"/>
    <n v="2024"/>
    <s v="Auction"/>
    <s v="VROLIJK BLOEMEN"/>
    <s v="VROLIJK BLOEMEN"/>
    <x v="94"/>
    <s v="Grandiflora Roses"/>
    <s v="60CM"/>
    <m/>
    <n v="6.8571428571428568"/>
    <n v="480"/>
    <n v="0.24"/>
    <n v="115.2"/>
    <s v="EUR"/>
    <m/>
    <m/>
    <x v="26"/>
    <n v="0"/>
    <x v="0"/>
    <x v="0"/>
    <n v="480"/>
    <n v="0.57000000000000006"/>
    <n v="273.60000000000002"/>
    <n v="-22.554606741573032"/>
    <n v="251.045393258427"/>
    <x v="26"/>
    <n v="0"/>
    <m/>
    <s v="F090060"/>
    <n v="28.401632653061224"/>
    <m/>
    <n v="9.6"/>
    <m/>
    <n v="38.001632653061222"/>
    <n v="213.04376060536578"/>
    <m/>
    <n v="480"/>
  </r>
  <r>
    <n v="27"/>
    <n v="2024"/>
    <s v="Auction"/>
    <s v="VROLIJK BLOEMEN"/>
    <s v="VROLIJK BLOEMEN"/>
    <x v="94"/>
    <s v="Grandiflora Roses"/>
    <s v="70CM"/>
    <m/>
    <n v="3.4285714285714284"/>
    <n v="240"/>
    <n v="0.28000000000000003"/>
    <n v="67.2"/>
    <s v="EUR"/>
    <m/>
    <m/>
    <x v="26"/>
    <n v="0"/>
    <x v="0"/>
    <x v="1"/>
    <n v="240"/>
    <n v="0.6"/>
    <n v="144"/>
    <n v="-11.277303370786516"/>
    <n v="132.72269662921349"/>
    <x v="26"/>
    <n v="0"/>
    <m/>
    <s v="F090060"/>
    <n v="14.200816326530612"/>
    <m/>
    <n v="4.8"/>
    <m/>
    <n v="19.000816326530611"/>
    <n v="113.72188030268288"/>
    <m/>
    <n v="240"/>
  </r>
  <r>
    <n v="27"/>
    <n v="2024"/>
    <s v="Auction"/>
    <s v="VROLIJK BLOEMEN"/>
    <s v="VROLIJK BLOEMEN"/>
    <x v="94"/>
    <s v="Grandiflora Roses"/>
    <s v="80CM"/>
    <m/>
    <n v="0.5714285714285714"/>
    <n v="40"/>
    <n v="0.33"/>
    <n v="13.2"/>
    <s v="EUR"/>
    <m/>
    <m/>
    <x v="26"/>
    <n v="0"/>
    <x v="0"/>
    <x v="2"/>
    <n v="40"/>
    <n v="0.67999999999999994"/>
    <n v="27.199999999999996"/>
    <n v="-1.8795505617977526"/>
    <n v="25.320449438202242"/>
    <x v="26"/>
    <n v="0"/>
    <m/>
    <s v="F090060"/>
    <n v="2.3668027210884355"/>
    <m/>
    <n v="0.8"/>
    <m/>
    <n v="3.1668027210884357"/>
    <n v="22.153646717113809"/>
    <m/>
    <n v="40"/>
  </r>
  <r>
    <n v="27"/>
    <n v="2024"/>
    <s v="Auction"/>
    <s v="VROLIJK BLOEMEN"/>
    <s v="VROLIJK BLOEMEN"/>
    <x v="94"/>
    <s v="Polyantha Roses"/>
    <s v="50CM"/>
    <n v="1"/>
    <n v="4.6153846153846159"/>
    <n v="200"/>
    <n v="0.42"/>
    <n v="84"/>
    <s v="EUR"/>
    <m/>
    <m/>
    <x v="26"/>
    <n v="0"/>
    <x v="3"/>
    <x v="5"/>
    <n v="200"/>
    <n v="0.26"/>
    <n v="52"/>
    <n v="-9.3977528089887628"/>
    <n v="42.602247191011237"/>
    <x v="26"/>
    <n v="0"/>
    <m/>
    <s v="F090060"/>
    <n v="19.11648351648352"/>
    <m/>
    <n v="4"/>
    <m/>
    <n v="23.11648351648352"/>
    <n v="19.485763674527718"/>
    <m/>
    <n v="200"/>
  </r>
  <r>
    <n v="27"/>
    <n v="2024"/>
    <s v="Auction"/>
    <s v="VROLIJK BLOEMEN"/>
    <s v="VROLIJK BLOEMEN"/>
    <x v="94"/>
    <s v="Polyantha Roses"/>
    <s v="60CM"/>
    <m/>
    <n v="4.6153846153846159"/>
    <n v="200"/>
    <n v="0.52"/>
    <n v="104"/>
    <s v="EUR"/>
    <m/>
    <m/>
    <x v="26"/>
    <n v="0"/>
    <x v="3"/>
    <x v="0"/>
    <n v="200"/>
    <n v="0.40799999999999997"/>
    <n v="81.599999999999994"/>
    <n v="-9.3977528089887628"/>
    <n v="72.202247191011224"/>
    <x v="26"/>
    <n v="0"/>
    <m/>
    <s v="F090060"/>
    <n v="19.11648351648352"/>
    <m/>
    <n v="4"/>
    <m/>
    <n v="23.11648351648352"/>
    <n v="49.085763674527705"/>
    <m/>
    <n v="200"/>
  </r>
  <r>
    <n v="27"/>
    <n v="2024"/>
    <s v="Auction"/>
    <s v="VROLIJK BLOEMEN"/>
    <s v="VROLIJK BLOEMEN"/>
    <x v="94"/>
    <s v="Polyantha Roses"/>
    <s v="70CM"/>
    <m/>
    <n v="1.8461538461538463"/>
    <n v="80"/>
    <n v="0.61"/>
    <n v="48.8"/>
    <s v="EUR"/>
    <m/>
    <m/>
    <x v="26"/>
    <n v="0"/>
    <x v="3"/>
    <x v="1"/>
    <n v="80"/>
    <n v="0.47000000000000003"/>
    <n v="37.6"/>
    <n v="-3.7591011235955052"/>
    <n v="33.840898876404495"/>
    <x v="26"/>
    <n v="0"/>
    <m/>
    <s v="F090060"/>
    <n v="7.6465934065934071"/>
    <m/>
    <n v="1.6"/>
    <m/>
    <n v="9.2465934065934068"/>
    <n v="24.59430546981109"/>
    <m/>
    <n v="80"/>
  </r>
  <r>
    <n v="27"/>
    <n v="2024"/>
    <s v="Auction"/>
    <s v="VROLIJK BLOEMEN"/>
    <s v="VROLIJK BLOEMEN"/>
    <x v="94"/>
    <s v="Polyantha Roses"/>
    <s v="80CM"/>
    <m/>
    <n v="0.92307692307692313"/>
    <n v="40"/>
    <n v="0.66"/>
    <n v="26.4"/>
    <s v="EUR"/>
    <m/>
    <m/>
    <x v="26"/>
    <n v="0"/>
    <x v="3"/>
    <x v="2"/>
    <n v="40"/>
    <n v="0.52"/>
    <n v="20.8"/>
    <n v="-1.8795505617977526"/>
    <n v="18.920449438202247"/>
    <x v="26"/>
    <n v="0"/>
    <m/>
    <s v="F090060"/>
    <n v="3.8232967032967036"/>
    <m/>
    <n v="0.8"/>
    <m/>
    <n v="4.6232967032967034"/>
    <n v="14.297152734905545"/>
    <m/>
    <n v="40"/>
  </r>
  <r>
    <n v="27"/>
    <n v="2024"/>
    <s v="Auction"/>
    <s v="VROLIJK BLOEMEN"/>
    <s v="VROLIJK BLOEMEN"/>
    <x v="94"/>
    <s v="Grandiflora Roses"/>
    <s v="50CM"/>
    <m/>
    <m/>
    <m/>
    <m/>
    <m/>
    <s v="EUR"/>
    <m/>
    <m/>
    <x v="26"/>
    <n v="0"/>
    <x v="0"/>
    <x v="5"/>
    <m/>
    <m/>
    <n v="-47.2"/>
    <n v="-0.52999999999999403"/>
    <n v="-47.73"/>
    <x v="26"/>
    <n v="0"/>
    <m/>
    <s v="F090060"/>
    <n v="0"/>
    <m/>
    <n v="0"/>
    <m/>
    <n v="0"/>
    <n v="-47.73"/>
    <m/>
    <n v="0"/>
  </r>
  <r>
    <n v="27"/>
    <n v="2024"/>
    <s v="Auction"/>
    <s v="VROLIJK BLOEMEN"/>
    <s v="VROLIJK BLOEMEN"/>
    <x v="95"/>
    <s v="English Roses"/>
    <s v="50CM"/>
    <n v="1"/>
    <n v="12"/>
    <n v="520"/>
    <n v="0.38"/>
    <n v="197.6"/>
    <s v="EUR"/>
    <m/>
    <m/>
    <x v="27"/>
    <n v="520"/>
    <x v="1"/>
    <x v="5"/>
    <m/>
    <m/>
    <n v="0"/>
    <n v="0"/>
    <n v="0"/>
    <x v="27"/>
    <n v="-520"/>
    <m/>
    <n v="446854"/>
    <n v="41.668888888888887"/>
    <m/>
    <n v="0"/>
    <m/>
    <n v="41.668888888888887"/>
    <n v="-41.668888888888887"/>
    <m/>
    <n v="0"/>
  </r>
  <r>
    <n v="27"/>
    <n v="2024"/>
    <s v="Auction"/>
    <s v="VROLIJK BLOEMEN"/>
    <s v="VROLIJK BLOEMEN"/>
    <x v="95"/>
    <s v="Floribunda Roses"/>
    <s v="50CM"/>
    <n v="2"/>
    <n v="24"/>
    <n v="1520"/>
    <n v="0.38"/>
    <n v="577.6"/>
    <s v="EUR"/>
    <m/>
    <m/>
    <x v="27"/>
    <n v="1520"/>
    <x v="2"/>
    <x v="5"/>
    <m/>
    <m/>
    <n v="0"/>
    <n v="0"/>
    <n v="0"/>
    <x v="27"/>
    <n v="-1520"/>
    <m/>
    <n v="446854"/>
    <n v="83.337777777777774"/>
    <m/>
    <n v="0"/>
    <m/>
    <n v="83.337777777777774"/>
    <n v="-83.337777777777774"/>
    <m/>
    <n v="0"/>
  </r>
  <r>
    <n v="27"/>
    <n v="2024"/>
    <s v="Auction"/>
    <s v="VROLIJK BLOEMEN"/>
    <s v="VROLIJK BLOEMEN"/>
    <x v="95"/>
    <s v="Grandiflora Roses"/>
    <s v="50CM"/>
    <n v="1"/>
    <n v="12"/>
    <n v="680"/>
    <n v="0.24"/>
    <n v="163.19999999999999"/>
    <s v="EUR"/>
    <m/>
    <m/>
    <x v="27"/>
    <n v="0"/>
    <x v="0"/>
    <x v="5"/>
    <n v="680"/>
    <n v="0.21000000000000002"/>
    <n v="142.80000000000001"/>
    <n v="-27.281599999999987"/>
    <n v="115.51840000000003"/>
    <x v="27"/>
    <n v="0"/>
    <m/>
    <n v="446854"/>
    <n v="41.668888888888887"/>
    <m/>
    <n v="13.6"/>
    <m/>
    <n v="55.268888888888888"/>
    <n v="60.24951111111114"/>
    <m/>
    <n v="680"/>
  </r>
  <r>
    <n v="27"/>
    <n v="2024"/>
    <s v="Auction"/>
    <s v="VROLIJK BLOEMEN"/>
    <s v="VROLIJK BLOEMEN"/>
    <x v="95"/>
    <s v="Grandiflora Roses"/>
    <s v="60CM"/>
    <n v="1"/>
    <n v="7.764705882352942"/>
    <n v="440"/>
    <n v="0.24"/>
    <n v="105.6"/>
    <s v="EUR"/>
    <m/>
    <m/>
    <x v="27"/>
    <n v="0"/>
    <x v="0"/>
    <x v="0"/>
    <n v="440"/>
    <n v="0.47272727272727272"/>
    <n v="208"/>
    <n v="-17.652799999999992"/>
    <n v="190.34720000000002"/>
    <x v="27"/>
    <n v="0"/>
    <m/>
    <n v="446854"/>
    <n v="26.962222222222223"/>
    <m/>
    <n v="8.8000000000000007"/>
    <m/>
    <n v="35.762222222222221"/>
    <n v="154.58497777777779"/>
    <m/>
    <n v="440"/>
  </r>
  <r>
    <n v="27"/>
    <n v="2024"/>
    <s v="Auction"/>
    <s v="VROLIJK BLOEMEN"/>
    <s v="VROLIJK BLOEMEN"/>
    <x v="95"/>
    <s v="Grandiflora Roses"/>
    <s v="70CM"/>
    <m/>
    <n v="2.1176470588235294"/>
    <n v="120"/>
    <n v="0.28000000000000003"/>
    <n v="33.6"/>
    <s v="EUR"/>
    <m/>
    <m/>
    <x v="27"/>
    <n v="0"/>
    <x v="0"/>
    <x v="1"/>
    <n v="120"/>
    <n v="0.26"/>
    <n v="31.200000000000003"/>
    <n v="-4.8143999999999982"/>
    <n v="26.385600000000004"/>
    <x v="27"/>
    <n v="0"/>
    <m/>
    <n v="446854"/>
    <n v="7.3533333333333326"/>
    <m/>
    <n v="2.4"/>
    <m/>
    <n v="9.7533333333333321"/>
    <n v="16.632266666666673"/>
    <m/>
    <n v="120"/>
  </r>
  <r>
    <n v="27"/>
    <n v="2024"/>
    <s v="Auction"/>
    <s v="VROLIJK BLOEMEN"/>
    <s v="VROLIJK BLOEMEN"/>
    <x v="95"/>
    <s v="Grandiflora Roses"/>
    <s v="80CM"/>
    <m/>
    <n v="1.4117647058823528"/>
    <n v="80"/>
    <n v="0.33"/>
    <n v="26.4"/>
    <s v="EUR"/>
    <m/>
    <m/>
    <x v="27"/>
    <n v="40"/>
    <x v="0"/>
    <x v="2"/>
    <n v="40"/>
    <n v="0.13"/>
    <n v="5.2"/>
    <n v="-1.6047999999999993"/>
    <n v="3.5952000000000011"/>
    <x v="27"/>
    <n v="-40"/>
    <m/>
    <n v="446854"/>
    <n v="4.9022222222222211"/>
    <m/>
    <n v="0.8"/>
    <m/>
    <n v="5.702222222222221"/>
    <n v="-2.1070222222222199"/>
    <m/>
    <n v="40"/>
  </r>
  <r>
    <n v="27"/>
    <n v="2024"/>
    <s v="Auction"/>
    <s v="VROLIJK BLOEMEN"/>
    <s v="VROLIJK BLOEMEN"/>
    <x v="95"/>
    <s v="Grandiflora Roses"/>
    <s v="90CM"/>
    <m/>
    <n v="0.70588235294117641"/>
    <n v="40"/>
    <n v="0.38"/>
    <n v="15.2"/>
    <s v="EUR"/>
    <m/>
    <m/>
    <x v="27"/>
    <n v="-40"/>
    <x v="0"/>
    <x v="3"/>
    <n v="80"/>
    <n v="0.41"/>
    <n v="32.799999999999997"/>
    <n v="-3.2095999999999987"/>
    <n v="29.590399999999999"/>
    <x v="27"/>
    <n v="40"/>
    <m/>
    <n v="446854"/>
    <n v="2.4511111111111106"/>
    <m/>
    <n v="1.6"/>
    <m/>
    <n v="4.0511111111111102"/>
    <n v="25.53928888888889"/>
    <m/>
    <n v="80"/>
  </r>
  <r>
    <n v="27"/>
    <n v="2024"/>
    <s v="Auction"/>
    <s v="VROLIJK BLOEMEN"/>
    <s v="VROLIJK BLOEMEN"/>
    <x v="95"/>
    <s v="Floribunda Roses"/>
    <s v="50CM"/>
    <n v="1"/>
    <n v="2.1818181818181817"/>
    <n v="80"/>
    <n v="0.38"/>
    <n v="30.4"/>
    <s v="EUR"/>
    <m/>
    <m/>
    <x v="27"/>
    <n v="-1520"/>
    <x v="2"/>
    <x v="5"/>
    <n v="1600"/>
    <n v="0.499"/>
    <n v="798.4"/>
    <n v="-64.191999999999979"/>
    <n v="734.20799999999997"/>
    <x v="27"/>
    <n v="1520"/>
    <m/>
    <n v="446854"/>
    <n v="7.576161616161615"/>
    <m/>
    <n v="32"/>
    <m/>
    <n v="39.576161616161613"/>
    <n v="694.63183838383839"/>
    <m/>
    <n v="1600"/>
  </r>
  <r>
    <n v="27"/>
    <n v="2024"/>
    <s v="Auction"/>
    <s v="VROLIJK BLOEMEN"/>
    <s v="VROLIJK BLOEMEN"/>
    <x v="95"/>
    <s v="Floribunda Roses"/>
    <s v="70CM"/>
    <m/>
    <n v="5.4545454545454541"/>
    <n v="200"/>
    <n v="0.52"/>
    <n v="104"/>
    <s v="EUR"/>
    <m/>
    <m/>
    <x v="27"/>
    <n v="0"/>
    <x v="2"/>
    <x v="1"/>
    <n v="200"/>
    <n v="0.29199999999999998"/>
    <n v="58.4"/>
    <n v="-8.0239999999999974"/>
    <n v="50.376000000000005"/>
    <x v="27"/>
    <n v="0"/>
    <m/>
    <n v="446854"/>
    <n v="18.94040404040404"/>
    <m/>
    <n v="4"/>
    <m/>
    <n v="22.94040404040404"/>
    <n v="27.435595959595965"/>
    <m/>
    <n v="200"/>
  </r>
  <r>
    <n v="27"/>
    <n v="2024"/>
    <s v="Auction"/>
    <s v="VROLIJK BLOEMEN"/>
    <s v="VROLIJK BLOEMEN"/>
    <x v="95"/>
    <s v="Floribunda Roses"/>
    <s v="60CM"/>
    <m/>
    <n v="4.3636363636363633"/>
    <n v="160"/>
    <n v="0.47"/>
    <n v="75.2"/>
    <s v="EUR"/>
    <m/>
    <m/>
    <x v="27"/>
    <n v="0"/>
    <x v="2"/>
    <x v="0"/>
    <n v="160"/>
    <n v="0.35750000000000004"/>
    <n v="57.2"/>
    <n v="-6.4191999999999974"/>
    <n v="50.780800000000006"/>
    <x v="27"/>
    <n v="0"/>
    <m/>
    <n v="446854"/>
    <n v="15.15232323232323"/>
    <m/>
    <n v="3.2"/>
    <m/>
    <n v="18.352323232323229"/>
    <n v="32.428476767676777"/>
    <m/>
    <n v="160"/>
  </r>
  <r>
    <n v="27"/>
    <n v="2024"/>
    <s v="Auction"/>
    <s v="VROLIJK BLOEMEN"/>
    <s v="VROLIJK BLOEMEN"/>
    <x v="95"/>
    <s v="English Roses"/>
    <s v="50CM"/>
    <n v="1"/>
    <n v="3.5999999999999996"/>
    <n v="120"/>
    <n v="0.38"/>
    <n v="45.6"/>
    <s v="EUR"/>
    <m/>
    <m/>
    <x v="27"/>
    <n v="-480"/>
    <x v="1"/>
    <x v="5"/>
    <n v="600"/>
    <n v="0.53200000000000003"/>
    <n v="319.20000000000005"/>
    <n v="-24.071999999999989"/>
    <n v="295.12800000000004"/>
    <x v="27"/>
    <n v="480"/>
    <m/>
    <n v="446854"/>
    <n v="12.500666666666666"/>
    <m/>
    <n v="12"/>
    <m/>
    <n v="24.500666666666667"/>
    <n v="270.62733333333335"/>
    <m/>
    <n v="600"/>
  </r>
  <r>
    <n v="27"/>
    <n v="2024"/>
    <s v="Auction"/>
    <s v="VROLIJK BLOEMEN"/>
    <s v="VROLIJK BLOEMEN"/>
    <x v="95"/>
    <s v="English Roses"/>
    <s v="60CM"/>
    <m/>
    <n v="4.8000000000000007"/>
    <n v="160"/>
    <n v="0.47"/>
    <n v="75.2"/>
    <s v="EUR"/>
    <m/>
    <m/>
    <x v="27"/>
    <n v="-40"/>
    <x v="1"/>
    <x v="0"/>
    <n v="200"/>
    <n v="0.72400000000000009"/>
    <n v="144.80000000000001"/>
    <n v="-8.0239999999999974"/>
    <n v="136.77600000000001"/>
    <x v="27"/>
    <n v="40"/>
    <m/>
    <n v="446854"/>
    <n v="16.667555555555559"/>
    <m/>
    <n v="4"/>
    <m/>
    <n v="20.667555555555559"/>
    <n v="116.10844444444444"/>
    <m/>
    <n v="200"/>
  </r>
  <r>
    <n v="27"/>
    <n v="2024"/>
    <s v="Auction"/>
    <s v="VROLIJK BLOEMEN"/>
    <s v="VROLIJK BLOEMEN"/>
    <x v="95"/>
    <s v="English Roses"/>
    <s v="70CM"/>
    <m/>
    <n v="3.5999999999999996"/>
    <n v="120"/>
    <n v="0.52"/>
    <n v="62.4"/>
    <s v="EUR"/>
    <m/>
    <m/>
    <x v="27"/>
    <n v="0"/>
    <x v="1"/>
    <x v="1"/>
    <n v="120"/>
    <n v="0.23"/>
    <n v="27.6"/>
    <n v="-4.8143999999999982"/>
    <n v="22.785600000000002"/>
    <x v="27"/>
    <n v="0"/>
    <m/>
    <n v="446854"/>
    <n v="12.500666666666666"/>
    <m/>
    <n v="2.4"/>
    <m/>
    <n v="14.900666666666666"/>
    <n v="7.8849333333333362"/>
    <m/>
    <n v="120"/>
  </r>
  <r>
    <n v="27"/>
    <n v="2024"/>
    <s v="Auction"/>
    <s v="VROLIJK BLOEMEN"/>
    <s v="VROLIJK BLOEMEN"/>
    <x v="95"/>
    <s v="English Roses"/>
    <s v="90CM"/>
    <n v="1"/>
    <n v="4.8000000000000007"/>
    <n v="80"/>
    <n v="0.75"/>
    <n v="60"/>
    <s v="EUR"/>
    <m/>
    <m/>
    <x v="27"/>
    <n v="0"/>
    <x v="1"/>
    <x v="3"/>
    <n v="80"/>
    <n v="0.315"/>
    <n v="25.2"/>
    <n v="-3.2095999999999987"/>
    <n v="21.990400000000001"/>
    <x v="27"/>
    <n v="0"/>
    <m/>
    <n v="446854"/>
    <n v="16.667555555555559"/>
    <m/>
    <n v="1.6"/>
    <m/>
    <n v="18.26755555555556"/>
    <n v="3.7228444444444406"/>
    <m/>
    <n v="80"/>
  </r>
  <r>
    <n v="27"/>
    <n v="2024"/>
    <s v="Auction"/>
    <s v="VROLIJK BLOEMEN"/>
    <s v="VROLIJK BLOEMEN"/>
    <x v="95"/>
    <s v="English Roses"/>
    <s v="80CM"/>
    <m/>
    <n v="7.1999999999999993"/>
    <n v="120"/>
    <n v="0.56999999999999995"/>
    <n v="68.400000000000006"/>
    <s v="EUR"/>
    <m/>
    <m/>
    <x v="27"/>
    <n v="0"/>
    <x v="1"/>
    <x v="2"/>
    <n v="120"/>
    <n v="0.16999999999999998"/>
    <n v="20.399999999999999"/>
    <n v="-4.8143999999999982"/>
    <n v="15.585599999999999"/>
    <x v="27"/>
    <n v="0"/>
    <m/>
    <n v="446854"/>
    <n v="25.001333333333331"/>
    <m/>
    <n v="2.4"/>
    <m/>
    <n v="27.40133333333333"/>
    <n v="-11.815733333333331"/>
    <m/>
    <n v="120"/>
  </r>
  <r>
    <n v="27"/>
    <n v="2024"/>
    <s v="Auction"/>
    <s v="VROLIJK BLOEMEN"/>
    <s v="VROLIJK BLOEMEN"/>
    <x v="95"/>
    <s v="Polyantha Roses"/>
    <s v="50CM"/>
    <n v="1"/>
    <n v="9.4285714285714288"/>
    <n v="440"/>
    <n v="0.42"/>
    <n v="184.8"/>
    <s v="EUR"/>
    <m/>
    <m/>
    <x v="27"/>
    <n v="40"/>
    <x v="3"/>
    <x v="5"/>
    <n v="400"/>
    <n v="0.42"/>
    <n v="168"/>
    <n v="-16.047999999999995"/>
    <n v="151.952"/>
    <x v="27"/>
    <n v="-40"/>
    <m/>
    <n v="446854"/>
    <n v="32.739841269841271"/>
    <m/>
    <n v="8"/>
    <m/>
    <n v="40.739841269841271"/>
    <n v="111.21215873015873"/>
    <m/>
    <n v="400"/>
  </r>
  <r>
    <n v="27"/>
    <n v="2024"/>
    <s v="Auction"/>
    <s v="VROLIJK BLOEMEN"/>
    <s v="VROLIJK BLOEMEN"/>
    <x v="95"/>
    <s v="Polyantha Roses"/>
    <s v="60CM"/>
    <m/>
    <n v="2.5714285714285712"/>
    <n v="120"/>
    <n v="0.52"/>
    <n v="62.4"/>
    <s v="EUR"/>
    <m/>
    <m/>
    <x v="27"/>
    <n v="0"/>
    <x v="3"/>
    <x v="0"/>
    <n v="120"/>
    <n v="0.53666666666666674"/>
    <n v="64.400000000000006"/>
    <n v="-4.8143999999999982"/>
    <n v="59.585600000000007"/>
    <x v="27"/>
    <n v="0"/>
    <m/>
    <n v="446854"/>
    <n v="8.9290476190476173"/>
    <m/>
    <n v="2.4"/>
    <m/>
    <n v="11.329047619047618"/>
    <n v="48.256552380952385"/>
    <m/>
    <n v="120"/>
  </r>
  <r>
    <n v="27"/>
    <n v="2024"/>
    <s v="Auction"/>
    <s v="VROLIJK BLOEMEN"/>
    <s v="VROLIJK BLOEMEN"/>
    <x v="95"/>
    <s v="Polyantha Roses"/>
    <s v="70CM"/>
    <m/>
    <m/>
    <m/>
    <m/>
    <m/>
    <s v="EUR"/>
    <m/>
    <m/>
    <x v="27"/>
    <n v="-40"/>
    <x v="3"/>
    <x v="1"/>
    <n v="40"/>
    <n v="0.6"/>
    <n v="24"/>
    <n v="-1.6047999999999993"/>
    <n v="22.395199999999999"/>
    <x v="27"/>
    <n v="40"/>
    <m/>
    <n v="446854"/>
    <n v="0"/>
    <m/>
    <n v="0.8"/>
    <m/>
    <n v="0.8"/>
    <n v="21.595199999999998"/>
    <m/>
    <n v="40"/>
  </r>
  <r>
    <n v="28"/>
    <n v="2024"/>
    <s v="Auction"/>
    <s v="VROLIJK BLOEMEN"/>
    <s v="VROLIJK BLOEMEN"/>
    <x v="96"/>
    <s v="English Roses"/>
    <s v="50CM"/>
    <n v="1"/>
    <n v="9.8181818181818183"/>
    <n v="360"/>
    <n v="0.38"/>
    <n v="136.80000000000001"/>
    <s v="EUR"/>
    <m/>
    <m/>
    <x v="27"/>
    <n v="0"/>
    <x v="1"/>
    <x v="5"/>
    <n v="360"/>
    <n v="0.37555555555555553"/>
    <n v="135.19999999999999"/>
    <n v="-13.807058823529418"/>
    <n v="121.39294117647057"/>
    <x v="27"/>
    <n v="0"/>
    <m/>
    <n v="447267"/>
    <n v="34.015090909090908"/>
    <m/>
    <n v="7.2"/>
    <m/>
    <n v="41.215090909090911"/>
    <n v="80.177850267379654"/>
    <m/>
    <n v="360"/>
  </r>
  <r>
    <n v="28"/>
    <n v="2024"/>
    <s v="Auction"/>
    <s v="VROLIJK BLOEMEN"/>
    <s v="VROLIJK BLOEMEN"/>
    <x v="96"/>
    <s v="English Roses"/>
    <s v="60CM"/>
    <m/>
    <n v="2.1818181818181817"/>
    <n v="80"/>
    <n v="0.47"/>
    <n v="37.6"/>
    <s v="EUR"/>
    <m/>
    <m/>
    <x v="27"/>
    <n v="0"/>
    <x v="1"/>
    <x v="0"/>
    <n v="80"/>
    <n v="0.46500000000000002"/>
    <n v="37.200000000000003"/>
    <n v="-3.0682352941176485"/>
    <n v="34.131764705882354"/>
    <x v="27"/>
    <n v="0"/>
    <m/>
    <n v="447267"/>
    <n v="7.5589090909090908"/>
    <m/>
    <n v="1.6"/>
    <m/>
    <n v="9.1589090909090913"/>
    <n v="24.972855614973263"/>
    <m/>
    <n v="80"/>
  </r>
  <r>
    <n v="28"/>
    <n v="2024"/>
    <s v="Auction"/>
    <s v="VROLIJK BLOEMEN"/>
    <s v="VROLIJK BLOEMEN"/>
    <x v="96"/>
    <s v="Floribunda Roses"/>
    <s v="50CM"/>
    <n v="1"/>
    <n v="12"/>
    <n v="760"/>
    <n v="0.38"/>
    <n v="288.8"/>
    <s v="EUR"/>
    <m/>
    <m/>
    <x v="27"/>
    <n v="-160"/>
    <x v="2"/>
    <x v="5"/>
    <n v="920"/>
    <n v="0.35478260869565215"/>
    <n v="326.39999999999998"/>
    <n v="-35.284705882352959"/>
    <n v="291.11529411764701"/>
    <x v="27"/>
    <n v="160"/>
    <m/>
    <n v="447267"/>
    <n v="41.574000000000005"/>
    <m/>
    <n v="18.400000000000002"/>
    <m/>
    <n v="59.974000000000004"/>
    <n v="231.14129411764702"/>
    <m/>
    <n v="920"/>
  </r>
  <r>
    <n v="28"/>
    <n v="2024"/>
    <s v="Auction"/>
    <s v="VROLIJK BLOEMEN"/>
    <s v="VROLIJK BLOEMEN"/>
    <x v="96"/>
    <s v="Grandiflora Roses"/>
    <s v="50CM"/>
    <n v="1"/>
    <n v="7.5789473684210522"/>
    <n v="480"/>
    <n v="0.14000000000000001"/>
    <n v="67.2"/>
    <s v="EUR"/>
    <m/>
    <m/>
    <x v="27"/>
    <n v="0"/>
    <x v="0"/>
    <x v="5"/>
    <n v="480"/>
    <n v="0.19499999999999998"/>
    <n v="93.6"/>
    <n v="-18.40941176470589"/>
    <n v="75.190588235294101"/>
    <x v="27"/>
    <n v="0"/>
    <m/>
    <n v="447267"/>
    <n v="26.257263157894737"/>
    <m/>
    <n v="9.6"/>
    <m/>
    <n v="35.857263157894735"/>
    <n v="39.333325077399365"/>
    <m/>
    <n v="480"/>
  </r>
  <r>
    <n v="28"/>
    <n v="2024"/>
    <s v="Auction"/>
    <s v="VROLIJK BLOEMEN"/>
    <s v="VROLIJK BLOEMEN"/>
    <x v="96"/>
    <s v="Grandiflora Roses"/>
    <s v="60CM"/>
    <m/>
    <n v="4.4210526315789469"/>
    <n v="280"/>
    <n v="0.24"/>
    <n v="67.2"/>
    <s v="EUR"/>
    <m/>
    <m/>
    <x v="27"/>
    <n v="0"/>
    <x v="0"/>
    <x v="0"/>
    <n v="280"/>
    <n v="0.34"/>
    <n v="95.2"/>
    <n v="-10.73882352941177"/>
    <n v="84.461176470588228"/>
    <x v="27"/>
    <n v="0"/>
    <m/>
    <n v="447267"/>
    <n v="15.316736842105263"/>
    <m/>
    <n v="5.6000000000000005"/>
    <m/>
    <n v="20.916736842105262"/>
    <n v="63.544439628482962"/>
    <m/>
    <n v="280"/>
  </r>
  <r>
    <n v="28"/>
    <n v="2024"/>
    <s v="Auction"/>
    <s v="VROLIJK BLOEMEN"/>
    <s v="VROLIJK BLOEMEN"/>
    <x v="96"/>
    <s v="Floribunda Roses"/>
    <s v="50CM"/>
    <n v="1"/>
    <n v="2.6666666666666665"/>
    <n v="160"/>
    <n v="0.38"/>
    <n v="60.8"/>
    <s v="EUR"/>
    <m/>
    <m/>
    <x v="27"/>
    <n v="160"/>
    <x v="2"/>
    <x v="5"/>
    <m/>
    <m/>
    <n v="0"/>
    <n v="0"/>
    <n v="0"/>
    <x v="27"/>
    <n v="-160"/>
    <m/>
    <n v="447267"/>
    <n v="9.2386666666666653"/>
    <m/>
    <n v="0"/>
    <m/>
    <n v="9.2386666666666653"/>
    <n v="-9.2386666666666653"/>
    <m/>
    <n v="0"/>
  </r>
  <r>
    <n v="28"/>
    <n v="2024"/>
    <s v="Auction"/>
    <s v="VROLIJK BLOEMEN"/>
    <s v="VROLIJK BLOEMEN"/>
    <x v="96"/>
    <s v="Floribunda Roses"/>
    <s v="60CM"/>
    <m/>
    <n v="4.666666666666667"/>
    <n v="280"/>
    <n v="0.47"/>
    <n v="131.6"/>
    <s v="EUR"/>
    <m/>
    <m/>
    <x v="27"/>
    <n v="0"/>
    <x v="2"/>
    <x v="0"/>
    <n v="280"/>
    <n v="0.33428571428571424"/>
    <n v="93.6"/>
    <n v="-10.73882352941177"/>
    <n v="82.861176470588219"/>
    <x v="27"/>
    <n v="0"/>
    <m/>
    <n v="447267"/>
    <n v="16.167666666666666"/>
    <m/>
    <n v="5.6000000000000005"/>
    <m/>
    <n v="21.767666666666667"/>
    <n v="61.093509803921549"/>
    <m/>
    <n v="280"/>
  </r>
  <r>
    <n v="28"/>
    <n v="2024"/>
    <s v="Auction"/>
    <s v="VROLIJK BLOEMEN"/>
    <s v="VROLIJK BLOEMEN"/>
    <x v="96"/>
    <s v="Polyantha Roses"/>
    <s v="50CM"/>
    <m/>
    <n v="4.666666666666667"/>
    <n v="280"/>
    <n v="0.42"/>
    <n v="117.6"/>
    <s v="EUR"/>
    <m/>
    <m/>
    <x v="27"/>
    <n v="0"/>
    <x v="3"/>
    <x v="5"/>
    <n v="280"/>
    <n v="0.22"/>
    <n v="61.6"/>
    <n v="-10.73882352941177"/>
    <n v="50.861176470588234"/>
    <x v="27"/>
    <n v="0"/>
    <m/>
    <n v="447267"/>
    <n v="16.167666666666666"/>
    <m/>
    <n v="5.6000000000000005"/>
    <m/>
    <n v="21.767666666666667"/>
    <n v="29.093509803921567"/>
    <m/>
    <n v="280"/>
  </r>
  <r>
    <n v="28"/>
    <n v="2024"/>
    <s v="Auction"/>
    <s v="VROLIJK BLOEMEN"/>
    <s v="VROLIJK BLOEMEN"/>
    <x v="96"/>
    <s v="Polyantha Roses"/>
    <s v="60CM"/>
    <n v="1"/>
    <n v="0.54545454545454541"/>
    <n v="40"/>
    <n v="0.52"/>
    <n v="20.8"/>
    <s v="EUR"/>
    <m/>
    <m/>
    <x v="27"/>
    <n v="0"/>
    <x v="3"/>
    <x v="0"/>
    <n v="40"/>
    <n v="0.21000000000000002"/>
    <n v="8.4"/>
    <n v="-1.5341176470588243"/>
    <n v="6.8658823529411759"/>
    <x v="27"/>
    <n v="0"/>
    <m/>
    <n v="447267"/>
    <n v="1.8897272727272727"/>
    <m/>
    <n v="0.8"/>
    <m/>
    <n v="2.6897272727272727"/>
    <n v="4.1761550802139027"/>
    <m/>
    <n v="40"/>
  </r>
  <r>
    <n v="28"/>
    <n v="2024"/>
    <s v="Auction"/>
    <s v="VROLIJK BLOEMEN"/>
    <s v="VROLIJK BLOEMEN"/>
    <x v="97"/>
    <s v="English Roses"/>
    <s v="50CM"/>
    <n v="1"/>
    <n v="12"/>
    <n v="400"/>
    <n v="0.38"/>
    <n v="152"/>
    <s v="EUR"/>
    <m/>
    <m/>
    <x v="27"/>
    <n v="0"/>
    <x v="1"/>
    <x v="5"/>
    <n v="400"/>
    <n v="0.46200000000000002"/>
    <n v="184.8"/>
    <n v="-21.587959866220721"/>
    <n v="163.21204013377928"/>
    <x v="27"/>
    <n v="0"/>
    <m/>
    <s v="F090347"/>
    <n v="49.49166666666666"/>
    <m/>
    <n v="8"/>
    <m/>
    <n v="57.49166666666666"/>
    <n v="105.72037346711262"/>
    <m/>
    <n v="400"/>
  </r>
  <r>
    <n v="28"/>
    <n v="2024"/>
    <s v="Auction"/>
    <s v="VROLIJK BLOEMEN"/>
    <s v="VROLIJK BLOEMEN"/>
    <x v="97"/>
    <s v="Floribunda Roses"/>
    <s v="50CM"/>
    <n v="1"/>
    <n v="12"/>
    <n v="760"/>
    <n v="0.38"/>
    <n v="288.8"/>
    <s v="EUR"/>
    <m/>
    <m/>
    <x v="27"/>
    <n v="760"/>
    <x v="2"/>
    <x v="5"/>
    <m/>
    <m/>
    <n v="0"/>
    <n v="0"/>
    <n v="0"/>
    <x v="27"/>
    <n v="-760"/>
    <m/>
    <s v="F090347"/>
    <n v="49.49166666666666"/>
    <m/>
    <n v="0"/>
    <m/>
    <n v="49.49166666666666"/>
    <n v="-49.49166666666666"/>
    <m/>
    <n v="0"/>
  </r>
  <r>
    <n v="28"/>
    <n v="2024"/>
    <s v="Auction"/>
    <s v="VROLIJK BLOEMEN"/>
    <s v="VROLIJK BLOEMEN"/>
    <x v="97"/>
    <s v="English Roses"/>
    <s v="70CM"/>
    <n v="1"/>
    <n v="1.3333333333333333"/>
    <n v="40"/>
    <n v="0.52"/>
    <n v="20.8"/>
    <s v="EUR"/>
    <m/>
    <m/>
    <x v="27"/>
    <n v="0"/>
    <x v="1"/>
    <x v="1"/>
    <n v="40"/>
    <n v="0.57000000000000006"/>
    <n v="22.800000000000004"/>
    <n v="-2.1587959866220721"/>
    <n v="20.641204013377934"/>
    <x v="27"/>
    <n v="0"/>
    <m/>
    <s v="F090347"/>
    <n v="5.4990740740740733"/>
    <m/>
    <n v="0.8"/>
    <m/>
    <n v="6.2990740740740732"/>
    <n v="14.342129939303859"/>
    <m/>
    <n v="40"/>
  </r>
  <r>
    <n v="28"/>
    <n v="2024"/>
    <s v="Auction"/>
    <s v="VROLIJK BLOEMEN"/>
    <s v="VROLIJK BLOEMEN"/>
    <x v="97"/>
    <s v="English Roses"/>
    <s v="60CM"/>
    <m/>
    <n v="10.666666666666666"/>
    <n v="320"/>
    <n v="0.47"/>
    <n v="150.4"/>
    <s v="EUR"/>
    <m/>
    <m/>
    <x v="27"/>
    <n v="0"/>
    <x v="1"/>
    <x v="0"/>
    <n v="320"/>
    <n v="0.71500000000000008"/>
    <n v="228.8"/>
    <n v="-17.270367892976576"/>
    <n v="211.52963210702345"/>
    <x v="27"/>
    <n v="0"/>
    <m/>
    <s v="F090347"/>
    <n v="43.992592592592587"/>
    <m/>
    <n v="6.4"/>
    <m/>
    <n v="50.392592592592585"/>
    <n v="161.13703951443085"/>
    <m/>
    <n v="320"/>
  </r>
  <r>
    <n v="28"/>
    <n v="2024"/>
    <s v="Auction"/>
    <s v="VROLIJK BLOEMEN"/>
    <s v="VROLIJK BLOEMEN"/>
    <x v="97"/>
    <s v="Floribunda Roses"/>
    <s v="50CM"/>
    <n v="1"/>
    <n v="4.2857142857142856"/>
    <n v="200"/>
    <n v="0.38"/>
    <n v="76"/>
    <s v="EUR"/>
    <m/>
    <m/>
    <x v="27"/>
    <n v="-720"/>
    <x v="2"/>
    <x v="5"/>
    <n v="920"/>
    <n v="0.53869565217391302"/>
    <n v="495.59999999999997"/>
    <n v="-49.652307692307659"/>
    <n v="445.94769230769231"/>
    <x v="27"/>
    <n v="720"/>
    <m/>
    <s v="F090347"/>
    <n v="17.675595238095237"/>
    <m/>
    <n v="18.400000000000002"/>
    <m/>
    <n v="36.075595238095239"/>
    <n v="409.87209706959709"/>
    <m/>
    <n v="920"/>
  </r>
  <r>
    <n v="28"/>
    <n v="2024"/>
    <s v="Auction"/>
    <s v="VROLIJK BLOEMEN"/>
    <s v="VROLIJK BLOEMEN"/>
    <x v="97"/>
    <s v="Floribunda Roses"/>
    <s v="60CM"/>
    <m/>
    <n v="7.7142857142857153"/>
    <n v="360"/>
    <n v="0.47"/>
    <n v="169.2"/>
    <s v="EUR"/>
    <m/>
    <m/>
    <x v="27"/>
    <n v="0"/>
    <x v="2"/>
    <x v="0"/>
    <n v="360"/>
    <n v="0.59"/>
    <n v="212.39999999999998"/>
    <n v="-19.429163879598651"/>
    <n v="192.97083612040132"/>
    <x v="27"/>
    <n v="0"/>
    <m/>
    <s v="F090347"/>
    <n v="31.81607142857143"/>
    <m/>
    <n v="7.2"/>
    <m/>
    <n v="39.016071428571429"/>
    <n v="153.95476469182989"/>
    <m/>
    <n v="360"/>
  </r>
  <r>
    <n v="28"/>
    <n v="2024"/>
    <s v="Auction"/>
    <s v="VROLIJK BLOEMEN"/>
    <s v="VROLIJK BLOEMEN"/>
    <x v="97"/>
    <s v="Grandiflora Roses"/>
    <s v="90CM"/>
    <n v="1"/>
    <n v="0.92307692307692313"/>
    <n v="40"/>
    <n v="0.38"/>
    <n v="15.2"/>
    <s v="EUR"/>
    <m/>
    <m/>
    <x v="27"/>
    <n v="10"/>
    <x v="0"/>
    <x v="3"/>
    <n v="30"/>
    <n v="0.5"/>
    <n v="15"/>
    <n v="-1.6190969899665542"/>
    <n v="13.380903010033446"/>
    <x v="27"/>
    <n v="-10"/>
    <m/>
    <s v="F090347"/>
    <n v="3.8070512820512823"/>
    <m/>
    <n v="0.6"/>
    <m/>
    <n v="4.4070512820512819"/>
    <n v="8.973851727982165"/>
    <m/>
    <n v="30"/>
  </r>
  <r>
    <n v="28"/>
    <n v="2024"/>
    <s v="Auction"/>
    <s v="VROLIJK BLOEMEN"/>
    <s v="VROLIJK BLOEMEN"/>
    <x v="97"/>
    <s v="Grandiflora Roses"/>
    <s v="60CM"/>
    <m/>
    <n v="4.6153846153846159"/>
    <n v="200"/>
    <n v="0.24"/>
    <n v="48"/>
    <s v="EUR"/>
    <m/>
    <m/>
    <x v="27"/>
    <n v="0"/>
    <x v="0"/>
    <x v="0"/>
    <n v="200"/>
    <n v="0.35"/>
    <n v="70"/>
    <n v="-10.793979933110361"/>
    <n v="59.206020066889636"/>
    <x v="27"/>
    <n v="0"/>
    <m/>
    <s v="F090347"/>
    <n v="19.035256410256412"/>
    <m/>
    <n v="4"/>
    <m/>
    <n v="23.035256410256412"/>
    <n v="36.170763656633227"/>
    <m/>
    <n v="200"/>
  </r>
  <r>
    <n v="28"/>
    <n v="2024"/>
    <s v="Auction"/>
    <s v="VROLIJK BLOEMEN"/>
    <s v="VROLIJK BLOEMEN"/>
    <x v="97"/>
    <s v="Grandiflora Roses"/>
    <s v="70CM"/>
    <m/>
    <n v="5.5384615384615383"/>
    <n v="240"/>
    <n v="0.28000000000000003"/>
    <n v="67.2"/>
    <s v="EUR"/>
    <m/>
    <m/>
    <x v="27"/>
    <n v="0"/>
    <x v="0"/>
    <x v="1"/>
    <n v="240"/>
    <n v="0.34499999999999997"/>
    <n v="82.8"/>
    <n v="-12.952775919732433"/>
    <n v="69.847224080267566"/>
    <x v="27"/>
    <n v="0"/>
    <m/>
    <s v="F090347"/>
    <n v="22.842307692307692"/>
    <m/>
    <n v="4.8"/>
    <m/>
    <n v="27.642307692307693"/>
    <n v="42.204916387959869"/>
    <m/>
    <n v="240"/>
  </r>
  <r>
    <n v="28"/>
    <n v="2024"/>
    <s v="Auction"/>
    <s v="VROLIJK BLOEMEN"/>
    <s v="VROLIJK BLOEMEN"/>
    <x v="97"/>
    <s v="Grandiflora Roses"/>
    <s v="80CM"/>
    <m/>
    <n v="0.92307692307692313"/>
    <n v="40"/>
    <n v="0.33"/>
    <n v="13.2"/>
    <s v="EUR"/>
    <m/>
    <m/>
    <x v="27"/>
    <n v="0"/>
    <x v="0"/>
    <x v="2"/>
    <n v="40"/>
    <n v="0.45"/>
    <n v="18"/>
    <n v="-2.1587959866220721"/>
    <n v="15.841204013377927"/>
    <x v="27"/>
    <n v="0"/>
    <m/>
    <s v="F090347"/>
    <n v="3.8070512820512823"/>
    <m/>
    <n v="0.8"/>
    <m/>
    <n v="4.6070512820512821"/>
    <n v="11.234152731326645"/>
    <m/>
    <n v="40"/>
  </r>
  <r>
    <n v="28"/>
    <n v="2024"/>
    <s v="Auction"/>
    <s v="VROLIJK BLOEMEN"/>
    <s v="VROLIJK BLOEMEN"/>
    <x v="97"/>
    <s v="Polyantha Roses"/>
    <s v="50CM"/>
    <n v="1"/>
    <n v="6.545454545454545"/>
    <n v="240"/>
    <n v="0.42"/>
    <n v="100.8"/>
    <s v="EUR"/>
    <m/>
    <m/>
    <x v="27"/>
    <n v="0"/>
    <x v="3"/>
    <x v="5"/>
    <n v="240"/>
    <n v="0.42"/>
    <n v="100.8"/>
    <n v="-12.952775919732433"/>
    <n v="87.847224080267566"/>
    <x v="27"/>
    <n v="0"/>
    <m/>
    <s v="F090347"/>
    <n v="26.995454545454542"/>
    <m/>
    <n v="4.8"/>
    <m/>
    <n v="31.795454545454543"/>
    <n v="56.051769534813019"/>
    <m/>
    <n v="240"/>
  </r>
  <r>
    <n v="28"/>
    <n v="2024"/>
    <s v="Auction"/>
    <s v="VROLIJK BLOEMEN"/>
    <s v="VROLIJK BLOEMEN"/>
    <x v="97"/>
    <s v="Polyantha Roses"/>
    <s v="60CM"/>
    <m/>
    <n v="2.1818181818181817"/>
    <n v="80"/>
    <n v="0.52"/>
    <n v="41.6"/>
    <s v="EUR"/>
    <m/>
    <m/>
    <x v="27"/>
    <n v="0"/>
    <x v="3"/>
    <x v="0"/>
    <n v="80"/>
    <n v="0.57000000000000006"/>
    <n v="45.600000000000009"/>
    <n v="-4.3175919732441441"/>
    <n v="41.282408026755867"/>
    <x v="27"/>
    <n v="0"/>
    <m/>
    <s v="F090347"/>
    <n v="8.9984848484848481"/>
    <m/>
    <n v="1.6"/>
    <m/>
    <n v="10.598484848484848"/>
    <n v="30.683923178271019"/>
    <m/>
    <n v="80"/>
  </r>
  <r>
    <n v="28"/>
    <n v="2024"/>
    <s v="Auction"/>
    <s v="VROLIJK BLOEMEN"/>
    <s v="VROLIJK BLOEMEN"/>
    <x v="97"/>
    <s v="Polyantha Roses"/>
    <s v="70CM"/>
    <m/>
    <n v="1.0909090909090908"/>
    <n v="40"/>
    <n v="0.61"/>
    <n v="24.4"/>
    <s v="EUR"/>
    <m/>
    <m/>
    <x v="27"/>
    <n v="0"/>
    <x v="3"/>
    <x v="1"/>
    <n v="40"/>
    <n v="0.72"/>
    <n v="28.799999999999997"/>
    <n v="-2.1587959866220721"/>
    <n v="26.641204013377926"/>
    <x v="27"/>
    <n v="0"/>
    <m/>
    <s v="F090347"/>
    <n v="4.499242424242424"/>
    <m/>
    <n v="0.8"/>
    <m/>
    <n v="5.2992424242424239"/>
    <n v="21.341961589135501"/>
    <m/>
    <n v="40"/>
  </r>
  <r>
    <n v="28"/>
    <n v="2024"/>
    <s v="Auction"/>
    <s v="VROLIJK BLOEMEN"/>
    <s v="VROLIJK BLOEMEN"/>
    <x v="97"/>
    <s v="Polyantha Roses"/>
    <s v="90CM"/>
    <m/>
    <n v="1.0909090909090908"/>
    <n v="40"/>
    <n v="0.85"/>
    <n v="34"/>
    <s v="EUR"/>
    <m/>
    <m/>
    <x v="27"/>
    <n v="0"/>
    <x v="3"/>
    <x v="3"/>
    <n v="40"/>
    <n v="0.82"/>
    <n v="32.799999999999997"/>
    <n v="-2.1587959866220721"/>
    <n v="30.641204013377926"/>
    <x v="27"/>
    <n v="0"/>
    <m/>
    <s v="F090347"/>
    <n v="4.499242424242424"/>
    <m/>
    <n v="0.8"/>
    <m/>
    <n v="5.2992424242424239"/>
    <n v="25.341961589135501"/>
    <m/>
    <n v="40"/>
  </r>
  <r>
    <n v="28"/>
    <n v="2024"/>
    <s v="Auction"/>
    <s v="VROLIJK BLOEMEN"/>
    <s v="VROLIJK BLOEMEN"/>
    <x v="97"/>
    <s v="Polyantha Roses"/>
    <s v="80CM"/>
    <m/>
    <n v="1.0909090909090908"/>
    <n v="40"/>
    <n v="0.66"/>
    <n v="26.4"/>
    <s v="EUR"/>
    <m/>
    <m/>
    <x v="27"/>
    <n v="0"/>
    <x v="3"/>
    <x v="2"/>
    <n v="40"/>
    <n v="0.77"/>
    <n v="30.8"/>
    <n v="-2.1587959866220721"/>
    <n v="28.64120401337793"/>
    <x v="27"/>
    <n v="0"/>
    <m/>
    <s v="F090347"/>
    <n v="4.499242424242424"/>
    <m/>
    <n v="0.8"/>
    <m/>
    <n v="5.2992424242424239"/>
    <n v="23.341961589135508"/>
    <m/>
    <n v="40"/>
  </r>
  <r>
    <n v="28"/>
    <n v="2024"/>
    <s v="Auction"/>
    <s v="VROLIJK BLOEMEN"/>
    <s v="VROLIJK BLOEMEN"/>
    <x v="98"/>
    <s v="Polyantha Roses"/>
    <s v="60CM"/>
    <n v="1"/>
    <n v="12"/>
    <n v="480"/>
    <n v="0.52"/>
    <n v="249.6"/>
    <s v="EUR"/>
    <m/>
    <m/>
    <x v="28"/>
    <n v="0"/>
    <x v="3"/>
    <x v="0"/>
    <n v="480"/>
    <n v="0.47583333333333333"/>
    <n v="228.4"/>
    <n v="-20.221016949152531"/>
    <n v="208.17898305084748"/>
    <x v="28"/>
    <n v="0"/>
    <m/>
    <n v="446854"/>
    <n v="41.668888888888887"/>
    <m/>
    <n v="9.6"/>
    <m/>
    <n v="51.268888888888888"/>
    <n v="156.9100941619586"/>
    <m/>
    <n v="480"/>
  </r>
  <r>
    <n v="28"/>
    <n v="2024"/>
    <s v="Auction"/>
    <s v="VROLIJK BLOEMEN"/>
    <s v="VROLIJK BLOEMEN"/>
    <x v="98"/>
    <s v="Floribunda Roses"/>
    <s v="50CM"/>
    <n v="1"/>
    <n v="12"/>
    <n v="760"/>
    <n v="0.38"/>
    <n v="288.8"/>
    <s v="EUR"/>
    <m/>
    <m/>
    <x v="28"/>
    <n v="-560"/>
    <x v="2"/>
    <x v="5"/>
    <n v="1320"/>
    <n v="0.39787878787878789"/>
    <n v="525.20000000000005"/>
    <n v="-55.607796610169466"/>
    <n v="469.59220338983056"/>
    <x v="28"/>
    <n v="560"/>
    <m/>
    <n v="446854"/>
    <n v="41.668888888888887"/>
    <m/>
    <n v="26.400000000000002"/>
    <m/>
    <n v="68.068888888888893"/>
    <n v="401.52331450094164"/>
    <m/>
    <n v="1320"/>
  </r>
  <r>
    <n v="28"/>
    <n v="2024"/>
    <s v="Auction"/>
    <s v="VROLIJK BLOEMEN"/>
    <s v="VROLIJK BLOEMEN"/>
    <x v="98"/>
    <s v="Floribunda Roses"/>
    <s v="60CM"/>
    <n v="1"/>
    <n v="12"/>
    <n v="520"/>
    <n v="0.47"/>
    <n v="244.4"/>
    <s v="EUR"/>
    <m/>
    <m/>
    <x v="28"/>
    <n v="-40"/>
    <x v="2"/>
    <x v="0"/>
    <n v="560"/>
    <n v="0.38"/>
    <n v="212.8"/>
    <n v="-23.591186440677955"/>
    <n v="189.20881355932207"/>
    <x v="28"/>
    <n v="40"/>
    <m/>
    <n v="446854"/>
    <n v="41.668888888888887"/>
    <m/>
    <n v="11.200000000000001"/>
    <m/>
    <n v="52.86888888888889"/>
    <n v="136.33992467043316"/>
    <m/>
    <n v="560"/>
  </r>
  <r>
    <n v="28"/>
    <n v="2024"/>
    <s v="Auction"/>
    <s v="VROLIJK BLOEMEN"/>
    <s v="VROLIJK BLOEMEN"/>
    <x v="98"/>
    <s v="Grandiflora Roses"/>
    <s v="50CM"/>
    <n v="1"/>
    <n v="12"/>
    <n v="680"/>
    <n v="0.14000000000000001"/>
    <n v="95.2"/>
    <s v="EUR"/>
    <m/>
    <m/>
    <x v="28"/>
    <n v="0"/>
    <x v="0"/>
    <x v="5"/>
    <n v="680"/>
    <n v="0.36352941176470588"/>
    <n v="247.2"/>
    <n v="-28.646440677966091"/>
    <n v="218.55355932203389"/>
    <x v="28"/>
    <n v="0"/>
    <m/>
    <n v="446854"/>
    <n v="41.668888888888887"/>
    <m/>
    <n v="13.6"/>
    <m/>
    <n v="55.268888888888888"/>
    <n v="163.28467043314501"/>
    <m/>
    <n v="680"/>
  </r>
  <r>
    <n v="28"/>
    <n v="2024"/>
    <s v="Auction"/>
    <s v="VROLIJK BLOEMEN"/>
    <s v="VROLIJK BLOEMEN"/>
    <x v="98"/>
    <s v="Grandiflora Roses"/>
    <s v="60CM"/>
    <n v="1"/>
    <n v="7.6363636363636367"/>
    <n v="280"/>
    <n v="0.24"/>
    <n v="67.2"/>
    <s v="EUR"/>
    <m/>
    <m/>
    <x v="28"/>
    <n v="0"/>
    <x v="0"/>
    <x v="0"/>
    <n v="280"/>
    <n v="0.4"/>
    <n v="112"/>
    <n v="-11.795593220338978"/>
    <n v="100.20440677966103"/>
    <x v="28"/>
    <n v="0"/>
    <m/>
    <n v="446854"/>
    <n v="26.516565656565653"/>
    <m/>
    <n v="5.6000000000000005"/>
    <m/>
    <n v="32.116565656565655"/>
    <n v="68.087841123095373"/>
    <m/>
    <n v="280"/>
  </r>
  <r>
    <n v="28"/>
    <n v="2024"/>
    <s v="Auction"/>
    <s v="VROLIJK BLOEMEN"/>
    <s v="VROLIJK BLOEMEN"/>
    <x v="98"/>
    <s v="Grandiflora Roses"/>
    <s v="70CM"/>
    <m/>
    <n v="2.1818181818181817"/>
    <n v="80"/>
    <n v="0.28000000000000003"/>
    <n v="22.4"/>
    <s v="EUR"/>
    <m/>
    <m/>
    <x v="28"/>
    <n v="0"/>
    <x v="0"/>
    <x v="1"/>
    <n v="80"/>
    <n v="0.24"/>
    <n v="19.2"/>
    <n v="-3.3701694915254223"/>
    <n v="15.829830508474577"/>
    <x v="28"/>
    <n v="0"/>
    <m/>
    <n v="446854"/>
    <n v="7.576161616161615"/>
    <m/>
    <n v="1.6"/>
    <m/>
    <n v="9.1761616161616146"/>
    <n v="6.6536688923129628"/>
    <m/>
    <n v="80"/>
  </r>
  <r>
    <n v="28"/>
    <n v="2024"/>
    <s v="Auction"/>
    <s v="VROLIJK BLOEMEN"/>
    <s v="VROLIJK BLOEMEN"/>
    <x v="98"/>
    <s v="Grandiflora Roses"/>
    <s v="80CM"/>
    <m/>
    <n v="2.1818181818181817"/>
    <n v="80"/>
    <n v="0.33"/>
    <n v="26.4"/>
    <s v="EUR"/>
    <m/>
    <m/>
    <x v="28"/>
    <n v="0"/>
    <x v="0"/>
    <x v="2"/>
    <n v="80"/>
    <n v="0.27"/>
    <n v="21.6"/>
    <n v="-3.3701694915254223"/>
    <n v="18.229830508474578"/>
    <x v="28"/>
    <n v="0"/>
    <m/>
    <n v="446854"/>
    <n v="7.576161616161615"/>
    <m/>
    <n v="1.6"/>
    <m/>
    <n v="9.1761616161616146"/>
    <n v="9.0536688923129631"/>
    <m/>
    <n v="80"/>
  </r>
  <r>
    <n v="28"/>
    <n v="2024"/>
    <s v="Auction"/>
    <s v="VROLIJK BLOEMEN"/>
    <s v="VROLIJK BLOEMEN"/>
    <x v="98"/>
    <s v="Floribunda Roses"/>
    <s v="50CM"/>
    <n v="1"/>
    <n v="11.2"/>
    <n v="560"/>
    <n v="0.38"/>
    <n v="212.8"/>
    <s v="EUR"/>
    <m/>
    <m/>
    <x v="28"/>
    <n v="560"/>
    <x v="2"/>
    <x v="5"/>
    <m/>
    <m/>
    <n v="0"/>
    <n v="0"/>
    <n v="0"/>
    <x v="28"/>
    <n v="-560"/>
    <m/>
    <n v="446854"/>
    <n v="38.890962962962959"/>
    <m/>
    <n v="0"/>
    <m/>
    <n v="38.890962962962959"/>
    <n v="-38.890962962962959"/>
    <m/>
    <n v="0"/>
  </r>
  <r>
    <n v="28"/>
    <n v="2024"/>
    <s v="Auction"/>
    <s v="VROLIJK BLOEMEN"/>
    <s v="VROLIJK BLOEMEN"/>
    <x v="98"/>
    <s v="Floribunda Roses"/>
    <s v="60CM"/>
    <m/>
    <n v="0.8"/>
    <n v="40"/>
    <n v="0.47"/>
    <n v="18.8"/>
    <s v="EUR"/>
    <m/>
    <m/>
    <x v="28"/>
    <n v="40"/>
    <x v="2"/>
    <x v="0"/>
    <m/>
    <m/>
    <n v="0"/>
    <n v="0"/>
    <n v="0"/>
    <x v="28"/>
    <n v="-40"/>
    <m/>
    <n v="446854"/>
    <n v="2.7779259259259259"/>
    <m/>
    <n v="0"/>
    <m/>
    <n v="2.7779259259259259"/>
    <n v="-2.7779259259259259"/>
    <m/>
    <n v="0"/>
  </r>
  <r>
    <n v="28"/>
    <n v="2024"/>
    <s v="Auction"/>
    <s v="VROLIJK BLOEMEN"/>
    <s v="VROLIJK BLOEMEN"/>
    <x v="98"/>
    <s v="English Roses"/>
    <s v="50CM"/>
    <n v="1"/>
    <n v="8"/>
    <n v="320"/>
    <n v="0.38"/>
    <n v="121.6"/>
    <s v="EUR"/>
    <m/>
    <m/>
    <x v="28"/>
    <n v="0"/>
    <x v="1"/>
    <x v="5"/>
    <n v="320"/>
    <n v="0.51249999999999996"/>
    <n v="164"/>
    <n v="-13.480677966101689"/>
    <n v="150.51932203389831"/>
    <x v="28"/>
    <n v="0"/>
    <m/>
    <n v="446854"/>
    <n v="27.779259259259256"/>
    <m/>
    <n v="6.4"/>
    <m/>
    <n v="34.179259259259254"/>
    <n v="116.34006277463905"/>
    <m/>
    <n v="320"/>
  </r>
  <r>
    <n v="28"/>
    <n v="2024"/>
    <s v="Auction"/>
    <s v="VROLIJK BLOEMEN"/>
    <s v="VROLIJK BLOEMEN"/>
    <x v="98"/>
    <s v="English Roses"/>
    <s v="60CM"/>
    <m/>
    <n v="4"/>
    <n v="160"/>
    <n v="0.47"/>
    <n v="75.2"/>
    <s v="EUR"/>
    <m/>
    <m/>
    <x v="28"/>
    <n v="0"/>
    <x v="1"/>
    <x v="0"/>
    <n v="160"/>
    <n v="0.60250000000000004"/>
    <n v="96.4"/>
    <n v="-6.7403389830508447"/>
    <n v="89.659661016949158"/>
    <x v="28"/>
    <n v="0"/>
    <m/>
    <n v="446854"/>
    <n v="13.889629629629628"/>
    <m/>
    <n v="3.2"/>
    <m/>
    <n v="17.089629629629627"/>
    <n v="72.570031387319531"/>
    <m/>
    <n v="160"/>
  </r>
  <r>
    <n v="28"/>
    <n v="2024"/>
    <s v="Auction"/>
    <s v="VROLIJK BLOEMEN"/>
    <s v="VROLIJK BLOEMEN"/>
    <x v="98"/>
    <s v="Polyantha Roses"/>
    <s v="50CM"/>
    <n v="1"/>
    <n v="9"/>
    <n v="360"/>
    <n v="0.42"/>
    <n v="151.19999999999999"/>
    <s v="EUR"/>
    <m/>
    <m/>
    <x v="28"/>
    <n v="0"/>
    <x v="3"/>
    <x v="5"/>
    <n v="360"/>
    <n v="0.26444444444444443"/>
    <n v="95.199999999999989"/>
    <n v="-15.165762711864399"/>
    <n v="80.034237288135586"/>
    <x v="28"/>
    <n v="0"/>
    <m/>
    <n v="446854"/>
    <n v="31.251666666666665"/>
    <m/>
    <n v="7.2"/>
    <m/>
    <n v="38.451666666666668"/>
    <n v="41.582570621468918"/>
    <m/>
    <n v="360"/>
  </r>
  <r>
    <n v="28"/>
    <n v="2024"/>
    <s v="Auction"/>
    <s v="VROLIJK BLOEMEN"/>
    <s v="VROLIJK BLOEMEN"/>
    <x v="98"/>
    <s v="Polyantha Roses"/>
    <s v="70CM"/>
    <m/>
    <n v="3"/>
    <n v="120"/>
    <n v="0.61"/>
    <n v="73.2"/>
    <s v="EUR"/>
    <m/>
    <m/>
    <x v="28"/>
    <n v="0"/>
    <x v="3"/>
    <x v="1"/>
    <n v="120"/>
    <n v="0.52"/>
    <n v="62.400000000000006"/>
    <n v="-5.0552542372881328"/>
    <n v="57.344745762711874"/>
    <x v="28"/>
    <n v="0"/>
    <m/>
    <n v="446854"/>
    <n v="10.417222222222222"/>
    <m/>
    <n v="2.4"/>
    <m/>
    <n v="12.817222222222222"/>
    <n v="44.527523540489653"/>
    <m/>
    <n v="120"/>
  </r>
  <r>
    <n v="28"/>
    <n v="2024"/>
    <s v="Auction"/>
    <s v="VROLIJK BLOEMEN"/>
    <s v="VROLIJK BLOEMEN"/>
    <x v="98"/>
    <s v="Polyantha Roses"/>
    <s v="80CM"/>
    <n v="1"/>
    <n v="6.8571428571428568"/>
    <n v="160"/>
    <n v="0.66"/>
    <n v="105.6"/>
    <s v="EUR"/>
    <m/>
    <m/>
    <x v="28"/>
    <n v="0"/>
    <x v="3"/>
    <x v="2"/>
    <n v="160"/>
    <n v="0.64"/>
    <n v="102.4"/>
    <n v="-6.7403389830508447"/>
    <n v="95.659661016949158"/>
    <x v="28"/>
    <n v="0"/>
    <m/>
    <n v="446854"/>
    <n v="23.810793650793649"/>
    <m/>
    <n v="3.2"/>
    <m/>
    <n v="27.010793650793648"/>
    <n v="68.648867366155514"/>
    <m/>
    <n v="160"/>
  </r>
  <r>
    <n v="28"/>
    <n v="2024"/>
    <s v="Auction"/>
    <s v="VROLIJK BLOEMEN"/>
    <s v="VROLIJK BLOEMEN"/>
    <x v="98"/>
    <s v="Polyantha Roses"/>
    <s v="90CM"/>
    <m/>
    <n v="5.1428571428571423"/>
    <n v="120"/>
    <n v="0.85"/>
    <n v="102"/>
    <s v="EUR"/>
    <m/>
    <m/>
    <x v="28"/>
    <n v="0"/>
    <x v="3"/>
    <x v="3"/>
    <n v="120"/>
    <n v="0.69333333333333336"/>
    <n v="83.2"/>
    <n v="-5.0552542372881328"/>
    <n v="78.144745762711864"/>
    <x v="28"/>
    <n v="0"/>
    <m/>
    <n v="446854"/>
    <n v="17.858095238095235"/>
    <m/>
    <n v="2.4"/>
    <m/>
    <n v="20.258095238095233"/>
    <n v="57.886650524616627"/>
    <m/>
    <n v="120"/>
  </r>
  <r>
    <n v="29"/>
    <n v="2024"/>
    <s v="Auction"/>
    <s v="VROLIJK BLOEMEN"/>
    <s v="VROLIJK BLOEMEN"/>
    <x v="99"/>
    <s v="English Roses"/>
    <s v="50CM"/>
    <n v="1"/>
    <n v="9.2307692307692317"/>
    <n v="400"/>
    <n v="0.38"/>
    <n v="152"/>
    <s v="EUR"/>
    <m/>
    <m/>
    <x v="28"/>
    <n v="-240"/>
    <x v="1"/>
    <x v="5"/>
    <n v="640"/>
    <n v="0.42750000000000005"/>
    <n v="273.60000000000002"/>
    <n v="-34.449729729729761"/>
    <n v="239.15027027027025"/>
    <x v="28"/>
    <n v="240"/>
    <m/>
    <n v="448019"/>
    <n v="32.557142857142857"/>
    <m/>
    <n v="12.8"/>
    <m/>
    <n v="45.357142857142861"/>
    <n v="193.79312741312739"/>
    <m/>
    <n v="640"/>
  </r>
  <r>
    <n v="29"/>
    <n v="2024"/>
    <s v="Auction"/>
    <s v="VROLIJK BLOEMEN"/>
    <s v="VROLIJK BLOEMEN"/>
    <x v="99"/>
    <s v="English Roses"/>
    <s v="60CM"/>
    <m/>
    <n v="2.7692307692307692"/>
    <n v="120"/>
    <n v="0.47"/>
    <n v="56.4"/>
    <s v="EUR"/>
    <m/>
    <m/>
    <x v="28"/>
    <n v="-120"/>
    <x v="1"/>
    <x v="0"/>
    <n v="240"/>
    <n v="0.62"/>
    <n v="148.80000000000001"/>
    <n v="-12.918648648648663"/>
    <n v="135.88135135135136"/>
    <x v="28"/>
    <n v="120"/>
    <m/>
    <n v="448019"/>
    <n v="9.767142857142856"/>
    <m/>
    <n v="4.8"/>
    <m/>
    <n v="14.567142857142855"/>
    <n v="121.3142084942085"/>
    <m/>
    <n v="240"/>
  </r>
  <r>
    <n v="29"/>
    <n v="2024"/>
    <s v="Auction"/>
    <s v="VROLIJK BLOEMEN"/>
    <s v="VROLIJK BLOEMEN"/>
    <x v="99"/>
    <s v="Grandiflora Roses"/>
    <s v="60CM"/>
    <n v="1"/>
    <n v="7.384615384615385"/>
    <n v="320"/>
    <n v="0.24"/>
    <n v="76.8"/>
    <s v="EUR"/>
    <m/>
    <m/>
    <x v="28"/>
    <n v="-240"/>
    <x v="0"/>
    <x v="0"/>
    <n v="560"/>
    <n v="0.36142857142857143"/>
    <n v="202.4"/>
    <n v="-30.143513513513543"/>
    <n v="172.25648648648647"/>
    <x v="28"/>
    <n v="240"/>
    <m/>
    <n v="448019"/>
    <n v="26.045714285714286"/>
    <m/>
    <n v="11.200000000000001"/>
    <m/>
    <n v="37.245714285714286"/>
    <n v="135.01077220077218"/>
    <m/>
    <n v="560"/>
  </r>
  <r>
    <n v="29"/>
    <n v="2024"/>
    <s v="Auction"/>
    <s v="VROLIJK BLOEMEN"/>
    <s v="VROLIJK BLOEMEN"/>
    <x v="99"/>
    <s v="Grandiflora Roses"/>
    <s v="90CM"/>
    <m/>
    <n v="0.92307692307692313"/>
    <n v="40"/>
    <n v="0.38"/>
    <n v="15.2"/>
    <s v="EUR"/>
    <m/>
    <m/>
    <x v="28"/>
    <n v="40"/>
    <x v="0"/>
    <x v="3"/>
    <m/>
    <m/>
    <n v="0"/>
    <n v="0"/>
    <n v="0"/>
    <x v="28"/>
    <n v="-40"/>
    <m/>
    <n v="448019"/>
    <n v="3.2557142857142858"/>
    <m/>
    <n v="0"/>
    <m/>
    <n v="3.2557142857142858"/>
    <n v="-3.2557142857142858"/>
    <m/>
    <n v="0"/>
  </r>
  <r>
    <n v="29"/>
    <n v="2024"/>
    <s v="Auction"/>
    <s v="VROLIJK BLOEMEN"/>
    <s v="VROLIJK BLOEMEN"/>
    <x v="99"/>
    <s v="Grandiflora Roses"/>
    <s v="70CM"/>
    <m/>
    <n v="2.7692307692307692"/>
    <n v="120"/>
    <n v="0.28000000000000003"/>
    <n v="33.6"/>
    <s v="EUR"/>
    <m/>
    <m/>
    <x v="28"/>
    <n v="120"/>
    <x v="0"/>
    <x v="1"/>
    <m/>
    <m/>
    <n v="0"/>
    <n v="0"/>
    <n v="0"/>
    <x v="28"/>
    <n v="-120"/>
    <m/>
    <n v="448019"/>
    <n v="9.767142857142856"/>
    <m/>
    <n v="0"/>
    <m/>
    <n v="9.767142857142856"/>
    <n v="-9.767142857142856"/>
    <m/>
    <n v="0"/>
  </r>
  <r>
    <n v="29"/>
    <n v="2024"/>
    <s v="Auction"/>
    <s v="VROLIJK BLOEMEN"/>
    <s v="VROLIJK BLOEMEN"/>
    <x v="99"/>
    <s v="Grandiflora Roses"/>
    <s v="80CM"/>
    <m/>
    <n v="0.92307692307692313"/>
    <n v="40"/>
    <n v="0.33"/>
    <n v="13.2"/>
    <s v="EUR"/>
    <m/>
    <m/>
    <x v="28"/>
    <n v="40"/>
    <x v="0"/>
    <x v="2"/>
    <m/>
    <m/>
    <n v="0"/>
    <n v="0"/>
    <n v="0"/>
    <x v="28"/>
    <n v="-40"/>
    <m/>
    <n v="448019"/>
    <n v="3.2557142857142858"/>
    <m/>
    <n v="0"/>
    <m/>
    <n v="3.2557142857142858"/>
    <n v="-3.2557142857142858"/>
    <m/>
    <n v="0"/>
  </r>
  <r>
    <n v="29"/>
    <n v="2024"/>
    <s v="Auction"/>
    <s v="VROLIJK BLOEMEN"/>
    <s v="VROLIJK BLOEMEN"/>
    <x v="99"/>
    <s v="Floribunda Roses"/>
    <s v="50CM"/>
    <n v="1"/>
    <n v="3.4285714285714284"/>
    <n v="160"/>
    <n v="0.38"/>
    <n v="60.8"/>
    <s v="EUR"/>
    <m/>
    <m/>
    <x v="28"/>
    <n v="-80"/>
    <x v="2"/>
    <x v="5"/>
    <n v="240"/>
    <n v="0.78833333333333333"/>
    <n v="189.2"/>
    <n v="-12.918648648648663"/>
    <n v="176.28135135135133"/>
    <x v="28"/>
    <n v="80"/>
    <m/>
    <n v="448019"/>
    <n v="12.092653061224489"/>
    <m/>
    <n v="4.8"/>
    <m/>
    <n v="16.89265306122449"/>
    <n v="159.38869829012685"/>
    <m/>
    <n v="240"/>
  </r>
  <r>
    <n v="29"/>
    <n v="2024"/>
    <s v="Auction"/>
    <s v="VROLIJK BLOEMEN"/>
    <s v="VROLIJK BLOEMEN"/>
    <x v="99"/>
    <s v="Floribunda Roses"/>
    <s v="60CM"/>
    <m/>
    <n v="5.1428571428571423"/>
    <n v="240"/>
    <n v="0.47"/>
    <n v="112.8"/>
    <s v="EUR"/>
    <m/>
    <m/>
    <x v="28"/>
    <n v="-80"/>
    <x v="2"/>
    <x v="0"/>
    <n v="320"/>
    <n v="0.7"/>
    <n v="224"/>
    <n v="-17.22486486486488"/>
    <n v="206.77513513513512"/>
    <x v="28"/>
    <n v="80"/>
    <m/>
    <n v="448019"/>
    <n v="18.13897959183673"/>
    <m/>
    <n v="6.4"/>
    <m/>
    <n v="24.538979591836728"/>
    <n v="182.23615554329839"/>
    <m/>
    <n v="320"/>
  </r>
  <r>
    <n v="29"/>
    <n v="2024"/>
    <s v="Auction"/>
    <s v="VROLIJK BLOEMEN"/>
    <s v="VROLIJK BLOEMEN"/>
    <x v="99"/>
    <s v="Floribunda Roses"/>
    <s v="70CM"/>
    <m/>
    <n v="0.8571428571428571"/>
    <n v="40"/>
    <n v="0.52"/>
    <n v="20.8"/>
    <s v="EUR"/>
    <m/>
    <m/>
    <x v="28"/>
    <n v="0"/>
    <x v="2"/>
    <x v="1"/>
    <n v="40"/>
    <n v="1.03"/>
    <n v="41.2"/>
    <n v="-2.15310810810811"/>
    <n v="39.046891891891896"/>
    <x v="28"/>
    <n v="0"/>
    <m/>
    <n v="448019"/>
    <n v="3.0231632653061222"/>
    <m/>
    <n v="0.8"/>
    <m/>
    <n v="3.823163265306122"/>
    <n v="35.223728626585775"/>
    <m/>
    <n v="40"/>
  </r>
  <r>
    <n v="29"/>
    <n v="2024"/>
    <s v="Auction"/>
    <s v="VROLIJK BLOEMEN"/>
    <s v="VROLIJK BLOEMEN"/>
    <x v="99"/>
    <s v="Floribunda Roses"/>
    <s v="80CM"/>
    <m/>
    <n v="0.8571428571428571"/>
    <n v="40"/>
    <n v="0.56999999999999995"/>
    <n v="22.8"/>
    <s v="EUR"/>
    <m/>
    <m/>
    <x v="28"/>
    <n v="40"/>
    <x v="2"/>
    <x v="2"/>
    <m/>
    <m/>
    <n v="0"/>
    <n v="0"/>
    <n v="0"/>
    <x v="28"/>
    <n v="-40"/>
    <m/>
    <n v="448019"/>
    <n v="3.0231632653061222"/>
    <m/>
    <n v="0"/>
    <m/>
    <n v="3.0231632653061222"/>
    <n v="-3.0231632653061222"/>
    <m/>
    <n v="0"/>
  </r>
  <r>
    <n v="29"/>
    <n v="2024"/>
    <s v="Auction"/>
    <s v="VROLIJK BLOEMEN"/>
    <s v="VROLIJK BLOEMEN"/>
    <x v="99"/>
    <s v="Floribunda Roses"/>
    <s v="90CM"/>
    <m/>
    <n v="0.8571428571428571"/>
    <n v="40"/>
    <n v="0.75"/>
    <n v="30"/>
    <s v="EUR"/>
    <m/>
    <m/>
    <x v="28"/>
    <n v="40"/>
    <x v="2"/>
    <x v="3"/>
    <m/>
    <m/>
    <n v="0"/>
    <n v="0"/>
    <n v="0"/>
    <x v="28"/>
    <n v="-40"/>
    <m/>
    <n v="448019"/>
    <n v="3.0231632653061222"/>
    <m/>
    <n v="0"/>
    <m/>
    <n v="3.0231632653061222"/>
    <n v="-3.0231632653061222"/>
    <m/>
    <n v="0"/>
  </r>
  <r>
    <n v="29"/>
    <n v="2024"/>
    <s v="Auction"/>
    <s v="VROLIJK BLOEMEN"/>
    <s v="VROLIJK BLOEMEN"/>
    <x v="99"/>
    <s v="Floribunda Roses"/>
    <s v="100CM"/>
    <m/>
    <n v="0.8571428571428571"/>
    <n v="40"/>
    <n v="0.94"/>
    <n v="37.6"/>
    <s v="EUR"/>
    <m/>
    <m/>
    <x v="28"/>
    <n v="40"/>
    <x v="2"/>
    <x v="4"/>
    <m/>
    <m/>
    <n v="0"/>
    <n v="0"/>
    <n v="0"/>
    <x v="28"/>
    <n v="-40"/>
    <m/>
    <n v="448019"/>
    <n v="3.0231632653061222"/>
    <m/>
    <n v="0"/>
    <m/>
    <n v="3.0231632653061222"/>
    <n v="-3.0231632653061222"/>
    <m/>
    <n v="0"/>
  </r>
  <r>
    <n v="29"/>
    <n v="2024"/>
    <s v="Auction"/>
    <s v="VROLIJK BLOEMEN"/>
    <s v="VROLIJK BLOEMEN"/>
    <x v="99"/>
    <s v="English Roses"/>
    <s v="70CM"/>
    <n v="1"/>
    <n v="2.4000000000000004"/>
    <n v="40"/>
    <n v="0.52"/>
    <n v="20.8"/>
    <s v="EUR"/>
    <m/>
    <m/>
    <x v="28"/>
    <n v="0"/>
    <x v="1"/>
    <x v="1"/>
    <n v="40"/>
    <n v="0.95"/>
    <n v="38"/>
    <n v="-2.15310810810811"/>
    <n v="35.846891891891893"/>
    <x v="28"/>
    <n v="0"/>
    <m/>
    <n v="448019"/>
    <n v="8.4648571428571433"/>
    <m/>
    <n v="0.8"/>
    <m/>
    <n v="9.264857142857144"/>
    <n v="26.582034749034747"/>
    <m/>
    <n v="40"/>
  </r>
  <r>
    <n v="29"/>
    <n v="2024"/>
    <s v="Auction"/>
    <s v="VROLIJK BLOEMEN"/>
    <s v="VROLIJK BLOEMEN"/>
    <x v="99"/>
    <s v="English Roses"/>
    <s v="80CM"/>
    <m/>
    <n v="4.8000000000000007"/>
    <n v="80"/>
    <n v="0.56999999999999995"/>
    <n v="45.6"/>
    <s v="EUR"/>
    <m/>
    <m/>
    <x v="28"/>
    <n v="80"/>
    <x v="1"/>
    <x v="2"/>
    <m/>
    <m/>
    <n v="0"/>
    <n v="0"/>
    <n v="0"/>
    <x v="28"/>
    <n v="-80"/>
    <m/>
    <n v="448019"/>
    <n v="16.929714285714287"/>
    <m/>
    <n v="0"/>
    <m/>
    <n v="16.929714285714287"/>
    <n v="-16.929714285714287"/>
    <m/>
    <n v="0"/>
  </r>
  <r>
    <n v="29"/>
    <n v="2024"/>
    <s v="Auction"/>
    <s v="VROLIJK BLOEMEN"/>
    <s v="VROLIJK BLOEMEN"/>
    <x v="99"/>
    <s v="English Roses"/>
    <s v="90CM"/>
    <m/>
    <n v="2.4000000000000004"/>
    <n v="40"/>
    <n v="0.75"/>
    <n v="30"/>
    <s v="EUR"/>
    <m/>
    <m/>
    <x v="28"/>
    <n v="40"/>
    <x v="1"/>
    <x v="3"/>
    <m/>
    <m/>
    <n v="0"/>
    <n v="0"/>
    <n v="0"/>
    <x v="28"/>
    <n v="-40"/>
    <m/>
    <n v="448019"/>
    <n v="8.4648571428571433"/>
    <m/>
    <n v="0"/>
    <m/>
    <n v="8.4648571428571433"/>
    <n v="-8.4648571428571433"/>
    <m/>
    <n v="0"/>
  </r>
  <r>
    <n v="29"/>
    <n v="2024"/>
    <s v="Auction"/>
    <s v="VROLIJK BLOEMEN"/>
    <s v="VROLIJK BLOEMEN"/>
    <x v="99"/>
    <s v="English Roses"/>
    <s v="100CM"/>
    <m/>
    <n v="2.4000000000000004"/>
    <n v="40"/>
    <n v="0.94"/>
    <n v="37.6"/>
    <s v="EUR"/>
    <m/>
    <m/>
    <x v="28"/>
    <n v="40"/>
    <x v="1"/>
    <x v="4"/>
    <m/>
    <m/>
    <n v="0"/>
    <n v="0"/>
    <n v="0"/>
    <x v="28"/>
    <n v="-40"/>
    <m/>
    <n v="448019"/>
    <n v="8.4648571428571433"/>
    <m/>
    <n v="0"/>
    <m/>
    <n v="8.4648571428571433"/>
    <n v="-8.4648571428571433"/>
    <m/>
    <n v="0"/>
  </r>
  <r>
    <n v="29"/>
    <n v="2024"/>
    <s v="Auction"/>
    <s v="VROLIJK BLOEMEN"/>
    <s v="VROLIJK BLOEMEN"/>
    <x v="99"/>
    <s v="Polyantha Roses"/>
    <s v="50CM"/>
    <n v="1"/>
    <n v="6"/>
    <n v="240"/>
    <n v="0.42"/>
    <n v="100.8"/>
    <s v="EUR"/>
    <m/>
    <m/>
    <x v="28"/>
    <n v="-200"/>
    <x v="3"/>
    <x v="5"/>
    <n v="440"/>
    <n v="0.28000000000000003"/>
    <n v="123.20000000000002"/>
    <n v="-23.684189189189212"/>
    <n v="99.515810810810805"/>
    <x v="28"/>
    <n v="200"/>
    <m/>
    <n v="448019"/>
    <n v="21.162142857142854"/>
    <m/>
    <n v="8.8000000000000007"/>
    <m/>
    <n v="29.962142857142855"/>
    <n v="69.553667953667954"/>
    <m/>
    <n v="440"/>
  </r>
  <r>
    <n v="29"/>
    <n v="2024"/>
    <s v="Auction"/>
    <s v="VROLIJK BLOEMEN"/>
    <s v="VROLIJK BLOEMEN"/>
    <x v="99"/>
    <s v="Polyantha Roses"/>
    <s v="60CM"/>
    <m/>
    <n v="6"/>
    <n v="240"/>
    <n v="0.52"/>
    <n v="124.8"/>
    <s v="EUR"/>
    <m/>
    <m/>
    <x v="28"/>
    <n v="160"/>
    <x v="3"/>
    <x v="0"/>
    <n v="80"/>
    <n v="0.25"/>
    <n v="20"/>
    <n v="-4.3062162162162201"/>
    <n v="15.693783783783779"/>
    <x v="28"/>
    <n v="-160"/>
    <m/>
    <n v="448019"/>
    <n v="21.162142857142854"/>
    <m/>
    <n v="1.6"/>
    <m/>
    <n v="22.762142857142855"/>
    <n v="-7.0683590733590762"/>
    <m/>
    <n v="80"/>
  </r>
  <r>
    <n v="29"/>
    <n v="2024"/>
    <s v="Auction"/>
    <s v="VROLIJK BLOEMEN"/>
    <s v="VROLIJK BLOEMEN"/>
    <x v="99"/>
    <s v="Polyantha Roses"/>
    <s v="80CM"/>
    <n v="1"/>
    <n v="6"/>
    <n v="200"/>
    <n v="0.66"/>
    <n v="132"/>
    <s v="EUR"/>
    <m/>
    <m/>
    <x v="28"/>
    <n v="200"/>
    <x v="3"/>
    <x v="2"/>
    <m/>
    <m/>
    <n v="0"/>
    <n v="0"/>
    <n v="0"/>
    <x v="28"/>
    <n v="-200"/>
    <m/>
    <n v="448019"/>
    <n v="21.162142857142854"/>
    <m/>
    <n v="0"/>
    <m/>
    <n v="21.162142857142854"/>
    <n v="-21.162142857142854"/>
    <m/>
    <n v="0"/>
  </r>
  <r>
    <n v="29"/>
    <n v="2024"/>
    <s v="Auction"/>
    <s v="VROLIJK BLOEMEN"/>
    <s v="VROLIJK BLOEMEN"/>
    <x v="99"/>
    <s v="Polyantha Roses"/>
    <s v="70CM"/>
    <m/>
    <n v="6"/>
    <n v="200"/>
    <n v="0.61"/>
    <n v="122"/>
    <s v="EUR"/>
    <m/>
    <m/>
    <x v="28"/>
    <n v="200"/>
    <x v="3"/>
    <x v="1"/>
    <m/>
    <m/>
    <n v="0"/>
    <n v="0"/>
    <n v="0"/>
    <x v="28"/>
    <n v="-200"/>
    <m/>
    <n v="448019"/>
    <n v="21.162142857142854"/>
    <m/>
    <n v="0"/>
    <m/>
    <n v="21.162142857142854"/>
    <n v="-21.162142857142854"/>
    <m/>
    <n v="0"/>
  </r>
  <r>
    <n v="29"/>
    <n v="2024"/>
    <s v="Auction"/>
    <s v="VROLIJK BLOEMEN"/>
    <s v="VROLIJK BLOEMEN"/>
    <x v="99"/>
    <s v="Polyantha Roses"/>
    <s v="90CM"/>
    <n v="1"/>
    <n v="7.1999999999999993"/>
    <n v="120"/>
    <n v="0.85"/>
    <n v="102"/>
    <s v="EUR"/>
    <m/>
    <m/>
    <x v="28"/>
    <n v="120"/>
    <x v="3"/>
    <x v="3"/>
    <m/>
    <m/>
    <n v="0"/>
    <n v="0"/>
    <n v="0"/>
    <x v="28"/>
    <n v="-120"/>
    <m/>
    <n v="448019"/>
    <n v="25.394571428571425"/>
    <m/>
    <n v="0"/>
    <m/>
    <n v="25.394571428571425"/>
    <n v="-25.394571428571425"/>
    <m/>
    <n v="0"/>
  </r>
  <r>
    <n v="29"/>
    <n v="2024"/>
    <s v="Auction"/>
    <s v="VROLIJK BLOEMEN"/>
    <s v="VROLIJK BLOEMEN"/>
    <x v="99"/>
    <s v="Polyantha Roses"/>
    <s v="100CM"/>
    <m/>
    <n v="4.8000000000000007"/>
    <n v="80"/>
    <n v="1.04"/>
    <n v="83.2"/>
    <s v="EUR"/>
    <m/>
    <m/>
    <x v="28"/>
    <n v="80"/>
    <x v="3"/>
    <x v="4"/>
    <m/>
    <m/>
    <n v="0"/>
    <n v="0"/>
    <n v="0"/>
    <x v="28"/>
    <n v="-80"/>
    <m/>
    <n v="448019"/>
    <n v="16.929714285714287"/>
    <m/>
    <n v="0"/>
    <m/>
    <n v="16.929714285714287"/>
    <n v="-16.929714285714287"/>
    <m/>
    <n v="0"/>
  </r>
  <r>
    <n v="29"/>
    <n v="2024"/>
    <s v="Auction"/>
    <s v="VROLIJK BLOEMEN"/>
    <s v="VROLIJK BLOEMEN"/>
    <x v="99"/>
    <s v="Miniature Roses"/>
    <s v="80CM"/>
    <m/>
    <m/>
    <m/>
    <m/>
    <m/>
    <s v="EUR"/>
    <m/>
    <m/>
    <x v="28"/>
    <n v="-80"/>
    <x v="6"/>
    <x v="2"/>
    <n v="80"/>
    <n v="0.86999999999999988"/>
    <n v="69.599999999999994"/>
    <n v="-4.3062162162162201"/>
    <n v="65.29378378378378"/>
    <x v="28"/>
    <n v="80"/>
    <m/>
    <n v="448019"/>
    <n v="0"/>
    <m/>
    <n v="1.6"/>
    <m/>
    <n v="1.6"/>
    <n v="63.693783783783779"/>
    <m/>
    <n v="80"/>
  </r>
  <r>
    <n v="29"/>
    <n v="2024"/>
    <s v="Auction"/>
    <s v="VROLIJK BLOEMEN"/>
    <s v="VROLIJK BLOEMEN"/>
    <x v="99"/>
    <s v="Miniature Roses"/>
    <s v="90CM"/>
    <m/>
    <m/>
    <m/>
    <m/>
    <m/>
    <s v="EUR"/>
    <m/>
    <m/>
    <x v="28"/>
    <n v="-80"/>
    <x v="6"/>
    <x v="3"/>
    <n v="80"/>
    <n v="0.92500000000000004"/>
    <n v="74"/>
    <n v="-4.3062162162162201"/>
    <n v="69.693783783783786"/>
    <x v="28"/>
    <n v="80"/>
    <m/>
    <n v="448019"/>
    <n v="0"/>
    <m/>
    <n v="1.6"/>
    <m/>
    <n v="1.6"/>
    <n v="68.093783783783792"/>
    <m/>
    <n v="80"/>
  </r>
  <r>
    <n v="29"/>
    <n v="2024"/>
    <s v="Auction"/>
    <s v="VROLIJK BLOEMEN"/>
    <s v="VROLIJK BLOEMEN"/>
    <x v="99"/>
    <s v="Miniature Roses"/>
    <s v="70CM"/>
    <m/>
    <m/>
    <m/>
    <m/>
    <m/>
    <s v="EUR"/>
    <m/>
    <m/>
    <x v="28"/>
    <n v="-120"/>
    <x v="6"/>
    <x v="1"/>
    <n v="120"/>
    <n v="0.91666666666666663"/>
    <n v="110"/>
    <n v="-6.4593243243243315"/>
    <n v="103.54067567567567"/>
    <x v="28"/>
    <n v="120"/>
    <m/>
    <n v="448019"/>
    <n v="0"/>
    <m/>
    <n v="2.4"/>
    <m/>
    <n v="2.4"/>
    <n v="101.14067567567567"/>
    <m/>
    <n v="120"/>
  </r>
  <r>
    <n v="29"/>
    <n v="2024"/>
    <s v="Auction"/>
    <s v="VROLIJK BLOEMEN"/>
    <s v="VROLIJK BLOEMEN"/>
    <x v="99"/>
    <s v="Miniature Roses"/>
    <s v="60CM"/>
    <m/>
    <m/>
    <m/>
    <m/>
    <m/>
    <s v="EUR"/>
    <m/>
    <m/>
    <x v="28"/>
    <n v="0"/>
    <x v="6"/>
    <x v="0"/>
    <m/>
    <m/>
    <n v="0"/>
    <n v="0"/>
    <n v="0"/>
    <x v="28"/>
    <n v="0"/>
    <m/>
    <n v="448019"/>
    <n v="0"/>
    <m/>
    <n v="0"/>
    <m/>
    <n v="0"/>
    <n v="0"/>
    <m/>
    <n v="0"/>
  </r>
  <r>
    <n v="29"/>
    <n v="2024"/>
    <s v="Auction"/>
    <s v="VROLIJK BLOEMEN"/>
    <s v="VROLIJK BLOEMEN"/>
    <x v="99"/>
    <s v="Grandiflora Roses"/>
    <s v="60CM"/>
    <m/>
    <m/>
    <m/>
    <m/>
    <m/>
    <s v="EUR"/>
    <m/>
    <m/>
    <x v="28"/>
    <n v="240"/>
    <x v="0"/>
    <x v="0"/>
    <n v="-240"/>
    <n v="0.59"/>
    <n v="-141.6"/>
    <n v="12.918648648648663"/>
    <n v="-128.68135135135134"/>
    <x v="28"/>
    <n v="-240"/>
    <m/>
    <n v="448019"/>
    <n v="0"/>
    <m/>
    <n v="-4.8"/>
    <m/>
    <n v="-4.8"/>
    <n v="-123.88135135135134"/>
    <m/>
    <n v="-240"/>
  </r>
  <r>
    <n v="29"/>
    <n v="2024"/>
    <s v="Auction"/>
    <s v="VROLIJK BLOEMEN"/>
    <s v="VROLIJK BLOEMEN"/>
    <x v="99"/>
    <s v="Grandiflora Roses"/>
    <s v="50CM"/>
    <m/>
    <m/>
    <m/>
    <m/>
    <m/>
    <s v="EUR"/>
    <m/>
    <m/>
    <x v="28"/>
    <n v="-320"/>
    <x v="0"/>
    <x v="5"/>
    <n v="320"/>
    <n v="0.49000000000000005"/>
    <n v="156.80000000000001"/>
    <n v="-17.22486486486488"/>
    <n v="139.57513513513513"/>
    <x v="28"/>
    <n v="320"/>
    <m/>
    <n v="448019"/>
    <n v="0"/>
    <m/>
    <n v="6.4"/>
    <m/>
    <n v="6.4"/>
    <n v="133.17513513513512"/>
    <m/>
    <n v="320"/>
  </r>
  <r>
    <n v="29"/>
    <n v="2024"/>
    <s v="Auction"/>
    <s v="VROLIJK BLOEMEN"/>
    <s v="VROLIJK BLOEMEN"/>
    <x v="100"/>
    <s v="English Roses"/>
    <s v="50CM"/>
    <n v="1"/>
    <n v="12"/>
    <n v="480"/>
    <n v="0.38"/>
    <n v="182.4"/>
    <s v="EUR"/>
    <m/>
    <m/>
    <x v="28"/>
    <n v="0"/>
    <x v="1"/>
    <x v="5"/>
    <n v="480"/>
    <n v="0.47"/>
    <n v="225.6"/>
    <n v="-22.554606741573032"/>
    <n v="203.04539325842697"/>
    <x v="28"/>
    <n v="0"/>
    <m/>
    <s v="F090756"/>
    <n v="38.469090909090916"/>
    <m/>
    <n v="9.6"/>
    <m/>
    <n v="48.069090909090917"/>
    <n v="154.97630234933604"/>
    <m/>
    <n v="480"/>
  </r>
  <r>
    <n v="29"/>
    <n v="2024"/>
    <s v="Auction"/>
    <s v="VROLIJK BLOEMEN"/>
    <s v="VROLIJK BLOEMEN"/>
    <x v="100"/>
    <s v="English Roses"/>
    <s v="60CM"/>
    <n v="1"/>
    <n v="12"/>
    <n v="320"/>
    <n v="0.47"/>
    <n v="150.4"/>
    <s v="EUR"/>
    <m/>
    <m/>
    <x v="28"/>
    <n v="-200"/>
    <x v="1"/>
    <x v="0"/>
    <n v="520"/>
    <n v="0.5607692307692308"/>
    <n v="291.60000000000002"/>
    <n v="-24.434157303370785"/>
    <n v="267.16584269662923"/>
    <x v="28"/>
    <n v="200"/>
    <m/>
    <s v="F090756"/>
    <n v="38.469090909090916"/>
    <m/>
    <n v="10.4"/>
    <m/>
    <n v="48.869090909090914"/>
    <n v="218.29675178753831"/>
    <m/>
    <n v="520"/>
  </r>
  <r>
    <n v="29"/>
    <n v="2024"/>
    <s v="Auction"/>
    <s v="VROLIJK BLOEMEN"/>
    <s v="VROLIJK BLOEMEN"/>
    <x v="100"/>
    <s v="Floribunda Roses"/>
    <s v="50CM"/>
    <n v="1"/>
    <n v="12"/>
    <n v="520"/>
    <n v="0.38"/>
    <n v="197.6"/>
    <s v="EUR"/>
    <m/>
    <m/>
    <x v="28"/>
    <n v="320"/>
    <x v="2"/>
    <x v="5"/>
    <n v="200"/>
    <n v="0.65400000000000003"/>
    <n v="130.80000000000001"/>
    <n v="-9.3977528089887628"/>
    <n v="121.40224719101124"/>
    <x v="28"/>
    <n v="-320"/>
    <m/>
    <s v="F090756"/>
    <n v="38.469090909090916"/>
    <m/>
    <n v="4"/>
    <m/>
    <n v="42.469090909090916"/>
    <n v="78.933156281920333"/>
    <m/>
    <n v="200"/>
  </r>
  <r>
    <n v="29"/>
    <n v="2024"/>
    <s v="Auction"/>
    <s v="VROLIJK BLOEMEN"/>
    <s v="VROLIJK BLOEMEN"/>
    <x v="100"/>
    <s v="Polyantha Roses"/>
    <s v="50CM"/>
    <n v="1"/>
    <n v="12"/>
    <n v="440"/>
    <n v="0.42"/>
    <n v="184.8"/>
    <s v="EUR"/>
    <m/>
    <m/>
    <x v="28"/>
    <n v="240"/>
    <x v="3"/>
    <x v="5"/>
    <n v="200"/>
    <n v="0.26"/>
    <n v="52"/>
    <n v="-9.3977528089887628"/>
    <n v="42.602247191011237"/>
    <x v="28"/>
    <n v="-240"/>
    <m/>
    <s v="F090756"/>
    <n v="38.469090909090916"/>
    <m/>
    <n v="4"/>
    <m/>
    <n v="42.469090909090916"/>
    <n v="0.13315628192032136"/>
    <m/>
    <n v="200"/>
  </r>
  <r>
    <n v="29"/>
    <n v="2024"/>
    <s v="Auction"/>
    <s v="VROLIJK BLOEMEN"/>
    <s v="VROLIJK BLOEMEN"/>
    <x v="100"/>
    <s v="Polyantha Roses"/>
    <s v="60CM"/>
    <n v="1"/>
    <n v="12"/>
    <n v="400"/>
    <n v="0.52"/>
    <n v="208"/>
    <s v="EUR"/>
    <m/>
    <m/>
    <x v="28"/>
    <n v="200"/>
    <x v="3"/>
    <x v="0"/>
    <n v="200"/>
    <n v="0.40799999999999997"/>
    <n v="81.599999999999994"/>
    <n v="-9.3977528089887628"/>
    <n v="72.202247191011224"/>
    <x v="28"/>
    <n v="-200"/>
    <m/>
    <s v="F090756"/>
    <n v="38.469090909090916"/>
    <m/>
    <n v="4"/>
    <m/>
    <n v="42.469090909090916"/>
    <n v="29.733156281920309"/>
    <m/>
    <n v="200"/>
  </r>
  <r>
    <n v="29"/>
    <n v="2024"/>
    <s v="Auction"/>
    <s v="VROLIJK BLOEMEN"/>
    <s v="VROLIJK BLOEMEN"/>
    <x v="100"/>
    <s v="Grandiflora Roses"/>
    <s v="60CM"/>
    <n v="1"/>
    <n v="12"/>
    <n v="480"/>
    <n v="0.24"/>
    <n v="115.2"/>
    <s v="EUR"/>
    <m/>
    <m/>
    <x v="28"/>
    <n v="0"/>
    <x v="0"/>
    <x v="0"/>
    <n v="480"/>
    <n v="0.57000000000000006"/>
    <n v="273.60000000000002"/>
    <n v="-22.554606741573032"/>
    <n v="251.045393258427"/>
    <x v="28"/>
    <n v="0"/>
    <m/>
    <s v="F090756"/>
    <n v="38.469090909090916"/>
    <m/>
    <n v="9.6"/>
    <m/>
    <n v="48.069090909090917"/>
    <n v="202.97630234933609"/>
    <m/>
    <n v="480"/>
  </r>
  <r>
    <n v="29"/>
    <n v="2024"/>
    <s v="Auction"/>
    <s v="VROLIJK BLOEMEN"/>
    <s v="VROLIJK BLOEMEN"/>
    <x v="100"/>
    <s v="English Roses"/>
    <s v="70CM"/>
    <n v="1"/>
    <n v="8.5714285714285712"/>
    <n v="200"/>
    <n v="0.52"/>
    <n v="104"/>
    <s v="EUR"/>
    <m/>
    <m/>
    <x v="28"/>
    <n v="200"/>
    <x v="1"/>
    <x v="1"/>
    <m/>
    <m/>
    <n v="0"/>
    <n v="0"/>
    <n v="0"/>
    <x v="28"/>
    <n v="-200"/>
    <m/>
    <s v="F090756"/>
    <n v="27.477922077922077"/>
    <m/>
    <n v="0"/>
    <m/>
    <n v="27.477922077922077"/>
    <n v="-27.477922077922077"/>
    <m/>
    <n v="0"/>
  </r>
  <r>
    <n v="29"/>
    <n v="2024"/>
    <s v="Auction"/>
    <s v="VROLIJK BLOEMEN"/>
    <s v="VROLIJK BLOEMEN"/>
    <x v="100"/>
    <s v="English Roses"/>
    <s v="80CM"/>
    <m/>
    <n v="1.7142857142857142"/>
    <n v="40"/>
    <n v="0.56999999999999995"/>
    <n v="22.8"/>
    <s v="EUR"/>
    <m/>
    <m/>
    <x v="28"/>
    <n v="40"/>
    <x v="1"/>
    <x v="2"/>
    <m/>
    <m/>
    <n v="0"/>
    <n v="0"/>
    <n v="0"/>
    <x v="28"/>
    <n v="-40"/>
    <m/>
    <s v="F090756"/>
    <n v="5.4955844155844158"/>
    <m/>
    <n v="0"/>
    <m/>
    <n v="5.4955844155844158"/>
    <n v="-5.4955844155844158"/>
    <m/>
    <n v="0"/>
  </r>
  <r>
    <n v="29"/>
    <n v="2024"/>
    <s v="Auction"/>
    <s v="VROLIJK BLOEMEN"/>
    <s v="VROLIJK BLOEMEN"/>
    <x v="100"/>
    <s v="English Roses"/>
    <s v="100CM"/>
    <m/>
    <n v="1.7142857142857142"/>
    <n v="40"/>
    <n v="0.94"/>
    <n v="37.6"/>
    <s v="EUR"/>
    <m/>
    <m/>
    <x v="28"/>
    <n v="40"/>
    <x v="1"/>
    <x v="4"/>
    <m/>
    <m/>
    <n v="0"/>
    <n v="0"/>
    <n v="0"/>
    <x v="28"/>
    <n v="-40"/>
    <m/>
    <s v="F090756"/>
    <n v="5.4955844155844158"/>
    <m/>
    <n v="0"/>
    <m/>
    <n v="5.4955844155844158"/>
    <n v="-5.4955844155844158"/>
    <m/>
    <n v="0"/>
  </r>
  <r>
    <n v="29"/>
    <n v="2024"/>
    <s v="Auction"/>
    <s v="VROLIJK BLOEMEN"/>
    <s v="VROLIJK BLOEMEN"/>
    <x v="100"/>
    <s v="Floribunda Roses"/>
    <s v="70CM"/>
    <n v="1"/>
    <n v="2.4000000000000004"/>
    <n v="80"/>
    <n v="0.52"/>
    <n v="41.6"/>
    <s v="EUR"/>
    <m/>
    <m/>
    <x v="28"/>
    <n v="-160"/>
    <x v="2"/>
    <x v="1"/>
    <n v="240"/>
    <n v="0.44500000000000001"/>
    <n v="106.8"/>
    <n v="-11.277303370786516"/>
    <n v="95.522696629213485"/>
    <x v="28"/>
    <n v="160"/>
    <m/>
    <s v="F090756"/>
    <n v="7.693818181818183"/>
    <m/>
    <n v="4.8"/>
    <m/>
    <n v="12.493818181818183"/>
    <n v="83.0288784473953"/>
    <m/>
    <n v="240"/>
  </r>
  <r>
    <n v="29"/>
    <n v="2024"/>
    <s v="Auction"/>
    <s v="VROLIJK BLOEMEN"/>
    <s v="VROLIJK BLOEMEN"/>
    <x v="100"/>
    <s v="Floribunda Roses"/>
    <s v="60CM"/>
    <m/>
    <n v="9.6000000000000014"/>
    <n v="320"/>
    <n v="0.47"/>
    <n v="150.4"/>
    <s v="EUR"/>
    <m/>
    <m/>
    <x v="28"/>
    <n v="-320"/>
    <x v="2"/>
    <x v="0"/>
    <n v="640"/>
    <n v="0.63"/>
    <n v="403.2"/>
    <n v="-30.072808988764042"/>
    <n v="373.12719101123594"/>
    <x v="28"/>
    <n v="320"/>
    <m/>
    <s v="F090756"/>
    <n v="30.775272727272732"/>
    <m/>
    <n v="12.8"/>
    <m/>
    <n v="43.575272727272733"/>
    <n v="329.55191828396323"/>
    <m/>
    <n v="640"/>
  </r>
  <r>
    <n v="29"/>
    <n v="2024"/>
    <s v="Auction"/>
    <s v="VROLIJK BLOEMEN"/>
    <s v="VROLIJK BLOEMEN"/>
    <x v="100"/>
    <s v="Grandiflora Roses"/>
    <s v="90CM"/>
    <n v="1"/>
    <n v="1.5"/>
    <n v="40"/>
    <n v="0.38"/>
    <n v="15.2"/>
    <s v="EUR"/>
    <m/>
    <m/>
    <x v="28"/>
    <n v="40"/>
    <x v="0"/>
    <x v="3"/>
    <m/>
    <m/>
    <n v="0"/>
    <n v="0"/>
    <n v="0"/>
    <x v="28"/>
    <n v="-40"/>
    <m/>
    <s v="F090756"/>
    <n v="4.8086363636363645"/>
    <m/>
    <n v="0"/>
    <m/>
    <n v="4.8086363636363645"/>
    <n v="-4.8086363636363645"/>
    <m/>
    <n v="0"/>
  </r>
  <r>
    <n v="29"/>
    <n v="2024"/>
    <s v="Auction"/>
    <s v="VROLIJK BLOEMEN"/>
    <s v="VROLIJK BLOEMEN"/>
    <x v="100"/>
    <s v="Grandiflora Roses"/>
    <s v="70CM"/>
    <m/>
    <n v="4.5"/>
    <n v="120"/>
    <n v="0.28000000000000003"/>
    <n v="33.6"/>
    <s v="EUR"/>
    <m/>
    <m/>
    <x v="28"/>
    <n v="-120"/>
    <x v="0"/>
    <x v="1"/>
    <n v="240"/>
    <n v="0.6"/>
    <n v="144"/>
    <n v="-11.277303370786516"/>
    <n v="132.72269662921349"/>
    <x v="28"/>
    <n v="120"/>
    <m/>
    <s v="F090756"/>
    <n v="14.425909090909091"/>
    <m/>
    <n v="4.8"/>
    <m/>
    <n v="19.225909090909092"/>
    <n v="113.4967875383044"/>
    <m/>
    <n v="240"/>
  </r>
  <r>
    <n v="29"/>
    <n v="2024"/>
    <s v="Auction"/>
    <s v="VROLIJK BLOEMEN"/>
    <s v="VROLIJK BLOEMEN"/>
    <x v="100"/>
    <s v="Grandiflora Roses"/>
    <s v="80CM"/>
    <m/>
    <n v="6"/>
    <n v="160"/>
    <n v="0.33"/>
    <n v="52.8"/>
    <s v="EUR"/>
    <m/>
    <m/>
    <x v="28"/>
    <n v="120"/>
    <x v="0"/>
    <x v="2"/>
    <n v="40"/>
    <n v="0.67999999999999994"/>
    <n v="27.199999999999996"/>
    <n v="-1.8795505617977526"/>
    <n v="25.320449438202242"/>
    <x v="28"/>
    <n v="-120"/>
    <m/>
    <s v="F090756"/>
    <n v="19.234545454545458"/>
    <m/>
    <n v="0.8"/>
    <m/>
    <n v="20.034545454545459"/>
    <n v="5.2859039836567838"/>
    <m/>
    <n v="40"/>
  </r>
  <r>
    <n v="29"/>
    <n v="2024"/>
    <s v="Auction"/>
    <s v="VROLIJK BLOEMEN"/>
    <s v="VROLIJK BLOEMEN"/>
    <x v="100"/>
    <s v="Polyantha Roses"/>
    <s v="70CM"/>
    <n v="1"/>
    <n v="4"/>
    <n v="80"/>
    <n v="0.61"/>
    <n v="48.8"/>
    <s v="EUR"/>
    <m/>
    <m/>
    <x v="28"/>
    <n v="0"/>
    <x v="3"/>
    <x v="1"/>
    <n v="80"/>
    <n v="0.47000000000000003"/>
    <n v="37.6"/>
    <n v="-3.7591011235955052"/>
    <n v="33.840898876404495"/>
    <x v="28"/>
    <n v="0"/>
    <m/>
    <s v="F090756"/>
    <n v="12.823030303030304"/>
    <m/>
    <n v="1.6"/>
    <m/>
    <n v="14.423030303030304"/>
    <n v="19.417868573374193"/>
    <m/>
    <n v="80"/>
  </r>
  <r>
    <n v="29"/>
    <n v="2024"/>
    <s v="Auction"/>
    <s v="VROLIJK BLOEMEN"/>
    <s v="VROLIJK BLOEMEN"/>
    <x v="100"/>
    <s v="Polyantha Roses"/>
    <s v="90CM"/>
    <m/>
    <n v="8"/>
    <n v="160"/>
    <n v="0.85"/>
    <n v="136"/>
    <s v="EUR"/>
    <m/>
    <m/>
    <x v="28"/>
    <n v="160"/>
    <x v="3"/>
    <x v="3"/>
    <m/>
    <m/>
    <n v="0"/>
    <n v="0"/>
    <n v="0"/>
    <x v="28"/>
    <n v="-160"/>
    <m/>
    <s v="F090756"/>
    <n v="25.646060606060608"/>
    <m/>
    <n v="0"/>
    <m/>
    <n v="25.646060606060608"/>
    <n v="-25.646060606060608"/>
    <m/>
    <n v="0"/>
  </r>
  <r>
    <n v="29"/>
    <n v="2024"/>
    <s v="Auction"/>
    <s v="VROLIJK BLOEMEN"/>
    <s v="VROLIJK BLOEMEN"/>
    <x v="100"/>
    <s v="Polyantha Roses"/>
    <s v="100CM"/>
    <n v="1"/>
    <n v="4.8000000000000007"/>
    <n v="80"/>
    <n v="1.04"/>
    <n v="83.2"/>
    <s v="EUR"/>
    <m/>
    <m/>
    <x v="28"/>
    <n v="80"/>
    <x v="3"/>
    <x v="4"/>
    <m/>
    <m/>
    <n v="0"/>
    <n v="0"/>
    <n v="0"/>
    <x v="28"/>
    <n v="-80"/>
    <m/>
    <s v="F090756"/>
    <n v="15.387636363636366"/>
    <m/>
    <n v="0"/>
    <m/>
    <n v="15.387636363636366"/>
    <n v="-15.387636363636366"/>
    <m/>
    <n v="0"/>
  </r>
  <r>
    <n v="29"/>
    <n v="2024"/>
    <s v="Auction"/>
    <s v="VROLIJK BLOEMEN"/>
    <s v="VROLIJK BLOEMEN"/>
    <x v="100"/>
    <s v="Polyantha Roses"/>
    <s v="80CM"/>
    <m/>
    <n v="7.1999999999999993"/>
    <n v="120"/>
    <n v="0.66"/>
    <n v="79.2"/>
    <s v="EUR"/>
    <m/>
    <m/>
    <x v="28"/>
    <n v="80"/>
    <x v="3"/>
    <x v="2"/>
    <n v="40"/>
    <n v="0.52"/>
    <n v="20.8"/>
    <n v="-1.8795505617977526"/>
    <n v="18.920449438202247"/>
    <x v="28"/>
    <n v="-80"/>
    <m/>
    <s v="F090756"/>
    <n v="23.081454545454545"/>
    <m/>
    <n v="0.8"/>
    <m/>
    <n v="23.881454545454545"/>
    <n v="-4.9610051072522978"/>
    <m/>
    <n v="40"/>
  </r>
  <r>
    <n v="29"/>
    <n v="2024"/>
    <s v="Auction"/>
    <s v="VROLIJK BLOEMEN"/>
    <s v="VROLIJK BLOEMEN"/>
    <x v="100"/>
    <s v="Floribunda Roses"/>
    <s v="80CM"/>
    <m/>
    <m/>
    <m/>
    <m/>
    <m/>
    <s v="EUR"/>
    <m/>
    <m/>
    <x v="28"/>
    <n v="-120"/>
    <x v="2"/>
    <x v="2"/>
    <n v="120"/>
    <n v="0.4"/>
    <n v="48"/>
    <n v="-5.638651685393258"/>
    <n v="42.361348314606744"/>
    <x v="28"/>
    <n v="120"/>
    <m/>
    <s v="F090756"/>
    <n v="0"/>
    <m/>
    <n v="2.4"/>
    <m/>
    <n v="2.4"/>
    <n v="39.961348314606745"/>
    <m/>
    <n v="120"/>
  </r>
  <r>
    <n v="29"/>
    <n v="2024"/>
    <s v="Auction"/>
    <s v="VROLIJK BLOEMEN"/>
    <s v="VROLIJK BLOEMEN"/>
    <x v="100"/>
    <s v="Grandiflora Roses"/>
    <s v="50CM"/>
    <m/>
    <m/>
    <m/>
    <m/>
    <m/>
    <s v="EUR"/>
    <m/>
    <m/>
    <x v="28"/>
    <n v="-80"/>
    <x v="0"/>
    <x v="5"/>
    <n v="80"/>
    <n v="0.59000000000000008"/>
    <n v="47.2"/>
    <n v="-3.7591011235955052"/>
    <n v="43.440898876404496"/>
    <x v="28"/>
    <n v="80"/>
    <m/>
    <s v="F090756"/>
    <n v="0"/>
    <m/>
    <n v="1.6"/>
    <m/>
    <n v="1.6"/>
    <n v="41.840898876404495"/>
    <m/>
    <n v="80"/>
  </r>
  <r>
    <n v="29"/>
    <n v="2024"/>
    <s v="Auction"/>
    <s v="VROLIJK BLOEMEN"/>
    <s v="VROLIJK BLOEMEN"/>
    <x v="100"/>
    <s v="Grandiflora Roses"/>
    <s v="50CM"/>
    <m/>
    <m/>
    <m/>
    <m/>
    <m/>
    <s v="EUR"/>
    <m/>
    <m/>
    <x v="28"/>
    <n v="-80"/>
    <x v="0"/>
    <x v="5"/>
    <n v="80"/>
    <n v="0.59000000000000008"/>
    <n v="-47.199999999999996"/>
    <n v="-0.52999999999999403"/>
    <n v="-47.72999999999999"/>
    <x v="28"/>
    <n v="80"/>
    <m/>
    <s v="F090756"/>
    <n v="0"/>
    <m/>
    <n v="1.6"/>
    <m/>
    <n v="1.6"/>
    <n v="-49.329999999999991"/>
    <m/>
    <n v="80"/>
  </r>
  <r>
    <n v="29"/>
    <n v="2024"/>
    <s v="Auction"/>
    <s v="VROLIJK BLOEMEN"/>
    <s v="VROLIJK BLOEMEN"/>
    <x v="101"/>
    <s v="Polyantha Roses"/>
    <s v="60CM"/>
    <n v="1"/>
    <n v="12"/>
    <n v="400"/>
    <n v="0.52"/>
    <n v="208"/>
    <s v="EUR"/>
    <m/>
    <m/>
    <x v="29"/>
    <n v="0"/>
    <x v="3"/>
    <x v="0"/>
    <n v="400"/>
    <n v="9.9000000000000005E-2"/>
    <n v="39.6"/>
    <n v="-14.834306569343065"/>
    <n v="24.765693430656938"/>
    <x v="29"/>
    <n v="0"/>
    <m/>
    <n v="448673"/>
    <n v="38.439090909090908"/>
    <m/>
    <n v="8"/>
    <m/>
    <n v="46.439090909090908"/>
    <n v="-21.673397478433969"/>
    <m/>
    <n v="400"/>
  </r>
  <r>
    <n v="29"/>
    <n v="2024"/>
    <s v="Auction"/>
    <s v="VROLIJK BLOEMEN"/>
    <s v="VROLIJK BLOEMEN"/>
    <x v="101"/>
    <s v="Polyantha Roses"/>
    <s v="50CM"/>
    <n v="1"/>
    <n v="12"/>
    <n v="400"/>
    <n v="0.42"/>
    <n v="168"/>
    <s v="EUR"/>
    <m/>
    <m/>
    <x v="29"/>
    <n v="0"/>
    <x v="3"/>
    <x v="5"/>
    <n v="400"/>
    <n v="0"/>
    <n v="0"/>
    <n v="-14.834306569343065"/>
    <n v="-14.834306569343065"/>
    <x v="29"/>
    <n v="0"/>
    <m/>
    <n v="448673"/>
    <n v="38.439090909090908"/>
    <m/>
    <n v="8"/>
    <m/>
    <n v="46.439090909090908"/>
    <n v="-61.273397478433971"/>
    <m/>
    <n v="400"/>
  </r>
  <r>
    <n v="29"/>
    <n v="2024"/>
    <s v="Auction"/>
    <s v="VROLIJK BLOEMEN"/>
    <s v="VROLIJK BLOEMEN"/>
    <x v="101"/>
    <s v="English Roses"/>
    <s v="50CM"/>
    <n v="1"/>
    <n v="12"/>
    <n v="440"/>
    <n v="0.38"/>
    <n v="167.2"/>
    <s v="EUR"/>
    <m/>
    <m/>
    <x v="29"/>
    <n v="0"/>
    <x v="1"/>
    <x v="5"/>
    <n v="440"/>
    <n v="0.47272727272727272"/>
    <n v="208"/>
    <n v="-16.317737226277373"/>
    <n v="191.68226277372264"/>
    <x v="29"/>
    <n v="0"/>
    <m/>
    <n v="448673"/>
    <n v="38.439090909090908"/>
    <m/>
    <n v="8.8000000000000007"/>
    <m/>
    <n v="47.239090909090905"/>
    <n v="144.44317186463172"/>
    <m/>
    <n v="440"/>
  </r>
  <r>
    <n v="29"/>
    <n v="2024"/>
    <s v="Auction"/>
    <s v="VROLIJK BLOEMEN"/>
    <s v="VROLIJK BLOEMEN"/>
    <x v="101"/>
    <s v="Floribunda Roses"/>
    <s v="50CM"/>
    <n v="1"/>
    <n v="12"/>
    <n v="680"/>
    <n v="0.38"/>
    <n v="258.39999999999998"/>
    <s v="EUR"/>
    <m/>
    <m/>
    <x v="29"/>
    <n v="-760"/>
    <x v="2"/>
    <x v="5"/>
    <n v="1440"/>
    <n v="0.29000000000000004"/>
    <n v="417.6"/>
    <n v="-53.403503649635041"/>
    <n v="364.19649635036501"/>
    <x v="29"/>
    <n v="760"/>
    <m/>
    <n v="448673"/>
    <n v="38.439090909090908"/>
    <m/>
    <n v="28.8"/>
    <m/>
    <n v="67.239090909090905"/>
    <n v="296.95740544127409"/>
    <m/>
    <n v="1440"/>
  </r>
  <r>
    <n v="29"/>
    <n v="2024"/>
    <s v="Auction"/>
    <s v="VROLIJK BLOEMEN"/>
    <s v="VROLIJK BLOEMEN"/>
    <x v="101"/>
    <s v="Floribunda Roses"/>
    <s v="50CM"/>
    <n v="1"/>
    <n v="12"/>
    <n v="760"/>
    <n v="0.38"/>
    <n v="288.8"/>
    <s v="EUR"/>
    <m/>
    <m/>
    <x v="29"/>
    <n v="760"/>
    <x v="2"/>
    <x v="5"/>
    <m/>
    <m/>
    <n v="0"/>
    <n v="0"/>
    <n v="0"/>
    <x v="29"/>
    <n v="-760"/>
    <m/>
    <n v="448673"/>
    <n v="38.439090909090908"/>
    <m/>
    <n v="0"/>
    <m/>
    <n v="38.439090909090908"/>
    <n v="-38.439090909090908"/>
    <m/>
    <n v="0"/>
  </r>
  <r>
    <n v="29"/>
    <n v="2024"/>
    <s v="Auction"/>
    <s v="VROLIJK BLOEMEN"/>
    <s v="VROLIJK BLOEMEN"/>
    <x v="101"/>
    <s v="Floribunda Roses"/>
    <s v="60CM"/>
    <n v="1"/>
    <n v="12"/>
    <n v="400"/>
    <n v="0.47"/>
    <n v="188"/>
    <s v="EUR"/>
    <m/>
    <m/>
    <x v="29"/>
    <n v="0"/>
    <x v="2"/>
    <x v="0"/>
    <n v="400"/>
    <n v="0.40399999999999997"/>
    <n v="161.6"/>
    <n v="-14.834306569343065"/>
    <n v="146.76569343065694"/>
    <x v="29"/>
    <n v="0"/>
    <m/>
    <n v="448673"/>
    <n v="38.439090909090908"/>
    <m/>
    <n v="8"/>
    <m/>
    <n v="46.439090909090908"/>
    <n v="100.32660252156603"/>
    <m/>
    <n v="400"/>
  </r>
  <r>
    <n v="29"/>
    <n v="2024"/>
    <s v="Auction"/>
    <s v="VROLIJK BLOEMEN"/>
    <s v="VROLIJK BLOEMEN"/>
    <x v="101"/>
    <s v="Grandiflora Roses"/>
    <s v="50CM"/>
    <n v="1"/>
    <n v="12"/>
    <n v="920"/>
    <n v="0.14000000000000001"/>
    <n v="128.80000000000001"/>
    <s v="EUR"/>
    <m/>
    <m/>
    <x v="29"/>
    <n v="0"/>
    <x v="0"/>
    <x v="5"/>
    <n v="920"/>
    <n v="0.12565217391304348"/>
    <n v="115.60000000000001"/>
    <n v="-34.118905109489049"/>
    <n v="81.48109489051096"/>
    <x v="29"/>
    <n v="0"/>
    <m/>
    <n v="448673"/>
    <n v="38.439090909090908"/>
    <m/>
    <n v="18.400000000000002"/>
    <m/>
    <n v="56.839090909090913"/>
    <n v="24.642003981420046"/>
    <m/>
    <n v="920"/>
  </r>
  <r>
    <n v="29"/>
    <n v="2024"/>
    <s v="Auction"/>
    <s v="VROLIJK BLOEMEN"/>
    <s v="VROLIJK BLOEMEN"/>
    <x v="101"/>
    <s v="Grandiflora Roses"/>
    <s v="60CM"/>
    <n v="1"/>
    <n v="10.285714285714285"/>
    <n v="480"/>
    <n v="0.24"/>
    <n v="115.2"/>
    <s v="EUR"/>
    <m/>
    <m/>
    <x v="29"/>
    <n v="0"/>
    <x v="0"/>
    <x v="0"/>
    <n v="480"/>
    <n v="0.30666666666666664"/>
    <n v="147.19999999999999"/>
    <n v="-17.801167883211679"/>
    <n v="129.3988321167883"/>
    <x v="29"/>
    <n v="0"/>
    <m/>
    <n v="448673"/>
    <n v="32.947792207792205"/>
    <m/>
    <n v="9.6"/>
    <m/>
    <n v="42.547792207792206"/>
    <n v="86.851039908996086"/>
    <m/>
    <n v="480"/>
  </r>
  <r>
    <n v="29"/>
    <n v="2024"/>
    <s v="Auction"/>
    <s v="VROLIJK BLOEMEN"/>
    <s v="VROLIJK BLOEMEN"/>
    <x v="101"/>
    <s v="Grandiflora Roses"/>
    <s v="70CM"/>
    <m/>
    <n v="1.7142857142857142"/>
    <n v="80"/>
    <n v="0.28000000000000003"/>
    <n v="22.4"/>
    <s v="EUR"/>
    <m/>
    <m/>
    <x v="29"/>
    <n v="0"/>
    <x v="0"/>
    <x v="1"/>
    <n v="80"/>
    <n v="0.45"/>
    <n v="36"/>
    <n v="-2.9668613138686135"/>
    <n v="33.033138686131387"/>
    <x v="29"/>
    <n v="0"/>
    <m/>
    <n v="448673"/>
    <n v="5.4912987012987005"/>
    <m/>
    <n v="1.6"/>
    <m/>
    <n v="7.091298701298701"/>
    <n v="25.941839984832686"/>
    <m/>
    <n v="80"/>
  </r>
  <r>
    <n v="29"/>
    <n v="2024"/>
    <s v="Auction"/>
    <s v="VROLIJK BLOEMEN"/>
    <s v="VROLIJK BLOEMEN"/>
    <x v="101"/>
    <s v="English Roses"/>
    <s v="90CM"/>
    <n v="1"/>
    <n v="3.4285714285714284"/>
    <n v="80"/>
    <n v="0.75"/>
    <n v="60"/>
    <s v="EUR"/>
    <m/>
    <m/>
    <x v="29"/>
    <n v="0"/>
    <x v="1"/>
    <x v="3"/>
    <n v="80"/>
    <n v="6.9999999999999993E-2"/>
    <n v="5.6"/>
    <n v="-2.9668613138686135"/>
    <n v="2.6331386861313861"/>
    <x v="29"/>
    <n v="0"/>
    <m/>
    <n v="448673"/>
    <n v="10.982597402597401"/>
    <m/>
    <n v="1.6"/>
    <m/>
    <n v="12.582597402597401"/>
    <n v="-9.9494587164660153"/>
    <m/>
    <n v="80"/>
  </r>
  <r>
    <n v="29"/>
    <n v="2024"/>
    <s v="Auction"/>
    <s v="VROLIJK BLOEMEN"/>
    <s v="VROLIJK BLOEMEN"/>
    <x v="101"/>
    <s v="English Roses"/>
    <s v="70CM"/>
    <m/>
    <n v="3.4285714285714284"/>
    <n v="80"/>
    <n v="0.52"/>
    <n v="41.6"/>
    <s v="EUR"/>
    <m/>
    <m/>
    <x v="29"/>
    <n v="0"/>
    <x v="1"/>
    <x v="1"/>
    <n v="80"/>
    <n v="6.9999999999999993E-2"/>
    <n v="5.6"/>
    <n v="-2.9668613138686135"/>
    <n v="2.6331386861313861"/>
    <x v="29"/>
    <n v="0"/>
    <m/>
    <n v="448673"/>
    <n v="10.982597402597401"/>
    <m/>
    <n v="1.6"/>
    <m/>
    <n v="12.582597402597401"/>
    <n v="-9.9494587164660153"/>
    <m/>
    <n v="80"/>
  </r>
  <r>
    <n v="29"/>
    <n v="2024"/>
    <s v="Auction"/>
    <s v="VROLIJK BLOEMEN"/>
    <s v="VROLIJK BLOEMEN"/>
    <x v="101"/>
    <s v="English Roses"/>
    <s v="60CM"/>
    <m/>
    <n v="5.1428571428571423"/>
    <n v="120"/>
    <n v="0.47"/>
    <n v="56.4"/>
    <s v="EUR"/>
    <m/>
    <m/>
    <x v="29"/>
    <n v="0"/>
    <x v="1"/>
    <x v="0"/>
    <n v="120"/>
    <n v="0.11666666666666667"/>
    <n v="14"/>
    <n v="-4.4502919708029198"/>
    <n v="9.5497080291970811"/>
    <x v="29"/>
    <n v="0"/>
    <m/>
    <n v="448673"/>
    <n v="16.473896103896102"/>
    <m/>
    <n v="2.4"/>
    <m/>
    <n v="18.873896103896101"/>
    <n v="-9.3241880746990198"/>
    <m/>
    <n v="120"/>
  </r>
  <r>
    <n v="29"/>
    <n v="2024"/>
    <s v="Auction"/>
    <s v="VROLIJK BLOEMEN"/>
    <s v="VROLIJK BLOEMEN"/>
    <x v="101"/>
    <s v="Polyantha Roses"/>
    <s v="70CM"/>
    <n v="1"/>
    <n v="8.3999999999999986"/>
    <n v="280"/>
    <n v="0.61"/>
    <n v="170.8"/>
    <s v="EUR"/>
    <m/>
    <m/>
    <x v="29"/>
    <n v="0"/>
    <x v="3"/>
    <x v="1"/>
    <n v="280"/>
    <n v="0.30571428571428572"/>
    <n v="85.6"/>
    <n v="-10.384014598540148"/>
    <n v="75.215985401459847"/>
    <x v="29"/>
    <n v="0"/>
    <m/>
    <n v="448673"/>
    <n v="26.907363636363634"/>
    <m/>
    <n v="5.6000000000000005"/>
    <m/>
    <n v="32.507363636363635"/>
    <n v="42.708621765096211"/>
    <m/>
    <n v="280"/>
  </r>
  <r>
    <n v="29"/>
    <n v="2024"/>
    <s v="Auction"/>
    <s v="VROLIJK BLOEMEN"/>
    <s v="VROLIJK BLOEMEN"/>
    <x v="101"/>
    <s v="Polyantha Roses"/>
    <s v="80CM"/>
    <m/>
    <n v="3.5999999999999996"/>
    <n v="120"/>
    <n v="0.66"/>
    <n v="79.2"/>
    <s v="EUR"/>
    <m/>
    <m/>
    <x v="29"/>
    <n v="0"/>
    <x v="3"/>
    <x v="2"/>
    <n v="120"/>
    <n v="0.36000000000000004"/>
    <n v="43.2"/>
    <n v="-4.4502919708029198"/>
    <n v="38.74970802919708"/>
    <x v="29"/>
    <n v="0"/>
    <m/>
    <n v="448673"/>
    <n v="11.531727272727272"/>
    <m/>
    <n v="2.4"/>
    <m/>
    <n v="13.931727272727272"/>
    <n v="24.817980756469808"/>
    <m/>
    <n v="120"/>
  </r>
  <r>
    <n v="29"/>
    <n v="2024"/>
    <s v="Auction"/>
    <s v="VROLIJK BLOEMEN"/>
    <s v="VROLIJK BLOEMEN"/>
    <x v="101"/>
    <s v="Polyantha Roses"/>
    <s v="100CM"/>
    <n v="1"/>
    <n v="6"/>
    <n v="120"/>
    <n v="1.04"/>
    <n v="124.8"/>
    <s v="EUR"/>
    <m/>
    <m/>
    <x v="29"/>
    <n v="0"/>
    <x v="3"/>
    <x v="4"/>
    <n v="120"/>
    <n v="0.51666666666666672"/>
    <n v="62.000000000000007"/>
    <n v="-4.4502919708029198"/>
    <n v="57.549708029197085"/>
    <x v="29"/>
    <n v="0"/>
    <m/>
    <n v="448673"/>
    <n v="19.219545454545454"/>
    <m/>
    <n v="2.4"/>
    <m/>
    <n v="21.619545454545452"/>
    <n v="35.930162574651632"/>
    <m/>
    <n v="120"/>
  </r>
  <r>
    <n v="29"/>
    <n v="2024"/>
    <s v="Auction"/>
    <s v="VROLIJK BLOEMEN"/>
    <s v="VROLIJK BLOEMEN"/>
    <x v="101"/>
    <s v="Polyantha Roses"/>
    <s v="90CM"/>
    <m/>
    <n v="6"/>
    <n v="120"/>
    <n v="0.85"/>
    <n v="102"/>
    <s v="EUR"/>
    <m/>
    <m/>
    <x v="29"/>
    <n v="0"/>
    <x v="3"/>
    <x v="3"/>
    <n v="120"/>
    <n v="0.37666666666666671"/>
    <n v="45.2"/>
    <n v="-4.4502919708029198"/>
    <n v="40.74970802919708"/>
    <x v="29"/>
    <n v="0"/>
    <m/>
    <n v="448673"/>
    <n v="19.219545454545454"/>
    <m/>
    <n v="2.4"/>
    <m/>
    <n v="21.619545454545452"/>
    <n v="19.130162574651628"/>
    <m/>
    <n v="120"/>
  </r>
  <r>
    <n v="30"/>
    <n v="2024"/>
    <s v="Auction"/>
    <s v="VROLIJK BLOEMEN"/>
    <s v="VROLIJK BLOEMEN"/>
    <x v="102"/>
    <s v="Polyantha Roses"/>
    <s v="100CM"/>
    <n v="1"/>
    <n v="200"/>
    <n v="1.04"/>
    <n v="208"/>
    <n v="12"/>
    <s v="EUR"/>
    <m/>
    <m/>
    <x v="29"/>
    <n v="0"/>
    <x v="3"/>
    <x v="4"/>
    <n v="200"/>
    <n v="0.79400000000000004"/>
    <n v="158.80000000000001"/>
    <n v="-7.0844696969697054"/>
    <n v="151.71553030303031"/>
    <x v="29"/>
    <n v="0"/>
    <m/>
    <n v="448794"/>
    <n v="40.001666666666665"/>
    <m/>
    <n v="4"/>
    <m/>
    <n v="44.001666666666665"/>
    <n v="107.71386363636364"/>
    <m/>
    <n v="200"/>
  </r>
  <r>
    <n v="30"/>
    <n v="2024"/>
    <s v="Auction"/>
    <s v="VROLIJK BLOEMEN"/>
    <s v="VROLIJK BLOEMEN"/>
    <x v="102"/>
    <s v="Polyantha Roses"/>
    <s v="70CM"/>
    <n v="1"/>
    <n v="320"/>
    <n v="0.61"/>
    <n v="195.2"/>
    <n v="12"/>
    <s v="EUR"/>
    <m/>
    <m/>
    <x v="29"/>
    <n v="320"/>
    <x v="3"/>
    <x v="1"/>
    <m/>
    <m/>
    <n v="0"/>
    <n v="0"/>
    <n v="0"/>
    <x v="29"/>
    <n v="-320"/>
    <m/>
    <n v="448794"/>
    <n v="40.001666666666665"/>
    <m/>
    <n v="0"/>
    <m/>
    <n v="40.001666666666665"/>
    <n v="-40.001666666666665"/>
    <m/>
    <n v="0"/>
  </r>
  <r>
    <n v="30"/>
    <n v="2024"/>
    <s v="Auction"/>
    <s v="VROLIJK BLOEMEN"/>
    <s v="VROLIJK BLOEMEN"/>
    <x v="102"/>
    <s v="English Roses"/>
    <s v="60CM"/>
    <n v="1"/>
    <n v="480"/>
    <n v="0.47"/>
    <n v="225.6"/>
    <n v="12"/>
    <s v="EUR"/>
    <m/>
    <m/>
    <x v="29"/>
    <n v="-80"/>
    <x v="1"/>
    <x v="0"/>
    <n v="560"/>
    <n v="0.1842857142857143"/>
    <n v="103.2"/>
    <n v="-19.836515151515172"/>
    <n v="83.363484848484831"/>
    <x v="29"/>
    <n v="80"/>
    <m/>
    <n v="448794"/>
    <n v="40.001666666666665"/>
    <m/>
    <n v="11.200000000000001"/>
    <m/>
    <n v="51.201666666666668"/>
    <n v="32.161818181818163"/>
    <m/>
    <n v="560"/>
  </r>
  <r>
    <n v="30"/>
    <n v="2024"/>
    <s v="Auction"/>
    <s v="VROLIJK BLOEMEN"/>
    <s v="VROLIJK BLOEMEN"/>
    <x v="102"/>
    <s v="Floribunda Roses"/>
    <s v="60CM"/>
    <n v="1"/>
    <n v="520"/>
    <n v="0.47"/>
    <n v="244.4"/>
    <n v="12"/>
    <s v="EUR"/>
    <m/>
    <m/>
    <x v="29"/>
    <n v="0"/>
    <x v="2"/>
    <x v="0"/>
    <n v="520"/>
    <n v="0.31"/>
    <n v="161.19999999999999"/>
    <n v="-18.419621212121232"/>
    <n v="142.78037878787876"/>
    <x v="29"/>
    <n v="0"/>
    <m/>
    <n v="448794"/>
    <n v="40.001666666666665"/>
    <m/>
    <n v="10.4"/>
    <m/>
    <n v="50.401666666666664"/>
    <n v="92.378712121212089"/>
    <m/>
    <n v="520"/>
  </r>
  <r>
    <n v="30"/>
    <n v="2024"/>
    <s v="Auction"/>
    <s v="VROLIJK BLOEMEN"/>
    <s v="VROLIJK BLOEMEN"/>
    <x v="102"/>
    <s v="Floribunda Roses"/>
    <s v="50CM"/>
    <n v="1"/>
    <n v="760"/>
    <n v="0.38"/>
    <n v="288.8"/>
    <n v="12"/>
    <s v="EUR"/>
    <m/>
    <m/>
    <x v="29"/>
    <n v="0"/>
    <x v="2"/>
    <x v="5"/>
    <n v="760"/>
    <n v="0.11105263157894738"/>
    <n v="84.4"/>
    <n v="-26.920984848484878"/>
    <n v="57.479015151515128"/>
    <x v="29"/>
    <n v="0"/>
    <m/>
    <n v="448794"/>
    <n v="40.001666666666665"/>
    <m/>
    <n v="15.200000000000001"/>
    <m/>
    <n v="55.201666666666668"/>
    <n v="2.27734848484846"/>
    <m/>
    <n v="760"/>
  </r>
  <r>
    <n v="30"/>
    <n v="2024"/>
    <s v="Auction"/>
    <s v="VROLIJK BLOEMEN"/>
    <s v="VROLIJK BLOEMEN"/>
    <x v="102"/>
    <s v="Grandiflora Roses"/>
    <s v="90CM"/>
    <n v="1"/>
    <n v="40"/>
    <n v="0.38"/>
    <n v="15.2"/>
    <n v="1.3333333333333333"/>
    <s v="EUR"/>
    <m/>
    <m/>
    <x v="29"/>
    <n v="0"/>
    <x v="0"/>
    <x v="3"/>
    <n v="40"/>
    <n v="0.69000000000000006"/>
    <n v="27.6"/>
    <n v="-1.4168939393939408"/>
    <n v="26.183106060606061"/>
    <x v="29"/>
    <n v="0"/>
    <m/>
    <n v="448794"/>
    <n v="4.4446296296296293"/>
    <m/>
    <n v="0.8"/>
    <m/>
    <n v="5.2446296296296291"/>
    <n v="20.938476430976433"/>
    <m/>
    <n v="40"/>
  </r>
  <r>
    <n v="30"/>
    <n v="2024"/>
    <s v="Auction"/>
    <s v="VROLIJK BLOEMEN"/>
    <s v="VROLIJK BLOEMEN"/>
    <x v="102"/>
    <s v="Grandiflora Roses"/>
    <s v="80CM"/>
    <m/>
    <n v="80"/>
    <n v="0.33"/>
    <n v="26.4"/>
    <n v="2.6666666666666665"/>
    <s v="EUR"/>
    <m/>
    <m/>
    <x v="29"/>
    <n v="0"/>
    <x v="0"/>
    <x v="2"/>
    <n v="80"/>
    <n v="0.28999999999999998"/>
    <n v="23.2"/>
    <n v="-2.8337878787878816"/>
    <n v="20.366212121212119"/>
    <x v="29"/>
    <n v="0"/>
    <m/>
    <n v="448794"/>
    <n v="8.8892592592592585"/>
    <m/>
    <n v="1.6"/>
    <m/>
    <n v="10.489259259259258"/>
    <n v="9.8769528619528604"/>
    <m/>
    <n v="80"/>
  </r>
  <r>
    <n v="30"/>
    <n v="2024"/>
    <s v="Auction"/>
    <s v="VROLIJK BLOEMEN"/>
    <s v="VROLIJK BLOEMEN"/>
    <x v="102"/>
    <s v="Grandiflora Roses"/>
    <s v="70CM"/>
    <m/>
    <n v="240"/>
    <n v="0.28000000000000003"/>
    <n v="67.2"/>
    <n v="8"/>
    <s v="EUR"/>
    <m/>
    <m/>
    <x v="29"/>
    <n v="0"/>
    <x v="0"/>
    <x v="1"/>
    <n v="240"/>
    <n v="0.10166666666666666"/>
    <n v="24.4"/>
    <n v="-8.5013636363636458"/>
    <n v="15.898636363636353"/>
    <x v="29"/>
    <n v="0"/>
    <m/>
    <n v="448794"/>
    <n v="26.667777777777776"/>
    <m/>
    <n v="4.8"/>
    <m/>
    <n v="31.467777777777776"/>
    <n v="-15.569141414141423"/>
    <m/>
    <n v="240"/>
  </r>
  <r>
    <n v="30"/>
    <n v="2024"/>
    <s v="Auction"/>
    <s v="VROLIJK BLOEMEN"/>
    <s v="VROLIJK BLOEMEN"/>
    <x v="102"/>
    <s v="Floribunda Roses"/>
    <s v="80CM"/>
    <n v="1"/>
    <n v="160"/>
    <n v="0.56999999999999995"/>
    <n v="91.2"/>
    <n v="6.8571428571428568"/>
    <s v="EUR"/>
    <m/>
    <m/>
    <x v="29"/>
    <n v="0"/>
    <x v="2"/>
    <x v="2"/>
    <n v="160"/>
    <n v="0.95250000000000001"/>
    <n v="152.4"/>
    <n v="-5.6675757575757633"/>
    <n v="146.73242424242423"/>
    <x v="29"/>
    <n v="0"/>
    <m/>
    <n v="448794"/>
    <n v="22.858095238095235"/>
    <m/>
    <n v="3.2"/>
    <m/>
    <n v="26.058095238095234"/>
    <n v="120.674329004329"/>
    <m/>
    <n v="160"/>
  </r>
  <r>
    <n v="30"/>
    <n v="2024"/>
    <s v="Auction"/>
    <s v="VROLIJK BLOEMEN"/>
    <s v="VROLIJK BLOEMEN"/>
    <x v="102"/>
    <s v="Floribunda Roses"/>
    <s v="90CM"/>
    <m/>
    <n v="40"/>
    <n v="0.75"/>
    <n v="30"/>
    <n v="1.7142857142857142"/>
    <s v="EUR"/>
    <m/>
    <m/>
    <x v="29"/>
    <n v="0"/>
    <x v="2"/>
    <x v="3"/>
    <n v="40"/>
    <n v="1.17"/>
    <n v="46.8"/>
    <n v="-1.4168939393939408"/>
    <n v="45.383106060606053"/>
    <x v="29"/>
    <n v="0"/>
    <m/>
    <n v="448794"/>
    <n v="5.7145238095238087"/>
    <m/>
    <n v="0.8"/>
    <m/>
    <n v="6.5145238095238085"/>
    <n v="38.868582251082245"/>
    <m/>
    <n v="40"/>
  </r>
  <r>
    <n v="30"/>
    <n v="2024"/>
    <s v="Auction"/>
    <s v="VROLIJK BLOEMEN"/>
    <s v="VROLIJK BLOEMEN"/>
    <x v="102"/>
    <s v="Floribunda Roses"/>
    <s v="70CM"/>
    <m/>
    <n v="80"/>
    <n v="0.52"/>
    <n v="41.6"/>
    <n v="3.4285714285714284"/>
    <s v="EUR"/>
    <m/>
    <m/>
    <x v="29"/>
    <n v="0"/>
    <x v="2"/>
    <x v="1"/>
    <n v="80"/>
    <n v="0.91500000000000004"/>
    <n v="73.2"/>
    <n v="-2.8337878787878816"/>
    <n v="70.366212121212115"/>
    <x v="29"/>
    <n v="0"/>
    <m/>
    <n v="448794"/>
    <n v="11.429047619047617"/>
    <m/>
    <n v="1.6"/>
    <m/>
    <n v="13.029047619047617"/>
    <n v="57.337164502164498"/>
    <m/>
    <n v="80"/>
  </r>
  <r>
    <n v="30"/>
    <n v="2024"/>
    <s v="Auction"/>
    <s v="VROLIJK BLOEMEN"/>
    <s v="VROLIJK BLOEMEN"/>
    <x v="102"/>
    <s v="English Roses"/>
    <s v="80CM"/>
    <n v="1"/>
    <n v="160"/>
    <n v="0.56999999999999995"/>
    <n v="91.2"/>
    <n v="6.8571428571428568"/>
    <s v="EUR"/>
    <m/>
    <m/>
    <x v="29"/>
    <n v="0"/>
    <x v="1"/>
    <x v="2"/>
    <n v="160"/>
    <n v="0.29500000000000004"/>
    <n v="47.2"/>
    <n v="-5.6675757575757633"/>
    <n v="41.532424242424241"/>
    <x v="29"/>
    <n v="0"/>
    <m/>
    <n v="448794"/>
    <n v="22.858095238095235"/>
    <m/>
    <n v="3.2"/>
    <m/>
    <n v="26.058095238095234"/>
    <n v="15.474329004329007"/>
    <m/>
    <n v="160"/>
  </r>
  <r>
    <n v="30"/>
    <n v="2024"/>
    <s v="Auction"/>
    <s v="VROLIJK BLOEMEN"/>
    <s v="VROLIJK BLOEMEN"/>
    <x v="102"/>
    <s v="English Roses"/>
    <s v="90CM"/>
    <m/>
    <n v="80"/>
    <n v="0.75"/>
    <n v="60"/>
    <n v="3.4285714285714284"/>
    <s v="EUR"/>
    <m/>
    <m/>
    <x v="29"/>
    <n v="0"/>
    <x v="1"/>
    <x v="3"/>
    <n v="80"/>
    <n v="0.2"/>
    <n v="16"/>
    <n v="-2.8337878787878816"/>
    <n v="13.166212121212119"/>
    <x v="29"/>
    <n v="0"/>
    <m/>
    <n v="448794"/>
    <n v="11.429047619047617"/>
    <m/>
    <n v="1.6"/>
    <m/>
    <n v="13.029047619047617"/>
    <n v="0.13716450216450227"/>
    <m/>
    <n v="80"/>
  </r>
  <r>
    <n v="30"/>
    <n v="2024"/>
    <s v="Auction"/>
    <s v="VROLIJK BLOEMEN"/>
    <s v="VROLIJK BLOEMEN"/>
    <x v="102"/>
    <s v="English Roses"/>
    <s v="100CM"/>
    <m/>
    <n v="40"/>
    <n v="0.94"/>
    <n v="37.6"/>
    <n v="1.7142857142857142"/>
    <s v="EUR"/>
    <m/>
    <m/>
    <x v="29"/>
    <n v="0"/>
    <x v="1"/>
    <x v="4"/>
    <n v="40"/>
    <n v="0.22000000000000003"/>
    <n v="8.8000000000000007"/>
    <n v="-1.4168939393939408"/>
    <n v="7.3831060606060603"/>
    <x v="29"/>
    <n v="0"/>
    <m/>
    <n v="448794"/>
    <n v="5.7145238095238087"/>
    <m/>
    <n v="0.8"/>
    <m/>
    <n v="6.5145238095238085"/>
    <n v="0.86858225108225184"/>
    <m/>
    <n v="40"/>
  </r>
  <r>
    <n v="30"/>
    <n v="2024"/>
    <s v="Auction"/>
    <s v="VROLIJK BLOEMEN"/>
    <s v="VROLIJK BLOEMEN"/>
    <x v="102"/>
    <s v="English Roses"/>
    <s v="50CM"/>
    <n v="1"/>
    <n v="440"/>
    <n v="0.38"/>
    <n v="167.2"/>
    <n v="10.153846153846153"/>
    <s v="EUR"/>
    <m/>
    <m/>
    <x v="29"/>
    <n v="-40"/>
    <x v="1"/>
    <x v="5"/>
    <n v="480"/>
    <n v="7.9166666666666663E-2"/>
    <n v="38"/>
    <n v="-17.002727272727292"/>
    <n v="20.997272727272708"/>
    <x v="29"/>
    <n v="40"/>
    <m/>
    <n v="448794"/>
    <n v="33.8475641025641"/>
    <m/>
    <n v="9.6"/>
    <m/>
    <n v="43.447564102564101"/>
    <n v="-22.450291375291393"/>
    <m/>
    <n v="480"/>
  </r>
  <r>
    <n v="30"/>
    <n v="2024"/>
    <s v="Auction"/>
    <s v="VROLIJK BLOEMEN"/>
    <s v="VROLIJK BLOEMEN"/>
    <x v="102"/>
    <s v="English Roses"/>
    <s v="60CM"/>
    <m/>
    <n v="80"/>
    <n v="0.47"/>
    <n v="37.6"/>
    <n v="1.8461538461538463"/>
    <s v="EUR"/>
    <m/>
    <m/>
    <x v="29"/>
    <n v="80"/>
    <x v="1"/>
    <x v="0"/>
    <m/>
    <m/>
    <n v="0"/>
    <n v="0"/>
    <n v="0"/>
    <x v="29"/>
    <n v="-80"/>
    <m/>
    <n v="448794"/>
    <n v="6.1541025641025646"/>
    <m/>
    <n v="0"/>
    <m/>
    <n v="6.1541025641025646"/>
    <n v="-6.1541025641025646"/>
    <m/>
    <n v="0"/>
  </r>
  <r>
    <n v="30"/>
    <n v="2024"/>
    <s v="Auction"/>
    <s v="VROLIJK BLOEMEN"/>
    <s v="VROLIJK BLOEMEN"/>
    <x v="102"/>
    <s v="Grandiflora Roses"/>
    <s v="50CM"/>
    <n v="1"/>
    <n v="360"/>
    <n v="0.14000000000000001"/>
    <n v="50.4"/>
    <n v="4.9090909090909092"/>
    <s v="EUR"/>
    <m/>
    <m/>
    <x v="29"/>
    <n v="0"/>
    <x v="0"/>
    <x v="5"/>
    <n v="360"/>
    <n v="0.02"/>
    <n v="7.2"/>
    <n v="-12.752045454545469"/>
    <n v="-5.5520454545454685"/>
    <x v="29"/>
    <n v="0"/>
    <m/>
    <n v="448794"/>
    <n v="16.364318181818181"/>
    <m/>
    <n v="7.2"/>
    <m/>
    <n v="23.56431818181818"/>
    <n v="-29.116363636363648"/>
    <m/>
    <n v="360"/>
  </r>
  <r>
    <n v="30"/>
    <n v="2024"/>
    <s v="Auction"/>
    <s v="VROLIJK BLOEMEN"/>
    <s v="VROLIJK BLOEMEN"/>
    <x v="102"/>
    <s v="Grandiflora Roses"/>
    <s v="60CM"/>
    <m/>
    <n v="520"/>
    <n v="0.24"/>
    <n v="124.8"/>
    <n v="7.0909090909090917"/>
    <s v="EUR"/>
    <m/>
    <m/>
    <x v="29"/>
    <n v="0"/>
    <x v="0"/>
    <x v="0"/>
    <n v="520"/>
    <n v="4.4615384615384612E-2"/>
    <n v="23.2"/>
    <n v="-18.419621212121232"/>
    <n v="4.7803787878787674"/>
    <x v="29"/>
    <n v="0"/>
    <m/>
    <n v="448794"/>
    <n v="23.637348484848488"/>
    <m/>
    <n v="10.4"/>
    <m/>
    <n v="34.037348484848486"/>
    <n v="-29.256969696969719"/>
    <m/>
    <n v="520"/>
  </r>
  <r>
    <n v="30"/>
    <n v="2024"/>
    <s v="Auction"/>
    <s v="VROLIJK BLOEMEN"/>
    <s v="VROLIJK BLOEMEN"/>
    <x v="102"/>
    <s v="Polyantha Roses"/>
    <s v="80CM"/>
    <n v="1"/>
    <n v="160"/>
    <n v="0.66"/>
    <n v="105.6"/>
    <n v="4.8000000000000007"/>
    <s v="EUR"/>
    <m/>
    <m/>
    <x v="29"/>
    <n v="0"/>
    <x v="3"/>
    <x v="2"/>
    <n v="160"/>
    <n v="0.375"/>
    <n v="60"/>
    <n v="-5.6675757575757633"/>
    <n v="54.332424242424239"/>
    <x v="29"/>
    <n v="0"/>
    <m/>
    <n v="448794"/>
    <n v="16.000666666666667"/>
    <m/>
    <n v="3.2"/>
    <m/>
    <n v="19.200666666666667"/>
    <n v="35.131757575757575"/>
    <m/>
    <n v="160"/>
  </r>
  <r>
    <n v="30"/>
    <n v="2024"/>
    <s v="Auction"/>
    <s v="VROLIJK BLOEMEN"/>
    <s v="VROLIJK BLOEMEN"/>
    <x v="102"/>
    <s v="Polyantha Roses"/>
    <s v="50CM"/>
    <m/>
    <n v="240"/>
    <n v="0.42"/>
    <n v="100.8"/>
    <n v="7.1999999999999993"/>
    <s v="EUR"/>
    <m/>
    <m/>
    <x v="29"/>
    <n v="0"/>
    <x v="3"/>
    <x v="5"/>
    <n v="240"/>
    <n v="0.21"/>
    <n v="50.4"/>
    <n v="-8.5013636363636458"/>
    <n v="41.898636363636356"/>
    <x v="29"/>
    <n v="0"/>
    <m/>
    <n v="448794"/>
    <n v="24.000999999999998"/>
    <m/>
    <n v="4.8"/>
    <m/>
    <n v="28.800999999999998"/>
    <n v="13.097636363636358"/>
    <m/>
    <n v="240"/>
  </r>
  <r>
    <n v="30"/>
    <n v="2024"/>
    <s v="Auction"/>
    <s v="VROLIJK BLOEMEN"/>
    <s v="VROLIJK BLOEMEN"/>
    <x v="102"/>
    <s v="Polyantha Roses"/>
    <s v="90CM"/>
    <n v="1"/>
    <n v="160"/>
    <n v="0.85"/>
    <n v="136"/>
    <n v="8"/>
    <s v="EUR"/>
    <m/>
    <m/>
    <x v="29"/>
    <n v="0"/>
    <x v="3"/>
    <x v="3"/>
    <n v="160"/>
    <n v="0.47000000000000003"/>
    <n v="75.2"/>
    <n v="-5.6675757575757633"/>
    <n v="69.532424242424241"/>
    <x v="29"/>
    <n v="0"/>
    <m/>
    <n v="448794"/>
    <n v="26.667777777777776"/>
    <m/>
    <n v="3.2"/>
    <m/>
    <n v="29.867777777777775"/>
    <n v="39.664646464646466"/>
    <m/>
    <n v="160"/>
  </r>
  <r>
    <n v="30"/>
    <n v="2024"/>
    <s v="Auction"/>
    <s v="VROLIJK BLOEMEN"/>
    <s v="VROLIJK BLOEMEN"/>
    <x v="102"/>
    <s v="Polyantha Roses"/>
    <s v="70CM"/>
    <m/>
    <n v="80"/>
    <n v="0.61"/>
    <n v="48.8"/>
    <n v="4"/>
    <s v="EUR"/>
    <m/>
    <m/>
    <x v="29"/>
    <n v="-320"/>
    <x v="3"/>
    <x v="1"/>
    <n v="400"/>
    <n v="0.22800000000000001"/>
    <n v="91.2"/>
    <n v="-14.168939393939411"/>
    <n v="77.031060606060592"/>
    <x v="29"/>
    <n v="320"/>
    <m/>
    <n v="448794"/>
    <n v="13.333888888888888"/>
    <m/>
    <n v="8"/>
    <m/>
    <n v="21.333888888888886"/>
    <n v="55.697171717171706"/>
    <m/>
    <n v="400"/>
  </r>
  <r>
    <n v="30"/>
    <n v="2024"/>
    <s v="Auction"/>
    <s v="VROLIJK BLOEMEN"/>
    <s v="VROLIJK BLOEMEN"/>
    <x v="103"/>
    <s v="English Roses"/>
    <s v="50CM"/>
    <n v="1"/>
    <n v="520"/>
    <n v="0.38"/>
    <n v="197.6"/>
    <n v="12"/>
    <s v="EUR"/>
    <m/>
    <m/>
    <x v="29"/>
    <n v="0"/>
    <x v="1"/>
    <x v="5"/>
    <n v="520"/>
    <n v="6.6153846153846146E-2"/>
    <n v="34.4"/>
    <n v="-18.427272727272712"/>
    <n v="15.972727272727287"/>
    <x v="29"/>
    <n v="0"/>
    <m/>
    <s v="F091227"/>
    <n v="44.717333333333329"/>
    <m/>
    <n v="10.4"/>
    <m/>
    <n v="55.117333333333328"/>
    <n v="-39.144606060606037"/>
    <m/>
    <n v="520"/>
  </r>
  <r>
    <n v="30"/>
    <n v="2024"/>
    <s v="Auction"/>
    <s v="VROLIJK BLOEMEN"/>
    <s v="VROLIJK BLOEMEN"/>
    <x v="103"/>
    <s v="English Roses"/>
    <s v="80CM"/>
    <n v="1"/>
    <n v="240"/>
    <n v="0.56999999999999995"/>
    <n v="136.80000000000001"/>
    <n v="12"/>
    <s v="EUR"/>
    <m/>
    <m/>
    <x v="29"/>
    <n v="0"/>
    <x v="1"/>
    <x v="2"/>
    <n v="240"/>
    <n v="0.24000000000000002"/>
    <n v="57.6"/>
    <n v="-8.5048951048950965"/>
    <n v="49.095104895104903"/>
    <x v="29"/>
    <n v="0"/>
    <m/>
    <s v="F091227"/>
    <n v="44.717333333333329"/>
    <m/>
    <n v="4.8"/>
    <m/>
    <n v="49.517333333333326"/>
    <n v="-0.42222843822842293"/>
    <m/>
    <n v="240"/>
  </r>
  <r>
    <n v="30"/>
    <n v="2024"/>
    <s v="Auction"/>
    <s v="VROLIJK BLOEMEN"/>
    <s v="VROLIJK BLOEMEN"/>
    <x v="103"/>
    <s v="Floribunda Roses"/>
    <s v="50CM"/>
    <n v="1"/>
    <n v="560"/>
    <n v="0.38"/>
    <n v="212.8"/>
    <n v="12"/>
    <s v="EUR"/>
    <m/>
    <m/>
    <x v="29"/>
    <n v="0"/>
    <x v="2"/>
    <x v="5"/>
    <n v="560"/>
    <n v="0.24714285714285716"/>
    <n v="138.4"/>
    <n v="-19.844755244755227"/>
    <n v="118.55524475524479"/>
    <x v="29"/>
    <n v="0"/>
    <m/>
    <s v="F091227"/>
    <n v="44.717333333333329"/>
    <m/>
    <n v="11.200000000000001"/>
    <m/>
    <n v="55.917333333333332"/>
    <n v="62.637911421911454"/>
    <m/>
    <n v="560"/>
  </r>
  <r>
    <n v="30"/>
    <n v="2024"/>
    <s v="Auction"/>
    <s v="VROLIJK BLOEMEN"/>
    <s v="VROLIJK BLOEMEN"/>
    <x v="103"/>
    <s v="Polyantha Roses"/>
    <s v="50CM"/>
    <n v="1"/>
    <n v="520"/>
    <n v="0.42"/>
    <n v="218.4"/>
    <n v="12"/>
    <s v="EUR"/>
    <m/>
    <m/>
    <x v="29"/>
    <n v="0"/>
    <x v="3"/>
    <x v="5"/>
    <n v="520"/>
    <n v="0.2153846153846154"/>
    <n v="112"/>
    <n v="-18.427272727272712"/>
    <n v="93.572727272727292"/>
    <x v="29"/>
    <n v="0"/>
    <m/>
    <s v="F091227"/>
    <n v="44.717333333333329"/>
    <m/>
    <n v="10.4"/>
    <m/>
    <n v="55.117333333333328"/>
    <n v="38.455393939393964"/>
    <m/>
    <n v="520"/>
  </r>
  <r>
    <n v="30"/>
    <n v="2024"/>
    <s v="Auction"/>
    <s v="VROLIJK BLOEMEN"/>
    <s v="VROLIJK BLOEMEN"/>
    <x v="103"/>
    <s v="Polyantha Roses"/>
    <s v="60CM"/>
    <n v="2"/>
    <n v="960"/>
    <n v="0.52"/>
    <n v="499.2"/>
    <n v="24"/>
    <s v="EUR"/>
    <m/>
    <m/>
    <x v="29"/>
    <n v="-200"/>
    <x v="3"/>
    <x v="0"/>
    <n v="1160"/>
    <n v="0.21"/>
    <n v="243.6"/>
    <n v="-41.106993006992973"/>
    <n v="202.49300699300701"/>
    <x v="29"/>
    <n v="200"/>
    <m/>
    <s v="F091227"/>
    <n v="89.434666666666658"/>
    <m/>
    <n v="23.2"/>
    <m/>
    <n v="112.63466666666666"/>
    <n v="89.858340326340354"/>
    <m/>
    <n v="1160"/>
  </r>
  <r>
    <n v="30"/>
    <n v="2024"/>
    <s v="Auction"/>
    <s v="VROLIJK BLOEMEN"/>
    <s v="VROLIJK BLOEMEN"/>
    <x v="103"/>
    <s v="Polyantha Roses"/>
    <s v="70CM"/>
    <n v="1"/>
    <n v="400"/>
    <n v="0.61"/>
    <n v="244"/>
    <n v="12"/>
    <s v="EUR"/>
    <m/>
    <m/>
    <x v="29"/>
    <n v="0"/>
    <x v="3"/>
    <x v="1"/>
    <n v="400"/>
    <n v="0.33"/>
    <n v="132"/>
    <n v="-14.174825174825163"/>
    <n v="117.82517482517484"/>
    <x v="29"/>
    <n v="0"/>
    <m/>
    <s v="F091227"/>
    <n v="44.717333333333329"/>
    <m/>
    <n v="8"/>
    <m/>
    <n v="52.717333333333329"/>
    <n v="65.107841491841512"/>
    <m/>
    <n v="400"/>
  </r>
  <r>
    <n v="30"/>
    <n v="2024"/>
    <s v="Auction"/>
    <s v="VROLIJK BLOEMEN"/>
    <s v="VROLIJK BLOEMEN"/>
    <x v="103"/>
    <s v="Polyantha Roses"/>
    <s v="90CM"/>
    <n v="1"/>
    <n v="320"/>
    <n v="0.85"/>
    <n v="272"/>
    <n v="12"/>
    <s v="EUR"/>
    <m/>
    <m/>
    <x v="29"/>
    <n v="0"/>
    <x v="3"/>
    <x v="3"/>
    <n v="320"/>
    <n v="0.39"/>
    <n v="124.80000000000001"/>
    <n v="-11.33986013986013"/>
    <n v="113.46013986013988"/>
    <x v="29"/>
    <n v="0"/>
    <m/>
    <s v="F091227"/>
    <n v="44.717333333333329"/>
    <m/>
    <n v="6.4"/>
    <m/>
    <n v="51.117333333333328"/>
    <n v="62.342806526806548"/>
    <m/>
    <n v="320"/>
  </r>
  <r>
    <n v="30"/>
    <n v="2024"/>
    <s v="Auction"/>
    <s v="VROLIJK BLOEMEN"/>
    <s v="VROLIJK BLOEMEN"/>
    <x v="103"/>
    <s v="Polyantha Roses"/>
    <s v="100CM"/>
    <n v="1"/>
    <n v="240"/>
    <n v="1.04"/>
    <n v="249.6"/>
    <n v="12"/>
    <s v="EUR"/>
    <m/>
    <m/>
    <x v="29"/>
    <n v="0"/>
    <x v="3"/>
    <x v="4"/>
    <n v="240"/>
    <n v="0.56000000000000005"/>
    <n v="134.4"/>
    <n v="-8.5048951048950965"/>
    <n v="125.89510489510491"/>
    <x v="29"/>
    <n v="0"/>
    <m/>
    <s v="F091227"/>
    <n v="44.717333333333329"/>
    <m/>
    <n v="4.8"/>
    <m/>
    <n v="49.517333333333326"/>
    <n v="76.377771561771581"/>
    <m/>
    <n v="240"/>
  </r>
  <r>
    <n v="30"/>
    <n v="2024"/>
    <s v="Auction"/>
    <s v="VROLIJK BLOEMEN"/>
    <s v="VROLIJK BLOEMEN"/>
    <x v="103"/>
    <s v="English Roses"/>
    <s v="60CM"/>
    <n v="1"/>
    <n v="240"/>
    <n v="0.47"/>
    <n v="112.8"/>
    <n v="8"/>
    <s v="EUR"/>
    <m/>
    <m/>
    <x v="29"/>
    <n v="0"/>
    <x v="1"/>
    <x v="0"/>
    <n v="240"/>
    <n v="0.10333333333333333"/>
    <n v="24.8"/>
    <n v="-11.665714285714298"/>
    <n v="13.134285714285703"/>
    <x v="29"/>
    <n v="0"/>
    <m/>
    <s v="F091227"/>
    <n v="29.811555555555557"/>
    <m/>
    <n v="4.8"/>
    <m/>
    <n v="34.611555555555555"/>
    <n v="-21.477269841269852"/>
    <m/>
    <n v="240"/>
  </r>
  <r>
    <n v="30"/>
    <n v="2024"/>
    <s v="Auction"/>
    <s v="VROLIJK BLOEMEN"/>
    <s v="VROLIJK BLOEMEN"/>
    <x v="103"/>
    <s v="English Roses"/>
    <s v="90CM"/>
    <m/>
    <n v="120"/>
    <n v="0.75"/>
    <n v="90"/>
    <n v="4"/>
    <s v="EUR"/>
    <m/>
    <m/>
    <x v="29"/>
    <n v="0"/>
    <x v="1"/>
    <x v="3"/>
    <n v="120"/>
    <n v="0.39666666666666667"/>
    <n v="47.6"/>
    <n v="-4.2524475524475482"/>
    <n v="43.347552447552452"/>
    <x v="29"/>
    <n v="0"/>
    <m/>
    <s v="F091227"/>
    <n v="14.905777777777779"/>
    <m/>
    <n v="2.4"/>
    <m/>
    <n v="17.305777777777777"/>
    <n v="26.041774669774675"/>
    <m/>
    <n v="120"/>
  </r>
  <r>
    <n v="30"/>
    <n v="2024"/>
    <s v="Auction"/>
    <s v="VROLIJK BLOEMEN"/>
    <s v="VROLIJK BLOEMEN"/>
    <x v="103"/>
    <s v="English Roses"/>
    <s v="70CM"/>
    <n v="1"/>
    <n v="280"/>
    <n v="0.52"/>
    <n v="145.6"/>
    <n v="10.5"/>
    <s v="EUR"/>
    <m/>
    <m/>
    <x v="29"/>
    <n v="0"/>
    <x v="1"/>
    <x v="1"/>
    <n v="280"/>
    <n v="0.2"/>
    <n v="56"/>
    <n v="-9.9223776223776134"/>
    <n v="46.07762237762239"/>
    <x v="29"/>
    <n v="0"/>
    <m/>
    <s v="F091227"/>
    <n v="39.12766666666667"/>
    <m/>
    <n v="5.6000000000000005"/>
    <m/>
    <n v="44.727666666666671"/>
    <n v="1.3499557109557188"/>
    <m/>
    <n v="280"/>
  </r>
  <r>
    <n v="30"/>
    <n v="2024"/>
    <s v="Auction"/>
    <s v="VROLIJK BLOEMEN"/>
    <s v="VROLIJK BLOEMEN"/>
    <x v="103"/>
    <s v="English Roses"/>
    <s v="100CM"/>
    <m/>
    <n v="40"/>
    <n v="0.94"/>
    <n v="37.6"/>
    <n v="1.5"/>
    <s v="EUR"/>
    <m/>
    <m/>
    <x v="29"/>
    <n v="0"/>
    <x v="1"/>
    <x v="4"/>
    <n v="40"/>
    <n v="0.38"/>
    <n v="15.2"/>
    <n v="-1.4174825174825163"/>
    <n v="13.782517482517482"/>
    <x v="29"/>
    <n v="0"/>
    <m/>
    <s v="F091227"/>
    <n v="5.5896666666666661"/>
    <m/>
    <n v="0.8"/>
    <m/>
    <n v="6.3896666666666659"/>
    <n v="7.3928508158508164"/>
    <m/>
    <n v="40"/>
  </r>
  <r>
    <n v="30"/>
    <n v="2024"/>
    <s v="Auction"/>
    <s v="VROLIJK BLOEMEN"/>
    <s v="VROLIJK BLOEMEN"/>
    <x v="103"/>
    <s v="Floribunda Roses"/>
    <s v="90CM"/>
    <n v="1"/>
    <n v="40"/>
    <n v="0.75"/>
    <n v="30"/>
    <n v="1"/>
    <s v="EUR"/>
    <m/>
    <m/>
    <x v="29"/>
    <n v="0"/>
    <x v="2"/>
    <x v="3"/>
    <n v="40"/>
    <n v="0.62"/>
    <n v="24.8"/>
    <n v="-1.4174825174825163"/>
    <n v="23.382517482517486"/>
    <x v="29"/>
    <n v="0"/>
    <m/>
    <s v="F091227"/>
    <n v="3.7264444444444447"/>
    <m/>
    <n v="0.8"/>
    <m/>
    <n v="4.5264444444444445"/>
    <n v="18.856073038073042"/>
    <m/>
    <n v="40"/>
  </r>
  <r>
    <n v="30"/>
    <n v="2024"/>
    <s v="Auction"/>
    <s v="VROLIJK BLOEMEN"/>
    <s v="VROLIJK BLOEMEN"/>
    <x v="103"/>
    <s v="Floribunda Roses"/>
    <s v="60CM"/>
    <m/>
    <n v="440"/>
    <n v="0.47"/>
    <n v="206.8"/>
    <n v="11"/>
    <s v="EUR"/>
    <m/>
    <m/>
    <x v="29"/>
    <n v="0"/>
    <x v="2"/>
    <x v="0"/>
    <n v="440"/>
    <n v="0.31818181818181818"/>
    <n v="140"/>
    <n v="-15.592307692307678"/>
    <n v="124.40769230769232"/>
    <x v="29"/>
    <n v="0"/>
    <m/>
    <s v="F091227"/>
    <n v="40.99088888888889"/>
    <m/>
    <n v="8.8000000000000007"/>
    <m/>
    <n v="49.790888888888887"/>
    <n v="74.616803418803428"/>
    <m/>
    <n v="440"/>
  </r>
  <r>
    <n v="30"/>
    <n v="2024"/>
    <s v="Auction"/>
    <s v="VROLIJK BLOEMEN"/>
    <s v="VROLIJK BLOEMEN"/>
    <x v="103"/>
    <s v="Grandiflora Roses"/>
    <s v="90CM"/>
    <n v="1"/>
    <n v="80"/>
    <n v="0.38"/>
    <n v="30.4"/>
    <n v="1.5"/>
    <s v="EUR"/>
    <m/>
    <m/>
    <x v="29"/>
    <n v="0"/>
    <x v="0"/>
    <x v="3"/>
    <n v="80"/>
    <n v="0.38"/>
    <n v="30.4"/>
    <n v="-2.8349650349650326"/>
    <n v="27.565034965034965"/>
    <x v="29"/>
    <n v="0"/>
    <m/>
    <s v="F091227"/>
    <n v="5.5896666666666661"/>
    <m/>
    <n v="1.6"/>
    <m/>
    <n v="7.1896666666666658"/>
    <n v="20.375368298368301"/>
    <m/>
    <n v="80"/>
  </r>
  <r>
    <n v="30"/>
    <n v="2024"/>
    <s v="Auction"/>
    <s v="VROLIJK BLOEMEN"/>
    <s v="VROLIJK BLOEMEN"/>
    <x v="103"/>
    <s v="Grandiflora Roses"/>
    <s v="60CM"/>
    <m/>
    <n v="360"/>
    <n v="0.24"/>
    <n v="86.4"/>
    <n v="6.75"/>
    <s v="EUR"/>
    <m/>
    <m/>
    <x v="29"/>
    <n v="0"/>
    <x v="0"/>
    <x v="0"/>
    <n v="360"/>
    <n v="0.37666666666666665"/>
    <n v="135.6"/>
    <n v="-17.498571428571445"/>
    <n v="118.10142857142856"/>
    <x v="29"/>
    <n v="0"/>
    <m/>
    <s v="F091227"/>
    <n v="25.153499999999998"/>
    <m/>
    <n v="7.2"/>
    <m/>
    <n v="32.353499999999997"/>
    <n v="85.74792857142856"/>
    <m/>
    <n v="360"/>
  </r>
  <r>
    <n v="30"/>
    <n v="2024"/>
    <s v="Auction"/>
    <s v="VROLIJK BLOEMEN"/>
    <s v="VROLIJK BLOEMEN"/>
    <x v="103"/>
    <s v="Grandiflora Roses"/>
    <s v="50CM"/>
    <m/>
    <n v="200"/>
    <n v="0.14000000000000001"/>
    <n v="28"/>
    <n v="3.75"/>
    <s v="EUR"/>
    <m/>
    <m/>
    <x v="29"/>
    <n v="0"/>
    <x v="0"/>
    <x v="5"/>
    <n v="200"/>
    <n v="0.23"/>
    <n v="46"/>
    <n v="-7.0874125874125813"/>
    <n v="38.91258741258742"/>
    <x v="29"/>
    <n v="0"/>
    <m/>
    <s v="F091227"/>
    <n v="13.974166666666665"/>
    <m/>
    <n v="4"/>
    <m/>
    <n v="17.974166666666665"/>
    <n v="20.938420745920755"/>
    <m/>
    <n v="200"/>
  </r>
  <r>
    <n v="30"/>
    <n v="2024"/>
    <s v="Auction"/>
    <s v="VROLIJK BLOEMEN"/>
    <s v="VROLIJK BLOEMEN"/>
    <x v="103"/>
    <s v="Grandiflora Roses"/>
    <s v="70CM"/>
    <n v="1"/>
    <n v="280"/>
    <n v="0.28000000000000003"/>
    <n v="78.400000000000006"/>
    <n v="6"/>
    <s v="EUR"/>
    <m/>
    <m/>
    <x v="29"/>
    <n v="0"/>
    <x v="0"/>
    <x v="1"/>
    <n v="280"/>
    <n v="0.34"/>
    <n v="95.2"/>
    <n v="-9.9223776223776134"/>
    <n v="85.277622377622393"/>
    <x v="29"/>
    <n v="0"/>
    <m/>
    <s v="F091227"/>
    <n v="22.358666666666664"/>
    <m/>
    <n v="5.6000000000000005"/>
    <m/>
    <n v="27.958666666666666"/>
    <n v="57.318955710955727"/>
    <m/>
    <n v="280"/>
  </r>
  <r>
    <n v="30"/>
    <n v="2024"/>
    <s v="Auction"/>
    <s v="VROLIJK BLOEMEN"/>
    <s v="VROLIJK BLOEMEN"/>
    <x v="103"/>
    <s v="Grandiflora Roses"/>
    <s v="80CM"/>
    <m/>
    <n v="280"/>
    <n v="0.33"/>
    <n v="92.4"/>
    <n v="6"/>
    <s v="EUR"/>
    <m/>
    <m/>
    <x v="29"/>
    <n v="0"/>
    <x v="0"/>
    <x v="2"/>
    <n v="280"/>
    <n v="0.36"/>
    <n v="100.8"/>
    <n v="-9.9223776223776134"/>
    <n v="90.877622377622387"/>
    <x v="29"/>
    <n v="0"/>
    <m/>
    <s v="F091227"/>
    <n v="22.358666666666664"/>
    <m/>
    <n v="5.6000000000000005"/>
    <m/>
    <n v="27.958666666666666"/>
    <n v="62.918955710955721"/>
    <m/>
    <n v="280"/>
  </r>
  <r>
    <n v="30"/>
    <n v="2024"/>
    <s v="Auction"/>
    <s v="VROLIJK BLOEMEN"/>
    <s v="VROLIJK BLOEMEN"/>
    <x v="103"/>
    <s v="Polyantha Roses"/>
    <s v="60CM"/>
    <n v="1"/>
    <n v="200"/>
    <n v="0.52"/>
    <n v="104"/>
    <n v="5.4545454545454541"/>
    <s v="EUR"/>
    <m/>
    <m/>
    <x v="29"/>
    <n v="200"/>
    <x v="3"/>
    <x v="0"/>
    <m/>
    <m/>
    <n v="0"/>
    <n v="0"/>
    <n v="0"/>
    <x v="29"/>
    <n v="-200"/>
    <m/>
    <s v="F091227"/>
    <n v="20.326060606060604"/>
    <m/>
    <n v="0"/>
    <m/>
    <n v="20.326060606060604"/>
    <n v="-20.326060606060604"/>
    <m/>
    <n v="0"/>
  </r>
  <r>
    <n v="30"/>
    <n v="2024"/>
    <s v="Auction"/>
    <s v="VROLIJK BLOEMEN"/>
    <s v="VROLIJK BLOEMEN"/>
    <x v="103"/>
    <s v="Polyantha Roses"/>
    <s v="80CM"/>
    <m/>
    <n v="240"/>
    <n v="0.66"/>
    <n v="158.4"/>
    <n v="6.545454545454545"/>
    <s v="EUR"/>
    <m/>
    <m/>
    <x v="29"/>
    <n v="0"/>
    <x v="3"/>
    <x v="2"/>
    <n v="240"/>
    <n v="0.55666666666666664"/>
    <n v="133.6"/>
    <n v="-11.665714285714298"/>
    <n v="121.93428571428569"/>
    <x v="29"/>
    <n v="0"/>
    <m/>
    <s v="F091227"/>
    <n v="24.391272727272725"/>
    <m/>
    <n v="4.8"/>
    <m/>
    <n v="29.191272727272725"/>
    <n v="92.743012987012975"/>
    <m/>
    <n v="240"/>
  </r>
  <r>
    <n v="30"/>
    <n v="2024"/>
    <s v="Auction"/>
    <s v="VROLIJK BLOEMEN"/>
    <s v="VROLIJK BLOEMEN"/>
    <x v="104"/>
    <s v="Polyantha Roses"/>
    <s v="80CM"/>
    <n v="1"/>
    <n v="320"/>
    <n v="0.66"/>
    <n v="211.2"/>
    <n v="12"/>
    <s v="EUR"/>
    <m/>
    <m/>
    <x v="30"/>
    <n v="0"/>
    <x v="3"/>
    <x v="2"/>
    <n v="320"/>
    <n v="0.43"/>
    <n v="137.6"/>
    <n v="-14.268631578947373"/>
    <n v="123.33136842105262"/>
    <x v="30"/>
    <n v="0"/>
    <m/>
    <n v="449103"/>
    <n v="44.875"/>
    <m/>
    <n v="6.4"/>
    <m/>
    <n v="51.274999999999999"/>
    <n v="72.056368421052611"/>
    <m/>
    <n v="320"/>
  </r>
  <r>
    <n v="30"/>
    <n v="2024"/>
    <s v="Auction"/>
    <s v="VROLIJK BLOEMEN"/>
    <s v="VROLIJK BLOEMEN"/>
    <x v="104"/>
    <s v="English Roses"/>
    <s v="70CM"/>
    <n v="1"/>
    <n v="320"/>
    <n v="0.52"/>
    <n v="166.4"/>
    <n v="12"/>
    <s v="EUR"/>
    <m/>
    <m/>
    <x v="30"/>
    <n v="0"/>
    <x v="1"/>
    <x v="1"/>
    <n v="320"/>
    <n v="0.29625000000000001"/>
    <n v="94.800000000000011"/>
    <n v="-14.268631578947373"/>
    <n v="80.531368421052633"/>
    <x v="30"/>
    <n v="0"/>
    <m/>
    <n v="449103"/>
    <n v="44.875"/>
    <m/>
    <n v="6.4"/>
    <m/>
    <n v="51.274999999999999"/>
    <n v="29.256368421052635"/>
    <m/>
    <n v="320"/>
  </r>
  <r>
    <n v="30"/>
    <n v="2024"/>
    <s v="Auction"/>
    <s v="VROLIJK BLOEMEN"/>
    <s v="VROLIJK BLOEMEN"/>
    <x v="104"/>
    <s v="English Roses"/>
    <s v="80CM"/>
    <n v="1"/>
    <n v="320"/>
    <n v="0.56999999999999995"/>
    <n v="182.4"/>
    <n v="12"/>
    <s v="EUR"/>
    <m/>
    <m/>
    <x v="30"/>
    <n v="0"/>
    <x v="1"/>
    <x v="2"/>
    <n v="320"/>
    <n v="0.42249999999999999"/>
    <n v="135.19999999999999"/>
    <n v="-14.268631578947373"/>
    <n v="120.93136842105261"/>
    <x v="30"/>
    <n v="0"/>
    <m/>
    <n v="449103"/>
    <n v="44.875"/>
    <m/>
    <n v="6.4"/>
    <m/>
    <n v="51.274999999999999"/>
    <n v="69.656368421052605"/>
    <m/>
    <n v="320"/>
  </r>
  <r>
    <n v="30"/>
    <n v="2024"/>
    <s v="Auction"/>
    <s v="VROLIJK BLOEMEN"/>
    <s v="VROLIJK BLOEMEN"/>
    <x v="104"/>
    <s v="English Roses"/>
    <s v="60CM"/>
    <n v="1"/>
    <n v="400"/>
    <n v="0.47"/>
    <n v="188"/>
    <n v="12"/>
    <s v="EUR"/>
    <m/>
    <m/>
    <x v="30"/>
    <n v="0"/>
    <x v="1"/>
    <x v="0"/>
    <n v="400"/>
    <n v="0.67"/>
    <n v="268"/>
    <n v="-17.835789473684219"/>
    <n v="250.16421052631577"/>
    <x v="30"/>
    <n v="0"/>
    <m/>
    <n v="449103"/>
    <n v="44.875"/>
    <m/>
    <n v="8"/>
    <m/>
    <n v="52.875"/>
    <n v="197.28921052631577"/>
    <m/>
    <n v="400"/>
  </r>
  <r>
    <n v="30"/>
    <n v="2024"/>
    <s v="Auction"/>
    <s v="VROLIJK BLOEMEN"/>
    <s v="VROLIJK BLOEMEN"/>
    <x v="104"/>
    <s v="Grandiflora Roses"/>
    <s v="60CM"/>
    <n v="1"/>
    <n v="880"/>
    <n v="0.24"/>
    <n v="211.2"/>
    <n v="12"/>
    <s v="EUR"/>
    <m/>
    <m/>
    <x v="30"/>
    <n v="80"/>
    <x v="0"/>
    <x v="0"/>
    <n v="800"/>
    <n v="0.19550000000000001"/>
    <n v="156.4"/>
    <n v="-35.671578947368438"/>
    <n v="120.72842105263157"/>
    <x v="30"/>
    <n v="-80"/>
    <m/>
    <n v="449103"/>
    <n v="44.875"/>
    <m/>
    <n v="16"/>
    <m/>
    <n v="60.875"/>
    <n v="59.853421052631575"/>
    <m/>
    <n v="800"/>
  </r>
  <r>
    <n v="30"/>
    <n v="2024"/>
    <s v="Auction"/>
    <s v="VROLIJK BLOEMEN"/>
    <s v="VROLIJK BLOEMEN"/>
    <x v="104"/>
    <s v="Grandiflora Roses"/>
    <s v="90CM"/>
    <n v="1"/>
    <n v="40"/>
    <n v="0.38"/>
    <n v="15.2"/>
    <n v="0.8"/>
    <s v="EUR"/>
    <m/>
    <m/>
    <x v="30"/>
    <n v="0"/>
    <x v="0"/>
    <x v="3"/>
    <n v="40"/>
    <n v="0.7"/>
    <n v="28"/>
    <n v="-1.7835789473684216"/>
    <n v="26.216421052631578"/>
    <x v="30"/>
    <n v="0"/>
    <m/>
    <n v="449103"/>
    <n v="2.9916666666666667"/>
    <m/>
    <n v="0.8"/>
    <m/>
    <n v="3.791666666666667"/>
    <n v="22.42475438596491"/>
    <m/>
    <n v="40"/>
  </r>
  <r>
    <n v="30"/>
    <n v="2024"/>
    <s v="Auction"/>
    <s v="VROLIJK BLOEMEN"/>
    <s v="VROLIJK BLOEMEN"/>
    <x v="104"/>
    <s v="Grandiflora Roses"/>
    <s v="80CM"/>
    <m/>
    <n v="240"/>
    <n v="0.33"/>
    <n v="79.2"/>
    <n v="4.8000000000000007"/>
    <s v="EUR"/>
    <m/>
    <m/>
    <x v="30"/>
    <n v="0"/>
    <x v="0"/>
    <x v="2"/>
    <n v="240"/>
    <n v="0.45833333333333331"/>
    <n v="110"/>
    <n v="-10.70147368421053"/>
    <n v="99.298526315789474"/>
    <x v="30"/>
    <n v="0"/>
    <m/>
    <n v="449103"/>
    <n v="17.950000000000003"/>
    <m/>
    <n v="4.8"/>
    <m/>
    <n v="22.750000000000004"/>
    <n v="76.548526315789474"/>
    <m/>
    <n v="240"/>
  </r>
  <r>
    <n v="30"/>
    <n v="2024"/>
    <s v="Auction"/>
    <s v="VROLIJK BLOEMEN"/>
    <s v="VROLIJK BLOEMEN"/>
    <x v="104"/>
    <s v="Grandiflora Roses"/>
    <s v="70CM"/>
    <m/>
    <n v="320"/>
    <n v="0.28000000000000003"/>
    <n v="89.6"/>
    <n v="6.4"/>
    <s v="EUR"/>
    <m/>
    <m/>
    <x v="30"/>
    <n v="0"/>
    <x v="0"/>
    <x v="1"/>
    <n v="320"/>
    <n v="0.35249999999999998"/>
    <n v="112.8"/>
    <n v="-14.268631578947373"/>
    <n v="98.531368421052619"/>
    <x v="30"/>
    <n v="0"/>
    <m/>
    <n v="449103"/>
    <n v="23.933333333333334"/>
    <m/>
    <n v="6.4"/>
    <m/>
    <n v="30.333333333333336"/>
    <n v="68.19803508771929"/>
    <m/>
    <n v="320"/>
  </r>
  <r>
    <n v="30"/>
    <n v="2024"/>
    <s v="Auction"/>
    <s v="VROLIJK BLOEMEN"/>
    <s v="VROLIJK BLOEMEN"/>
    <x v="104"/>
    <s v="Floribunda Roses"/>
    <s v="70CM"/>
    <n v="1"/>
    <n v="160"/>
    <n v="0.52"/>
    <n v="83.2"/>
    <n v="4"/>
    <s v="EUR"/>
    <m/>
    <m/>
    <x v="30"/>
    <n v="0"/>
    <x v="2"/>
    <x v="1"/>
    <n v="160"/>
    <n v="0.71500000000000008"/>
    <n v="114.4"/>
    <n v="-7.1343157894736864"/>
    <n v="107.26568421052632"/>
    <x v="30"/>
    <n v="0"/>
    <m/>
    <n v="449103"/>
    <n v="14.958333333333332"/>
    <m/>
    <n v="3.2"/>
    <m/>
    <n v="18.158333333333331"/>
    <n v="89.107350877192985"/>
    <m/>
    <n v="160"/>
  </r>
  <r>
    <n v="30"/>
    <n v="2024"/>
    <s v="Auction"/>
    <s v="VROLIJK BLOEMEN"/>
    <s v="VROLIJK BLOEMEN"/>
    <x v="104"/>
    <s v="Floribunda Roses"/>
    <s v="60CM"/>
    <m/>
    <n v="320"/>
    <n v="0.47"/>
    <n v="150.4"/>
    <n v="8"/>
    <s v="EUR"/>
    <m/>
    <m/>
    <x v="30"/>
    <n v="0"/>
    <x v="2"/>
    <x v="0"/>
    <n v="320"/>
    <n v="0.71875"/>
    <n v="230"/>
    <n v="-14.268631578947373"/>
    <n v="215.73136842105262"/>
    <x v="30"/>
    <n v="0"/>
    <m/>
    <n v="449103"/>
    <n v="29.916666666666664"/>
    <m/>
    <n v="6.4"/>
    <m/>
    <n v="36.316666666666663"/>
    <n v="179.41470175438596"/>
    <m/>
    <n v="320"/>
  </r>
  <r>
    <n v="30"/>
    <n v="2024"/>
    <s v="Auction"/>
    <s v="VROLIJK BLOEMEN"/>
    <s v="VROLIJK BLOEMEN"/>
    <x v="104"/>
    <s v="Polyantha Roses"/>
    <s v="60CM"/>
    <n v="1"/>
    <n v="360"/>
    <n v="0.52"/>
    <n v="187.2"/>
    <n v="7.7142857142857153"/>
    <s v="EUR"/>
    <m/>
    <m/>
    <x v="30"/>
    <n v="0"/>
    <x v="3"/>
    <x v="0"/>
    <n v="360"/>
    <n v="0.58777777777777773"/>
    <n v="211.6"/>
    <n v="-16.052210526315797"/>
    <n v="195.54778947368419"/>
    <x v="30"/>
    <n v="0"/>
    <m/>
    <n v="449103"/>
    <n v="28.848214285714288"/>
    <m/>
    <n v="7.2"/>
    <m/>
    <n v="36.048214285714288"/>
    <n v="159.4995751879699"/>
    <m/>
    <n v="360"/>
  </r>
  <r>
    <n v="30"/>
    <n v="2024"/>
    <s v="Auction"/>
    <s v="VROLIJK BLOEMEN"/>
    <s v="VROLIJK BLOEMEN"/>
    <x v="104"/>
    <s v="Polyantha Roses"/>
    <s v="70CM"/>
    <m/>
    <n v="200"/>
    <n v="0.61"/>
    <n v="122"/>
    <n v="4.2857142857142856"/>
    <s v="EUR"/>
    <m/>
    <m/>
    <x v="30"/>
    <n v="0"/>
    <x v="3"/>
    <x v="1"/>
    <n v="200"/>
    <n v="0.46"/>
    <n v="92"/>
    <n v="-8.9178947368421095"/>
    <n v="83.082105263157885"/>
    <x v="30"/>
    <n v="0"/>
    <m/>
    <n v="449103"/>
    <n v="16.026785714285715"/>
    <m/>
    <n v="4"/>
    <m/>
    <n v="20.026785714285715"/>
    <n v="63.05531954887217"/>
    <m/>
    <n v="200"/>
  </r>
  <r>
    <n v="31"/>
    <n v="2024"/>
    <s v="Auction"/>
    <s v="VROLIJK BLOEMEN"/>
    <s v="VROLIJK BLOEMEN"/>
    <x v="105"/>
    <s v="Polyantha Roses"/>
    <s v="90CM"/>
    <n v="1"/>
    <n v="200"/>
    <n v="0.85"/>
    <n v="170"/>
    <n v="12"/>
    <s v="EUR"/>
    <m/>
    <m/>
    <x v="30"/>
    <n v="-40"/>
    <x v="3"/>
    <x v="3"/>
    <n v="240"/>
    <n v="0.54666666666666663"/>
    <n v="131.19999999999999"/>
    <n v="-10.956279069767456"/>
    <n v="120.24372093023253"/>
    <x v="30"/>
    <n v="40"/>
    <m/>
    <n v="449612"/>
    <n v="43.698000000000008"/>
    <m/>
    <n v="4.8"/>
    <m/>
    <n v="48.498000000000005"/>
    <n v="71.745720930232523"/>
    <m/>
    <n v="240"/>
  </r>
  <r>
    <n v="31"/>
    <n v="2024"/>
    <s v="Auction"/>
    <s v="VROLIJK BLOEMEN"/>
    <s v="VROLIJK BLOEMEN"/>
    <x v="105"/>
    <s v="Polyantha Roses"/>
    <s v="70CM"/>
    <n v="1"/>
    <n v="400"/>
    <n v="0.61"/>
    <n v="244"/>
    <n v="12"/>
    <s v="EUR"/>
    <m/>
    <m/>
    <x v="30"/>
    <n v="400"/>
    <x v="3"/>
    <x v="1"/>
    <m/>
    <m/>
    <n v="0"/>
    <n v="0"/>
    <n v="0"/>
    <x v="30"/>
    <n v="-400"/>
    <m/>
    <n v="449612"/>
    <n v="43.698000000000008"/>
    <m/>
    <n v="0"/>
    <m/>
    <n v="43.698000000000008"/>
    <n v="-43.698000000000008"/>
    <m/>
    <n v="0"/>
  </r>
  <r>
    <n v="31"/>
    <n v="2024"/>
    <s v="Auction"/>
    <s v="VROLIJK BLOEMEN"/>
    <s v="VROLIJK BLOEMEN"/>
    <x v="105"/>
    <s v="Polyantha Roses"/>
    <s v="100CM"/>
    <n v="1"/>
    <n v="160"/>
    <n v="1.04"/>
    <n v="166.4"/>
    <n v="12"/>
    <s v="EUR"/>
    <m/>
    <m/>
    <x v="30"/>
    <n v="0"/>
    <x v="3"/>
    <x v="4"/>
    <n v="160"/>
    <n v="0.45"/>
    <n v="72"/>
    <n v="-7.3041860465116368"/>
    <n v="64.695813953488368"/>
    <x v="30"/>
    <n v="0"/>
    <m/>
    <n v="449612"/>
    <n v="43.698000000000008"/>
    <m/>
    <n v="3.2"/>
    <m/>
    <n v="46.89800000000001"/>
    <n v="17.797813953488358"/>
    <m/>
    <n v="160"/>
  </r>
  <r>
    <n v="31"/>
    <n v="2024"/>
    <s v="Auction"/>
    <s v="VROLIJK BLOEMEN"/>
    <s v="VROLIJK BLOEMEN"/>
    <x v="105"/>
    <s v="Grandiflora Roses"/>
    <s v="60CM"/>
    <n v="1"/>
    <n v="520"/>
    <n v="0.24"/>
    <n v="124.8"/>
    <n v="9.1764705882352935"/>
    <s v="EUR"/>
    <m/>
    <m/>
    <x v="30"/>
    <n v="40"/>
    <x v="0"/>
    <x v="0"/>
    <n v="480"/>
    <n v="0.28416666666666668"/>
    <n v="136.4"/>
    <n v="-21.912558139534912"/>
    <n v="114.4874418604651"/>
    <x v="30"/>
    <n v="-40"/>
    <m/>
    <n v="449612"/>
    <n v="33.416117647058819"/>
    <m/>
    <n v="9.6"/>
    <m/>
    <n v="43.01611764705882"/>
    <n v="71.471324213406277"/>
    <m/>
    <n v="480"/>
  </r>
  <r>
    <n v="31"/>
    <n v="2024"/>
    <s v="Auction"/>
    <s v="VROLIJK BLOEMEN"/>
    <s v="VROLIJK BLOEMEN"/>
    <x v="105"/>
    <s v="Grandiflora Roses"/>
    <s v="80CM"/>
    <m/>
    <n v="40"/>
    <n v="0.33"/>
    <n v="13.2"/>
    <n v="0.70588235294117641"/>
    <s v="EUR"/>
    <m/>
    <m/>
    <x v="30"/>
    <n v="0"/>
    <x v="0"/>
    <x v="2"/>
    <n v="40"/>
    <n v="0.27"/>
    <n v="10.8"/>
    <n v="-1.8260465116279092"/>
    <n v="8.9739534883720911"/>
    <x v="30"/>
    <n v="0"/>
    <m/>
    <n v="449612"/>
    <n v="2.5704705882352936"/>
    <m/>
    <n v="0.8"/>
    <m/>
    <n v="3.3704705882352934"/>
    <n v="5.6034829001367976"/>
    <m/>
    <n v="40"/>
  </r>
  <r>
    <n v="31"/>
    <n v="2024"/>
    <s v="Auction"/>
    <s v="VROLIJK BLOEMEN"/>
    <s v="VROLIJK BLOEMEN"/>
    <x v="105"/>
    <s v="Grandiflora Roses"/>
    <s v="70CM"/>
    <m/>
    <n v="120"/>
    <n v="0.28000000000000003"/>
    <n v="33.6"/>
    <n v="2.1176470588235294"/>
    <s v="EUR"/>
    <m/>
    <m/>
    <x v="30"/>
    <n v="0"/>
    <x v="0"/>
    <x v="1"/>
    <n v="120"/>
    <n v="0.25"/>
    <n v="30"/>
    <n v="-5.4781395348837281"/>
    <n v="24.521860465116273"/>
    <x v="30"/>
    <n v="0"/>
    <m/>
    <n v="449612"/>
    <n v="7.7114117647058826"/>
    <m/>
    <n v="2.4"/>
    <m/>
    <n v="10.111411764705883"/>
    <n v="14.41044870041039"/>
    <m/>
    <n v="120"/>
  </r>
  <r>
    <n v="31"/>
    <n v="2024"/>
    <s v="Auction"/>
    <s v="VROLIJK BLOEMEN"/>
    <s v="VROLIJK BLOEMEN"/>
    <x v="105"/>
    <s v="Polyantha Roses"/>
    <s v="60CM"/>
    <n v="1"/>
    <n v="80"/>
    <n v="0.52"/>
    <n v="41.6"/>
    <n v="3"/>
    <s v="EUR"/>
    <m/>
    <m/>
    <x v="30"/>
    <n v="0"/>
    <x v="3"/>
    <x v="0"/>
    <n v="80"/>
    <n v="0.505"/>
    <n v="40.4"/>
    <n v="-3.6520930232558184"/>
    <n v="36.747906976744183"/>
    <x v="30"/>
    <n v="0"/>
    <m/>
    <n v="449612"/>
    <n v="10.924500000000002"/>
    <m/>
    <n v="1.6"/>
    <m/>
    <n v="12.524500000000002"/>
    <n v="24.22340697674418"/>
    <m/>
    <n v="80"/>
  </r>
  <r>
    <n v="31"/>
    <n v="2024"/>
    <s v="Auction"/>
    <s v="VROLIJK BLOEMEN"/>
    <s v="VROLIJK BLOEMEN"/>
    <x v="105"/>
    <s v="Polyantha Roses"/>
    <s v="70CM"/>
    <m/>
    <n v="40"/>
    <n v="0.61"/>
    <n v="24.4"/>
    <n v="1.5"/>
    <s v="EUR"/>
    <m/>
    <m/>
    <x v="30"/>
    <n v="-400"/>
    <x v="3"/>
    <x v="1"/>
    <n v="440"/>
    <n v="0.30727272727272725"/>
    <n v="135.19999999999999"/>
    <n v="-20.086511627907001"/>
    <n v="115.11348837209299"/>
    <x v="30"/>
    <n v="400"/>
    <m/>
    <n v="449612"/>
    <n v="5.4622500000000009"/>
    <m/>
    <n v="8.8000000000000007"/>
    <m/>
    <n v="14.262250000000002"/>
    <n v="100.85123837209298"/>
    <m/>
    <n v="440"/>
  </r>
  <r>
    <n v="31"/>
    <n v="2024"/>
    <s v="Auction"/>
    <s v="VROLIJK BLOEMEN"/>
    <s v="VROLIJK BLOEMEN"/>
    <x v="105"/>
    <s v="Polyantha Roses"/>
    <s v="80CM"/>
    <m/>
    <n v="160"/>
    <n v="0.66"/>
    <n v="105.6"/>
    <n v="6"/>
    <s v="EUR"/>
    <m/>
    <m/>
    <x v="30"/>
    <n v="0"/>
    <x v="3"/>
    <x v="2"/>
    <n v="160"/>
    <n v="0.50750000000000006"/>
    <n v="81.200000000000017"/>
    <n v="-7.3041860465116368"/>
    <n v="73.895813953488386"/>
    <x v="30"/>
    <n v="0"/>
    <m/>
    <n v="449612"/>
    <n v="21.849000000000004"/>
    <m/>
    <n v="3.2"/>
    <m/>
    <n v="25.049000000000003"/>
    <n v="48.846813953488379"/>
    <m/>
    <n v="160"/>
  </r>
  <r>
    <n v="31"/>
    <n v="2024"/>
    <s v="Auction"/>
    <s v="VROLIJK BLOEMEN"/>
    <s v="VROLIJK BLOEMEN"/>
    <x v="105"/>
    <s v="Polyantha Roses"/>
    <s v="90CM"/>
    <m/>
    <n v="40"/>
    <n v="0.85"/>
    <n v="34"/>
    <n v="1.5"/>
    <s v="EUR"/>
    <m/>
    <m/>
    <x v="30"/>
    <n v="40"/>
    <x v="3"/>
    <x v="3"/>
    <m/>
    <m/>
    <n v="0"/>
    <n v="0"/>
    <n v="0"/>
    <x v="30"/>
    <n v="-40"/>
    <m/>
    <n v="449612"/>
    <n v="5.4622500000000009"/>
    <m/>
    <n v="0"/>
    <m/>
    <n v="5.4622500000000009"/>
    <n v="-5.4622500000000009"/>
    <m/>
    <n v="0"/>
  </r>
  <r>
    <n v="31"/>
    <n v="2024"/>
    <s v="Auction"/>
    <s v="VROLIJK BLOEMEN"/>
    <s v="VROLIJK BLOEMEN"/>
    <x v="106"/>
    <s v="English Roses"/>
    <s v="60CM"/>
    <n v="1"/>
    <n v="400"/>
    <n v="0.47"/>
    <n v="188"/>
    <n v="12"/>
    <s v="EUR"/>
    <m/>
    <m/>
    <x v="30"/>
    <n v="-160"/>
    <x v="1"/>
    <x v="0"/>
    <n v="560"/>
    <n v="0.32714285714285712"/>
    <n v="183.2"/>
    <n v="-20.293203883495156"/>
    <n v="162.90679611650484"/>
    <x v="30"/>
    <n v="160"/>
    <m/>
    <s v="F091722"/>
    <n v="42.882727272727273"/>
    <m/>
    <n v="11.200000000000001"/>
    <m/>
    <n v="54.082727272727276"/>
    <n v="108.82406884377755"/>
    <m/>
    <n v="560"/>
  </r>
  <r>
    <n v="31"/>
    <n v="2024"/>
    <s v="Auction"/>
    <s v="VROLIJK BLOEMEN"/>
    <s v="VROLIJK BLOEMEN"/>
    <x v="106"/>
    <s v="English Roses"/>
    <s v="100CM"/>
    <n v="1"/>
    <n v="200"/>
    <n v="0.94"/>
    <n v="188"/>
    <n v="12"/>
    <s v="EUR"/>
    <m/>
    <m/>
    <x v="30"/>
    <n v="0"/>
    <x v="1"/>
    <x v="4"/>
    <n v="200"/>
    <n v="0.26600000000000001"/>
    <n v="53.2"/>
    <n v="-7.2475728155339842"/>
    <n v="45.952427184466018"/>
    <x v="30"/>
    <n v="0"/>
    <m/>
    <s v="F091722"/>
    <n v="42.882727272727273"/>
    <m/>
    <n v="4"/>
    <m/>
    <n v="46.882727272727273"/>
    <n v="-0.9303000882612551"/>
    <m/>
    <n v="200"/>
  </r>
  <r>
    <n v="31"/>
    <n v="2024"/>
    <s v="Auction"/>
    <s v="VROLIJK BLOEMEN"/>
    <s v="VROLIJK BLOEMEN"/>
    <x v="106"/>
    <s v="Floribunda Roses"/>
    <s v="60CM"/>
    <n v="1"/>
    <n v="520"/>
    <n v="0.47"/>
    <n v="244.4"/>
    <n v="12"/>
    <s v="EUR"/>
    <m/>
    <m/>
    <x v="30"/>
    <n v="520"/>
    <x v="2"/>
    <x v="0"/>
    <m/>
    <m/>
    <n v="0"/>
    <n v="0"/>
    <n v="0"/>
    <x v="30"/>
    <n v="-520"/>
    <m/>
    <s v="F091722"/>
    <n v="42.882727272727273"/>
    <m/>
    <n v="0"/>
    <m/>
    <n v="42.882727272727273"/>
    <n v="-42.882727272727273"/>
    <m/>
    <n v="0"/>
  </r>
  <r>
    <n v="31"/>
    <n v="2024"/>
    <s v="Auction"/>
    <s v="VROLIJK BLOEMEN"/>
    <s v="VROLIJK BLOEMEN"/>
    <x v="106"/>
    <s v="Polyantha Roses"/>
    <s v="60CM"/>
    <n v="1"/>
    <n v="480"/>
    <n v="0.52"/>
    <n v="249.6"/>
    <n v="12"/>
    <s v="EUR"/>
    <m/>
    <m/>
    <x v="30"/>
    <n v="480"/>
    <x v="3"/>
    <x v="0"/>
    <m/>
    <m/>
    <n v="0"/>
    <n v="0"/>
    <n v="0"/>
    <x v="30"/>
    <n v="-480"/>
    <m/>
    <s v="F091722"/>
    <n v="42.882727272727273"/>
    <m/>
    <n v="0"/>
    <m/>
    <n v="42.882727272727273"/>
    <n v="-42.882727272727273"/>
    <m/>
    <n v="0"/>
  </r>
  <r>
    <n v="31"/>
    <n v="2024"/>
    <s v="Auction"/>
    <s v="VROLIJK BLOEMEN"/>
    <s v="VROLIJK BLOEMEN"/>
    <x v="106"/>
    <s v="Polyantha Roses"/>
    <s v="70CM"/>
    <n v="1"/>
    <n v="360"/>
    <n v="0.61"/>
    <n v="219.6"/>
    <n v="12"/>
    <s v="EUR"/>
    <m/>
    <m/>
    <x v="30"/>
    <n v="0"/>
    <x v="3"/>
    <x v="1"/>
    <n v="360"/>
    <n v="0.11222222222222222"/>
    <n v="40.4"/>
    <n v="-13.045631067961171"/>
    <n v="27.354368932038827"/>
    <x v="30"/>
    <n v="0"/>
    <m/>
    <s v="F091722"/>
    <n v="42.882727272727273"/>
    <m/>
    <n v="7.2"/>
    <m/>
    <n v="50.082727272727276"/>
    <n v="-22.728358340688448"/>
    <m/>
    <n v="360"/>
  </r>
  <r>
    <n v="31"/>
    <n v="2024"/>
    <s v="Auction"/>
    <s v="VROLIJK BLOEMEN"/>
    <s v="VROLIJK BLOEMEN"/>
    <x v="106"/>
    <s v="English Roses"/>
    <s v="60CM"/>
    <n v="1"/>
    <n v="160"/>
    <n v="0.47"/>
    <n v="75.2"/>
    <n v="6"/>
    <s v="EUR"/>
    <m/>
    <m/>
    <x v="30"/>
    <n v="-480"/>
    <x v="1"/>
    <x v="0"/>
    <n v="640"/>
    <n v="0.19562499999999999"/>
    <n v="125.19999999999999"/>
    <n v="-23.192233009708747"/>
    <n v="102.00776699029124"/>
    <x v="30"/>
    <n v="480"/>
    <m/>
    <s v="F091722"/>
    <n v="21.441363636363636"/>
    <m/>
    <n v="12.8"/>
    <m/>
    <n v="34.241363636363637"/>
    <n v="67.766403353927615"/>
    <m/>
    <n v="640"/>
  </r>
  <r>
    <n v="31"/>
    <n v="2024"/>
    <s v="Auction"/>
    <s v="VROLIJK BLOEMEN"/>
    <s v="VROLIJK BLOEMEN"/>
    <x v="106"/>
    <s v="English Roses"/>
    <s v="70CM"/>
    <m/>
    <n v="160"/>
    <n v="0.52"/>
    <n v="83.2"/>
    <n v="6"/>
    <s v="EUR"/>
    <m/>
    <m/>
    <x v="30"/>
    <n v="0"/>
    <x v="1"/>
    <x v="1"/>
    <n v="160"/>
    <n v="0.13999999999999999"/>
    <n v="22.4"/>
    <n v="-5.7980582524271869"/>
    <n v="16.601941747572813"/>
    <x v="30"/>
    <n v="0"/>
    <m/>
    <s v="F091722"/>
    <n v="21.441363636363636"/>
    <m/>
    <n v="3.2"/>
    <m/>
    <n v="24.641363636363636"/>
    <n v="-8.0394218887908231"/>
    <m/>
    <n v="160"/>
  </r>
  <r>
    <n v="31"/>
    <n v="2024"/>
    <s v="Auction"/>
    <s v="VROLIJK BLOEMEN"/>
    <s v="VROLIJK BLOEMEN"/>
    <x v="106"/>
    <s v="Floribunda Roses"/>
    <s v="60CM"/>
    <n v="1"/>
    <n v="240"/>
    <n v="0.47"/>
    <n v="112.8"/>
    <n v="8"/>
    <s v="EUR"/>
    <m/>
    <m/>
    <x v="30"/>
    <n v="-520"/>
    <x v="2"/>
    <x v="0"/>
    <n v="760"/>
    <n v="0.28789473684210526"/>
    <n v="218.79999999999998"/>
    <n v="-27.540776699029141"/>
    <n v="191.25922330097083"/>
    <x v="30"/>
    <n v="520"/>
    <m/>
    <s v="F091722"/>
    <n v="28.58848484848485"/>
    <m/>
    <n v="15.200000000000001"/>
    <m/>
    <n v="43.788484848484849"/>
    <n v="147.47073845248599"/>
    <m/>
    <n v="760"/>
  </r>
  <r>
    <n v="31"/>
    <n v="2024"/>
    <s v="Auction"/>
    <s v="VROLIJK BLOEMEN"/>
    <s v="VROLIJK BLOEMEN"/>
    <x v="106"/>
    <s v="Floribunda Roses"/>
    <s v="70CM"/>
    <m/>
    <n v="120"/>
    <n v="0.52"/>
    <n v="62.4"/>
    <n v="4"/>
    <s v="EUR"/>
    <m/>
    <m/>
    <x v="30"/>
    <n v="0"/>
    <x v="2"/>
    <x v="1"/>
    <n v="120"/>
    <n v="0.53333333333333333"/>
    <n v="64"/>
    <n v="-4.3485436893203904"/>
    <n v="59.651456310679606"/>
    <x v="30"/>
    <n v="0"/>
    <m/>
    <s v="F091722"/>
    <n v="14.294242424242425"/>
    <m/>
    <n v="2.4"/>
    <m/>
    <n v="16.694242424242425"/>
    <n v="42.957213886437181"/>
    <m/>
    <n v="120"/>
  </r>
  <r>
    <n v="31"/>
    <n v="2024"/>
    <s v="Auction"/>
    <s v="VROLIJK BLOEMEN"/>
    <s v="VROLIJK BLOEMEN"/>
    <x v="106"/>
    <s v="Polyantha Roses"/>
    <s v="60CM"/>
    <n v="1"/>
    <n v="160"/>
    <n v="0.52"/>
    <n v="83.2"/>
    <n v="5.333333333333333"/>
    <s v="EUR"/>
    <m/>
    <m/>
    <x v="30"/>
    <n v="160"/>
    <x v="3"/>
    <x v="0"/>
    <m/>
    <m/>
    <n v="0"/>
    <n v="0"/>
    <n v="0"/>
    <x v="30"/>
    <n v="-160"/>
    <m/>
    <s v="F091722"/>
    <n v="19.058989898989896"/>
    <m/>
    <n v="0"/>
    <m/>
    <n v="19.058989898989896"/>
    <n v="-19.058989898989896"/>
    <m/>
    <n v="0"/>
  </r>
  <r>
    <n v="31"/>
    <n v="2024"/>
    <s v="Auction"/>
    <s v="VROLIJK BLOEMEN"/>
    <s v="VROLIJK BLOEMEN"/>
    <x v="106"/>
    <s v="Polyantha Roses"/>
    <s v="80CM"/>
    <m/>
    <n v="200"/>
    <n v="0.66"/>
    <n v="132"/>
    <n v="6.666666666666667"/>
    <s v="EUR"/>
    <m/>
    <m/>
    <x v="30"/>
    <n v="0"/>
    <x v="3"/>
    <x v="2"/>
    <n v="200"/>
    <n v="7.2000000000000008E-2"/>
    <n v="14.400000000000002"/>
    <n v="-7.2475728155339842"/>
    <n v="7.1524271844660179"/>
    <x v="30"/>
    <n v="0"/>
    <m/>
    <s v="F091722"/>
    <n v="23.823737373737373"/>
    <m/>
    <n v="4"/>
    <m/>
    <n v="27.823737373737373"/>
    <n v="-20.671310189271356"/>
    <m/>
    <n v="200"/>
  </r>
  <r>
    <n v="31"/>
    <n v="2024"/>
    <s v="Auction"/>
    <s v="VROLIJK BLOEMEN"/>
    <s v="VROLIJK BLOEMEN"/>
    <x v="106"/>
    <s v="Polyantha Roses"/>
    <s v="90CM"/>
    <n v="1"/>
    <n v="160"/>
    <n v="0.85"/>
    <n v="136"/>
    <n v="6.8571428571428568"/>
    <s v="EUR"/>
    <m/>
    <m/>
    <x v="30"/>
    <n v="0"/>
    <x v="3"/>
    <x v="3"/>
    <n v="160"/>
    <n v="0.03"/>
    <n v="4.8"/>
    <n v="-5.7980582524271869"/>
    <n v="-0.99805825242718704"/>
    <x v="30"/>
    <n v="0"/>
    <m/>
    <s v="F091722"/>
    <n v="24.504415584415582"/>
    <m/>
    <n v="3.2"/>
    <m/>
    <n v="27.704415584415582"/>
    <n v="-28.702473836842771"/>
    <m/>
    <n v="160"/>
  </r>
  <r>
    <n v="31"/>
    <n v="2024"/>
    <s v="Auction"/>
    <s v="VROLIJK BLOEMEN"/>
    <s v="VROLIJK BLOEMEN"/>
    <x v="106"/>
    <s v="Polyantha Roses"/>
    <s v="100CM"/>
    <m/>
    <n v="120"/>
    <n v="1.04"/>
    <n v="124.8"/>
    <n v="5.1428571428571423"/>
    <s v="EUR"/>
    <m/>
    <m/>
    <x v="30"/>
    <n v="0"/>
    <x v="3"/>
    <x v="4"/>
    <n v="120"/>
    <n v="0.53"/>
    <n v="63.6"/>
    <n v="-4.3485436893203904"/>
    <n v="59.251456310679615"/>
    <x v="30"/>
    <n v="0"/>
    <m/>
    <s v="F091722"/>
    <n v="18.378311688311687"/>
    <m/>
    <n v="2.4"/>
    <m/>
    <n v="20.778311688311685"/>
    <n v="38.473144622367926"/>
    <m/>
    <n v="120"/>
  </r>
  <r>
    <n v="31"/>
    <n v="2024"/>
    <s v="Auction"/>
    <s v="VROLIJK BLOEMEN"/>
    <s v="VROLIJK BLOEMEN"/>
    <x v="106"/>
    <s v="Grandiflora Roses"/>
    <s v="80CM"/>
    <n v="1"/>
    <n v="160"/>
    <n v="0.33"/>
    <n v="52.8"/>
    <n v="6.8571428571428568"/>
    <s v="EUR"/>
    <m/>
    <m/>
    <x v="30"/>
    <n v="0"/>
    <x v="0"/>
    <x v="2"/>
    <n v="160"/>
    <n v="0.26"/>
    <n v="41.6"/>
    <n v="-5.7980582524271869"/>
    <n v="35.801941747572812"/>
    <x v="30"/>
    <n v="0"/>
    <m/>
    <s v="F091722"/>
    <n v="24.504415584415582"/>
    <m/>
    <n v="3.2"/>
    <m/>
    <n v="27.704415584415582"/>
    <n v="8.0975261631572302"/>
    <m/>
    <n v="160"/>
  </r>
  <r>
    <n v="31"/>
    <n v="2024"/>
    <s v="Auction"/>
    <s v="VROLIJK BLOEMEN"/>
    <s v="VROLIJK BLOEMEN"/>
    <x v="106"/>
    <s v="Grandiflora Roses"/>
    <s v="90CM"/>
    <m/>
    <n v="80"/>
    <n v="0.38"/>
    <n v="30.4"/>
    <n v="3.4285714285714284"/>
    <s v="EUR"/>
    <m/>
    <m/>
    <x v="30"/>
    <n v="0"/>
    <x v="0"/>
    <x v="3"/>
    <n v="80"/>
    <n v="0.27999999999999997"/>
    <n v="22.4"/>
    <n v="-2.8990291262135934"/>
    <n v="19.500970873786404"/>
    <x v="30"/>
    <n v="0"/>
    <m/>
    <s v="F091722"/>
    <n v="12.252207792207791"/>
    <m/>
    <n v="1.6"/>
    <m/>
    <n v="13.852207792207791"/>
    <n v="5.648763081578613"/>
    <m/>
    <n v="80"/>
  </r>
  <r>
    <n v="31"/>
    <n v="2024"/>
    <s v="Auction"/>
    <s v="VROLIJK BLOEMEN"/>
    <s v="VROLIJK BLOEMEN"/>
    <x v="106"/>
    <s v="Grandiflora Roses"/>
    <s v="100CM"/>
    <m/>
    <n v="40"/>
    <n v="0.47"/>
    <n v="18.8"/>
    <n v="1.7142857142857142"/>
    <s v="EUR"/>
    <m/>
    <m/>
    <x v="30"/>
    <n v="0"/>
    <x v="0"/>
    <x v="4"/>
    <n v="40"/>
    <n v="0.38"/>
    <n v="15.2"/>
    <n v="-1.4495145631067967"/>
    <n v="13.750485436893202"/>
    <x v="30"/>
    <n v="0"/>
    <m/>
    <s v="F091722"/>
    <n v="6.1261038961038956"/>
    <m/>
    <n v="0.8"/>
    <m/>
    <n v="6.9261038961038954"/>
    <n v="6.8243815407893065"/>
    <m/>
    <n v="40"/>
  </r>
  <r>
    <n v="31"/>
    <n v="2024"/>
    <s v="Auction"/>
    <s v="VROLIJK BLOEMEN"/>
    <s v="VROLIJK BLOEMEN"/>
    <x v="106"/>
    <s v="Grandiflora Roses"/>
    <s v="70CM"/>
    <n v="1"/>
    <n v="280"/>
    <n v="0.28000000000000003"/>
    <n v="78.400000000000006"/>
    <n v="6"/>
    <s v="EUR"/>
    <m/>
    <m/>
    <x v="30"/>
    <n v="40"/>
    <x v="0"/>
    <x v="1"/>
    <n v="240"/>
    <n v="0.33999999999999997"/>
    <n v="81.599999999999994"/>
    <n v="-8.6970873786407807"/>
    <n v="72.902912621359206"/>
    <x v="30"/>
    <n v="-40"/>
    <m/>
    <s v="F091722"/>
    <n v="21.441363636363636"/>
    <m/>
    <n v="4.8"/>
    <m/>
    <n v="26.241363636363637"/>
    <n v="46.661548984995569"/>
    <m/>
    <n v="240"/>
  </r>
  <r>
    <n v="31"/>
    <n v="2024"/>
    <s v="Auction"/>
    <s v="VROLIJK BLOEMEN"/>
    <s v="VROLIJK BLOEMEN"/>
    <x v="106"/>
    <s v="Grandiflora Roses"/>
    <s v="60CM"/>
    <m/>
    <n v="280"/>
    <n v="0.24"/>
    <n v="67.2"/>
    <n v="6"/>
    <s v="EUR"/>
    <m/>
    <m/>
    <x v="30"/>
    <n v="-40"/>
    <x v="0"/>
    <x v="0"/>
    <n v="320"/>
    <n v="0.27"/>
    <n v="86.4"/>
    <n v="-11.596116504854374"/>
    <n v="74.803883495145627"/>
    <x v="30"/>
    <n v="40"/>
    <m/>
    <s v="F091722"/>
    <n v="21.441363636363636"/>
    <m/>
    <n v="6.4"/>
    <m/>
    <n v="27.841363636363639"/>
    <n v="46.962519858781988"/>
    <m/>
    <n v="320"/>
  </r>
  <r>
    <n v="31"/>
    <n v="2024"/>
    <s v="Auction"/>
    <s v="VROLIJK BLOEMEN"/>
    <s v="VROLIJK BLOEMEN"/>
    <x v="107"/>
    <s v="Polyantha Roses"/>
    <s v="100CM"/>
    <n v="1"/>
    <n v="200"/>
    <n v="1.04"/>
    <n v="208"/>
    <n v="12"/>
    <s v="EUR"/>
    <m/>
    <m/>
    <x v="31"/>
    <n v="200"/>
    <x v="3"/>
    <x v="4"/>
    <m/>
    <m/>
    <n v="0"/>
    <n v="0"/>
    <n v="0"/>
    <x v="31"/>
    <n v="-200"/>
    <m/>
    <n v="450172"/>
    <n v="41.995714285714286"/>
    <m/>
    <n v="0"/>
    <m/>
    <n v="41.995714285714286"/>
    <n v="-41.995714285714286"/>
    <m/>
    <n v="0"/>
  </r>
  <r>
    <n v="31"/>
    <n v="2024"/>
    <s v="Auction"/>
    <s v="VROLIJK BLOEMEN"/>
    <s v="VROLIJK BLOEMEN"/>
    <x v="107"/>
    <s v="English Roses"/>
    <s v="60CM"/>
    <n v="1"/>
    <n v="480"/>
    <n v="0.47"/>
    <n v="225.6"/>
    <n v="12"/>
    <s v="EUR"/>
    <m/>
    <m/>
    <x v="31"/>
    <n v="0"/>
    <x v="1"/>
    <x v="0"/>
    <n v="480"/>
    <n v="0.75083333333333324"/>
    <n v="360.4"/>
    <n v="-32.33523809523809"/>
    <n v="328.06476190476189"/>
    <x v="31"/>
    <n v="0"/>
    <m/>
    <n v="450172"/>
    <n v="41.995714285714286"/>
    <m/>
    <n v="9.6"/>
    <m/>
    <n v="51.595714285714287"/>
    <n v="276.46904761904761"/>
    <m/>
    <n v="480"/>
  </r>
  <r>
    <n v="31"/>
    <n v="2024"/>
    <s v="Auction"/>
    <s v="VROLIJK BLOEMEN"/>
    <s v="VROLIJK BLOEMEN"/>
    <x v="107"/>
    <s v="Polyantha Roses"/>
    <s v="90CM"/>
    <n v="1"/>
    <n v="200"/>
    <n v="0.85"/>
    <n v="170"/>
    <n v="10"/>
    <s v="EUR"/>
    <m/>
    <m/>
    <x v="31"/>
    <n v="0"/>
    <x v="3"/>
    <x v="3"/>
    <n v="200"/>
    <n v="0.56399999999999995"/>
    <n v="112.8"/>
    <n v="-13.473015873015873"/>
    <n v="99.326984126984115"/>
    <x v="31"/>
    <n v="0"/>
    <m/>
    <n v="450172"/>
    <n v="34.996428571428574"/>
    <m/>
    <n v="4"/>
    <m/>
    <n v="38.996428571428574"/>
    <n v="60.330555555555542"/>
    <m/>
    <n v="200"/>
  </r>
  <r>
    <n v="31"/>
    <n v="2024"/>
    <s v="Auction"/>
    <s v="VROLIJK BLOEMEN"/>
    <s v="VROLIJK BLOEMEN"/>
    <x v="107"/>
    <s v="Polyantha Roses"/>
    <s v="100CM"/>
    <m/>
    <n v="40"/>
    <n v="1.04"/>
    <n v="41.6"/>
    <n v="2"/>
    <s v="EUR"/>
    <m/>
    <m/>
    <x v="31"/>
    <n v="-200"/>
    <x v="3"/>
    <x v="4"/>
    <n v="240"/>
    <n v="0.45500000000000002"/>
    <n v="109.2"/>
    <n v="-16.167619047619045"/>
    <n v="93.032380952380962"/>
    <x v="31"/>
    <n v="200"/>
    <m/>
    <n v="450172"/>
    <n v="6.9992857142857146"/>
    <m/>
    <n v="4.8"/>
    <m/>
    <n v="11.799285714285714"/>
    <n v="81.233095238095245"/>
    <m/>
    <n v="240"/>
  </r>
  <r>
    <n v="31"/>
    <n v="2024"/>
    <s v="Auction"/>
    <s v="VROLIJK BLOEMEN"/>
    <s v="VROLIJK BLOEMEN"/>
    <x v="107"/>
    <s v="English Roses"/>
    <s v="70CM"/>
    <n v="1"/>
    <n v="80"/>
    <n v="0.52"/>
    <n v="41.6"/>
    <n v="4"/>
    <s v="EUR"/>
    <m/>
    <m/>
    <x v="31"/>
    <n v="0"/>
    <x v="1"/>
    <x v="1"/>
    <n v="80"/>
    <n v="0.89"/>
    <n v="71.2"/>
    <n v="-5.3892063492063489"/>
    <n v="65.810793650793656"/>
    <x v="31"/>
    <n v="0"/>
    <m/>
    <n v="450172"/>
    <n v="13.998571428571429"/>
    <m/>
    <n v="1.6"/>
    <m/>
    <n v="15.598571428571429"/>
    <n v="50.212222222222223"/>
    <m/>
    <n v="80"/>
  </r>
  <r>
    <n v="31"/>
    <n v="2024"/>
    <s v="Auction"/>
    <s v="VROLIJK BLOEMEN"/>
    <s v="VROLIJK BLOEMEN"/>
    <x v="107"/>
    <s v="English Roses"/>
    <s v="90CM"/>
    <m/>
    <n v="120"/>
    <n v="0.75"/>
    <n v="90"/>
    <n v="6"/>
    <s v="EUR"/>
    <m/>
    <m/>
    <x v="31"/>
    <n v="0"/>
    <x v="1"/>
    <x v="3"/>
    <n v="120"/>
    <n v="0.89333333333333331"/>
    <n v="107.2"/>
    <n v="-8.0838095238095224"/>
    <n v="99.116190476190482"/>
    <x v="31"/>
    <n v="0"/>
    <m/>
    <n v="450172"/>
    <n v="20.997857142857143"/>
    <m/>
    <n v="2.4"/>
    <m/>
    <n v="23.397857142857141"/>
    <n v="75.718333333333334"/>
    <m/>
    <n v="120"/>
  </r>
  <r>
    <n v="31"/>
    <n v="2024"/>
    <s v="Auction"/>
    <s v="VROLIJK BLOEMEN"/>
    <s v="VROLIJK BLOEMEN"/>
    <x v="107"/>
    <s v="English Roses"/>
    <s v="100CM"/>
    <m/>
    <n v="40"/>
    <n v="0.94"/>
    <n v="37.6"/>
    <n v="2"/>
    <s v="EUR"/>
    <m/>
    <m/>
    <x v="31"/>
    <n v="0"/>
    <x v="1"/>
    <x v="4"/>
    <n v="40"/>
    <n v="0.91999999999999993"/>
    <n v="36.799999999999997"/>
    <n v="-2.6946031746031744"/>
    <n v="34.105396825396824"/>
    <x v="31"/>
    <n v="0"/>
    <m/>
    <n v="450172"/>
    <n v="6.9992857142857146"/>
    <m/>
    <n v="0.8"/>
    <m/>
    <n v="7.7992857142857144"/>
    <n v="26.306111111111107"/>
    <m/>
    <n v="40"/>
  </r>
  <r>
    <n v="31"/>
    <n v="2024"/>
    <s v="Auction"/>
    <s v="VROLIJK BLOEMEN"/>
    <s v="VROLIJK BLOEMEN"/>
    <x v="107"/>
    <s v="Grandiflora Roses"/>
    <s v="60CM"/>
    <n v="1"/>
    <n v="160"/>
    <n v="0.24"/>
    <n v="38.4"/>
    <n v="3.4285714285714284"/>
    <s v="EUR"/>
    <m/>
    <m/>
    <x v="31"/>
    <n v="0"/>
    <x v="0"/>
    <x v="0"/>
    <n v="160"/>
    <n v="0.25"/>
    <n v="40"/>
    <n v="-10.778412698412698"/>
    <n v="29.221587301587302"/>
    <x v="31"/>
    <n v="0"/>
    <m/>
    <n v="450172"/>
    <n v="11.998775510204082"/>
    <m/>
    <n v="3.2"/>
    <m/>
    <n v="15.198775510204083"/>
    <n v="14.022811791383219"/>
    <m/>
    <n v="160"/>
  </r>
  <r>
    <n v="31"/>
    <n v="2024"/>
    <s v="Auction"/>
    <s v="VROLIJK BLOEMEN"/>
    <s v="VROLIJK BLOEMEN"/>
    <x v="107"/>
    <s v="Grandiflora Roses"/>
    <s v="70CM"/>
    <m/>
    <n v="40"/>
    <n v="0.28000000000000003"/>
    <n v="11.2"/>
    <n v="0.8571428571428571"/>
    <s v="EUR"/>
    <m/>
    <m/>
    <x v="31"/>
    <n v="0"/>
    <x v="0"/>
    <x v="1"/>
    <n v="40"/>
    <n v="0.27999999999999997"/>
    <n v="11.2"/>
    <n v="-2.6946031746031744"/>
    <n v="8.5053968253968257"/>
    <x v="31"/>
    <n v="0"/>
    <m/>
    <n v="450172"/>
    <n v="2.9996938775510205"/>
    <m/>
    <n v="0.8"/>
    <m/>
    <n v="3.7996938775510207"/>
    <n v="4.705702947845805"/>
    <m/>
    <n v="40"/>
  </r>
  <r>
    <n v="31"/>
    <n v="2024"/>
    <s v="Auction"/>
    <s v="VROLIJK BLOEMEN"/>
    <s v="VROLIJK BLOEMEN"/>
    <x v="107"/>
    <s v="Grandiflora Roses"/>
    <s v="80CM"/>
    <m/>
    <n v="80"/>
    <n v="0.33"/>
    <n v="26.4"/>
    <n v="1.7142857142857142"/>
    <s v="EUR"/>
    <m/>
    <m/>
    <x v="31"/>
    <n v="0"/>
    <x v="0"/>
    <x v="2"/>
    <n v="80"/>
    <n v="0.22000000000000003"/>
    <n v="17.600000000000001"/>
    <n v="-5.3892063492063489"/>
    <n v="12.210793650793653"/>
    <x v="31"/>
    <n v="0"/>
    <m/>
    <n v="450172"/>
    <n v="5.9993877551020409"/>
    <m/>
    <n v="1.6"/>
    <m/>
    <n v="7.5993877551020415"/>
    <n v="4.6114058956916111"/>
    <m/>
    <n v="80"/>
  </r>
  <r>
    <n v="31"/>
    <n v="2024"/>
    <s v="Auction"/>
    <s v="VROLIJK BLOEMEN"/>
    <s v="VROLIJK BLOEMEN"/>
    <x v="107"/>
    <s v="Grandiflora Roses"/>
    <s v="90CM"/>
    <m/>
    <n v="80"/>
    <n v="0.38"/>
    <n v="30.4"/>
    <n v="1.7142857142857142"/>
    <s v="EUR"/>
    <m/>
    <m/>
    <x v="31"/>
    <n v="0"/>
    <x v="0"/>
    <x v="3"/>
    <n v="80"/>
    <n v="0.36"/>
    <n v="28.799999999999997"/>
    <n v="-5.3892063492063489"/>
    <n v="23.41079365079365"/>
    <x v="31"/>
    <n v="0"/>
    <m/>
    <n v="450172"/>
    <n v="5.9993877551020409"/>
    <m/>
    <n v="1.6"/>
    <m/>
    <n v="7.5993877551020415"/>
    <n v="15.811405895691609"/>
    <m/>
    <n v="80"/>
  </r>
  <r>
    <n v="31"/>
    <n v="2024"/>
    <s v="Auction"/>
    <s v="VROLIJK BLOEMEN"/>
    <s v="VROLIJK BLOEMEN"/>
    <x v="107"/>
    <s v="Moss Roses"/>
    <s v="70CM"/>
    <m/>
    <n v="160"/>
    <n v="0.28000000000000003"/>
    <n v="44.8"/>
    <n v="3.4285714285714284"/>
    <s v="EUR"/>
    <m/>
    <m/>
    <x v="31"/>
    <n v="0"/>
    <x v="4"/>
    <x v="1"/>
    <n v="160"/>
    <n v="1.2949999999999999"/>
    <n v="207.2"/>
    <n v="-10.778412698412698"/>
    <n v="196.42158730158729"/>
    <x v="31"/>
    <n v="0"/>
    <m/>
    <n v="450172"/>
    <n v="11.998775510204082"/>
    <m/>
    <n v="3.2"/>
    <m/>
    <n v="15.198775510204083"/>
    <n v="181.22281179138321"/>
    <m/>
    <n v="160"/>
  </r>
  <r>
    <n v="31"/>
    <n v="2024"/>
    <s v="Auction"/>
    <s v="VROLIJK BLOEMEN"/>
    <s v="VROLIJK BLOEMEN"/>
    <x v="107"/>
    <s v="Moss Roses"/>
    <s v="80CM"/>
    <m/>
    <n v="40"/>
    <n v="0.33"/>
    <n v="13.2"/>
    <n v="0.8571428571428571"/>
    <s v="EUR"/>
    <m/>
    <m/>
    <x v="31"/>
    <n v="0"/>
    <x v="4"/>
    <x v="2"/>
    <n v="40"/>
    <n v="1.22"/>
    <n v="48.8"/>
    <n v="-2.6946031746031744"/>
    <n v="46.105396825396824"/>
    <x v="31"/>
    <n v="0"/>
    <m/>
    <n v="450172"/>
    <n v="2.9996938775510205"/>
    <m/>
    <n v="0.8"/>
    <m/>
    <n v="3.7996938775510207"/>
    <n v="42.305702947845802"/>
    <m/>
    <n v="40"/>
  </r>
  <r>
    <n v="31"/>
    <n v="2024"/>
    <s v="Auction"/>
    <s v="VROLIJK BLOEMEN"/>
    <s v="VROLIJK BLOEMEN"/>
    <x v="107"/>
    <s v="Floribunda Roses"/>
    <s v="90CM"/>
    <n v="1"/>
    <n v="40"/>
    <n v="0.75"/>
    <n v="30"/>
    <n v="1"/>
    <s v="EUR"/>
    <m/>
    <m/>
    <x v="31"/>
    <n v="0"/>
    <x v="2"/>
    <x v="3"/>
    <n v="40"/>
    <n v="0.97"/>
    <n v="38.799999999999997"/>
    <n v="-2.6946031746031744"/>
    <n v="36.105396825396824"/>
    <x v="31"/>
    <n v="0"/>
    <m/>
    <n v="450172"/>
    <n v="3.4996428571428573"/>
    <m/>
    <n v="0.8"/>
    <m/>
    <n v="4.2996428571428575"/>
    <n v="31.805753968253967"/>
    <m/>
    <n v="40"/>
  </r>
  <r>
    <n v="31"/>
    <n v="2024"/>
    <s v="Auction"/>
    <s v="VROLIJK BLOEMEN"/>
    <s v="VROLIJK BLOEMEN"/>
    <x v="107"/>
    <s v="Floribunda Roses"/>
    <s v="60CM"/>
    <m/>
    <n v="440"/>
    <n v="0.47"/>
    <n v="206.8"/>
    <n v="11"/>
    <s v="EUR"/>
    <m/>
    <m/>
    <x v="31"/>
    <n v="0"/>
    <x v="2"/>
    <x v="0"/>
    <n v="440"/>
    <n v="0.80909090909090908"/>
    <n v="356"/>
    <n v="-29.64063492063492"/>
    <n v="326.35936507936509"/>
    <x v="31"/>
    <n v="0"/>
    <m/>
    <n v="450172"/>
    <n v="38.496071428571433"/>
    <m/>
    <n v="8.8000000000000007"/>
    <m/>
    <n v="47.296071428571437"/>
    <n v="279.06329365079364"/>
    <m/>
    <n v="440"/>
  </r>
  <r>
    <n v="31"/>
    <n v="2024"/>
    <s v="Auction"/>
    <s v="VROLIJK BLOEMEN"/>
    <s v="VROLIJK BLOEMEN"/>
    <x v="107"/>
    <s v="Polyantha Roses"/>
    <s v="60CM"/>
    <n v="1"/>
    <n v="200"/>
    <n v="0.52"/>
    <n v="104"/>
    <n v="7.5"/>
    <s v="EUR"/>
    <m/>
    <m/>
    <x v="31"/>
    <n v="0"/>
    <x v="3"/>
    <x v="0"/>
    <n v="200"/>
    <n v="0.37"/>
    <n v="74"/>
    <n v="-13.473015873015873"/>
    <n v="60.526984126984125"/>
    <x v="31"/>
    <n v="0"/>
    <m/>
    <n v="450172"/>
    <n v="26.247321428571432"/>
    <m/>
    <n v="4"/>
    <m/>
    <n v="30.247321428571432"/>
    <n v="30.279662698412693"/>
    <m/>
    <n v="200"/>
  </r>
  <r>
    <n v="31"/>
    <n v="2024"/>
    <s v="Auction"/>
    <s v="VROLIJK BLOEMEN"/>
    <s v="VROLIJK BLOEMEN"/>
    <x v="107"/>
    <s v="Polyantha Roses"/>
    <s v="80CM"/>
    <m/>
    <n v="40"/>
    <n v="0.66"/>
    <n v="26.4"/>
    <n v="1.5"/>
    <s v="EUR"/>
    <m/>
    <m/>
    <x v="31"/>
    <n v="0"/>
    <x v="3"/>
    <x v="2"/>
    <n v="40"/>
    <n v="0.37"/>
    <n v="14.8"/>
    <n v="-2.6946031746031744"/>
    <n v="12.105396825396827"/>
    <x v="31"/>
    <n v="0"/>
    <m/>
    <n v="450172"/>
    <n v="5.2494642857142857"/>
    <m/>
    <n v="0.8"/>
    <m/>
    <n v="6.0494642857142855"/>
    <n v="6.0559325396825416"/>
    <m/>
    <n v="40"/>
  </r>
  <r>
    <n v="31"/>
    <n v="2024"/>
    <s v="Auction"/>
    <s v="VROLIJK BLOEMEN"/>
    <s v="VROLIJK BLOEMEN"/>
    <x v="107"/>
    <s v="Polyantha Roses"/>
    <s v="70CM"/>
    <m/>
    <n v="80"/>
    <n v="0.61"/>
    <n v="48.8"/>
    <n v="3"/>
    <s v="EUR"/>
    <m/>
    <m/>
    <x v="31"/>
    <n v="0"/>
    <x v="3"/>
    <x v="1"/>
    <n v="80"/>
    <n v="0.36"/>
    <n v="28.799999999999997"/>
    <n v="-5.3892063492063489"/>
    <n v="23.41079365079365"/>
    <x v="31"/>
    <n v="0"/>
    <m/>
    <n v="450172"/>
    <n v="10.498928571428571"/>
    <m/>
    <n v="1.6"/>
    <m/>
    <n v="12.098928571428571"/>
    <n v="11.311865079365079"/>
    <m/>
    <n v="80"/>
  </r>
  <r>
    <n v="32"/>
    <n v="2024"/>
    <s v="Auction"/>
    <s v="VROLIJK BLOEMEN"/>
    <s v="VROLIJK BLOEMEN"/>
    <x v="108"/>
    <s v="Polyantha Roses"/>
    <s v="60CM"/>
    <n v="1"/>
    <n v="440"/>
    <n v="0.52"/>
    <n v="228.8"/>
    <n v="12"/>
    <s v="EUR"/>
    <m/>
    <m/>
    <x v="31"/>
    <n v="440"/>
    <x v="3"/>
    <x v="0"/>
    <m/>
    <m/>
    <n v="0"/>
    <n v="0"/>
    <n v="0"/>
    <x v="31"/>
    <n v="-440"/>
    <m/>
    <n v="450309"/>
    <n v="45.626000000000005"/>
    <m/>
    <n v="0"/>
    <m/>
    <n v="45.626000000000005"/>
    <n v="-45.626000000000005"/>
    <m/>
    <n v="0"/>
  </r>
  <r>
    <n v="32"/>
    <n v="2024"/>
    <s v="Auction"/>
    <s v="VROLIJK BLOEMEN"/>
    <s v="VROLIJK BLOEMEN"/>
    <x v="108"/>
    <s v="English Roses"/>
    <s v="60CM"/>
    <n v="1"/>
    <n v="480"/>
    <n v="0.47"/>
    <n v="225.6"/>
    <n v="12"/>
    <s v="EUR"/>
    <m/>
    <m/>
    <x v="31"/>
    <n v="0"/>
    <x v="1"/>
    <x v="0"/>
    <n v="480"/>
    <n v="0.32583333333333336"/>
    <n v="156.4"/>
    <n v="-20.873333333333349"/>
    <n v="135.52666666666664"/>
    <x v="31"/>
    <n v="0"/>
    <m/>
    <n v="450309"/>
    <n v="45.626000000000005"/>
    <m/>
    <n v="9.6"/>
    <m/>
    <n v="55.226000000000006"/>
    <n v="80.300666666666643"/>
    <m/>
    <n v="480"/>
  </r>
  <r>
    <n v="32"/>
    <n v="2024"/>
    <s v="Auction"/>
    <s v="VROLIJK BLOEMEN"/>
    <s v="VROLIJK BLOEMEN"/>
    <x v="108"/>
    <s v="Floribunda Roses"/>
    <s v="60CM"/>
    <n v="1"/>
    <n v="520"/>
    <n v="0.47"/>
    <n v="244.4"/>
    <n v="12"/>
    <s v="EUR"/>
    <m/>
    <m/>
    <x v="31"/>
    <n v="40"/>
    <x v="2"/>
    <x v="0"/>
    <n v="480"/>
    <n v="0.54500000000000004"/>
    <n v="261.60000000000002"/>
    <n v="-20.873333333333349"/>
    <n v="240.72666666666669"/>
    <x v="31"/>
    <n v="-40"/>
    <m/>
    <n v="450309"/>
    <n v="45.626000000000005"/>
    <m/>
    <n v="9.6"/>
    <m/>
    <n v="55.226000000000006"/>
    <n v="185.50066666666669"/>
    <m/>
    <n v="480"/>
  </r>
  <r>
    <n v="32"/>
    <n v="2024"/>
    <s v="Auction"/>
    <s v="VROLIJK BLOEMEN"/>
    <s v="VROLIJK BLOEMEN"/>
    <x v="108"/>
    <s v="Polyantha Roses"/>
    <s v="90CM"/>
    <n v="1"/>
    <n v="160"/>
    <n v="0.85"/>
    <n v="136"/>
    <n v="9.6000000000000014"/>
    <s v="EUR"/>
    <m/>
    <m/>
    <x v="31"/>
    <n v="0"/>
    <x v="3"/>
    <x v="3"/>
    <n v="160"/>
    <n v="0.40499999999999997"/>
    <n v="64.8"/>
    <n v="-6.9577777777777827"/>
    <n v="57.842222222222212"/>
    <x v="31"/>
    <n v="0"/>
    <m/>
    <n v="450309"/>
    <n v="36.500800000000005"/>
    <m/>
    <n v="3.2"/>
    <m/>
    <n v="39.700800000000008"/>
    <n v="18.141422222222204"/>
    <m/>
    <n v="160"/>
  </r>
  <r>
    <n v="32"/>
    <n v="2024"/>
    <s v="Auction"/>
    <s v="VROLIJK BLOEMEN"/>
    <s v="VROLIJK BLOEMEN"/>
    <x v="108"/>
    <s v="Polyantha Roses"/>
    <s v="100CM"/>
    <m/>
    <n v="40"/>
    <n v="1.04"/>
    <n v="41.6"/>
    <n v="2.4000000000000004"/>
    <s v="EUR"/>
    <m/>
    <m/>
    <x v="31"/>
    <n v="0"/>
    <x v="3"/>
    <x v="4"/>
    <n v="40"/>
    <n v="0.77"/>
    <n v="30.8"/>
    <n v="-1.7394444444444457"/>
    <n v="29.060555555555556"/>
    <x v="31"/>
    <n v="0"/>
    <m/>
    <n v="450309"/>
    <n v="9.1252000000000013"/>
    <m/>
    <n v="0.8"/>
    <m/>
    <n v="9.925200000000002"/>
    <n v="19.135355555555556"/>
    <m/>
    <n v="40"/>
  </r>
  <r>
    <n v="32"/>
    <n v="2024"/>
    <s v="Auction"/>
    <s v="VROLIJK BLOEMEN"/>
    <s v="VROLIJK BLOEMEN"/>
    <x v="108"/>
    <s v="Grandiflora Roses"/>
    <s v="60CM"/>
    <n v="1"/>
    <n v="160"/>
    <n v="0.24"/>
    <n v="38.4"/>
    <n v="3.4285714285714284"/>
    <s v="EUR"/>
    <m/>
    <m/>
    <x v="31"/>
    <n v="0"/>
    <x v="0"/>
    <x v="0"/>
    <n v="160"/>
    <n v="0.1525"/>
    <n v="24.4"/>
    <n v="-6.9577777777777827"/>
    <n v="17.442222222222217"/>
    <x v="31"/>
    <n v="0"/>
    <m/>
    <n v="450309"/>
    <n v="13.036"/>
    <m/>
    <n v="3.2"/>
    <m/>
    <n v="16.236000000000001"/>
    <n v="1.2062222222222161"/>
    <m/>
    <n v="160"/>
  </r>
  <r>
    <n v="32"/>
    <n v="2024"/>
    <s v="Auction"/>
    <s v="VROLIJK BLOEMEN"/>
    <s v="VROLIJK BLOEMEN"/>
    <x v="108"/>
    <s v="Grandiflora Roses"/>
    <s v="70CM"/>
    <m/>
    <n v="160"/>
    <n v="0.28000000000000003"/>
    <n v="44.8"/>
    <n v="3.4285714285714284"/>
    <s v="EUR"/>
    <m/>
    <m/>
    <x v="31"/>
    <n v="0"/>
    <x v="0"/>
    <x v="1"/>
    <n v="160"/>
    <n v="0.44500000000000001"/>
    <n v="71.2"/>
    <n v="-6.9577777777777827"/>
    <n v="64.242222222222225"/>
    <x v="31"/>
    <n v="0"/>
    <m/>
    <n v="450309"/>
    <n v="13.036"/>
    <m/>
    <n v="3.2"/>
    <m/>
    <n v="16.236000000000001"/>
    <n v="48.00622222222222"/>
    <m/>
    <n v="160"/>
  </r>
  <r>
    <n v="32"/>
    <n v="2024"/>
    <s v="Auction"/>
    <s v="VROLIJK BLOEMEN"/>
    <s v="VROLIJK BLOEMEN"/>
    <x v="108"/>
    <s v="Grandiflora Roses"/>
    <s v="80CM"/>
    <m/>
    <n v="160"/>
    <n v="0.33"/>
    <n v="52.8"/>
    <n v="3.4285714285714284"/>
    <s v="EUR"/>
    <m/>
    <m/>
    <x v="31"/>
    <n v="0"/>
    <x v="0"/>
    <x v="2"/>
    <n v="160"/>
    <n v="0.21749999999999997"/>
    <n v="34.799999999999997"/>
    <n v="-6.9577777777777827"/>
    <n v="27.842222222222215"/>
    <x v="31"/>
    <n v="0"/>
    <m/>
    <n v="450309"/>
    <n v="13.036"/>
    <m/>
    <n v="3.2"/>
    <m/>
    <n v="16.236000000000001"/>
    <n v="11.606222222222215"/>
    <m/>
    <n v="160"/>
  </r>
  <r>
    <n v="32"/>
    <n v="2024"/>
    <s v="Auction"/>
    <s v="VROLIJK BLOEMEN"/>
    <s v="VROLIJK BLOEMEN"/>
    <x v="108"/>
    <s v="Grandiflora Roses"/>
    <s v="90CM"/>
    <m/>
    <n v="40"/>
    <n v="0.38"/>
    <n v="15.2"/>
    <n v="0.8571428571428571"/>
    <s v="EUR"/>
    <m/>
    <m/>
    <x v="31"/>
    <n v="0"/>
    <x v="0"/>
    <x v="3"/>
    <n v="40"/>
    <n v="0.26"/>
    <n v="10.4"/>
    <n v="-1.7394444444444457"/>
    <n v="8.660555555555554"/>
    <x v="31"/>
    <n v="0"/>
    <m/>
    <n v="450309"/>
    <n v="3.2589999999999999"/>
    <m/>
    <n v="0.8"/>
    <m/>
    <n v="4.0590000000000002"/>
    <n v="4.6015555555555538"/>
    <m/>
    <n v="40"/>
  </r>
  <r>
    <n v="32"/>
    <n v="2024"/>
    <s v="Auction"/>
    <s v="VROLIJK BLOEMEN"/>
    <s v="VROLIJK BLOEMEN"/>
    <x v="108"/>
    <s v="Grandiflora Roses"/>
    <s v="100CM"/>
    <m/>
    <n v="40"/>
    <n v="0.47"/>
    <n v="18.8"/>
    <n v="0.8571428571428571"/>
    <s v="EUR"/>
    <m/>
    <m/>
    <x v="31"/>
    <n v="0"/>
    <x v="0"/>
    <x v="4"/>
    <n v="40"/>
    <n v="0.78"/>
    <n v="31.200000000000003"/>
    <n v="-1.7394444444444457"/>
    <n v="29.460555555555558"/>
    <x v="31"/>
    <n v="0"/>
    <m/>
    <n v="450309"/>
    <n v="3.2589999999999999"/>
    <m/>
    <n v="0.8"/>
    <m/>
    <n v="4.0590000000000002"/>
    <n v="25.401555555555557"/>
    <m/>
    <n v="40"/>
  </r>
  <r>
    <n v="32"/>
    <n v="2024"/>
    <s v="Auction"/>
    <s v="VROLIJK BLOEMEN"/>
    <s v="VROLIJK BLOEMEN"/>
    <x v="108"/>
    <s v="Polyantha Roses"/>
    <s v="80CM"/>
    <m/>
    <m/>
    <m/>
    <m/>
    <m/>
    <s v="EUR"/>
    <m/>
    <m/>
    <x v="31"/>
    <n v="-440"/>
    <x v="3"/>
    <x v="2"/>
    <n v="440"/>
    <n v="0.34545454545454546"/>
    <n v="152"/>
    <n v="-19.133888888888901"/>
    <n v="132.86611111111111"/>
    <x v="31"/>
    <n v="440"/>
    <m/>
    <n v="450309"/>
    <n v="0"/>
    <m/>
    <n v="8.8000000000000007"/>
    <m/>
    <n v="8.8000000000000007"/>
    <n v="124.06611111111111"/>
    <m/>
    <n v="440"/>
  </r>
  <r>
    <n v="32"/>
    <n v="2024"/>
    <s v="Auction"/>
    <s v="VROLIJK BLOEMEN"/>
    <s v="VROLIJK BLOEMEN"/>
    <x v="108"/>
    <s v="Grandiflora Roses"/>
    <s v="80CM"/>
    <m/>
    <m/>
    <m/>
    <m/>
    <m/>
    <s v="EUR"/>
    <m/>
    <m/>
    <x v="31"/>
    <n v="-120"/>
    <x v="0"/>
    <x v="2"/>
    <n v="120"/>
    <n v="0.31"/>
    <n v="37.200000000000003"/>
    <n v="-8.5259999999999998"/>
    <n v="28.674000000000003"/>
    <x v="31"/>
    <n v="120"/>
    <m/>
    <n v="450309"/>
    <n v="0"/>
    <m/>
    <n v="2.4"/>
    <m/>
    <n v="2.4"/>
    <n v="26.274000000000004"/>
    <m/>
    <n v="120"/>
  </r>
  <r>
    <n v="32"/>
    <n v="2024"/>
    <s v="Auction"/>
    <s v="VROLIJK BLOEMEN"/>
    <s v="VROLIJK BLOEMEN"/>
    <x v="108"/>
    <s v="Grandiflora Roses"/>
    <s v="80CM"/>
    <m/>
    <m/>
    <m/>
    <m/>
    <m/>
    <s v="EUR"/>
    <m/>
    <m/>
    <x v="31"/>
    <n v="120"/>
    <x v="0"/>
    <x v="2"/>
    <n v="-120"/>
    <n v="0.22"/>
    <n v="-26.4"/>
    <n v="0"/>
    <n v="-26.4"/>
    <x v="31"/>
    <n v="-120"/>
    <m/>
    <n v="450309"/>
    <n v="0"/>
    <m/>
    <n v="-2.4"/>
    <m/>
    <n v="-2.4"/>
    <n v="-24"/>
    <m/>
    <n v="-120"/>
  </r>
  <r>
    <n v="32"/>
    <n v="2024"/>
    <s v="Auction"/>
    <s v="VROLIJK BLOEMEN"/>
    <s v="VROLIJK BLOEMEN"/>
    <x v="108"/>
    <s v="Polyantha Roses"/>
    <s v="80CM"/>
    <m/>
    <m/>
    <m/>
    <m/>
    <m/>
    <s v="EUR"/>
    <m/>
    <m/>
    <x v="31"/>
    <n v="80"/>
    <x v="3"/>
    <x v="2"/>
    <n v="-80"/>
    <n v="0.3"/>
    <n v="-24"/>
    <n v="0"/>
    <n v="-24"/>
    <x v="31"/>
    <n v="-80"/>
    <m/>
    <n v="450309"/>
    <n v="0"/>
    <m/>
    <n v="-1.6"/>
    <m/>
    <n v="-1.6"/>
    <n v="-22.4"/>
    <m/>
    <n v="-80"/>
  </r>
  <r>
    <n v="32"/>
    <n v="2024"/>
    <s v="Auction"/>
    <s v="VROLIJK BLOEMEN"/>
    <s v="VROLIJK BLOEMEN"/>
    <x v="108"/>
    <s v="Polyantha Roses"/>
    <s v="80CM"/>
    <m/>
    <m/>
    <m/>
    <m/>
    <m/>
    <s v="EUR"/>
    <m/>
    <m/>
    <x v="31"/>
    <n v="-80"/>
    <x v="3"/>
    <x v="2"/>
    <n v="80"/>
    <n v="0.2"/>
    <n v="16"/>
    <n v="-5.6840000000000011"/>
    <n v="10.315999999999999"/>
    <x v="31"/>
    <n v="80"/>
    <m/>
    <n v="450309"/>
    <n v="0"/>
    <m/>
    <n v="1.6"/>
    <m/>
    <n v="1.6"/>
    <n v="8.7159999999999993"/>
    <m/>
    <n v="80"/>
  </r>
  <r>
    <n v="32"/>
    <n v="2024"/>
    <s v="Auction"/>
    <s v="VROLIJK BLOEMEN"/>
    <s v="VROLIJK BLOEMEN"/>
    <x v="109"/>
    <s v="English Roses"/>
    <s v="100CM"/>
    <n v="1"/>
    <n v="200"/>
    <n v="0.94"/>
    <n v="188"/>
    <n v="12"/>
    <s v="EUR"/>
    <m/>
    <m/>
    <x v="31"/>
    <n v="0"/>
    <x v="1"/>
    <x v="4"/>
    <n v="200"/>
    <n v="0.89"/>
    <n v="178"/>
    <n v="-14.650735294117656"/>
    <n v="163.34926470588235"/>
    <x v="31"/>
    <n v="0"/>
    <m/>
    <s v="F092197"/>
    <n v="56.647500000000001"/>
    <m/>
    <n v="4"/>
    <m/>
    <n v="60.647500000000001"/>
    <n v="102.70176470588234"/>
    <m/>
    <n v="200"/>
  </r>
  <r>
    <n v="32"/>
    <n v="2024"/>
    <s v="Auction"/>
    <s v="VROLIJK BLOEMEN"/>
    <s v="VROLIJK BLOEMEN"/>
    <x v="109"/>
    <s v="Shrub Roses"/>
    <s v="900CM"/>
    <n v="2"/>
    <n v="32"/>
    <n v="1.42"/>
    <n v="45.44"/>
    <n v="24"/>
    <s v="EUR"/>
    <m/>
    <m/>
    <x v="31"/>
    <n v="16"/>
    <x v="7"/>
    <x v="7"/>
    <n v="16"/>
    <n v="6.1875"/>
    <n v="99"/>
    <n v="-1.1720588235294125"/>
    <n v="97.827941176470588"/>
    <x v="31"/>
    <n v="-16"/>
    <m/>
    <s v="F092197"/>
    <n v="113.295"/>
    <m/>
    <n v="0.96"/>
    <m/>
    <n v="114.255"/>
    <n v="-16.427058823529407"/>
    <m/>
    <n v="16"/>
  </r>
  <r>
    <n v="32"/>
    <n v="2024"/>
    <s v="Auction"/>
    <s v="VROLIJK BLOEMEN"/>
    <s v="VROLIJK BLOEMEN"/>
    <x v="109"/>
    <s v="English Roses"/>
    <s v="60CM"/>
    <n v="1"/>
    <n v="280"/>
    <n v="0.47"/>
    <n v="131.6"/>
    <n v="8.3999999999999986"/>
    <s v="EUR"/>
    <m/>
    <m/>
    <x v="31"/>
    <n v="0"/>
    <x v="1"/>
    <x v="0"/>
    <n v="280"/>
    <n v="0.47714285714285715"/>
    <n v="133.6"/>
    <n v="-20.511029411764721"/>
    <n v="113.08897058823527"/>
    <x v="31"/>
    <n v="0"/>
    <m/>
    <s v="F092197"/>
    <n v="39.653249999999993"/>
    <m/>
    <n v="5.6000000000000005"/>
    <m/>
    <n v="45.253249999999994"/>
    <n v="67.835720588235276"/>
    <m/>
    <n v="280"/>
  </r>
  <r>
    <n v="32"/>
    <n v="2024"/>
    <s v="Auction"/>
    <s v="VROLIJK BLOEMEN"/>
    <s v="VROLIJK BLOEMEN"/>
    <x v="109"/>
    <s v="English Roses"/>
    <s v="70CM"/>
    <m/>
    <n v="120"/>
    <n v="0.52"/>
    <n v="62.4"/>
    <n v="3.5999999999999996"/>
    <s v="EUR"/>
    <m/>
    <m/>
    <x v="31"/>
    <n v="0"/>
    <x v="1"/>
    <x v="1"/>
    <n v="120"/>
    <n v="0.67666666666666664"/>
    <n v="81.2"/>
    <n v="-8.7904411764705941"/>
    <n v="72.409558823529409"/>
    <x v="31"/>
    <n v="0"/>
    <m/>
    <s v="F092197"/>
    <n v="16.994250000000001"/>
    <m/>
    <n v="2.4"/>
    <m/>
    <n v="19.39425"/>
    <n v="53.015308823529409"/>
    <m/>
    <n v="120"/>
  </r>
  <r>
    <n v="32"/>
    <n v="2024"/>
    <s v="Auction"/>
    <s v="VROLIJK BLOEMEN"/>
    <s v="VROLIJK BLOEMEN"/>
    <x v="109"/>
    <s v="English Roses"/>
    <s v="90CM"/>
    <n v="1"/>
    <n v="160"/>
    <n v="0.75"/>
    <n v="120"/>
    <n v="8"/>
    <s v="EUR"/>
    <m/>
    <m/>
    <x v="31"/>
    <n v="0"/>
    <x v="1"/>
    <x v="3"/>
    <n v="160"/>
    <n v="0.68499999999999994"/>
    <n v="109.6"/>
    <n v="-11.720588235294125"/>
    <n v="97.879411764705864"/>
    <x v="31"/>
    <n v="0"/>
    <m/>
    <s v="F092197"/>
    <n v="37.765000000000001"/>
    <m/>
    <n v="3.2"/>
    <m/>
    <n v="40.965000000000003"/>
    <n v="56.914411764705861"/>
    <m/>
    <n v="160"/>
  </r>
  <r>
    <n v="32"/>
    <n v="2024"/>
    <s v="Auction"/>
    <s v="VROLIJK BLOEMEN"/>
    <s v="VROLIJK BLOEMEN"/>
    <x v="109"/>
    <s v="English Roses"/>
    <s v="80CM"/>
    <m/>
    <n v="80"/>
    <n v="0.56999999999999995"/>
    <n v="45.6"/>
    <n v="4"/>
    <s v="EUR"/>
    <m/>
    <m/>
    <x v="31"/>
    <n v="0"/>
    <x v="1"/>
    <x v="2"/>
    <n v="80"/>
    <n v="0.42000000000000004"/>
    <n v="33.6"/>
    <n v="-5.8602941176470624"/>
    <n v="27.73970588235294"/>
    <x v="31"/>
    <n v="0"/>
    <m/>
    <s v="F092197"/>
    <n v="18.8825"/>
    <m/>
    <n v="1.6"/>
    <m/>
    <n v="20.482500000000002"/>
    <n v="7.2572058823529382"/>
    <m/>
    <n v="80"/>
  </r>
  <r>
    <n v="32"/>
    <n v="2024"/>
    <s v="Auction"/>
    <s v="VROLIJK BLOEMEN"/>
    <s v="VROLIJK BLOEMEN"/>
    <x v="109"/>
    <s v="Floribunda Roses"/>
    <s v="60CM"/>
    <n v="1"/>
    <n v="240"/>
    <n v="0.47"/>
    <n v="112.8"/>
    <n v="7.1999999999999993"/>
    <s v="EUR"/>
    <m/>
    <m/>
    <x v="31"/>
    <n v="-80"/>
    <x v="2"/>
    <x v="0"/>
    <n v="320"/>
    <n v="0.61499999999999999"/>
    <n v="196.8"/>
    <n v="-23.44117647058825"/>
    <n v="173.35882352941175"/>
    <x v="31"/>
    <n v="80"/>
    <m/>
    <s v="F092197"/>
    <n v="33.988500000000002"/>
    <m/>
    <n v="6.4"/>
    <m/>
    <n v="40.388500000000001"/>
    <n v="132.97032352941176"/>
    <m/>
    <n v="320"/>
  </r>
  <r>
    <n v="32"/>
    <n v="2024"/>
    <s v="Auction"/>
    <s v="VROLIJK BLOEMEN"/>
    <s v="VROLIJK BLOEMEN"/>
    <x v="109"/>
    <s v="Floribunda Roses"/>
    <s v="80CM"/>
    <m/>
    <n v="120"/>
    <n v="0.56999999999999995"/>
    <n v="68.400000000000006"/>
    <n v="3.5999999999999996"/>
    <s v="EUR"/>
    <m/>
    <m/>
    <x v="31"/>
    <n v="80"/>
    <x v="2"/>
    <x v="2"/>
    <n v="40"/>
    <n v="1.17"/>
    <n v="46.8"/>
    <n v="-2.9301470588235312"/>
    <n v="43.869852941176468"/>
    <x v="31"/>
    <n v="-80"/>
    <m/>
    <s v="F092197"/>
    <n v="16.994250000000001"/>
    <m/>
    <n v="0.8"/>
    <m/>
    <n v="17.794250000000002"/>
    <n v="26.075602941176466"/>
    <m/>
    <n v="40"/>
  </r>
  <r>
    <n v="32"/>
    <n v="2024"/>
    <s v="Auction"/>
    <s v="VROLIJK BLOEMEN"/>
    <s v="VROLIJK BLOEMEN"/>
    <x v="109"/>
    <s v="Floribunda Roses"/>
    <s v="100CM"/>
    <m/>
    <n v="40"/>
    <n v="0.94"/>
    <n v="37.6"/>
    <n v="1.2000000000000002"/>
    <s v="EUR"/>
    <m/>
    <m/>
    <x v="31"/>
    <n v="0"/>
    <x v="2"/>
    <x v="4"/>
    <n v="40"/>
    <n v="1.1300000000000001"/>
    <n v="45.2"/>
    <n v="-2.9301470588235312"/>
    <n v="42.269852941176474"/>
    <x v="31"/>
    <n v="0"/>
    <m/>
    <s v="F092197"/>
    <n v="5.6647500000000015"/>
    <m/>
    <n v="0.8"/>
    <m/>
    <n v="6.4647500000000013"/>
    <n v="35.805102941176472"/>
    <m/>
    <n v="40"/>
  </r>
  <r>
    <n v="32"/>
    <n v="2024"/>
    <s v="Auction"/>
    <s v="VROLIJK BLOEMEN"/>
    <s v="VROLIJK BLOEMEN"/>
    <x v="109"/>
    <s v="Polyantha Roses"/>
    <s v="60CM"/>
    <n v="1"/>
    <n v="120"/>
    <n v="0.52"/>
    <n v="62.4"/>
    <n v="4"/>
    <s v="EUR"/>
    <m/>
    <m/>
    <x v="31"/>
    <n v="0"/>
    <x v="3"/>
    <x v="0"/>
    <n v="120"/>
    <n v="0.51333333333333331"/>
    <n v="61.599999999999994"/>
    <n v="-8.7904411764705941"/>
    <n v="52.8095588235294"/>
    <x v="31"/>
    <n v="0"/>
    <m/>
    <s v="F092197"/>
    <n v="18.8825"/>
    <m/>
    <n v="2.4"/>
    <m/>
    <n v="21.282499999999999"/>
    <n v="31.527058823529401"/>
    <m/>
    <n v="120"/>
  </r>
  <r>
    <n v="32"/>
    <n v="2024"/>
    <s v="Auction"/>
    <s v="VROLIJK BLOEMEN"/>
    <s v="VROLIJK BLOEMEN"/>
    <x v="109"/>
    <s v="Polyantha Roses"/>
    <s v="80CM"/>
    <m/>
    <n v="120"/>
    <n v="0.66"/>
    <n v="79.2"/>
    <n v="4"/>
    <s v="EUR"/>
    <m/>
    <m/>
    <x v="31"/>
    <n v="0"/>
    <x v="3"/>
    <x v="2"/>
    <n v="120"/>
    <n v="0.66"/>
    <n v="79.2"/>
    <n v="-8.7904411764705941"/>
    <n v="70.409558823529409"/>
    <x v="31"/>
    <n v="0"/>
    <m/>
    <s v="F092197"/>
    <n v="18.8825"/>
    <m/>
    <n v="2.4"/>
    <m/>
    <n v="21.282499999999999"/>
    <n v="49.12705882352941"/>
    <m/>
    <n v="120"/>
  </r>
  <r>
    <n v="32"/>
    <n v="2024"/>
    <s v="Auction"/>
    <s v="VROLIJK BLOEMEN"/>
    <s v="VROLIJK BLOEMEN"/>
    <x v="109"/>
    <s v="Polyantha Roses"/>
    <s v="100CM"/>
    <m/>
    <n v="120"/>
    <n v="1.04"/>
    <n v="124.8"/>
    <n v="4"/>
    <s v="EUR"/>
    <m/>
    <m/>
    <x v="31"/>
    <n v="0"/>
    <x v="3"/>
    <x v="4"/>
    <n v="120"/>
    <n v="0.84666666666666657"/>
    <n v="101.6"/>
    <n v="-8.7904411764705941"/>
    <n v="92.8095588235294"/>
    <x v="31"/>
    <n v="0"/>
    <m/>
    <s v="F092197"/>
    <n v="18.8825"/>
    <m/>
    <n v="2.4"/>
    <m/>
    <n v="21.282499999999999"/>
    <n v="71.527058823529401"/>
    <m/>
    <n v="120"/>
  </r>
  <r>
    <n v="32"/>
    <n v="2024"/>
    <s v="Auction"/>
    <s v="VROLIJK BLOEMEN"/>
    <s v="VROLIJK BLOEMEN"/>
    <x v="109"/>
    <s v="Grandiflora Roses"/>
    <s v="60CM"/>
    <n v="1"/>
    <n v="200"/>
    <n v="0.24"/>
    <n v="48"/>
    <n v="4.2857142857142856"/>
    <s v="EUR"/>
    <m/>
    <m/>
    <x v="31"/>
    <n v="-40"/>
    <x v="0"/>
    <x v="0"/>
    <n v="240"/>
    <n v="0.2533333333333333"/>
    <n v="60.79999999999999"/>
    <n v="-17.580882352941188"/>
    <n v="43.219117647058802"/>
    <x v="31"/>
    <n v="40"/>
    <m/>
    <s v="F092197"/>
    <n v="20.231249999999999"/>
    <m/>
    <n v="4.8"/>
    <m/>
    <n v="25.03125"/>
    <n v="18.187867647058802"/>
    <m/>
    <n v="240"/>
  </r>
  <r>
    <n v="32"/>
    <n v="2024"/>
    <s v="Auction"/>
    <s v="VROLIJK BLOEMEN"/>
    <s v="VROLIJK BLOEMEN"/>
    <x v="109"/>
    <s v="Grandiflora Roses"/>
    <s v="70CM"/>
    <m/>
    <n v="200"/>
    <n v="0.28000000000000003"/>
    <n v="56"/>
    <n v="4.2857142857142856"/>
    <s v="EUR"/>
    <m/>
    <m/>
    <x v="31"/>
    <n v="160"/>
    <x v="0"/>
    <x v="1"/>
    <n v="40"/>
    <n v="0.25"/>
    <n v="10"/>
    <n v="-2.9301470588235312"/>
    <n v="7.0698529411764692"/>
    <x v="31"/>
    <n v="-160"/>
    <m/>
    <s v="F092197"/>
    <n v="20.231249999999999"/>
    <m/>
    <n v="0.8"/>
    <m/>
    <n v="21.03125"/>
    <n v="-13.961397058823531"/>
    <m/>
    <n v="40"/>
  </r>
  <r>
    <n v="32"/>
    <n v="2024"/>
    <s v="Auction"/>
    <s v="VROLIJK BLOEMEN"/>
    <s v="VROLIJK BLOEMEN"/>
    <x v="109"/>
    <s v="Grandiflora Roses"/>
    <s v="80CM"/>
    <m/>
    <n v="80"/>
    <n v="0.33"/>
    <n v="26.4"/>
    <n v="1.7142857142857142"/>
    <s v="EUR"/>
    <m/>
    <m/>
    <x v="31"/>
    <n v="0"/>
    <x v="0"/>
    <x v="2"/>
    <n v="80"/>
    <n v="0.3"/>
    <n v="24"/>
    <n v="-5.8602941176470624"/>
    <n v="18.139705882352938"/>
    <x v="31"/>
    <n v="0"/>
    <m/>
    <s v="F092197"/>
    <n v="8.0924999999999994"/>
    <m/>
    <n v="1.6"/>
    <m/>
    <n v="9.692499999999999"/>
    <n v="8.4472058823529395"/>
    <m/>
    <n v="80"/>
  </r>
  <r>
    <n v="32"/>
    <n v="2024"/>
    <s v="Auction"/>
    <s v="VROLIJK BLOEMEN"/>
    <s v="VROLIJK BLOEMEN"/>
    <x v="109"/>
    <s v="Grandiflora Roses"/>
    <s v="90CM"/>
    <m/>
    <n v="80"/>
    <n v="0.38"/>
    <n v="30.4"/>
    <n v="1.7142857142857142"/>
    <s v="EUR"/>
    <m/>
    <m/>
    <x v="31"/>
    <n v="0"/>
    <x v="0"/>
    <x v="3"/>
    <n v="80"/>
    <n v="0.53"/>
    <n v="42.400000000000006"/>
    <n v="-5.8602941176470624"/>
    <n v="36.539705882352941"/>
    <x v="31"/>
    <n v="0"/>
    <m/>
    <s v="F092197"/>
    <n v="8.0924999999999994"/>
    <m/>
    <n v="1.6"/>
    <m/>
    <n v="9.692499999999999"/>
    <n v="26.847205882352942"/>
    <m/>
    <n v="80"/>
  </r>
  <r>
    <n v="32"/>
    <n v="2024"/>
    <s v="Auction"/>
    <s v="VROLIJK BLOEMEN"/>
    <s v="VROLIJK BLOEMEN"/>
    <x v="109"/>
    <s v="Moss Roses"/>
    <s v="80CM"/>
    <m/>
    <m/>
    <m/>
    <m/>
    <m/>
    <s v="EUR"/>
    <m/>
    <m/>
    <x v="31"/>
    <n v="-40"/>
    <x v="4"/>
    <x v="2"/>
    <n v="40"/>
    <n v="1.1499999999999999"/>
    <n v="46"/>
    <n v="-2.9301470588235312"/>
    <n v="43.069852941176471"/>
    <x v="31"/>
    <n v="40"/>
    <m/>
    <s v="F092197"/>
    <n v="0"/>
    <m/>
    <n v="0.8"/>
    <m/>
    <n v="0.8"/>
    <n v="42.269852941176474"/>
    <m/>
    <n v="40"/>
  </r>
  <r>
    <n v="32"/>
    <n v="2024"/>
    <s v="Auction"/>
    <s v="VROLIJK BLOEMEN"/>
    <s v="VROLIJK BLOEMEN"/>
    <x v="109"/>
    <s v="Moss Roses"/>
    <s v="70CM"/>
    <m/>
    <m/>
    <m/>
    <m/>
    <m/>
    <s v="EUR"/>
    <m/>
    <m/>
    <x v="31"/>
    <n v="-40"/>
    <x v="4"/>
    <x v="1"/>
    <n v="40"/>
    <n v="0.62"/>
    <n v="24.8"/>
    <n v="-2.9301470588235312"/>
    <n v="21.869852941176468"/>
    <x v="31"/>
    <n v="40"/>
    <m/>
    <s v="F092197"/>
    <n v="0"/>
    <m/>
    <n v="0.8"/>
    <m/>
    <n v="0.8"/>
    <n v="21.069852941176467"/>
    <m/>
    <n v="40"/>
  </r>
  <r>
    <n v="32"/>
    <n v="2024"/>
    <s v="Auction"/>
    <s v="VROLIJK BLOEMEN"/>
    <s v="VROLIJK BLOEMEN"/>
    <x v="109"/>
    <s v="Moss Roses"/>
    <s v="60CM"/>
    <m/>
    <m/>
    <m/>
    <m/>
    <m/>
    <s v="EUR"/>
    <m/>
    <m/>
    <x v="31"/>
    <n v="-40"/>
    <x v="4"/>
    <x v="0"/>
    <n v="40"/>
    <n v="0.3"/>
    <n v="12"/>
    <n v="-2.9301470588235312"/>
    <n v="9.0698529411764692"/>
    <x v="31"/>
    <n v="40"/>
    <m/>
    <s v="F092197"/>
    <n v="0"/>
    <m/>
    <n v="0.8"/>
    <m/>
    <n v="0.8"/>
    <n v="8.2698529411764685"/>
    <m/>
    <n v="40"/>
  </r>
  <r>
    <n v="32"/>
    <n v="2024"/>
    <s v="Auction"/>
    <s v="VROLIJK BLOEMEN"/>
    <s v="VROLIJK BLOEMEN"/>
    <x v="109"/>
    <s v="Shrub Roses"/>
    <s v="900CM"/>
    <m/>
    <m/>
    <m/>
    <m/>
    <m/>
    <s v="EUR"/>
    <m/>
    <m/>
    <x v="31"/>
    <n v="-16"/>
    <x v="7"/>
    <x v="7"/>
    <n v="16"/>
    <n v="7.6749999999999998"/>
    <n v="122.8"/>
    <n v="-19.480000000000004"/>
    <n v="103.32"/>
    <x v="31"/>
    <n v="16"/>
    <m/>
    <s v="F092197"/>
    <n v="0"/>
    <m/>
    <n v="0.96"/>
    <m/>
    <n v="0.96"/>
    <n v="102.36"/>
    <m/>
    <n v="16"/>
  </r>
  <r>
    <n v="32"/>
    <n v="2024"/>
    <s v="Auction"/>
    <s v="VROLIJK BLOEMEN"/>
    <s v="VROLIJK BLOEMEN"/>
    <x v="110"/>
    <s v="Shrub Roses"/>
    <s v="900CM"/>
    <n v="2"/>
    <n v="24"/>
    <n v="1.42"/>
    <n v="34.08"/>
    <n v="24"/>
    <s v="EUR"/>
    <m/>
    <m/>
    <x v="32"/>
    <n v="0"/>
    <x v="7"/>
    <x v="7"/>
    <n v="24"/>
    <n v="6.5791666666666666"/>
    <n v="157.9"/>
    <n v="-1.9242857142857142"/>
    <n v="155.9757142857143"/>
    <x v="32"/>
    <n v="0"/>
    <m/>
    <n v="450893"/>
    <n v="96.193333333333328"/>
    <m/>
    <n v="1.44"/>
    <m/>
    <n v="97.633333333333326"/>
    <n v="58.342380952380978"/>
    <m/>
    <n v="24"/>
  </r>
  <r>
    <n v="32"/>
    <n v="2024"/>
    <s v="Auction"/>
    <s v="VROLIJK BLOEMEN"/>
    <s v="VROLIJK BLOEMEN"/>
    <x v="110"/>
    <s v="Polyantha Roses"/>
    <s v="60CM"/>
    <n v="1"/>
    <n v="240"/>
    <n v="0.52"/>
    <n v="124.8"/>
    <n v="8"/>
    <s v="EUR"/>
    <m/>
    <m/>
    <x v="32"/>
    <n v="0"/>
    <x v="3"/>
    <x v="0"/>
    <n v="240"/>
    <n v="0.37666666666666671"/>
    <n v="90.4"/>
    <n v="-19.24285714285714"/>
    <n v="71.157142857142873"/>
    <x v="32"/>
    <n v="0"/>
    <m/>
    <n v="450893"/>
    <n v="32.06444444444444"/>
    <m/>
    <n v="4.8"/>
    <m/>
    <n v="36.864444444444437"/>
    <n v="34.292698412698435"/>
    <m/>
    <n v="240"/>
  </r>
  <r>
    <n v="32"/>
    <n v="2024"/>
    <s v="Auction"/>
    <s v="VROLIJK BLOEMEN"/>
    <s v="VROLIJK BLOEMEN"/>
    <x v="110"/>
    <s v="Polyantha Roses"/>
    <s v="80CM"/>
    <m/>
    <n v="120"/>
    <n v="0.66"/>
    <n v="79.2"/>
    <n v="4"/>
    <s v="EUR"/>
    <m/>
    <m/>
    <x v="32"/>
    <n v="0"/>
    <x v="3"/>
    <x v="2"/>
    <n v="120"/>
    <n v="0.69666666666666666"/>
    <n v="83.6"/>
    <n v="-9.6214285714285701"/>
    <n v="73.978571428571428"/>
    <x v="32"/>
    <n v="0"/>
    <m/>
    <n v="450893"/>
    <n v="16.03222222222222"/>
    <m/>
    <n v="2.4"/>
    <m/>
    <n v="18.432222222222219"/>
    <n v="55.546349206349205"/>
    <m/>
    <n v="120"/>
  </r>
  <r>
    <n v="32"/>
    <n v="2024"/>
    <s v="Auction"/>
    <s v="VROLIJK BLOEMEN"/>
    <s v="VROLIJK BLOEMEN"/>
    <x v="110"/>
    <s v="English Roses"/>
    <s v="60CM"/>
    <n v="1"/>
    <n v="200"/>
    <n v="0.47"/>
    <n v="94"/>
    <n v="5"/>
    <s v="EUR"/>
    <m/>
    <m/>
    <x v="32"/>
    <n v="0"/>
    <x v="1"/>
    <x v="0"/>
    <n v="200"/>
    <n v="0.63200000000000001"/>
    <n v="126.4"/>
    <n v="-16.035714285714285"/>
    <n v="110.36428571428573"/>
    <x v="32"/>
    <n v="0"/>
    <m/>
    <n v="450893"/>
    <n v="20.040277777777778"/>
    <m/>
    <n v="4"/>
    <m/>
    <n v="24.040277777777778"/>
    <n v="86.324007936507954"/>
    <m/>
    <n v="200"/>
  </r>
  <r>
    <n v="32"/>
    <n v="2024"/>
    <s v="Auction"/>
    <s v="VROLIJK BLOEMEN"/>
    <s v="VROLIJK BLOEMEN"/>
    <x v="110"/>
    <s v="English Roses"/>
    <s v="70CM"/>
    <m/>
    <n v="80"/>
    <n v="0.52"/>
    <n v="41.6"/>
    <n v="2"/>
    <s v="EUR"/>
    <m/>
    <m/>
    <x v="32"/>
    <n v="0"/>
    <x v="1"/>
    <x v="1"/>
    <n v="80"/>
    <n v="0.73"/>
    <n v="58.4"/>
    <n v="-6.4142857142857137"/>
    <n v="51.985714285714288"/>
    <x v="32"/>
    <n v="0"/>
    <m/>
    <n v="450893"/>
    <n v="8.0161111111111101"/>
    <m/>
    <n v="1.6"/>
    <m/>
    <n v="9.6161111111111097"/>
    <n v="42.369603174603178"/>
    <m/>
    <n v="80"/>
  </r>
  <r>
    <n v="32"/>
    <n v="2024"/>
    <s v="Auction"/>
    <s v="VROLIJK BLOEMEN"/>
    <s v="VROLIJK BLOEMEN"/>
    <x v="110"/>
    <s v="English Roses"/>
    <s v="80CM"/>
    <m/>
    <n v="160"/>
    <n v="0.56999999999999995"/>
    <n v="91.2"/>
    <n v="4"/>
    <s v="EUR"/>
    <m/>
    <m/>
    <x v="32"/>
    <n v="0"/>
    <x v="1"/>
    <x v="2"/>
    <n v="160"/>
    <n v="0.59499999999999997"/>
    <n v="95.199999999999989"/>
    <n v="-12.828571428571427"/>
    <n v="82.371428571428567"/>
    <x v="32"/>
    <n v="0"/>
    <m/>
    <n v="450893"/>
    <n v="16.03222222222222"/>
    <m/>
    <n v="3.2"/>
    <m/>
    <n v="19.232222222222219"/>
    <n v="63.139206349206347"/>
    <m/>
    <n v="160"/>
  </r>
  <r>
    <n v="32"/>
    <n v="2024"/>
    <s v="Auction"/>
    <s v="VROLIJK BLOEMEN"/>
    <s v="VROLIJK BLOEMEN"/>
    <x v="110"/>
    <s v="English Roses"/>
    <s v="90CM"/>
    <m/>
    <n v="40"/>
    <n v="0.75"/>
    <n v="30"/>
    <n v="1"/>
    <s v="EUR"/>
    <m/>
    <m/>
    <x v="32"/>
    <n v="40"/>
    <x v="1"/>
    <x v="3"/>
    <m/>
    <m/>
    <n v="0"/>
    <n v="0"/>
    <n v="0"/>
    <x v="32"/>
    <n v="-40"/>
    <m/>
    <n v="450893"/>
    <n v="4.008055555555555"/>
    <m/>
    <n v="0"/>
    <m/>
    <n v="4.008055555555555"/>
    <n v="-4.008055555555555"/>
    <m/>
    <n v="0"/>
  </r>
  <r>
    <n v="32"/>
    <n v="2024"/>
    <s v="Auction"/>
    <s v="VROLIJK BLOEMEN"/>
    <s v="VROLIJK BLOEMEN"/>
    <x v="110"/>
    <s v="Grandiflora Roses"/>
    <s v="80CM"/>
    <n v="1"/>
    <n v="160"/>
    <n v="0.33"/>
    <n v="52.8"/>
    <n v="6.8571428571428568"/>
    <s v="EUR"/>
    <m/>
    <m/>
    <x v="32"/>
    <n v="0"/>
    <x v="0"/>
    <x v="2"/>
    <n v="160"/>
    <n v="0.61"/>
    <n v="97.6"/>
    <n v="-12.828571428571427"/>
    <n v="84.771428571428572"/>
    <x v="32"/>
    <n v="0"/>
    <m/>
    <n v="450893"/>
    <n v="27.483809523809519"/>
    <m/>
    <n v="3.2"/>
    <m/>
    <n v="30.683809523809519"/>
    <n v="54.087619047619057"/>
    <m/>
    <n v="160"/>
  </r>
  <r>
    <n v="32"/>
    <n v="2024"/>
    <s v="Auction"/>
    <s v="VROLIJK BLOEMEN"/>
    <s v="VROLIJK BLOEMEN"/>
    <x v="110"/>
    <s v="Grandiflora Roses"/>
    <s v="90CM"/>
    <m/>
    <n v="80"/>
    <n v="0.38"/>
    <n v="30.4"/>
    <n v="3.4285714285714284"/>
    <s v="EUR"/>
    <m/>
    <m/>
    <x v="32"/>
    <n v="0"/>
    <x v="0"/>
    <x v="3"/>
    <n v="80"/>
    <n v="0.14499999999999999"/>
    <n v="11.6"/>
    <n v="-6.4142857142857137"/>
    <n v="5.1857142857142859"/>
    <x v="32"/>
    <n v="0"/>
    <m/>
    <n v="450893"/>
    <n v="13.74190476190476"/>
    <m/>
    <n v="1.6"/>
    <m/>
    <n v="15.341904761904759"/>
    <n v="-10.156190476190474"/>
    <m/>
    <n v="80"/>
  </r>
  <r>
    <n v="32"/>
    <n v="2024"/>
    <s v="Auction"/>
    <s v="VROLIJK BLOEMEN"/>
    <s v="VROLIJK BLOEMEN"/>
    <x v="110"/>
    <s v="Grandiflora Roses"/>
    <s v="100CM"/>
    <m/>
    <n v="40"/>
    <n v="0.47"/>
    <n v="18.8"/>
    <n v="1.7142857142857142"/>
    <s v="EUR"/>
    <m/>
    <m/>
    <x v="32"/>
    <n v="0"/>
    <x v="0"/>
    <x v="4"/>
    <n v="40"/>
    <n v="0.49000000000000005"/>
    <n v="19.600000000000001"/>
    <n v="-3.2071428571428569"/>
    <n v="16.392857142857146"/>
    <x v="32"/>
    <n v="0"/>
    <m/>
    <n v="450893"/>
    <n v="6.8709523809523798"/>
    <m/>
    <n v="0.8"/>
    <m/>
    <n v="7.6709523809523796"/>
    <n v="8.7219047619047672"/>
    <m/>
    <n v="40"/>
  </r>
  <r>
    <n v="32"/>
    <n v="2024"/>
    <s v="Auction"/>
    <s v="VROLIJK BLOEMEN"/>
    <s v="VROLIJK BLOEMEN"/>
    <x v="110"/>
    <s v="Polyantha Roses"/>
    <s v="90CM"/>
    <n v="1"/>
    <n v="80"/>
    <n v="0.85"/>
    <n v="68"/>
    <n v="4.8000000000000007"/>
    <s v="EUR"/>
    <m/>
    <m/>
    <x v="32"/>
    <n v="0"/>
    <x v="3"/>
    <x v="3"/>
    <n v="80"/>
    <n v="0.67"/>
    <n v="53.6"/>
    <n v="-6.4142857142857137"/>
    <n v="47.18571428571429"/>
    <x v="32"/>
    <n v="0"/>
    <m/>
    <n v="450893"/>
    <n v="19.238666666666671"/>
    <m/>
    <n v="1.6"/>
    <m/>
    <n v="20.838666666666672"/>
    <n v="26.347047619047618"/>
    <m/>
    <n v="80"/>
  </r>
  <r>
    <n v="32"/>
    <n v="2024"/>
    <s v="Auction"/>
    <s v="VROLIJK BLOEMEN"/>
    <s v="VROLIJK BLOEMEN"/>
    <x v="110"/>
    <s v="Polyantha Roses"/>
    <s v="100CM"/>
    <m/>
    <n v="120"/>
    <n v="1.04"/>
    <n v="124.8"/>
    <n v="7.1999999999999993"/>
    <s v="EUR"/>
    <m/>
    <m/>
    <x v="32"/>
    <n v="0"/>
    <x v="3"/>
    <x v="4"/>
    <n v="120"/>
    <n v="0.77"/>
    <n v="92.4"/>
    <n v="-9.6214285714285701"/>
    <n v="82.778571428571439"/>
    <x v="32"/>
    <n v="0"/>
    <m/>
    <n v="450893"/>
    <n v="28.857999999999997"/>
    <m/>
    <n v="2.4"/>
    <m/>
    <n v="31.257999999999996"/>
    <n v="51.520571428571444"/>
    <m/>
    <n v="120"/>
  </r>
  <r>
    <n v="32"/>
    <n v="2024"/>
    <s v="Auction"/>
    <s v="VROLIJK BLOEMEN"/>
    <s v="VROLIJK BLOEMEN"/>
    <x v="110"/>
    <s v="English Roses"/>
    <s v="100CM"/>
    <m/>
    <m/>
    <m/>
    <m/>
    <m/>
    <s v="EUR"/>
    <m/>
    <m/>
    <x v="32"/>
    <n v="-40"/>
    <x v="1"/>
    <x v="4"/>
    <n v="40"/>
    <n v="0.55999999999999994"/>
    <n v="22.4"/>
    <n v="-3.2071428571428569"/>
    <n v="19.192857142857143"/>
    <x v="32"/>
    <n v="40"/>
    <m/>
    <n v="450893"/>
    <n v="0"/>
    <m/>
    <n v="0.8"/>
    <m/>
    <n v="0.8"/>
    <n v="18.392857142857142"/>
    <m/>
    <n v="40"/>
  </r>
  <r>
    <n v="33"/>
    <n v="2024"/>
    <s v="Auction"/>
    <s v="VROLIJK BLOEMEN"/>
    <s v="VROLIJK BLOEMEN"/>
    <x v="111"/>
    <s v="Polyantha Roses"/>
    <s v="100CM"/>
    <n v="1"/>
    <n v="200"/>
    <n v="1.04"/>
    <n v="208"/>
    <n v="12"/>
    <s v="EUR"/>
    <m/>
    <m/>
    <x v="32"/>
    <n v="0"/>
    <x v="3"/>
    <x v="4"/>
    <n v="200"/>
    <n v="0.11"/>
    <n v="22"/>
    <n v="-15.476190476190476"/>
    <n v="6.5238095238095237"/>
    <x v="32"/>
    <n v="0"/>
    <m/>
    <n v="451727"/>
    <n v="47.658333333333331"/>
    <m/>
    <n v="4"/>
    <m/>
    <n v="51.658333333333331"/>
    <n v="-45.134523809523806"/>
    <m/>
    <n v="200"/>
  </r>
  <r>
    <n v="33"/>
    <n v="2024"/>
    <s v="Auction"/>
    <s v="VROLIJK BLOEMEN"/>
    <s v="VROLIJK BLOEMEN"/>
    <x v="111"/>
    <s v="Shrub Roses"/>
    <s v="900CM"/>
    <n v="1"/>
    <n v="12"/>
    <n v="1.42"/>
    <n v="17.04"/>
    <n v="12"/>
    <s v="EUR"/>
    <m/>
    <m/>
    <x v="32"/>
    <n v="-2"/>
    <x v="7"/>
    <x v="7"/>
    <n v="14"/>
    <n v="6.6214285714285719"/>
    <n v="92.7"/>
    <n v="-1.0833333333333333"/>
    <n v="91.616666666666674"/>
    <x v="32"/>
    <n v="2"/>
    <m/>
    <n v="451727"/>
    <n v="47.658333333333331"/>
    <m/>
    <n v="0.84"/>
    <m/>
    <n v="48.498333333333335"/>
    <n v="43.118333333333339"/>
    <m/>
    <n v="14"/>
  </r>
  <r>
    <n v="33"/>
    <n v="2024"/>
    <s v="Auction"/>
    <s v="VROLIJK BLOEMEN"/>
    <s v="VROLIJK BLOEMEN"/>
    <x v="111"/>
    <s v="Shrub Roses"/>
    <s v="900CM"/>
    <n v="1"/>
    <n v="16"/>
    <n v="1.42"/>
    <n v="22.72"/>
    <n v="12"/>
    <s v="EUR"/>
    <m/>
    <m/>
    <x v="32"/>
    <n v="16"/>
    <x v="7"/>
    <x v="7"/>
    <m/>
    <m/>
    <n v="0"/>
    <n v="0"/>
    <n v="0"/>
    <x v="32"/>
    <n v="-16"/>
    <m/>
    <n v="451727"/>
    <n v="47.658333333333331"/>
    <m/>
    <n v="0"/>
    <m/>
    <n v="47.658333333333331"/>
    <n v="-47.658333333333331"/>
    <m/>
    <n v="0"/>
  </r>
  <r>
    <n v="33"/>
    <n v="2024"/>
    <s v="Auction"/>
    <s v="VROLIJK BLOEMEN"/>
    <s v="VROLIJK BLOEMEN"/>
    <x v="111"/>
    <s v="English Roses"/>
    <s v="70CM"/>
    <n v="1"/>
    <n v="80"/>
    <n v="0.52"/>
    <n v="41.6"/>
    <n v="4"/>
    <s v="EUR"/>
    <m/>
    <m/>
    <x v="32"/>
    <n v="0"/>
    <x v="1"/>
    <x v="1"/>
    <n v="80"/>
    <n v="0.77"/>
    <n v="61.6"/>
    <n v="-6.1904761904761907"/>
    <n v="55.409523809523812"/>
    <x v="32"/>
    <n v="0"/>
    <m/>
    <n v="451727"/>
    <n v="15.886111111111109"/>
    <m/>
    <n v="1.6"/>
    <m/>
    <n v="17.486111111111111"/>
    <n v="37.923412698412704"/>
    <m/>
    <n v="80"/>
  </r>
  <r>
    <n v="33"/>
    <n v="2024"/>
    <s v="Auction"/>
    <s v="VROLIJK BLOEMEN"/>
    <s v="VROLIJK BLOEMEN"/>
    <x v="111"/>
    <s v="English Roses"/>
    <s v="90CM"/>
    <m/>
    <n v="80"/>
    <n v="0.75"/>
    <n v="60"/>
    <n v="4"/>
    <s v="EUR"/>
    <m/>
    <m/>
    <x v="32"/>
    <n v="0"/>
    <x v="1"/>
    <x v="3"/>
    <n v="80"/>
    <n v="0.88000000000000012"/>
    <n v="70.400000000000006"/>
    <n v="-6.1904761904761907"/>
    <n v="64.209523809523816"/>
    <x v="32"/>
    <n v="0"/>
    <m/>
    <n v="451727"/>
    <n v="15.886111111111109"/>
    <m/>
    <n v="1.6"/>
    <m/>
    <n v="17.486111111111111"/>
    <n v="46.723412698412702"/>
    <m/>
    <n v="80"/>
  </r>
  <r>
    <n v="33"/>
    <n v="2024"/>
    <s v="Auction"/>
    <s v="VROLIJK BLOEMEN"/>
    <s v="VROLIJK BLOEMEN"/>
    <x v="111"/>
    <s v="English Roses"/>
    <s v="100CM"/>
    <m/>
    <n v="80"/>
    <n v="0.94"/>
    <n v="75.2"/>
    <n v="4"/>
    <s v="EUR"/>
    <m/>
    <m/>
    <x v="32"/>
    <n v="0"/>
    <x v="1"/>
    <x v="4"/>
    <n v="80"/>
    <n v="0.1"/>
    <n v="8"/>
    <n v="-6.1904761904761907"/>
    <n v="1.8095238095238093"/>
    <x v="32"/>
    <n v="0"/>
    <m/>
    <n v="451727"/>
    <n v="15.886111111111109"/>
    <m/>
    <n v="1.6"/>
    <m/>
    <n v="17.486111111111111"/>
    <n v="-15.676587301587301"/>
    <m/>
    <n v="80"/>
  </r>
  <r>
    <n v="33"/>
    <n v="2024"/>
    <s v="Auction"/>
    <s v="VROLIJK BLOEMEN"/>
    <s v="VROLIJK BLOEMEN"/>
    <x v="111"/>
    <s v="Grandiflora Roses"/>
    <s v="70CM"/>
    <n v="1"/>
    <n v="200"/>
    <n v="0.28000000000000003"/>
    <n v="56"/>
    <n v="6"/>
    <s v="EUR"/>
    <m/>
    <m/>
    <x v="32"/>
    <n v="0"/>
    <x v="0"/>
    <x v="1"/>
    <n v="200"/>
    <n v="2.6000000000000002E-2"/>
    <n v="5.2"/>
    <n v="-15.476190476190476"/>
    <n v="-10.276190476190475"/>
    <x v="32"/>
    <n v="0"/>
    <m/>
    <n v="451727"/>
    <n v="23.829166666666666"/>
    <m/>
    <n v="4"/>
    <m/>
    <n v="27.829166666666666"/>
    <n v="-38.105357142857144"/>
    <m/>
    <n v="200"/>
  </r>
  <r>
    <n v="33"/>
    <n v="2024"/>
    <s v="Auction"/>
    <s v="VROLIJK BLOEMEN"/>
    <s v="VROLIJK BLOEMEN"/>
    <x v="111"/>
    <s v="Grandiflora Roses"/>
    <s v="80CM"/>
    <m/>
    <n v="160"/>
    <n v="0.33"/>
    <n v="52.8"/>
    <n v="4.8000000000000007"/>
    <s v="EUR"/>
    <m/>
    <m/>
    <x v="32"/>
    <n v="0"/>
    <x v="0"/>
    <x v="2"/>
    <n v="160"/>
    <n v="0.05"/>
    <n v="8"/>
    <n v="-12.380952380952381"/>
    <n v="-4.3809523809523814"/>
    <x v="32"/>
    <n v="0"/>
    <m/>
    <n v="451727"/>
    <n v="19.063333333333336"/>
    <m/>
    <n v="3.2"/>
    <m/>
    <n v="22.263333333333335"/>
    <n v="-26.644285714285715"/>
    <m/>
    <n v="160"/>
  </r>
  <r>
    <n v="33"/>
    <n v="2024"/>
    <s v="Auction"/>
    <s v="VROLIJK BLOEMEN"/>
    <s v="VROLIJK BLOEMEN"/>
    <x v="111"/>
    <s v="Grandiflora Roses"/>
    <s v="90CM"/>
    <m/>
    <n v="40"/>
    <n v="0.38"/>
    <n v="15.2"/>
    <n v="1.2000000000000002"/>
    <s v="EUR"/>
    <m/>
    <m/>
    <x v="32"/>
    <n v="40"/>
    <x v="0"/>
    <x v="3"/>
    <m/>
    <m/>
    <n v="0"/>
    <n v="0"/>
    <n v="0"/>
    <x v="32"/>
    <n v="-40"/>
    <m/>
    <n v="451727"/>
    <n v="4.765833333333334"/>
    <m/>
    <n v="0"/>
    <m/>
    <n v="4.765833333333334"/>
    <n v="-4.765833333333334"/>
    <m/>
    <n v="0"/>
  </r>
  <r>
    <n v="33"/>
    <n v="2024"/>
    <s v="Auction"/>
    <s v="VROLIJK BLOEMEN"/>
    <s v="VROLIJK BLOEMEN"/>
    <x v="111"/>
    <s v="Floribunda Roses"/>
    <s v="60CM"/>
    <n v="1"/>
    <n v="40"/>
    <n v="0.47"/>
    <n v="18.8"/>
    <n v="1.7142857142857142"/>
    <s v="EUR"/>
    <m/>
    <m/>
    <x v="32"/>
    <n v="0"/>
    <x v="2"/>
    <x v="0"/>
    <n v="40"/>
    <n v="0.24"/>
    <n v="9.6"/>
    <n v="-3.0952380952380953"/>
    <n v="6.5047619047619047"/>
    <x v="32"/>
    <n v="0"/>
    <m/>
    <n v="451727"/>
    <n v="6.8083333333333327"/>
    <m/>
    <n v="0.8"/>
    <m/>
    <n v="7.6083333333333325"/>
    <n v="-1.1035714285714278"/>
    <m/>
    <n v="40"/>
  </r>
  <r>
    <n v="33"/>
    <n v="2024"/>
    <s v="Auction"/>
    <s v="VROLIJK BLOEMEN"/>
    <s v="VROLIJK BLOEMEN"/>
    <x v="111"/>
    <s v="Floribunda Roses"/>
    <s v="70CM"/>
    <m/>
    <n v="40"/>
    <n v="0.52"/>
    <n v="20.8"/>
    <n v="1.7142857142857142"/>
    <s v="EUR"/>
    <m/>
    <m/>
    <x v="32"/>
    <n v="0"/>
    <x v="2"/>
    <x v="1"/>
    <n v="40"/>
    <n v="0.33999999999999997"/>
    <n v="13.599999999999998"/>
    <n v="-3.0952380952380953"/>
    <n v="10.504761904761903"/>
    <x v="32"/>
    <n v="0"/>
    <m/>
    <n v="451727"/>
    <n v="6.8083333333333327"/>
    <m/>
    <n v="0.8"/>
    <m/>
    <n v="7.6083333333333325"/>
    <n v="2.8964285714285705"/>
    <m/>
    <n v="40"/>
  </r>
  <r>
    <n v="33"/>
    <n v="2024"/>
    <s v="Auction"/>
    <s v="VROLIJK BLOEMEN"/>
    <s v="VROLIJK BLOEMEN"/>
    <x v="111"/>
    <s v="Floribunda Roses"/>
    <s v="80CM"/>
    <m/>
    <n v="120"/>
    <n v="0.56999999999999995"/>
    <n v="68.400000000000006"/>
    <n v="5.1428571428571423"/>
    <s v="EUR"/>
    <m/>
    <m/>
    <x v="32"/>
    <n v="0"/>
    <x v="2"/>
    <x v="2"/>
    <n v="120"/>
    <n v="0.45333333333333331"/>
    <n v="54.4"/>
    <n v="-9.2857142857142865"/>
    <n v="45.114285714285714"/>
    <x v="32"/>
    <n v="0"/>
    <m/>
    <n v="451727"/>
    <n v="20.424999999999997"/>
    <m/>
    <n v="2.4"/>
    <m/>
    <n v="22.824999999999996"/>
    <n v="22.289285714285718"/>
    <m/>
    <n v="120"/>
  </r>
  <r>
    <n v="33"/>
    <n v="2024"/>
    <s v="Auction"/>
    <s v="VROLIJK BLOEMEN"/>
    <s v="VROLIJK BLOEMEN"/>
    <x v="111"/>
    <s v="Floribunda Roses"/>
    <s v="90CM"/>
    <m/>
    <n v="40"/>
    <n v="0.75"/>
    <n v="30"/>
    <n v="1.7142857142857142"/>
    <s v="EUR"/>
    <m/>
    <m/>
    <x v="32"/>
    <n v="0"/>
    <x v="2"/>
    <x v="3"/>
    <n v="40"/>
    <n v="0.69000000000000006"/>
    <n v="27.6"/>
    <n v="-3.0952380952380953"/>
    <n v="24.504761904761907"/>
    <x v="32"/>
    <n v="0"/>
    <m/>
    <n v="451727"/>
    <n v="6.8083333333333327"/>
    <m/>
    <n v="0.8"/>
    <m/>
    <n v="7.6083333333333325"/>
    <n v="16.896428571428572"/>
    <m/>
    <n v="40"/>
  </r>
  <r>
    <n v="33"/>
    <n v="2024"/>
    <s v="Auction"/>
    <s v="VROLIJK BLOEMEN"/>
    <s v="VROLIJK BLOEMEN"/>
    <x v="111"/>
    <s v="Floribunda Roses"/>
    <s v="100CM"/>
    <m/>
    <n v="40"/>
    <n v="0.94"/>
    <n v="37.6"/>
    <n v="1.7142857142857142"/>
    <s v="EUR"/>
    <m/>
    <m/>
    <x v="32"/>
    <n v="0"/>
    <x v="2"/>
    <x v="4"/>
    <n v="40"/>
    <n v="0.85"/>
    <n v="34"/>
    <n v="-3.0952380952380953"/>
    <n v="30.904761904761905"/>
    <x v="32"/>
    <n v="0"/>
    <m/>
    <n v="451727"/>
    <n v="6.8083333333333327"/>
    <m/>
    <n v="0.8"/>
    <m/>
    <n v="7.6083333333333325"/>
    <n v="23.296428571428571"/>
    <m/>
    <n v="40"/>
  </r>
  <r>
    <n v="33"/>
    <n v="2024"/>
    <s v="Auction"/>
    <s v="VROLIJK BLOEMEN"/>
    <s v="VROLIJK BLOEMEN"/>
    <x v="111"/>
    <s v="Miniature Roses"/>
    <s v="90CM"/>
    <m/>
    <m/>
    <m/>
    <m/>
    <m/>
    <s v="EUR"/>
    <m/>
    <m/>
    <x v="32"/>
    <n v="-40"/>
    <x v="6"/>
    <x v="3"/>
    <n v="40"/>
    <n v="0.62"/>
    <n v="24.8"/>
    <n v="-3.0952380952380953"/>
    <n v="21.704761904761906"/>
    <x v="32"/>
    <n v="40"/>
    <m/>
    <n v="451727"/>
    <n v="0"/>
    <m/>
    <n v="0.8"/>
    <m/>
    <n v="0.8"/>
    <n v="20.904761904761905"/>
    <m/>
    <n v="40"/>
  </r>
  <r>
    <n v="33"/>
    <n v="2024"/>
    <s v="Auction"/>
    <s v="VROLIJK BLOEMEN"/>
    <s v="VROLIJK BLOEMEN"/>
    <x v="111"/>
    <s v="Shrub Roses"/>
    <s v="900CM"/>
    <m/>
    <m/>
    <m/>
    <m/>
    <m/>
    <s v="EUR"/>
    <m/>
    <m/>
    <x v="32"/>
    <n v="-14"/>
    <x v="7"/>
    <x v="7"/>
    <n v="14"/>
    <n v="6.9857142857142858"/>
    <n v="97.8"/>
    <n v="-18.409999999999997"/>
    <n v="79.39"/>
    <x v="32"/>
    <n v="14"/>
    <m/>
    <n v="451727"/>
    <n v="0"/>
    <m/>
    <n v="0.84"/>
    <m/>
    <n v="0.84"/>
    <n v="78.55"/>
    <m/>
    <n v="14"/>
  </r>
  <r>
    <n v="33"/>
    <n v="2024"/>
    <s v="Auction"/>
    <s v="VROLIJK BLOEMEN"/>
    <s v="VROLIJK BLOEMEN"/>
    <x v="112"/>
    <s v="English Roses"/>
    <s v="90CM"/>
    <n v="1"/>
    <n v="200"/>
    <n v="0.75"/>
    <n v="150"/>
    <n v="12"/>
    <s v="EUR"/>
    <m/>
    <m/>
    <x v="32"/>
    <n v="200"/>
    <x v="1"/>
    <x v="3"/>
    <m/>
    <m/>
    <n v="0"/>
    <n v="0"/>
    <n v="0"/>
    <x v="32"/>
    <n v="-200"/>
    <m/>
    <s v="F092656"/>
    <n v="47.151111111111113"/>
    <m/>
    <n v="0"/>
    <m/>
    <n v="47.151111111111113"/>
    <n v="-47.151111111111113"/>
    <m/>
    <n v="0"/>
  </r>
  <r>
    <n v="33"/>
    <n v="2024"/>
    <s v="Auction"/>
    <s v="VROLIJK BLOEMEN"/>
    <s v="VROLIJK BLOEMEN"/>
    <x v="112"/>
    <s v="Floribunda Roses"/>
    <s v="60CM"/>
    <n v="1"/>
    <n v="480"/>
    <n v="0.47"/>
    <n v="225.6"/>
    <n v="12"/>
    <s v="EUR"/>
    <m/>
    <m/>
    <x v="32"/>
    <n v="0"/>
    <x v="2"/>
    <x v="0"/>
    <n v="480"/>
    <n v="0.35249999999999998"/>
    <n v="169.2"/>
    <n v="-28.81796071094481"/>
    <n v="140.38203928905517"/>
    <x v="32"/>
    <n v="0"/>
    <m/>
    <s v="F092656"/>
    <n v="47.151111111111113"/>
    <m/>
    <n v="9.6"/>
    <m/>
    <n v="56.751111111111115"/>
    <n v="83.630928177944057"/>
    <m/>
    <n v="480"/>
  </r>
  <r>
    <n v="33"/>
    <n v="2024"/>
    <s v="Auction"/>
    <s v="VROLIJK BLOEMEN"/>
    <s v="VROLIJK BLOEMEN"/>
    <x v="112"/>
    <s v="Shrub Roses"/>
    <s v="900CM"/>
    <n v="3"/>
    <n v="36"/>
    <n v="1.42"/>
    <n v="51.12"/>
    <n v="36"/>
    <s v="EUR"/>
    <m/>
    <m/>
    <x v="32"/>
    <n v="18"/>
    <x v="7"/>
    <x v="7"/>
    <n v="18"/>
    <n v="6.1333333333333337"/>
    <n v="110.4"/>
    <n v="-1.0806735266604306"/>
    <n v="109.31932647333957"/>
    <x v="32"/>
    <n v="-18"/>
    <m/>
    <s v="F092656"/>
    <n v="141.45333333333332"/>
    <m/>
    <n v="1.08"/>
    <m/>
    <n v="142.53333333333333"/>
    <n v="-33.214006859993759"/>
    <m/>
    <n v="18"/>
  </r>
  <r>
    <n v="33"/>
    <n v="2024"/>
    <s v="Auction"/>
    <s v="VROLIJK BLOEMEN"/>
    <s v="VROLIJK BLOEMEN"/>
    <x v="112"/>
    <s v="English Roses"/>
    <s v="60CM"/>
    <n v="1"/>
    <n v="80"/>
    <n v="0.47"/>
    <n v="37.6"/>
    <n v="3"/>
    <s v="EUR"/>
    <m/>
    <m/>
    <x v="32"/>
    <n v="0"/>
    <x v="1"/>
    <x v="0"/>
    <n v="80"/>
    <n v="0.8"/>
    <n v="64"/>
    <n v="-4.8029934518241353"/>
    <n v="59.197006548175864"/>
    <x v="32"/>
    <n v="0"/>
    <m/>
    <s v="F092656"/>
    <n v="11.787777777777778"/>
    <m/>
    <n v="1.6"/>
    <m/>
    <n v="13.387777777777778"/>
    <n v="45.809228770398086"/>
    <m/>
    <n v="80"/>
  </r>
  <r>
    <n v="33"/>
    <n v="2024"/>
    <s v="Auction"/>
    <s v="VROLIJK BLOEMEN"/>
    <s v="VROLIJK BLOEMEN"/>
    <x v="112"/>
    <s v="English Roses"/>
    <s v="80CM"/>
    <m/>
    <n v="80"/>
    <n v="0.56999999999999995"/>
    <n v="45.6"/>
    <n v="3"/>
    <s v="EUR"/>
    <m/>
    <m/>
    <x v="32"/>
    <n v="0"/>
    <x v="1"/>
    <x v="2"/>
    <n v="80"/>
    <n v="0.78"/>
    <n v="62.400000000000006"/>
    <n v="-4.8029934518241353"/>
    <n v="57.59700654817587"/>
    <x v="32"/>
    <n v="0"/>
    <m/>
    <s v="F092656"/>
    <n v="11.787777777777778"/>
    <m/>
    <n v="1.6"/>
    <m/>
    <n v="13.387777777777778"/>
    <n v="44.209228770398092"/>
    <m/>
    <n v="80"/>
  </r>
  <r>
    <n v="33"/>
    <n v="2024"/>
    <s v="Auction"/>
    <s v="VROLIJK BLOEMEN"/>
    <s v="VROLIJK BLOEMEN"/>
    <x v="112"/>
    <s v="English Roses"/>
    <s v="70CM"/>
    <m/>
    <n v="160"/>
    <n v="0.52"/>
    <n v="83.2"/>
    <n v="6"/>
    <s v="EUR"/>
    <m/>
    <m/>
    <x v="32"/>
    <n v="0"/>
    <x v="1"/>
    <x v="1"/>
    <n v="160"/>
    <n v="0.60250000000000004"/>
    <n v="96.4"/>
    <n v="-9.6059869036482706"/>
    <n v="86.794013096351733"/>
    <x v="32"/>
    <n v="0"/>
    <m/>
    <s v="F092656"/>
    <n v="23.575555555555557"/>
    <m/>
    <n v="3.2"/>
    <m/>
    <n v="26.775555555555556"/>
    <n v="60.018457540796177"/>
    <m/>
    <n v="160"/>
  </r>
  <r>
    <n v="33"/>
    <n v="2024"/>
    <s v="Auction"/>
    <s v="VROLIJK BLOEMEN"/>
    <s v="VROLIJK BLOEMEN"/>
    <x v="112"/>
    <s v="Polyantha Roses"/>
    <s v="70CM"/>
    <n v="1"/>
    <n v="200"/>
    <n v="0.61"/>
    <n v="122"/>
    <n v="7.5"/>
    <s v="EUR"/>
    <m/>
    <m/>
    <x v="32"/>
    <n v="0"/>
    <x v="3"/>
    <x v="1"/>
    <n v="200"/>
    <n v="0.24199999999999999"/>
    <n v="48.4"/>
    <n v="-12.007483629560339"/>
    <n v="36.392516370439658"/>
    <x v="32"/>
    <n v="0"/>
    <m/>
    <s v="F092656"/>
    <n v="29.469444444444445"/>
    <m/>
    <n v="4"/>
    <m/>
    <n v="33.469444444444449"/>
    <n v="2.9230719259952096"/>
    <m/>
    <n v="200"/>
  </r>
  <r>
    <n v="33"/>
    <n v="2024"/>
    <s v="Auction"/>
    <s v="VROLIJK BLOEMEN"/>
    <s v="VROLIJK BLOEMEN"/>
    <x v="112"/>
    <s v="Polyantha Roses"/>
    <s v="80CM"/>
    <m/>
    <n v="120"/>
    <n v="0.66"/>
    <n v="79.2"/>
    <n v="4.5"/>
    <s v="EUR"/>
    <m/>
    <m/>
    <x v="32"/>
    <n v="0"/>
    <x v="3"/>
    <x v="2"/>
    <n v="120"/>
    <n v="0.21"/>
    <n v="25.2"/>
    <n v="-7.2044901777362025"/>
    <n v="17.995509822263799"/>
    <x v="32"/>
    <n v="0"/>
    <m/>
    <s v="F092656"/>
    <n v="17.681666666666665"/>
    <m/>
    <n v="2.4"/>
    <m/>
    <n v="20.081666666666663"/>
    <n v="-2.0861568444028649"/>
    <m/>
    <n v="120"/>
  </r>
  <r>
    <n v="33"/>
    <n v="2024"/>
    <s v="Auction"/>
    <s v="VROLIJK BLOEMEN"/>
    <s v="VROLIJK BLOEMEN"/>
    <x v="112"/>
    <s v="Polyantha Roses"/>
    <s v="60CM"/>
    <n v="1"/>
    <n v="360"/>
    <n v="0.52"/>
    <n v="187.2"/>
    <n v="9.8181818181818183"/>
    <s v="EUR"/>
    <m/>
    <m/>
    <x v="32"/>
    <n v="0"/>
    <x v="3"/>
    <x v="0"/>
    <n v="360"/>
    <n v="0.17555555555555558"/>
    <n v="63.20000000000001"/>
    <n v="-21.613470533208609"/>
    <n v="41.586529466791404"/>
    <x v="32"/>
    <n v="0"/>
    <m/>
    <s v="F092656"/>
    <n v="38.578181818181818"/>
    <m/>
    <n v="7.2"/>
    <m/>
    <n v="45.778181818181821"/>
    <n v="-4.1916523513904167"/>
    <m/>
    <n v="360"/>
  </r>
  <r>
    <n v="33"/>
    <n v="2024"/>
    <s v="Auction"/>
    <s v="VROLIJK BLOEMEN"/>
    <s v="VROLIJK BLOEMEN"/>
    <x v="112"/>
    <s v="Polyantha Roses"/>
    <s v="90CM"/>
    <m/>
    <n v="40"/>
    <n v="0.85"/>
    <n v="34"/>
    <n v="1.0909090909090908"/>
    <s v="EUR"/>
    <m/>
    <m/>
    <x v="32"/>
    <n v="0"/>
    <x v="3"/>
    <x v="3"/>
    <n v="40"/>
    <n v="0.18"/>
    <n v="7.1999999999999993"/>
    <n v="-2.4014967259120676"/>
    <n v="4.7985032740879312"/>
    <x v="32"/>
    <n v="0"/>
    <m/>
    <s v="F092656"/>
    <n v="4.2864646464646459"/>
    <m/>
    <n v="0.8"/>
    <m/>
    <n v="5.0864646464646457"/>
    <n v="-0.28796137237671449"/>
    <m/>
    <n v="40"/>
  </r>
  <r>
    <n v="33"/>
    <n v="2024"/>
    <s v="Auction"/>
    <s v="VROLIJK BLOEMEN"/>
    <s v="VROLIJK BLOEMEN"/>
    <x v="112"/>
    <s v="Polyantha Roses"/>
    <s v="100CM"/>
    <m/>
    <n v="40"/>
    <n v="1.04"/>
    <n v="41.6"/>
    <n v="1.0909090909090908"/>
    <s v="EUR"/>
    <m/>
    <m/>
    <x v="32"/>
    <n v="0"/>
    <x v="3"/>
    <x v="4"/>
    <n v="40"/>
    <n v="0.53"/>
    <n v="21.200000000000003"/>
    <n v="-2.4014967259120676"/>
    <n v="18.798503274087935"/>
    <x v="32"/>
    <n v="0"/>
    <m/>
    <s v="F092656"/>
    <n v="4.2864646464646459"/>
    <m/>
    <n v="0.8"/>
    <m/>
    <n v="5.0864646464646457"/>
    <n v="13.71203862762329"/>
    <m/>
    <n v="40"/>
  </r>
  <r>
    <n v="33"/>
    <n v="2024"/>
    <s v="Auction"/>
    <s v="VROLIJK BLOEMEN"/>
    <s v="VROLIJK BLOEMEN"/>
    <x v="112"/>
    <s v="Grandiflora Roses"/>
    <s v="100CM"/>
    <n v="1"/>
    <n v="40"/>
    <n v="0.47"/>
    <n v="18.8"/>
    <n v="1.3333333333333333"/>
    <s v="EUR"/>
    <m/>
    <m/>
    <x v="32"/>
    <n v="0"/>
    <x v="0"/>
    <x v="4"/>
    <n v="40"/>
    <n v="0.16"/>
    <n v="6.4"/>
    <n v="-2.4014967259120676"/>
    <n v="3.9985032740879327"/>
    <x v="32"/>
    <n v="0"/>
    <m/>
    <s v="F092656"/>
    <n v="5.2390123456790123"/>
    <m/>
    <n v="0.8"/>
    <m/>
    <n v="6.0390123456790121"/>
    <n v="-2.0405090715910794"/>
    <m/>
    <n v="40"/>
  </r>
  <r>
    <n v="33"/>
    <n v="2024"/>
    <s v="Auction"/>
    <s v="VROLIJK BLOEMEN"/>
    <s v="VROLIJK BLOEMEN"/>
    <x v="112"/>
    <s v="Grandiflora Roses"/>
    <s v="70CM"/>
    <m/>
    <n v="160"/>
    <n v="0.28000000000000003"/>
    <n v="44.8"/>
    <n v="5.333333333333333"/>
    <s v="EUR"/>
    <m/>
    <m/>
    <x v="32"/>
    <n v="0"/>
    <x v="0"/>
    <x v="1"/>
    <n v="160"/>
    <n v="4.4999999999999998E-2"/>
    <n v="7.1999999999999993"/>
    <n v="-9.6059869036482706"/>
    <n v="-2.4059869036482713"/>
    <x v="32"/>
    <n v="0"/>
    <m/>
    <s v="F092656"/>
    <n v="20.956049382716049"/>
    <m/>
    <n v="3.2"/>
    <m/>
    <n v="24.156049382716049"/>
    <n v="-26.562036286364318"/>
    <m/>
    <n v="160"/>
  </r>
  <r>
    <n v="33"/>
    <n v="2024"/>
    <s v="Auction"/>
    <s v="VROLIJK BLOEMEN"/>
    <s v="VROLIJK BLOEMEN"/>
    <x v="112"/>
    <s v="Grandiflora Roses"/>
    <s v="80CM"/>
    <m/>
    <n v="120"/>
    <n v="0.33"/>
    <n v="39.6"/>
    <n v="4"/>
    <s v="EUR"/>
    <m/>
    <m/>
    <x v="32"/>
    <n v="0"/>
    <x v="0"/>
    <x v="2"/>
    <n v="120"/>
    <n v="6.0000000000000005E-2"/>
    <n v="7.2"/>
    <n v="-7.2044901777362025"/>
    <n v="-4.4901777362023054E-3"/>
    <x v="32"/>
    <n v="0"/>
    <m/>
    <s v="F092656"/>
    <n v="15.717037037037036"/>
    <m/>
    <n v="2.4"/>
    <m/>
    <n v="18.117037037037036"/>
    <n v="-18.121527214773238"/>
    <m/>
    <n v="120"/>
  </r>
  <r>
    <n v="33"/>
    <n v="2024"/>
    <s v="Auction"/>
    <s v="VROLIJK BLOEMEN"/>
    <s v="VROLIJK BLOEMEN"/>
    <x v="112"/>
    <s v="Grandiflora Roses"/>
    <s v="90CM"/>
    <m/>
    <n v="40"/>
    <n v="0.38"/>
    <n v="15.2"/>
    <n v="1.3333333333333333"/>
    <s v="EUR"/>
    <m/>
    <m/>
    <x v="32"/>
    <n v="0"/>
    <x v="0"/>
    <x v="3"/>
    <n v="40"/>
    <n v="0.13999999999999999"/>
    <n v="5.6"/>
    <n v="-2.4014967259120676"/>
    <n v="3.198503274087932"/>
    <x v="32"/>
    <n v="0"/>
    <m/>
    <s v="F092656"/>
    <n v="5.2390123456790123"/>
    <m/>
    <n v="0.8"/>
    <m/>
    <n v="6.0390123456790121"/>
    <n v="-2.8405090715910801"/>
    <m/>
    <n v="40"/>
  </r>
  <r>
    <n v="33"/>
    <n v="2024"/>
    <s v="Auction"/>
    <s v="VROLIJK BLOEMEN"/>
    <s v="VROLIJK BLOEMEN"/>
    <x v="112"/>
    <s v="English Roses"/>
    <s v="90CM"/>
    <m/>
    <m/>
    <m/>
    <m/>
    <m/>
    <s v="EUR"/>
    <m/>
    <m/>
    <x v="32"/>
    <n v="-200"/>
    <x v="1"/>
    <x v="3"/>
    <n v="200"/>
    <n v="0.79"/>
    <n v="158"/>
    <n v="-12.007483629560339"/>
    <n v="145.99251637043966"/>
    <x v="32"/>
    <n v="200"/>
    <m/>
    <s v="F092656"/>
    <n v="0"/>
    <m/>
    <n v="4"/>
    <m/>
    <n v="4"/>
    <n v="141.99251637043966"/>
    <m/>
    <n v="200"/>
  </r>
  <r>
    <n v="33"/>
    <n v="2024"/>
    <s v="Auction"/>
    <s v="VROLIJK BLOEMEN"/>
    <s v="VROLIJK BLOEMEN"/>
    <x v="112"/>
    <s v="Shrub Roses"/>
    <s v="900CM"/>
    <m/>
    <m/>
    <m/>
    <m/>
    <m/>
    <s v="EUR"/>
    <m/>
    <m/>
    <x v="32"/>
    <n v="-18"/>
    <x v="7"/>
    <x v="7"/>
    <n v="18"/>
    <n v="6.6333333333333337"/>
    <n v="119.4"/>
    <n v="-19.230000000000004"/>
    <n v="100.17"/>
    <x v="32"/>
    <n v="18"/>
    <m/>
    <s v="F092656"/>
    <n v="0"/>
    <m/>
    <n v="1.08"/>
    <m/>
    <n v="1.08"/>
    <n v="99.09"/>
    <m/>
    <n v="18"/>
  </r>
  <r>
    <n v="33"/>
    <n v="2024"/>
    <s v="Auction"/>
    <s v="VROLIJK BLOEMEN"/>
    <s v="VROLIJK BLOEMEN"/>
    <x v="113"/>
    <s v="Shrub Roses"/>
    <s v="900CM"/>
    <n v="3"/>
    <n v="36"/>
    <n v="1.42"/>
    <n v="51.12"/>
    <n v="36"/>
    <s v="EUR"/>
    <m/>
    <m/>
    <x v="33"/>
    <n v="0"/>
    <x v="7"/>
    <x v="7"/>
    <n v="36"/>
    <n v="7.0333333333333332"/>
    <n v="253.2"/>
    <n v="-3.2094979079497916"/>
    <n v="249.99050209205021"/>
    <x v="33"/>
    <n v="0"/>
    <m/>
    <n v="451727"/>
    <n v="142.97499999999999"/>
    <m/>
    <n v="2.16"/>
    <m/>
    <n v="145.13499999999999"/>
    <n v="104.85550209205022"/>
    <m/>
    <n v="36"/>
  </r>
  <r>
    <n v="33"/>
    <n v="2024"/>
    <s v="Auction"/>
    <s v="VROLIJK BLOEMEN"/>
    <s v="VROLIJK BLOEMEN"/>
    <x v="113"/>
    <s v="Polyantha Roses"/>
    <s v="90CM"/>
    <n v="1"/>
    <n v="80"/>
    <n v="0.85"/>
    <n v="68"/>
    <n v="4"/>
    <s v="EUR"/>
    <m/>
    <m/>
    <x v="33"/>
    <n v="40"/>
    <x v="3"/>
    <x v="3"/>
    <n v="40"/>
    <n v="0.72"/>
    <n v="28.799999999999997"/>
    <n v="-3.5661087866108794"/>
    <n v="25.233891213389118"/>
    <x v="33"/>
    <n v="-40"/>
    <m/>
    <n v="451727"/>
    <n v="15.886111111111109"/>
    <m/>
    <n v="0.8"/>
    <m/>
    <n v="16.68611111111111"/>
    <n v="8.5477801022780078"/>
    <m/>
    <n v="40"/>
  </r>
  <r>
    <n v="33"/>
    <n v="2024"/>
    <s v="Auction"/>
    <s v="VROLIJK BLOEMEN"/>
    <s v="VROLIJK BLOEMEN"/>
    <x v="113"/>
    <s v="Polyantha Roses"/>
    <s v="100CM"/>
    <m/>
    <n v="160"/>
    <n v="1.04"/>
    <n v="166.4"/>
    <n v="8"/>
    <s v="EUR"/>
    <m/>
    <m/>
    <x v="33"/>
    <n v="0"/>
    <x v="3"/>
    <x v="4"/>
    <n v="160"/>
    <n v="0.9375"/>
    <n v="150"/>
    <n v="-14.264435146443518"/>
    <n v="135.73556485355647"/>
    <x v="33"/>
    <n v="0"/>
    <m/>
    <n v="451727"/>
    <n v="31.772222222222219"/>
    <m/>
    <n v="3.2"/>
    <m/>
    <n v="34.972222222222221"/>
    <n v="100.76334263133424"/>
    <m/>
    <n v="160"/>
  </r>
  <r>
    <n v="33"/>
    <n v="2024"/>
    <s v="Auction"/>
    <s v="VROLIJK BLOEMEN"/>
    <s v="VROLIJK BLOEMEN"/>
    <x v="113"/>
    <s v="English Roses"/>
    <s v="90CM"/>
    <n v="1"/>
    <n v="120"/>
    <n v="0.75"/>
    <n v="90"/>
    <n v="7.1999999999999993"/>
    <s v="EUR"/>
    <m/>
    <m/>
    <x v="33"/>
    <n v="0"/>
    <x v="1"/>
    <x v="3"/>
    <n v="120"/>
    <n v="0.69"/>
    <n v="82.8"/>
    <n v="-10.698326359832638"/>
    <n v="72.101673640167363"/>
    <x v="33"/>
    <n v="0"/>
    <m/>
    <n v="451727"/>
    <n v="28.594999999999995"/>
    <m/>
    <n v="2.4"/>
    <m/>
    <n v="30.994999999999994"/>
    <n v="41.106673640167372"/>
    <m/>
    <n v="120"/>
  </r>
  <r>
    <n v="33"/>
    <n v="2024"/>
    <s v="Auction"/>
    <s v="VROLIJK BLOEMEN"/>
    <s v="VROLIJK BLOEMEN"/>
    <x v="113"/>
    <s v="English Roses"/>
    <s v="100CM"/>
    <m/>
    <n v="80"/>
    <n v="0.94"/>
    <n v="75.2"/>
    <n v="4.8000000000000007"/>
    <s v="EUR"/>
    <m/>
    <m/>
    <x v="33"/>
    <n v="0"/>
    <x v="1"/>
    <x v="4"/>
    <n v="80"/>
    <n v="0.72"/>
    <n v="57.599999999999994"/>
    <n v="-7.1322175732217588"/>
    <n v="50.467782426778236"/>
    <x v="33"/>
    <n v="0"/>
    <m/>
    <n v="451727"/>
    <n v="19.063333333333336"/>
    <m/>
    <n v="1.6"/>
    <m/>
    <n v="20.663333333333338"/>
    <n v="29.804449093444898"/>
    <m/>
    <n v="80"/>
  </r>
  <r>
    <n v="33"/>
    <n v="2024"/>
    <s v="Auction"/>
    <s v="VROLIJK BLOEMEN"/>
    <s v="VROLIJK BLOEMEN"/>
    <x v="113"/>
    <s v="English Roses"/>
    <s v="60CM"/>
    <n v="1"/>
    <n v="200"/>
    <n v="0.47"/>
    <n v="94"/>
    <n v="5"/>
    <s v="EUR"/>
    <m/>
    <m/>
    <x v="33"/>
    <n v="0"/>
    <x v="1"/>
    <x v="0"/>
    <n v="200"/>
    <n v="0.48599999999999999"/>
    <n v="97.2"/>
    <n v="-17.830543933054397"/>
    <n v="79.369456066945602"/>
    <x v="33"/>
    <n v="0"/>
    <m/>
    <n v="451727"/>
    <n v="19.857638888888889"/>
    <m/>
    <n v="4"/>
    <m/>
    <n v="23.857638888888889"/>
    <n v="55.511817178056717"/>
    <m/>
    <n v="200"/>
  </r>
  <r>
    <n v="33"/>
    <n v="2024"/>
    <s v="Auction"/>
    <s v="VROLIJK BLOEMEN"/>
    <s v="VROLIJK BLOEMEN"/>
    <x v="113"/>
    <s v="English Roses"/>
    <s v="70CM"/>
    <m/>
    <n v="80"/>
    <n v="0.52"/>
    <n v="41.6"/>
    <n v="2"/>
    <s v="EUR"/>
    <m/>
    <m/>
    <x v="33"/>
    <n v="0"/>
    <x v="1"/>
    <x v="1"/>
    <n v="80"/>
    <n v="0.69000000000000006"/>
    <n v="55.2"/>
    <n v="-7.1322175732217588"/>
    <n v="48.067782426778244"/>
    <x v="33"/>
    <n v="0"/>
    <m/>
    <n v="451727"/>
    <n v="7.9430555555555546"/>
    <m/>
    <n v="1.6"/>
    <m/>
    <n v="9.5430555555555543"/>
    <n v="38.52472687122269"/>
    <m/>
    <n v="80"/>
  </r>
  <r>
    <n v="33"/>
    <n v="2024"/>
    <s v="Auction"/>
    <s v="VROLIJK BLOEMEN"/>
    <s v="VROLIJK BLOEMEN"/>
    <x v="113"/>
    <s v="Floribunda Roses"/>
    <s v="60CM"/>
    <m/>
    <n v="200"/>
    <n v="0.47"/>
    <n v="94"/>
    <n v="5"/>
    <s v="EUR"/>
    <m/>
    <m/>
    <x v="33"/>
    <n v="0"/>
    <x v="2"/>
    <x v="0"/>
    <n v="200"/>
    <n v="0.56799999999999995"/>
    <n v="113.6"/>
    <n v="-17.830543933054397"/>
    <n v="95.769456066945594"/>
    <x v="33"/>
    <n v="0"/>
    <m/>
    <n v="451727"/>
    <n v="19.857638888888889"/>
    <m/>
    <n v="4"/>
    <m/>
    <n v="23.857638888888889"/>
    <n v="71.911817178056708"/>
    <m/>
    <n v="200"/>
  </r>
  <r>
    <n v="33"/>
    <n v="2024"/>
    <s v="Auction"/>
    <s v="VROLIJK BLOEMEN"/>
    <s v="VROLIJK BLOEMEN"/>
    <x v="113"/>
    <s v="Polyantha Roses"/>
    <s v="80CM"/>
    <m/>
    <m/>
    <m/>
    <m/>
    <m/>
    <s v="EUR"/>
    <m/>
    <m/>
    <x v="33"/>
    <n v="-40"/>
    <x v="3"/>
    <x v="2"/>
    <n v="40"/>
    <n v="0.67999999999999994"/>
    <n v="27.199999999999996"/>
    <n v="-3.5661087866108794"/>
    <n v="23.633891213389116"/>
    <x v="33"/>
    <n v="40"/>
    <m/>
    <n v="451727"/>
    <n v="0"/>
    <m/>
    <n v="0.8"/>
    <m/>
    <n v="0.8"/>
    <n v="22.833891213389116"/>
    <m/>
    <n v="40"/>
  </r>
  <r>
    <n v="34"/>
    <n v="2024"/>
    <s v="Auction"/>
    <s v="VROLIJK BLOEMEN"/>
    <s v="VROLIJK BLOEMEN"/>
    <x v="114"/>
    <s v="Polyantha Roses"/>
    <s v="100CM"/>
    <n v="1"/>
    <n v="200"/>
    <n v="1.04"/>
    <n v="208"/>
    <n v="12"/>
    <s v="EUR"/>
    <m/>
    <m/>
    <x v="33"/>
    <n v="0"/>
    <x v="3"/>
    <x v="4"/>
    <n v="200"/>
    <n v="0.57999999999999996"/>
    <n v="115.99999999999999"/>
    <n v="-19.323308270676694"/>
    <n v="96.676691729323295"/>
    <x v="33"/>
    <n v="0"/>
    <m/>
    <n v="451738"/>
    <n v="49.038571428571423"/>
    <m/>
    <n v="4"/>
    <m/>
    <n v="53.038571428571423"/>
    <n v="43.638120300751872"/>
    <m/>
    <n v="200"/>
  </r>
  <r>
    <n v="34"/>
    <n v="2024"/>
    <s v="Auction"/>
    <s v="VROLIJK BLOEMEN"/>
    <s v="VROLIJK BLOEMEN"/>
    <x v="114"/>
    <s v="Shrub Roses"/>
    <s v="900CM"/>
    <n v="3"/>
    <n v="48"/>
    <n v="1.42"/>
    <n v="68.16"/>
    <n v="36"/>
    <s v="EUR"/>
    <m/>
    <m/>
    <x v="33"/>
    <n v="24"/>
    <x v="7"/>
    <x v="7"/>
    <n v="24"/>
    <n v="7.3666666666666671"/>
    <n v="176.8"/>
    <n v="-2.3187969924812033"/>
    <n v="174.48120300751881"/>
    <x v="33"/>
    <n v="-24"/>
    <m/>
    <n v="451738"/>
    <n v="147.11571428571426"/>
    <m/>
    <n v="1.44"/>
    <m/>
    <n v="148.55571428571426"/>
    <n v="25.925488721804555"/>
    <m/>
    <n v="24"/>
  </r>
  <r>
    <n v="34"/>
    <n v="2024"/>
    <s v="Auction"/>
    <s v="VROLIJK BLOEMEN"/>
    <s v="VROLIJK BLOEMEN"/>
    <x v="114"/>
    <s v="English Roses"/>
    <s v="60CM"/>
    <n v="1"/>
    <n v="160"/>
    <n v="0.47"/>
    <n v="75.2"/>
    <n v="6.8571428571428568"/>
    <s v="EUR"/>
    <m/>
    <m/>
    <x v="33"/>
    <n v="152"/>
    <x v="1"/>
    <x v="0"/>
    <n v="8"/>
    <n v="3.4750000000000001"/>
    <n v="27.8"/>
    <n v="-0.7729323308270678"/>
    <n v="27.027067669172933"/>
    <x v="33"/>
    <n v="-152"/>
    <m/>
    <n v="451738"/>
    <n v="28.022040816326527"/>
    <m/>
    <n v="0.16"/>
    <m/>
    <n v="28.182040816326527"/>
    <n v="-1.1549731471535942"/>
    <m/>
    <n v="8"/>
  </r>
  <r>
    <n v="34"/>
    <n v="2024"/>
    <s v="Auction"/>
    <s v="VROLIJK BLOEMEN"/>
    <s v="VROLIJK BLOEMEN"/>
    <x v="114"/>
    <s v="English Roses"/>
    <s v="70CM"/>
    <m/>
    <n v="40"/>
    <n v="0.52"/>
    <n v="20.8"/>
    <n v="1.7142857142857142"/>
    <s v="EUR"/>
    <m/>
    <m/>
    <x v="33"/>
    <n v="0"/>
    <x v="1"/>
    <x v="1"/>
    <n v="40"/>
    <n v="0.4"/>
    <n v="16"/>
    <n v="-3.8646616541353382"/>
    <n v="12.135338345864662"/>
    <x v="33"/>
    <n v="0"/>
    <m/>
    <n v="451738"/>
    <n v="7.0055102040816317"/>
    <m/>
    <n v="0.8"/>
    <m/>
    <n v="7.8055102040816315"/>
    <n v="4.3298281417830307"/>
    <m/>
    <n v="40"/>
  </r>
  <r>
    <n v="34"/>
    <n v="2024"/>
    <s v="Auction"/>
    <s v="VROLIJK BLOEMEN"/>
    <s v="VROLIJK BLOEMEN"/>
    <x v="114"/>
    <s v="English Roses"/>
    <s v="80CM"/>
    <m/>
    <n v="40"/>
    <n v="0.56999999999999995"/>
    <n v="22.8"/>
    <n v="1.7142857142857142"/>
    <s v="EUR"/>
    <m/>
    <m/>
    <x v="33"/>
    <n v="-40"/>
    <x v="1"/>
    <x v="2"/>
    <n v="80"/>
    <n v="0.38"/>
    <n v="30.4"/>
    <n v="-7.7293233082706765"/>
    <n v="22.670676691729323"/>
    <x v="33"/>
    <n v="40"/>
    <m/>
    <n v="451738"/>
    <n v="7.0055102040816317"/>
    <m/>
    <n v="1.6"/>
    <m/>
    <n v="8.6055102040816323"/>
    <n v="14.065166487647691"/>
    <m/>
    <n v="80"/>
  </r>
  <r>
    <n v="34"/>
    <n v="2024"/>
    <s v="Auction"/>
    <s v="VROLIJK BLOEMEN"/>
    <s v="VROLIJK BLOEMEN"/>
    <x v="114"/>
    <s v="English Roses"/>
    <s v="90CM"/>
    <m/>
    <n v="40"/>
    <n v="0.75"/>
    <n v="30"/>
    <n v="1.7142857142857142"/>
    <s v="EUR"/>
    <m/>
    <m/>
    <x v="33"/>
    <n v="0"/>
    <x v="1"/>
    <x v="3"/>
    <n v="40"/>
    <n v="0.3"/>
    <n v="12"/>
    <n v="-3.8646616541353382"/>
    <n v="8.1353383458646622"/>
    <x v="33"/>
    <n v="0"/>
    <m/>
    <n v="451738"/>
    <n v="7.0055102040816317"/>
    <m/>
    <n v="0.8"/>
    <m/>
    <n v="7.8055102040816315"/>
    <n v="0.32982814178303066"/>
    <m/>
    <n v="40"/>
  </r>
  <r>
    <n v="34"/>
    <n v="2024"/>
    <s v="Auction"/>
    <s v="VROLIJK BLOEMEN"/>
    <s v="VROLIJK BLOEMEN"/>
    <x v="114"/>
    <s v="Grandiflora Roses"/>
    <s v="70CM"/>
    <n v="1"/>
    <n v="120"/>
    <n v="0.28000000000000003"/>
    <n v="33.6"/>
    <n v="5.1428571428571423"/>
    <s v="EUR"/>
    <m/>
    <m/>
    <x v="33"/>
    <n v="0"/>
    <x v="0"/>
    <x v="1"/>
    <n v="120"/>
    <n v="0.18000000000000002"/>
    <n v="21.6"/>
    <n v="-11.593984962406017"/>
    <n v="10.006015037593984"/>
    <x v="33"/>
    <n v="0"/>
    <m/>
    <n v="451738"/>
    <n v="21.016530612244892"/>
    <m/>
    <n v="2.4"/>
    <m/>
    <n v="23.416530612244891"/>
    <n v="-13.410515574650907"/>
    <m/>
    <n v="120"/>
  </r>
  <r>
    <n v="34"/>
    <n v="2024"/>
    <s v="Auction"/>
    <s v="VROLIJK BLOEMEN"/>
    <s v="VROLIJK BLOEMEN"/>
    <x v="114"/>
    <s v="Grandiflora Roses"/>
    <s v="80CM"/>
    <m/>
    <n v="120"/>
    <n v="0.33"/>
    <n v="39.6"/>
    <n v="5.1428571428571423"/>
    <s v="EUR"/>
    <m/>
    <m/>
    <x v="33"/>
    <n v="0"/>
    <x v="0"/>
    <x v="2"/>
    <n v="120"/>
    <n v="0.19666666666666668"/>
    <n v="23.6"/>
    <n v="-11.593984962406017"/>
    <n v="12.006015037593984"/>
    <x v="33"/>
    <n v="0"/>
    <m/>
    <n v="451738"/>
    <n v="21.016530612244892"/>
    <m/>
    <n v="2.4"/>
    <m/>
    <n v="23.416530612244891"/>
    <n v="-11.410515574650907"/>
    <m/>
    <n v="120"/>
  </r>
  <r>
    <n v="34"/>
    <n v="2024"/>
    <s v="Auction"/>
    <s v="VROLIJK BLOEMEN"/>
    <s v="VROLIJK BLOEMEN"/>
    <x v="114"/>
    <s v="Grandiflora Roses"/>
    <s v="90CM"/>
    <m/>
    <n v="40"/>
    <n v="0.38"/>
    <n v="15.2"/>
    <n v="1.7142857142857142"/>
    <s v="EUR"/>
    <m/>
    <m/>
    <x v="33"/>
    <n v="40"/>
    <x v="0"/>
    <x v="3"/>
    <m/>
    <m/>
    <n v="0"/>
    <n v="0"/>
    <n v="0"/>
    <x v="33"/>
    <n v="-40"/>
    <m/>
    <n v="451738"/>
    <n v="7.0055102040816317"/>
    <m/>
    <n v="0"/>
    <m/>
    <n v="7.0055102040816317"/>
    <n v="-7.0055102040816317"/>
    <m/>
    <n v="0"/>
  </r>
  <r>
    <n v="34"/>
    <n v="2024"/>
    <s v="Auction"/>
    <s v="VROLIJK BLOEMEN"/>
    <s v="VROLIJK BLOEMEN"/>
    <x v="114"/>
    <s v="Polyantha Roses"/>
    <s v="60CM"/>
    <n v="1"/>
    <n v="40"/>
    <n v="0.52"/>
    <n v="20.8"/>
    <n v="1.7142857142857142"/>
    <s v="EUR"/>
    <m/>
    <m/>
    <x v="33"/>
    <n v="0"/>
    <x v="3"/>
    <x v="0"/>
    <n v="40"/>
    <n v="0.21000000000000002"/>
    <n v="8.4"/>
    <n v="-3.8646616541353382"/>
    <n v="4.5353383458646626"/>
    <x v="33"/>
    <n v="0"/>
    <m/>
    <n v="451738"/>
    <n v="7.0055102040816317"/>
    <m/>
    <n v="0.8"/>
    <m/>
    <n v="7.8055102040816315"/>
    <n v="-3.270171858216969"/>
    <m/>
    <n v="40"/>
  </r>
  <r>
    <n v="34"/>
    <n v="2024"/>
    <s v="Auction"/>
    <s v="VROLIJK BLOEMEN"/>
    <s v="VROLIJK BLOEMEN"/>
    <x v="114"/>
    <s v="Polyantha Roses"/>
    <s v="70CM"/>
    <m/>
    <n v="40"/>
    <n v="0.61"/>
    <n v="24.4"/>
    <n v="1.7142857142857142"/>
    <s v="EUR"/>
    <m/>
    <m/>
    <x v="33"/>
    <n v="0"/>
    <x v="3"/>
    <x v="1"/>
    <n v="40"/>
    <n v="0.25"/>
    <n v="10"/>
    <n v="-3.8646616541353382"/>
    <n v="6.1353383458646622"/>
    <x v="33"/>
    <n v="0"/>
    <m/>
    <n v="451738"/>
    <n v="7.0055102040816317"/>
    <m/>
    <n v="0.8"/>
    <m/>
    <n v="7.8055102040816315"/>
    <n v="-1.6701718582169693"/>
    <m/>
    <n v="40"/>
  </r>
  <r>
    <n v="34"/>
    <n v="2024"/>
    <s v="Auction"/>
    <s v="VROLIJK BLOEMEN"/>
    <s v="VROLIJK BLOEMEN"/>
    <x v="114"/>
    <s v="Polyantha Roses"/>
    <s v="80CM"/>
    <m/>
    <n v="80"/>
    <n v="0.66"/>
    <n v="52.8"/>
    <n v="3.4285714285714284"/>
    <s v="EUR"/>
    <m/>
    <m/>
    <x v="33"/>
    <n v="0"/>
    <x v="3"/>
    <x v="2"/>
    <n v="80"/>
    <n v="0.25"/>
    <n v="20"/>
    <n v="-7.7293233082706765"/>
    <n v="12.270676691729324"/>
    <x v="33"/>
    <n v="0"/>
    <m/>
    <n v="451738"/>
    <n v="14.011020408163263"/>
    <m/>
    <n v="1.6"/>
    <m/>
    <n v="15.611020408163263"/>
    <n v="-3.3403437164339387"/>
    <m/>
    <n v="80"/>
  </r>
  <r>
    <n v="34"/>
    <n v="2024"/>
    <s v="Auction"/>
    <s v="VROLIJK BLOEMEN"/>
    <s v="VROLIJK BLOEMEN"/>
    <x v="114"/>
    <s v="Polyantha Roses"/>
    <s v="90CM"/>
    <m/>
    <n v="120"/>
    <n v="0.85"/>
    <n v="102"/>
    <n v="5.1428571428571423"/>
    <s v="EUR"/>
    <m/>
    <m/>
    <x v="33"/>
    <n v="0"/>
    <x v="3"/>
    <x v="3"/>
    <n v="120"/>
    <n v="0.33666666666666667"/>
    <n v="40.4"/>
    <n v="-11.593984962406017"/>
    <n v="28.80601503759398"/>
    <x v="33"/>
    <n v="0"/>
    <m/>
    <n v="451738"/>
    <n v="21.016530612244892"/>
    <m/>
    <n v="2.4"/>
    <m/>
    <n v="23.416530612244891"/>
    <n v="5.3894844253490888"/>
    <m/>
    <n v="120"/>
  </r>
  <r>
    <n v="34"/>
    <n v="2024"/>
    <s v="Auction"/>
    <s v="VROLIJK BLOEMEN"/>
    <s v="VROLIJK BLOEMEN"/>
    <x v="114"/>
    <s v="English Roses"/>
    <s v="60CM"/>
    <m/>
    <m/>
    <m/>
    <m/>
    <m/>
    <s v="EUR"/>
    <m/>
    <m/>
    <x v="33"/>
    <n v="-160"/>
    <x v="1"/>
    <x v="0"/>
    <n v="160"/>
    <n v="0.375"/>
    <n v="60"/>
    <n v="-15.458646616541353"/>
    <n v="44.541353383458649"/>
    <x v="33"/>
    <n v="160"/>
    <m/>
    <n v="451738"/>
    <n v="0"/>
    <m/>
    <n v="3.2"/>
    <m/>
    <n v="3.2"/>
    <n v="41.341353383458646"/>
    <m/>
    <n v="160"/>
  </r>
  <r>
    <n v="34"/>
    <n v="2024"/>
    <s v="Auction"/>
    <s v="VROLIJK BLOEMEN"/>
    <s v="VROLIJK BLOEMEN"/>
    <x v="114"/>
    <s v="Shrub Roses"/>
    <s v="900CM"/>
    <m/>
    <m/>
    <m/>
    <m/>
    <m/>
    <s v="EUR"/>
    <m/>
    <m/>
    <x v="33"/>
    <n v="8"/>
    <x v="7"/>
    <x v="7"/>
    <n v="-8"/>
    <n v="6.9"/>
    <n v="-55.2"/>
    <n v="0.7729323308270678"/>
    <n v="-54.427067669172935"/>
    <x v="33"/>
    <n v="-8"/>
    <m/>
    <n v="451738"/>
    <n v="0"/>
    <m/>
    <n v="-0.48"/>
    <m/>
    <n v="-0.48"/>
    <n v="-53.947067669172938"/>
    <m/>
    <n v="-8"/>
  </r>
  <r>
    <n v="34"/>
    <n v="2024"/>
    <s v="Auction"/>
    <s v="VROLIJK BLOEMEN"/>
    <s v="VROLIJK BLOEMEN"/>
    <x v="114"/>
    <s v="Shrub Roses"/>
    <s v="900CM"/>
    <m/>
    <m/>
    <m/>
    <m/>
    <m/>
    <s v="EUR"/>
    <m/>
    <m/>
    <x v="33"/>
    <n v="-24"/>
    <x v="7"/>
    <x v="7"/>
    <n v="24"/>
    <n v="7.8500000000000005"/>
    <n v="188.4"/>
    <n v="-22.379999999999995"/>
    <n v="166.02"/>
    <x v="33"/>
    <n v="24"/>
    <m/>
    <n v="451738"/>
    <n v="0"/>
    <m/>
    <n v="1.44"/>
    <m/>
    <n v="1.44"/>
    <n v="164.58"/>
    <m/>
    <n v="24"/>
  </r>
  <r>
    <n v="34"/>
    <n v="2024"/>
    <s v="Auction"/>
    <s v="VROLIJK BLOEMEN"/>
    <s v="VROLIJK BLOEMEN"/>
    <x v="115"/>
    <s v="English Roses"/>
    <s v="100CM"/>
    <n v="1"/>
    <n v="200"/>
    <n v="0.94"/>
    <n v="188"/>
    <n v="12"/>
    <s v="EUR"/>
    <m/>
    <m/>
    <x v="33"/>
    <n v="0"/>
    <x v="1"/>
    <x v="4"/>
    <n v="200"/>
    <n v="0.76"/>
    <n v="152"/>
    <n v="-14.753989361702118"/>
    <n v="137.24601063829789"/>
    <x v="33"/>
    <n v="0"/>
    <m/>
    <s v="F093108"/>
    <n v="56.347499999999997"/>
    <m/>
    <n v="4"/>
    <m/>
    <n v="60.347499999999997"/>
    <n v="76.898510638297893"/>
    <m/>
    <n v="200"/>
  </r>
  <r>
    <n v="34"/>
    <n v="2024"/>
    <s v="Auction"/>
    <s v="VROLIJK BLOEMEN"/>
    <s v="VROLIJK BLOEMEN"/>
    <x v="115"/>
    <s v="Floribunda Roses"/>
    <s v="60CM"/>
    <n v="1"/>
    <n v="400"/>
    <n v="0.47"/>
    <n v="188"/>
    <n v="12"/>
    <s v="EUR"/>
    <m/>
    <m/>
    <x v="33"/>
    <n v="0"/>
    <x v="2"/>
    <x v="0"/>
    <n v="400"/>
    <n v="0.4"/>
    <n v="160"/>
    <n v="-29.507978723404236"/>
    <n v="130.49202127659578"/>
    <x v="33"/>
    <n v="0"/>
    <m/>
    <s v="F093108"/>
    <n v="56.347499999999997"/>
    <m/>
    <n v="8"/>
    <m/>
    <n v="64.347499999999997"/>
    <n v="66.144521276595782"/>
    <m/>
    <n v="400"/>
  </r>
  <r>
    <n v="34"/>
    <n v="2024"/>
    <s v="Auction"/>
    <s v="VROLIJK BLOEMEN"/>
    <s v="VROLIJK BLOEMEN"/>
    <x v="115"/>
    <s v="Shrub Roses"/>
    <s v="900CM"/>
    <n v="3"/>
    <n v="48"/>
    <n v="1.42"/>
    <n v="68.16"/>
    <n v="36"/>
    <s v="EUR"/>
    <m/>
    <m/>
    <x v="33"/>
    <n v="24"/>
    <x v="7"/>
    <x v="7"/>
    <n v="24"/>
    <n v="7.4666666666666659"/>
    <n v="179.2"/>
    <n v="-1.7704787234042543"/>
    <n v="177.42952127659572"/>
    <x v="33"/>
    <n v="-24"/>
    <m/>
    <s v="F093108"/>
    <n v="169.04249999999999"/>
    <m/>
    <n v="1.44"/>
    <m/>
    <n v="170.48249999999999"/>
    <n v="6.9470212765957342"/>
    <m/>
    <n v="24"/>
  </r>
  <r>
    <n v="34"/>
    <n v="2024"/>
    <s v="Auction"/>
    <s v="VROLIJK BLOEMEN"/>
    <s v="VROLIJK BLOEMEN"/>
    <x v="115"/>
    <s v="English Roses"/>
    <s v="60CM"/>
    <n v="1"/>
    <n v="200"/>
    <n v="0.47"/>
    <n v="94"/>
    <n v="7.5"/>
    <s v="EUR"/>
    <m/>
    <m/>
    <x v="33"/>
    <n v="0"/>
    <x v="1"/>
    <x v="0"/>
    <n v="200"/>
    <n v="0.35600000000000004"/>
    <n v="71.2"/>
    <n v="-14.753989361702118"/>
    <n v="56.446010638297885"/>
    <x v="33"/>
    <n v="0"/>
    <m/>
    <s v="F093108"/>
    <n v="35.217187499999994"/>
    <m/>
    <n v="4"/>
    <m/>
    <n v="39.217187499999994"/>
    <n v="17.228823138297891"/>
    <m/>
    <n v="200"/>
  </r>
  <r>
    <n v="34"/>
    <n v="2024"/>
    <s v="Auction"/>
    <s v="VROLIJK BLOEMEN"/>
    <s v="VROLIJK BLOEMEN"/>
    <x v="115"/>
    <s v="English Roses"/>
    <s v="70CM"/>
    <m/>
    <n v="120"/>
    <n v="0.52"/>
    <n v="62.4"/>
    <n v="4.5"/>
    <s v="EUR"/>
    <m/>
    <m/>
    <x v="33"/>
    <n v="0"/>
    <x v="1"/>
    <x v="1"/>
    <n v="120"/>
    <n v="0.38666666666666666"/>
    <n v="46.4"/>
    <n v="-8.8523936170212725"/>
    <n v="37.547606382978728"/>
    <x v="33"/>
    <n v="0"/>
    <m/>
    <s v="F093108"/>
    <n v="21.130312499999999"/>
    <m/>
    <n v="2.4"/>
    <m/>
    <n v="23.530312499999997"/>
    <n v="14.017293882978731"/>
    <m/>
    <n v="120"/>
  </r>
  <r>
    <n v="34"/>
    <n v="2024"/>
    <s v="Auction"/>
    <s v="VROLIJK BLOEMEN"/>
    <s v="VROLIJK BLOEMEN"/>
    <x v="115"/>
    <s v="English Roses"/>
    <s v="90CM"/>
    <n v="1"/>
    <n v="80"/>
    <n v="0.75"/>
    <n v="60"/>
    <n v="4"/>
    <s v="EUR"/>
    <m/>
    <m/>
    <x v="33"/>
    <n v="0"/>
    <x v="1"/>
    <x v="3"/>
    <n v="80"/>
    <n v="0.77"/>
    <n v="61.6"/>
    <n v="-5.9015957446808471"/>
    <n v="55.698404255319154"/>
    <x v="33"/>
    <n v="0"/>
    <m/>
    <s v="F093108"/>
    <n v="18.782499999999999"/>
    <m/>
    <n v="1.6"/>
    <m/>
    <n v="20.3825"/>
    <n v="35.315904255319154"/>
    <m/>
    <n v="80"/>
  </r>
  <r>
    <n v="34"/>
    <n v="2024"/>
    <s v="Auction"/>
    <s v="VROLIJK BLOEMEN"/>
    <s v="VROLIJK BLOEMEN"/>
    <x v="115"/>
    <s v="English Roses"/>
    <s v="80CM"/>
    <m/>
    <n v="160"/>
    <n v="0.56999999999999995"/>
    <n v="91.2"/>
    <n v="8"/>
    <s v="EUR"/>
    <m/>
    <m/>
    <x v="33"/>
    <n v="0"/>
    <x v="1"/>
    <x v="2"/>
    <n v="160"/>
    <n v="0.77500000000000002"/>
    <n v="124"/>
    <n v="-11.803191489361694"/>
    <n v="112.19680851063831"/>
    <x v="33"/>
    <n v="0"/>
    <m/>
    <s v="F093108"/>
    <n v="37.564999999999998"/>
    <m/>
    <n v="3.2"/>
    <m/>
    <n v="40.765000000000001"/>
    <n v="71.431808510638305"/>
    <m/>
    <n v="160"/>
  </r>
  <r>
    <n v="34"/>
    <n v="2024"/>
    <s v="Auction"/>
    <s v="VROLIJK BLOEMEN"/>
    <s v="VROLIJK BLOEMEN"/>
    <x v="115"/>
    <s v="Polyantha Roses"/>
    <s v="60CM"/>
    <n v="1"/>
    <n v="120"/>
    <n v="0.52"/>
    <n v="62.4"/>
    <n v="4.5"/>
    <s v="EUR"/>
    <m/>
    <m/>
    <x v="33"/>
    <n v="0"/>
    <x v="3"/>
    <x v="0"/>
    <n v="120"/>
    <n v="0.43333333333333335"/>
    <n v="52"/>
    <n v="-8.8523936170212725"/>
    <n v="43.147606382978729"/>
    <x v="33"/>
    <n v="0"/>
    <m/>
    <s v="F093108"/>
    <n v="21.130312499999999"/>
    <m/>
    <n v="2.4"/>
    <m/>
    <n v="23.530312499999997"/>
    <n v="19.617293882978732"/>
    <m/>
    <n v="120"/>
  </r>
  <r>
    <n v="34"/>
    <n v="2024"/>
    <s v="Auction"/>
    <s v="VROLIJK BLOEMEN"/>
    <s v="VROLIJK BLOEMEN"/>
    <x v="115"/>
    <s v="Polyantha Roses"/>
    <s v="70CM"/>
    <m/>
    <n v="40"/>
    <n v="0.61"/>
    <n v="24.4"/>
    <n v="1.5"/>
    <s v="EUR"/>
    <m/>
    <m/>
    <x v="33"/>
    <n v="0"/>
    <x v="3"/>
    <x v="1"/>
    <n v="40"/>
    <n v="0.57000000000000006"/>
    <n v="22.800000000000004"/>
    <n v="-2.9507978723404236"/>
    <n v="19.849202127659581"/>
    <x v="33"/>
    <n v="0"/>
    <m/>
    <s v="F093108"/>
    <n v="7.0434374999999996"/>
    <m/>
    <n v="0.8"/>
    <m/>
    <n v="7.8434374999999994"/>
    <n v="12.00576462765958"/>
    <m/>
    <n v="40"/>
  </r>
  <r>
    <n v="34"/>
    <n v="2024"/>
    <s v="Auction"/>
    <s v="VROLIJK BLOEMEN"/>
    <s v="VROLIJK BLOEMEN"/>
    <x v="115"/>
    <s v="Polyantha Roses"/>
    <s v="80CM"/>
    <m/>
    <n v="40"/>
    <n v="0.66"/>
    <n v="26.4"/>
    <n v="1.5"/>
    <s v="EUR"/>
    <m/>
    <m/>
    <x v="33"/>
    <n v="0"/>
    <x v="3"/>
    <x v="2"/>
    <n v="40"/>
    <n v="0.52"/>
    <n v="20.8"/>
    <n v="-2.9507978723404236"/>
    <n v="17.849202127659577"/>
    <x v="33"/>
    <n v="0"/>
    <m/>
    <s v="F093108"/>
    <n v="7.0434374999999996"/>
    <m/>
    <n v="0.8"/>
    <m/>
    <n v="7.8434374999999994"/>
    <n v="10.005764627659577"/>
    <m/>
    <n v="40"/>
  </r>
  <r>
    <n v="34"/>
    <n v="2024"/>
    <s v="Auction"/>
    <s v="VROLIJK BLOEMEN"/>
    <s v="VROLIJK BLOEMEN"/>
    <x v="115"/>
    <s v="Polyantha Roses"/>
    <s v="90CM"/>
    <m/>
    <n v="40"/>
    <n v="0.85"/>
    <n v="34"/>
    <n v="1.5"/>
    <s v="EUR"/>
    <m/>
    <m/>
    <x v="33"/>
    <n v="0"/>
    <x v="3"/>
    <x v="3"/>
    <n v="40"/>
    <n v="0.55999999999999994"/>
    <n v="22.4"/>
    <n v="-2.9507978723404236"/>
    <n v="19.449202127659575"/>
    <x v="33"/>
    <n v="0"/>
    <m/>
    <s v="F093108"/>
    <n v="7.0434374999999996"/>
    <m/>
    <n v="0.8"/>
    <m/>
    <n v="7.8434374999999994"/>
    <n v="11.605764627659575"/>
    <m/>
    <n v="40"/>
  </r>
  <r>
    <n v="34"/>
    <n v="2024"/>
    <s v="Auction"/>
    <s v="VROLIJK BLOEMEN"/>
    <s v="VROLIJK BLOEMEN"/>
    <x v="115"/>
    <s v="Polyantha Roses"/>
    <s v="100CM"/>
    <m/>
    <n v="80"/>
    <n v="1.04"/>
    <n v="83.2"/>
    <n v="3"/>
    <s v="EUR"/>
    <m/>
    <m/>
    <x v="33"/>
    <n v="0"/>
    <x v="3"/>
    <x v="4"/>
    <n v="80"/>
    <n v="0.6"/>
    <n v="48"/>
    <n v="-5.9015957446808471"/>
    <n v="42.098404255319153"/>
    <x v="33"/>
    <n v="0"/>
    <m/>
    <s v="F093108"/>
    <n v="14.086874999999999"/>
    <m/>
    <n v="1.6"/>
    <m/>
    <n v="15.686874999999999"/>
    <n v="26.411529255319152"/>
    <m/>
    <n v="80"/>
  </r>
  <r>
    <n v="34"/>
    <n v="2024"/>
    <s v="Auction"/>
    <s v="VROLIJK BLOEMEN"/>
    <s v="VROLIJK BLOEMEN"/>
    <x v="115"/>
    <s v="Shrub Roses"/>
    <s v="900CM"/>
    <m/>
    <m/>
    <m/>
    <m/>
    <m/>
    <s v="EUR"/>
    <m/>
    <m/>
    <x v="33"/>
    <n v="-24"/>
    <x v="7"/>
    <x v="7"/>
    <n v="24"/>
    <n v="7.45"/>
    <n v="178.8"/>
    <n v="-21.960000000000008"/>
    <n v="156.84"/>
    <x v="33"/>
    <n v="24"/>
    <m/>
    <s v="F093108"/>
    <n v="0"/>
    <m/>
    <n v="1.44"/>
    <m/>
    <n v="1.44"/>
    <n v="155.4"/>
    <m/>
    <n v="24"/>
  </r>
  <r>
    <n v="34"/>
    <n v="2024"/>
    <s v="Auction"/>
    <s v="VROLIJK BLOEMEN"/>
    <s v="VROLIJK BLOEMEN"/>
    <x v="116"/>
    <s v="Shrub Roses"/>
    <s v="900CM"/>
    <n v="5"/>
    <n v="80"/>
    <n v="1.42"/>
    <n v="113.6"/>
    <n v="60"/>
    <s v="EUR"/>
    <m/>
    <m/>
    <x v="34"/>
    <n v="0"/>
    <x v="7"/>
    <x v="7"/>
    <n v="80"/>
    <n v="7.6787499999999991"/>
    <n v="614.29999999999995"/>
    <n v="-9.0296774193548419"/>
    <n v="605.27032258064514"/>
    <x v="34"/>
    <n v="0"/>
    <m/>
    <n v="452629"/>
    <n v="286.98124999999999"/>
    <m/>
    <n v="4.8"/>
    <m/>
    <n v="291.78125"/>
    <n v="313.48907258064514"/>
    <m/>
    <n v="80"/>
  </r>
  <r>
    <n v="34"/>
    <n v="2024"/>
    <s v="Auction"/>
    <s v="VROLIJK BLOEMEN"/>
    <s v="VROLIJK BLOEMEN"/>
    <x v="116"/>
    <s v="English Roses"/>
    <s v="50CM"/>
    <n v="1"/>
    <n v="520"/>
    <n v="0.38"/>
    <n v="197.6"/>
    <n v="12"/>
    <s v="EUR"/>
    <m/>
    <m/>
    <x v="34"/>
    <n v="0"/>
    <x v="1"/>
    <x v="5"/>
    <n v="520"/>
    <n v="0.33076923076923076"/>
    <n v="172"/>
    <n v="-58.692903225806461"/>
    <n v="113.30709677419354"/>
    <x v="34"/>
    <n v="0"/>
    <m/>
    <n v="452629"/>
    <n v="57.396250000000002"/>
    <m/>
    <n v="10.4"/>
    <m/>
    <n v="67.796250000000001"/>
    <n v="45.510846774193539"/>
    <m/>
    <n v="520"/>
  </r>
  <r>
    <n v="34"/>
    <n v="2024"/>
    <s v="Auction"/>
    <s v="VROLIJK BLOEMEN"/>
    <s v="VROLIJK BLOEMEN"/>
    <x v="116"/>
    <s v="Polyantha Roses"/>
    <s v="60CM"/>
    <n v="1"/>
    <n v="40"/>
    <n v="0.52"/>
    <n v="20.8"/>
    <n v="1.7142857142857142"/>
    <s v="EUR"/>
    <m/>
    <m/>
    <x v="34"/>
    <n v="0"/>
    <x v="3"/>
    <x v="0"/>
    <n v="40"/>
    <n v="0.52"/>
    <n v="20.8"/>
    <n v="-4.514838709677421"/>
    <n v="16.285161290322581"/>
    <x v="34"/>
    <n v="0"/>
    <m/>
    <n v="452629"/>
    <n v="8.199464285714285"/>
    <m/>
    <n v="0.8"/>
    <m/>
    <n v="8.9994642857142857"/>
    <n v="7.2856970046082949"/>
    <m/>
    <n v="40"/>
  </r>
  <r>
    <n v="34"/>
    <n v="2024"/>
    <s v="Auction"/>
    <s v="VROLIJK BLOEMEN"/>
    <s v="VROLIJK BLOEMEN"/>
    <x v="116"/>
    <s v="Polyantha Roses"/>
    <s v="70CM"/>
    <m/>
    <n v="80"/>
    <n v="0.61"/>
    <n v="48.8"/>
    <n v="3.4285714285714284"/>
    <s v="EUR"/>
    <m/>
    <m/>
    <x v="34"/>
    <n v="0"/>
    <x v="3"/>
    <x v="1"/>
    <n v="80"/>
    <n v="0.505"/>
    <n v="40.4"/>
    <n v="-9.0296774193548419"/>
    <n v="31.370322580645158"/>
    <x v="34"/>
    <n v="0"/>
    <m/>
    <n v="452629"/>
    <n v="16.39892857142857"/>
    <m/>
    <n v="1.6"/>
    <m/>
    <n v="17.998928571428571"/>
    <n v="13.371394009216587"/>
    <m/>
    <n v="80"/>
  </r>
  <r>
    <n v="34"/>
    <n v="2024"/>
    <s v="Auction"/>
    <s v="VROLIJK BLOEMEN"/>
    <s v="VROLIJK BLOEMEN"/>
    <x v="116"/>
    <s v="Polyantha Roses"/>
    <s v="80CM"/>
    <m/>
    <n v="40"/>
    <n v="0.66"/>
    <n v="26.4"/>
    <n v="1.7142857142857142"/>
    <s v="EUR"/>
    <m/>
    <m/>
    <x v="34"/>
    <n v="0"/>
    <x v="3"/>
    <x v="2"/>
    <n v="40"/>
    <n v="0.55000000000000004"/>
    <n v="22"/>
    <n v="-4.514838709677421"/>
    <n v="17.48516129032258"/>
    <x v="34"/>
    <n v="0"/>
    <m/>
    <n v="452629"/>
    <n v="8.199464285714285"/>
    <m/>
    <n v="0.8"/>
    <m/>
    <n v="8.9994642857142857"/>
    <n v="8.4856970046082942"/>
    <m/>
    <n v="40"/>
  </r>
  <r>
    <n v="34"/>
    <n v="2024"/>
    <s v="Auction"/>
    <s v="VROLIJK BLOEMEN"/>
    <s v="VROLIJK BLOEMEN"/>
    <x v="116"/>
    <s v="Polyantha Roses"/>
    <s v="90CM"/>
    <m/>
    <n v="80"/>
    <n v="0.85"/>
    <n v="68"/>
    <n v="3.4285714285714284"/>
    <s v="EUR"/>
    <m/>
    <m/>
    <x v="34"/>
    <n v="0"/>
    <x v="3"/>
    <x v="3"/>
    <n v="80"/>
    <n v="0.41"/>
    <n v="32.799999999999997"/>
    <n v="-9.0296774193548419"/>
    <n v="23.770322580645157"/>
    <x v="34"/>
    <n v="0"/>
    <m/>
    <n v="452629"/>
    <n v="16.39892857142857"/>
    <m/>
    <n v="1.6"/>
    <m/>
    <n v="17.998928571428571"/>
    <n v="5.7713940092165856"/>
    <m/>
    <n v="80"/>
  </r>
  <r>
    <n v="34"/>
    <n v="2024"/>
    <s v="Auction"/>
    <s v="VROLIJK BLOEMEN"/>
    <s v="VROLIJK BLOEMEN"/>
    <x v="116"/>
    <s v="Polyantha Roses"/>
    <s v="100CM"/>
    <m/>
    <n v="40"/>
    <n v="1.04"/>
    <n v="41.6"/>
    <n v="1.7142857142857142"/>
    <s v="EUR"/>
    <m/>
    <m/>
    <x v="34"/>
    <n v="0"/>
    <x v="3"/>
    <x v="4"/>
    <n v="40"/>
    <n v="0.48"/>
    <n v="19.2"/>
    <n v="-4.514838709677421"/>
    <n v="14.685161290322579"/>
    <x v="34"/>
    <n v="0"/>
    <m/>
    <n v="452629"/>
    <n v="8.199464285714285"/>
    <m/>
    <n v="0.8"/>
    <m/>
    <n v="8.9994642857142857"/>
    <n v="5.6856970046082935"/>
    <m/>
    <n v="40"/>
  </r>
  <r>
    <n v="34"/>
    <n v="2024"/>
    <s v="Auction"/>
    <s v="VROLIJK BLOEMEN"/>
    <s v="VROLIJK BLOEMEN"/>
    <x v="116"/>
    <s v="English Roses"/>
    <s v="60CM"/>
    <n v="1"/>
    <n v="160"/>
    <n v="0.47"/>
    <n v="75.2"/>
    <n v="5.333333333333333"/>
    <s v="EUR"/>
    <m/>
    <m/>
    <x v="34"/>
    <n v="0"/>
    <x v="1"/>
    <x v="0"/>
    <n v="160"/>
    <n v="0.57499999999999996"/>
    <n v="92"/>
    <n v="-18.059354838709684"/>
    <n v="73.94064516129032"/>
    <x v="34"/>
    <n v="0"/>
    <m/>
    <n v="452629"/>
    <n v="25.509444444444444"/>
    <m/>
    <n v="3.2"/>
    <m/>
    <n v="28.709444444444443"/>
    <n v="45.231200716845876"/>
    <m/>
    <n v="160"/>
  </r>
  <r>
    <n v="34"/>
    <n v="2024"/>
    <s v="Auction"/>
    <s v="VROLIJK BLOEMEN"/>
    <s v="VROLIJK BLOEMEN"/>
    <x v="116"/>
    <s v="English Roses"/>
    <s v="80CM"/>
    <m/>
    <n v="160"/>
    <n v="0.56999999999999995"/>
    <n v="91.2"/>
    <n v="5.333333333333333"/>
    <s v="EUR"/>
    <m/>
    <m/>
    <x v="34"/>
    <n v="0"/>
    <x v="1"/>
    <x v="2"/>
    <n v="160"/>
    <n v="0.54"/>
    <n v="86.4"/>
    <n v="-18.059354838709684"/>
    <n v="68.340645161290325"/>
    <x v="34"/>
    <n v="0"/>
    <m/>
    <n v="452629"/>
    <n v="25.509444444444444"/>
    <m/>
    <n v="3.2"/>
    <m/>
    <n v="28.709444444444443"/>
    <n v="39.631200716845882"/>
    <m/>
    <n v="160"/>
  </r>
  <r>
    <n v="34"/>
    <n v="2024"/>
    <s v="Auction"/>
    <s v="VROLIJK BLOEMEN"/>
    <s v="VROLIJK BLOEMEN"/>
    <x v="116"/>
    <s v="English Roses"/>
    <s v="90CM"/>
    <m/>
    <n v="40"/>
    <n v="0.75"/>
    <n v="30"/>
    <n v="1.3333333333333333"/>
    <s v="EUR"/>
    <m/>
    <m/>
    <x v="34"/>
    <n v="0"/>
    <x v="1"/>
    <x v="3"/>
    <n v="40"/>
    <n v="0.59000000000000008"/>
    <n v="23.6"/>
    <n v="-4.514838709677421"/>
    <n v="19.085161290322581"/>
    <x v="34"/>
    <n v="0"/>
    <m/>
    <n v="452629"/>
    <n v="6.377361111111111"/>
    <m/>
    <n v="0.8"/>
    <m/>
    <n v="7.1773611111111109"/>
    <n v="11.90780017921147"/>
    <m/>
    <n v="40"/>
  </r>
  <r>
    <n v="35"/>
    <n v="2024"/>
    <s v="Auction"/>
    <s v="VROLIJK BLOEMEN"/>
    <s v="VROLIJK BLOEMEN"/>
    <x v="117"/>
    <s v="Shrub Roses"/>
    <s v="900CM"/>
    <n v="5"/>
    <n v="80"/>
    <n v="1.42"/>
    <n v="113.6"/>
    <n v="60"/>
    <s v="EUR"/>
    <m/>
    <m/>
    <x v="34"/>
    <n v="60"/>
    <x v="7"/>
    <x v="7"/>
    <n v="20"/>
    <n v="7.2099999999999991"/>
    <n v="144.19999999999999"/>
    <n v="-1.8286885245901632"/>
    <n v="142.37131147540981"/>
    <x v="34"/>
    <n v="-60"/>
    <m/>
    <n v="452632"/>
    <n v="283.57777777777778"/>
    <m/>
    <n v="1.2"/>
    <m/>
    <n v="284.77777777777777"/>
    <n v="-142.40646630236796"/>
    <m/>
    <n v="20"/>
  </r>
  <r>
    <n v="35"/>
    <n v="2024"/>
    <s v="Auction"/>
    <s v="VROLIJK BLOEMEN"/>
    <s v="VROLIJK BLOEMEN"/>
    <x v="117"/>
    <s v="English Roses"/>
    <s v="100CM"/>
    <n v="1"/>
    <n v="120"/>
    <n v="0.94"/>
    <n v="112.8"/>
    <n v="5.1428571428571423"/>
    <s v="EUR"/>
    <m/>
    <m/>
    <x v="34"/>
    <n v="0"/>
    <x v="1"/>
    <x v="4"/>
    <n v="120"/>
    <n v="0.98"/>
    <n v="117.6"/>
    <n v="-10.97213114754098"/>
    <n v="106.62786885245902"/>
    <x v="34"/>
    <n v="0"/>
    <m/>
    <n v="452632"/>
    <n v="24.306666666666665"/>
    <m/>
    <n v="2.4"/>
    <m/>
    <n v="26.706666666666663"/>
    <n v="79.921202185792353"/>
    <m/>
    <n v="120"/>
  </r>
  <r>
    <n v="35"/>
    <n v="2024"/>
    <s v="Auction"/>
    <s v="VROLIJK BLOEMEN"/>
    <s v="VROLIJK BLOEMEN"/>
    <x v="117"/>
    <s v="English Roses"/>
    <s v="70CM"/>
    <m/>
    <n v="120"/>
    <n v="0.52"/>
    <n v="62.4"/>
    <n v="5.1428571428571423"/>
    <s v="EUR"/>
    <m/>
    <m/>
    <x v="34"/>
    <n v="0"/>
    <x v="1"/>
    <x v="1"/>
    <n v="120"/>
    <n v="0.52333333333333332"/>
    <n v="62.8"/>
    <n v="-10.97213114754098"/>
    <n v="51.827868852459019"/>
    <x v="34"/>
    <n v="0"/>
    <m/>
    <n v="452632"/>
    <n v="24.306666666666665"/>
    <m/>
    <n v="2.4"/>
    <m/>
    <n v="26.706666666666663"/>
    <n v="25.121202185792356"/>
    <m/>
    <n v="120"/>
  </r>
  <r>
    <n v="35"/>
    <n v="2024"/>
    <s v="Auction"/>
    <s v="VROLIJK BLOEMEN"/>
    <s v="VROLIJK BLOEMEN"/>
    <x v="117"/>
    <s v="English Roses"/>
    <s v="90CM"/>
    <m/>
    <n v="40"/>
    <n v="0.75"/>
    <n v="30"/>
    <n v="1.7142857142857142"/>
    <s v="EUR"/>
    <m/>
    <m/>
    <x v="34"/>
    <n v="0"/>
    <x v="1"/>
    <x v="3"/>
    <n v="40"/>
    <n v="0.91999999999999993"/>
    <n v="36.799999999999997"/>
    <n v="-3.6573770491803264"/>
    <n v="33.142622950819671"/>
    <x v="34"/>
    <n v="0"/>
    <m/>
    <n v="452632"/>
    <n v="8.1022222222222222"/>
    <m/>
    <n v="0.8"/>
    <m/>
    <n v="8.9022222222222229"/>
    <n v="24.24040072859745"/>
    <m/>
    <n v="40"/>
  </r>
  <r>
    <n v="35"/>
    <n v="2024"/>
    <s v="Auction"/>
    <s v="VROLIJK BLOEMEN"/>
    <s v="VROLIJK BLOEMEN"/>
    <x v="117"/>
    <s v="Grandiflora Roses"/>
    <s v="70CM"/>
    <n v="1"/>
    <n v="120"/>
    <n v="0.28000000000000003"/>
    <n v="33.6"/>
    <n v="4.5"/>
    <s v="EUR"/>
    <m/>
    <m/>
    <x v="34"/>
    <n v="0"/>
    <x v="0"/>
    <x v="1"/>
    <n v="120"/>
    <n v="0.44"/>
    <n v="52.8"/>
    <n v="-10.97213114754098"/>
    <n v="41.827868852459019"/>
    <x v="34"/>
    <n v="0"/>
    <m/>
    <n v="452632"/>
    <n v="21.268333333333331"/>
    <m/>
    <n v="2.4"/>
    <m/>
    <n v="23.668333333333329"/>
    <n v="18.15953551912569"/>
    <m/>
    <n v="120"/>
  </r>
  <r>
    <n v="35"/>
    <n v="2024"/>
    <s v="Auction"/>
    <s v="VROLIJK BLOEMEN"/>
    <s v="VROLIJK BLOEMEN"/>
    <x v="117"/>
    <s v="Grandiflora Roses"/>
    <s v="80CM"/>
    <m/>
    <n v="40"/>
    <n v="0.33"/>
    <n v="13.2"/>
    <n v="1.5"/>
    <s v="EUR"/>
    <m/>
    <m/>
    <x v="34"/>
    <n v="0"/>
    <x v="0"/>
    <x v="2"/>
    <n v="40"/>
    <n v="0.48"/>
    <n v="19.2"/>
    <n v="-3.6573770491803264"/>
    <n v="15.542622950819673"/>
    <x v="34"/>
    <n v="0"/>
    <m/>
    <n v="452632"/>
    <n v="7.0894444444444442"/>
    <m/>
    <n v="0.8"/>
    <m/>
    <n v="7.889444444444444"/>
    <n v="7.6531785063752293"/>
    <m/>
    <n v="40"/>
  </r>
  <r>
    <n v="35"/>
    <n v="2024"/>
    <s v="Auction"/>
    <s v="VROLIJK BLOEMEN"/>
    <s v="VROLIJK BLOEMEN"/>
    <x v="117"/>
    <s v="Grandiflora Roses"/>
    <s v="90CM"/>
    <m/>
    <n v="80"/>
    <n v="0.38"/>
    <n v="30.4"/>
    <n v="3"/>
    <s v="EUR"/>
    <m/>
    <m/>
    <x v="34"/>
    <n v="0"/>
    <x v="0"/>
    <x v="3"/>
    <n v="80"/>
    <n v="0.41500000000000004"/>
    <n v="33.200000000000003"/>
    <n v="-7.3147540983606527"/>
    <n v="25.885245901639351"/>
    <x v="34"/>
    <n v="0"/>
    <m/>
    <n v="452632"/>
    <n v="14.178888888888888"/>
    <m/>
    <n v="1.6"/>
    <m/>
    <n v="15.778888888888888"/>
    <n v="10.106357012750463"/>
    <m/>
    <n v="80"/>
  </r>
  <r>
    <n v="35"/>
    <n v="2024"/>
    <s v="Auction"/>
    <s v="VROLIJK BLOEMEN"/>
    <s v="VROLIJK BLOEMEN"/>
    <x v="117"/>
    <s v="Grandiflora Roses"/>
    <s v="100CM"/>
    <m/>
    <n v="80"/>
    <n v="0.47"/>
    <n v="37.6"/>
    <n v="3"/>
    <s v="EUR"/>
    <m/>
    <m/>
    <x v="34"/>
    <n v="0"/>
    <x v="0"/>
    <x v="4"/>
    <n v="80"/>
    <n v="0.51"/>
    <n v="40.799999999999997"/>
    <n v="-7.3147540983606527"/>
    <n v="33.485245901639345"/>
    <x v="34"/>
    <n v="0"/>
    <m/>
    <n v="452632"/>
    <n v="14.178888888888888"/>
    <m/>
    <n v="1.6"/>
    <m/>
    <n v="15.778888888888888"/>
    <n v="17.706357012750459"/>
    <m/>
    <n v="80"/>
  </r>
  <r>
    <n v="35"/>
    <n v="2024"/>
    <s v="Auction"/>
    <s v="VROLIJK BLOEMEN"/>
    <s v="VROLIJK BLOEMEN"/>
    <x v="117"/>
    <s v="Polyantha Roses"/>
    <s v="100CM"/>
    <n v="1"/>
    <n v="120"/>
    <n v="1.04"/>
    <n v="124.8"/>
    <n v="6"/>
    <s v="EUR"/>
    <m/>
    <m/>
    <x v="34"/>
    <n v="40"/>
    <x v="3"/>
    <x v="4"/>
    <n v="80"/>
    <n v="0.8"/>
    <n v="64"/>
    <n v="-7.3147540983606527"/>
    <n v="56.685245901639348"/>
    <x v="34"/>
    <n v="-40"/>
    <m/>
    <n v="452632"/>
    <n v="28.357777777777777"/>
    <m/>
    <n v="1.6"/>
    <m/>
    <n v="29.957777777777778"/>
    <n v="26.72746812386157"/>
    <m/>
    <n v="80"/>
  </r>
  <r>
    <n v="35"/>
    <n v="2024"/>
    <s v="Auction"/>
    <s v="VROLIJK BLOEMEN"/>
    <s v="VROLIJK BLOEMEN"/>
    <x v="117"/>
    <s v="Polyantha Roses"/>
    <s v="80CM"/>
    <m/>
    <n v="40"/>
    <n v="0.66"/>
    <n v="26.4"/>
    <n v="2"/>
    <s v="EUR"/>
    <m/>
    <m/>
    <x v="34"/>
    <n v="0"/>
    <x v="3"/>
    <x v="2"/>
    <n v="40"/>
    <n v="0.47000000000000003"/>
    <n v="18.8"/>
    <n v="-3.6573770491803264"/>
    <n v="15.142622950819675"/>
    <x v="34"/>
    <n v="0"/>
    <m/>
    <n v="452632"/>
    <n v="9.4525925925925929"/>
    <m/>
    <n v="0.8"/>
    <m/>
    <n v="10.252592592592594"/>
    <n v="4.8900303582270812"/>
    <m/>
    <n v="40"/>
  </r>
  <r>
    <n v="35"/>
    <n v="2024"/>
    <s v="Auction"/>
    <s v="VROLIJK BLOEMEN"/>
    <s v="VROLIJK BLOEMEN"/>
    <x v="117"/>
    <s v="Polyantha Roses"/>
    <s v="90CM"/>
    <m/>
    <n v="80"/>
    <n v="0.85"/>
    <n v="68"/>
    <n v="4"/>
    <s v="EUR"/>
    <m/>
    <m/>
    <x v="34"/>
    <n v="0"/>
    <x v="3"/>
    <x v="3"/>
    <n v="80"/>
    <n v="0.77"/>
    <n v="61.6"/>
    <n v="-7.3147540983606527"/>
    <n v="54.28524590163935"/>
    <x v="34"/>
    <n v="0"/>
    <m/>
    <n v="452632"/>
    <n v="18.905185185185186"/>
    <m/>
    <n v="1.6"/>
    <m/>
    <n v="20.505185185185187"/>
    <n v="33.780060716454159"/>
    <m/>
    <n v="80"/>
  </r>
  <r>
    <n v="35"/>
    <n v="2024"/>
    <s v="Auction"/>
    <s v="VROLIJK BLOEMEN"/>
    <s v="VROLIJK BLOEMEN"/>
    <x v="117"/>
    <s v="Floribunda Roses"/>
    <s v="60CM"/>
    <n v="1"/>
    <n v="240"/>
    <n v="0.47"/>
    <n v="112.8"/>
    <n v="7.1999999999999993"/>
    <s v="EUR"/>
    <m/>
    <m/>
    <x v="34"/>
    <n v="0"/>
    <x v="2"/>
    <x v="0"/>
    <n v="240"/>
    <n v="0.61"/>
    <n v="146.4"/>
    <n v="-21.944262295081959"/>
    <n v="124.45573770491805"/>
    <x v="34"/>
    <n v="0"/>
    <m/>
    <n v="452632"/>
    <n v="34.029333333333334"/>
    <m/>
    <n v="4.8"/>
    <m/>
    <n v="38.829333333333331"/>
    <n v="85.626404371584727"/>
    <m/>
    <n v="240"/>
  </r>
  <r>
    <n v="35"/>
    <n v="2024"/>
    <s v="Auction"/>
    <s v="VROLIJK BLOEMEN"/>
    <s v="VROLIJK BLOEMEN"/>
    <x v="117"/>
    <s v="Floribunda Roses"/>
    <s v="70CM"/>
    <m/>
    <n v="160"/>
    <n v="0.52"/>
    <n v="83.2"/>
    <n v="4.8000000000000007"/>
    <s v="EUR"/>
    <m/>
    <m/>
    <x v="34"/>
    <n v="0"/>
    <x v="2"/>
    <x v="1"/>
    <n v="160"/>
    <n v="1.095"/>
    <n v="175.2"/>
    <n v="-14.629508196721305"/>
    <n v="160.57049180327868"/>
    <x v="34"/>
    <n v="0"/>
    <m/>
    <n v="452632"/>
    <n v="22.686222222222227"/>
    <m/>
    <n v="3.2"/>
    <m/>
    <n v="25.886222222222226"/>
    <n v="134.68426958105647"/>
    <m/>
    <n v="160"/>
  </r>
  <r>
    <n v="35"/>
    <n v="2024"/>
    <s v="Auction"/>
    <s v="VROLIJK BLOEMEN"/>
    <s v="VROLIJK BLOEMEN"/>
    <x v="117"/>
    <s v="Shrub Roses"/>
    <s v="900CM"/>
    <m/>
    <m/>
    <m/>
    <m/>
    <m/>
    <s v="EUR"/>
    <m/>
    <m/>
    <x v="34"/>
    <n v="-60"/>
    <x v="7"/>
    <x v="7"/>
    <n v="60"/>
    <n v="7.66"/>
    <n v="459.6"/>
    <n v="-62.300000000000018"/>
    <n v="397.3"/>
    <x v="34"/>
    <n v="60"/>
    <m/>
    <n v="452632"/>
    <n v="0"/>
    <m/>
    <n v="3.5999999999999996"/>
    <m/>
    <n v="3.5999999999999996"/>
    <n v="393.7"/>
    <m/>
    <n v="60"/>
  </r>
  <r>
    <n v="35"/>
    <n v="2024"/>
    <s v="Auction"/>
    <s v="VROLIJK BLOEMEN"/>
    <s v="VROLIJK BLOEMEN"/>
    <x v="118"/>
    <s v="Shrub Roses"/>
    <s v="900CM"/>
    <n v="5"/>
    <n v="80"/>
    <n v="1.42"/>
    <n v="113.6"/>
    <n v="60"/>
    <s v="EUR"/>
    <m/>
    <m/>
    <x v="34"/>
    <n v="60"/>
    <x v="7"/>
    <x v="7"/>
    <n v="20"/>
    <n v="8.3550000000000004"/>
    <n v="167.10000000000002"/>
    <n v="-2.1637209302325573"/>
    <n v="164.93627906976747"/>
    <x v="34"/>
    <n v="-60"/>
    <m/>
    <s v="F093585"/>
    <n v="354.57142857142856"/>
    <m/>
    <n v="1.2"/>
    <m/>
    <n v="355.77142857142854"/>
    <n v="-190.83514950166108"/>
    <m/>
    <n v="20"/>
  </r>
  <r>
    <n v="35"/>
    <n v="2024"/>
    <s v="Auction"/>
    <s v="VROLIJK BLOEMEN"/>
    <s v="VROLIJK BLOEMEN"/>
    <x v="118"/>
    <s v="English Roses"/>
    <s v="50CM"/>
    <n v="1"/>
    <n v="200"/>
    <n v="0.38"/>
    <n v="76"/>
    <n v="6"/>
    <s v="EUR"/>
    <m/>
    <m/>
    <x v="34"/>
    <n v="0"/>
    <x v="1"/>
    <x v="5"/>
    <n v="200"/>
    <n v="0.75"/>
    <n v="150"/>
    <n v="-21.637209302325573"/>
    <n v="128.36279069767443"/>
    <x v="34"/>
    <n v="0"/>
    <m/>
    <s v="F093585"/>
    <n v="35.457142857142856"/>
    <m/>
    <n v="4"/>
    <m/>
    <n v="39.457142857142856"/>
    <n v="88.905647840531572"/>
    <m/>
    <n v="200"/>
  </r>
  <r>
    <n v="35"/>
    <n v="2024"/>
    <s v="Auction"/>
    <s v="VROLIJK BLOEMEN"/>
    <s v="VROLIJK BLOEMEN"/>
    <x v="118"/>
    <s v="English Roses"/>
    <s v="60CM"/>
    <m/>
    <n v="80"/>
    <n v="0.47"/>
    <n v="37.6"/>
    <n v="2.4000000000000004"/>
    <s v="EUR"/>
    <m/>
    <m/>
    <x v="34"/>
    <n v="0"/>
    <x v="1"/>
    <x v="0"/>
    <n v="80"/>
    <n v="0.74"/>
    <n v="59.2"/>
    <n v="-8.6548837209302292"/>
    <n v="50.545116279069774"/>
    <x v="34"/>
    <n v="0"/>
    <m/>
    <s v="F093585"/>
    <n v="14.182857142857143"/>
    <m/>
    <n v="1.6"/>
    <m/>
    <n v="15.782857142857143"/>
    <n v="34.762259136212634"/>
    <m/>
    <n v="80"/>
  </r>
  <r>
    <n v="35"/>
    <n v="2024"/>
    <s v="Auction"/>
    <s v="VROLIJK BLOEMEN"/>
    <s v="VROLIJK BLOEMEN"/>
    <x v="118"/>
    <s v="English Roses"/>
    <s v="70CM"/>
    <m/>
    <n v="40"/>
    <n v="0.52"/>
    <n v="20.8"/>
    <n v="1.2000000000000002"/>
    <s v="EUR"/>
    <m/>
    <m/>
    <x v="34"/>
    <n v="0"/>
    <x v="1"/>
    <x v="1"/>
    <n v="40"/>
    <n v="0.96"/>
    <n v="38.4"/>
    <n v="-4.3274418604651146"/>
    <n v="34.072558139534884"/>
    <x v="34"/>
    <n v="0"/>
    <m/>
    <s v="F093585"/>
    <n v="7.0914285714285716"/>
    <m/>
    <n v="0.8"/>
    <m/>
    <n v="7.8914285714285715"/>
    <n v="26.181129568106314"/>
    <m/>
    <n v="40"/>
  </r>
  <r>
    <n v="35"/>
    <n v="2024"/>
    <s v="Auction"/>
    <s v="VROLIJK BLOEMEN"/>
    <s v="VROLIJK BLOEMEN"/>
    <x v="118"/>
    <s v="English Roses"/>
    <s v="100CM"/>
    <m/>
    <n v="80"/>
    <n v="0.94"/>
    <n v="75.2"/>
    <n v="2.4000000000000004"/>
    <s v="EUR"/>
    <m/>
    <m/>
    <x v="34"/>
    <n v="0"/>
    <x v="1"/>
    <x v="4"/>
    <n v="80"/>
    <n v="1.1199999999999999"/>
    <n v="89.6"/>
    <n v="-8.6548837209302292"/>
    <n v="80.945116279069765"/>
    <x v="34"/>
    <n v="0"/>
    <m/>
    <s v="F093585"/>
    <n v="14.182857142857143"/>
    <m/>
    <n v="1.6"/>
    <m/>
    <n v="15.782857142857143"/>
    <n v="65.162259136212626"/>
    <m/>
    <n v="80"/>
  </r>
  <r>
    <n v="35"/>
    <n v="2024"/>
    <s v="Auction"/>
    <s v="VROLIJK BLOEMEN"/>
    <s v="VROLIJK BLOEMEN"/>
    <x v="118"/>
    <s v="Polyantha Roses"/>
    <s v="50CM"/>
    <n v="1"/>
    <n v="120"/>
    <n v="0.42"/>
    <n v="50.4"/>
    <n v="3.2727272727272725"/>
    <s v="EUR"/>
    <m/>
    <m/>
    <x v="34"/>
    <n v="0"/>
    <x v="3"/>
    <x v="5"/>
    <n v="120"/>
    <n v="0.14333333333333334"/>
    <n v="17.2"/>
    <n v="-12.982325581395344"/>
    <n v="4.2176744186046555"/>
    <x v="34"/>
    <n v="0"/>
    <m/>
    <s v="F093585"/>
    <n v="19.340259740259739"/>
    <m/>
    <n v="2.4"/>
    <m/>
    <n v="21.740259740259738"/>
    <n v="-17.522585321655082"/>
    <m/>
    <n v="120"/>
  </r>
  <r>
    <n v="35"/>
    <n v="2024"/>
    <s v="Auction"/>
    <s v="VROLIJK BLOEMEN"/>
    <s v="VROLIJK BLOEMEN"/>
    <x v="118"/>
    <s v="Polyantha Roses"/>
    <s v="60CM"/>
    <m/>
    <n v="160"/>
    <n v="0.52"/>
    <n v="83.2"/>
    <n v="4.3636363636363633"/>
    <s v="EUR"/>
    <m/>
    <m/>
    <x v="34"/>
    <n v="0"/>
    <x v="3"/>
    <x v="0"/>
    <n v="160"/>
    <n v="0.3"/>
    <n v="48"/>
    <n v="-17.309767441860458"/>
    <n v="30.690232558139542"/>
    <x v="34"/>
    <n v="0"/>
    <m/>
    <s v="F093585"/>
    <n v="25.787012987012986"/>
    <m/>
    <n v="3.2"/>
    <m/>
    <n v="28.987012987012985"/>
    <n v="1.7032195711265565"/>
    <m/>
    <n v="160"/>
  </r>
  <r>
    <n v="35"/>
    <n v="2024"/>
    <s v="Auction"/>
    <s v="VROLIJK BLOEMEN"/>
    <s v="VROLIJK BLOEMEN"/>
    <x v="118"/>
    <s v="Polyantha Roses"/>
    <s v="70CM"/>
    <m/>
    <n v="40"/>
    <n v="0.61"/>
    <n v="24.4"/>
    <n v="1.0909090909090908"/>
    <s v="EUR"/>
    <m/>
    <m/>
    <x v="34"/>
    <n v="0"/>
    <x v="3"/>
    <x v="1"/>
    <n v="40"/>
    <n v="0.77"/>
    <n v="30.8"/>
    <n v="-4.3274418604651146"/>
    <n v="26.472558139534886"/>
    <x v="34"/>
    <n v="0"/>
    <m/>
    <s v="F093585"/>
    <n v="6.4467532467532465"/>
    <m/>
    <n v="0.8"/>
    <m/>
    <n v="7.2467532467532463"/>
    <n v="19.225804892781639"/>
    <m/>
    <n v="40"/>
  </r>
  <r>
    <n v="35"/>
    <n v="2024"/>
    <s v="Auction"/>
    <s v="VROLIJK BLOEMEN"/>
    <s v="VROLIJK BLOEMEN"/>
    <x v="118"/>
    <s v="Polyantha Roses"/>
    <s v="80CM"/>
    <m/>
    <n v="40"/>
    <n v="0.66"/>
    <n v="26.4"/>
    <n v="1.0909090909090908"/>
    <s v="EUR"/>
    <m/>
    <m/>
    <x v="34"/>
    <n v="0"/>
    <x v="3"/>
    <x v="2"/>
    <n v="40"/>
    <n v="0.78"/>
    <n v="31.200000000000003"/>
    <n v="-4.3274418604651146"/>
    <n v="26.872558139534888"/>
    <x v="34"/>
    <n v="0"/>
    <m/>
    <s v="F093585"/>
    <n v="6.4467532467532465"/>
    <m/>
    <n v="0.8"/>
    <m/>
    <n v="7.2467532467532463"/>
    <n v="19.625804892781641"/>
    <m/>
    <n v="40"/>
  </r>
  <r>
    <n v="35"/>
    <n v="2024"/>
    <s v="Auction"/>
    <s v="VROLIJK BLOEMEN"/>
    <s v="VROLIJK BLOEMEN"/>
    <x v="118"/>
    <s v="Polyantha Roses"/>
    <s v="90CM"/>
    <m/>
    <n v="40"/>
    <n v="0.85"/>
    <n v="34"/>
    <n v="1.0909090909090908"/>
    <s v="EUR"/>
    <m/>
    <m/>
    <x v="34"/>
    <n v="0"/>
    <x v="3"/>
    <x v="3"/>
    <n v="40"/>
    <n v="0.79"/>
    <n v="31.6"/>
    <n v="-4.3274418604651146"/>
    <n v="27.272558139534887"/>
    <x v="34"/>
    <n v="0"/>
    <m/>
    <s v="F093585"/>
    <n v="6.4467532467532465"/>
    <m/>
    <n v="0.8"/>
    <m/>
    <n v="7.2467532467532463"/>
    <n v="20.02580489278164"/>
    <m/>
    <n v="40"/>
  </r>
  <r>
    <n v="35"/>
    <n v="2024"/>
    <s v="Auction"/>
    <s v="VROLIJK BLOEMEN"/>
    <s v="VROLIJK BLOEMEN"/>
    <x v="118"/>
    <s v="Polyantha Roses"/>
    <s v="100CM"/>
    <m/>
    <n v="40"/>
    <n v="1.04"/>
    <n v="41.6"/>
    <n v="1.0909090909090908"/>
    <s v="EUR"/>
    <m/>
    <m/>
    <x v="34"/>
    <n v="0"/>
    <x v="3"/>
    <x v="4"/>
    <n v="40"/>
    <n v="0.82"/>
    <n v="32.799999999999997"/>
    <n v="-4.3274418604651146"/>
    <n v="28.472558139534883"/>
    <x v="34"/>
    <n v="0"/>
    <m/>
    <s v="F093585"/>
    <n v="6.4467532467532465"/>
    <m/>
    <n v="0.8"/>
    <m/>
    <n v="7.2467532467532463"/>
    <n v="21.225804892781635"/>
    <m/>
    <n v="40"/>
  </r>
  <r>
    <n v="35"/>
    <n v="2024"/>
    <s v="Auction"/>
    <s v="VROLIJK BLOEMEN"/>
    <s v="VROLIJK BLOEMEN"/>
    <x v="118"/>
    <s v="Shrub Roses"/>
    <s v="900CM"/>
    <m/>
    <m/>
    <m/>
    <m/>
    <m/>
    <s v="EUR"/>
    <m/>
    <m/>
    <x v="34"/>
    <n v="-60"/>
    <x v="7"/>
    <x v="7"/>
    <n v="60"/>
    <n v="8.1083333333333325"/>
    <n v="486.49999999999994"/>
    <n v="-63.579999999999991"/>
    <n v="422.91999999999996"/>
    <x v="34"/>
    <n v="60"/>
    <m/>
    <s v="F093585"/>
    <n v="0"/>
    <m/>
    <n v="3.5999999999999996"/>
    <m/>
    <n v="3.5999999999999996"/>
    <n v="419.31999999999994"/>
    <m/>
    <n v="60"/>
  </r>
  <r>
    <n v="35"/>
    <n v="2024"/>
    <s v="Auction"/>
    <s v="VROLIJK BLOEMEN"/>
    <s v="VROLIJK BLOEMEN"/>
    <x v="119"/>
    <s v="Shrub Roses"/>
    <s v="900CM"/>
    <n v="5"/>
    <n v="80"/>
    <n v="1.42"/>
    <n v="113.6"/>
    <n v="60"/>
    <s v="EUR"/>
    <m/>
    <m/>
    <x v="35"/>
    <n v="0"/>
    <x v="7"/>
    <x v="7"/>
    <n v="80"/>
    <n v="7.892500000000001"/>
    <n v="631.40000000000009"/>
    <n v="-10.485000000000001"/>
    <n v="620.91500000000008"/>
    <x v="35"/>
    <n v="0"/>
    <m/>
    <n v="453395"/>
    <n v="282.2166666666667"/>
    <m/>
    <n v="4.8"/>
    <m/>
    <n v="287.01666666666671"/>
    <n v="333.89833333333337"/>
    <m/>
    <n v="80"/>
  </r>
  <r>
    <n v="35"/>
    <n v="2024"/>
    <s v="Auction"/>
    <s v="VROLIJK BLOEMEN"/>
    <s v="VROLIJK BLOEMEN"/>
    <x v="119"/>
    <s v="Floribunda Roses"/>
    <s v="60CM"/>
    <n v="1"/>
    <n v="480"/>
    <n v="0.47"/>
    <n v="225.6"/>
    <n v="12"/>
    <s v="EUR"/>
    <m/>
    <m/>
    <x v="35"/>
    <n v="0"/>
    <x v="2"/>
    <x v="0"/>
    <n v="480"/>
    <n v="1.1391666666666667"/>
    <n v="546.79999999999995"/>
    <n v="-62.910000000000004"/>
    <n v="483.88999999999993"/>
    <x v="35"/>
    <n v="0"/>
    <m/>
    <n v="453395"/>
    <n v="56.443333333333328"/>
    <m/>
    <n v="9.6"/>
    <m/>
    <n v="66.043333333333322"/>
    <n v="417.84666666666658"/>
    <m/>
    <n v="480"/>
  </r>
  <r>
    <n v="35"/>
    <n v="2024"/>
    <s v="Auction"/>
    <s v="VROLIJK BLOEMEN"/>
    <s v="VROLIJK BLOEMEN"/>
    <x v="119"/>
    <s v="English Roses"/>
    <s v="60CM"/>
    <n v="1"/>
    <n v="200"/>
    <n v="0.47"/>
    <n v="94"/>
    <n v="6.666666666666667"/>
    <s v="EUR"/>
    <m/>
    <m/>
    <x v="35"/>
    <n v="0"/>
    <x v="1"/>
    <x v="0"/>
    <n v="200"/>
    <n v="1.07"/>
    <n v="214"/>
    <n v="-26.212499999999999"/>
    <n v="187.78749999999999"/>
    <x v="35"/>
    <n v="0"/>
    <m/>
    <n v="453395"/>
    <n v="31.357407407407411"/>
    <m/>
    <n v="4"/>
    <m/>
    <n v="35.357407407407408"/>
    <n v="152.43009259259259"/>
    <m/>
    <n v="200"/>
  </r>
  <r>
    <n v="35"/>
    <n v="2024"/>
    <s v="Auction"/>
    <s v="VROLIJK BLOEMEN"/>
    <s v="VROLIJK BLOEMEN"/>
    <x v="119"/>
    <s v="English Roses"/>
    <s v="70CM"/>
    <m/>
    <n v="80"/>
    <n v="0.52"/>
    <n v="41.6"/>
    <n v="2.6666666666666665"/>
    <s v="EUR"/>
    <m/>
    <m/>
    <x v="35"/>
    <n v="0"/>
    <x v="1"/>
    <x v="1"/>
    <n v="80"/>
    <n v="1.1400000000000001"/>
    <n v="91.200000000000017"/>
    <n v="-10.485000000000001"/>
    <n v="80.715000000000018"/>
    <x v="35"/>
    <n v="0"/>
    <m/>
    <n v="453395"/>
    <n v="12.542962962962962"/>
    <m/>
    <n v="1.6"/>
    <m/>
    <n v="14.142962962962962"/>
    <n v="66.572037037037063"/>
    <m/>
    <n v="80"/>
  </r>
  <r>
    <n v="35"/>
    <n v="2024"/>
    <s v="Auction"/>
    <s v="VROLIJK BLOEMEN"/>
    <s v="VROLIJK BLOEMEN"/>
    <x v="119"/>
    <s v="English Roses"/>
    <s v="80CM"/>
    <m/>
    <n v="80"/>
    <n v="0.56999999999999995"/>
    <n v="45.6"/>
    <n v="2.6666666666666665"/>
    <s v="EUR"/>
    <m/>
    <m/>
    <x v="35"/>
    <n v="0"/>
    <x v="1"/>
    <x v="2"/>
    <n v="80"/>
    <n v="1.45"/>
    <n v="116"/>
    <n v="-10.485000000000001"/>
    <n v="105.515"/>
    <x v="35"/>
    <n v="0"/>
    <m/>
    <n v="453395"/>
    <n v="12.542962962962962"/>
    <m/>
    <n v="1.6"/>
    <m/>
    <n v="14.142962962962962"/>
    <n v="91.372037037037046"/>
    <m/>
    <n v="80"/>
  </r>
  <r>
    <n v="35"/>
    <n v="2024"/>
    <s v="Auction"/>
    <s v="VROLIJK BLOEMEN"/>
    <s v="VROLIJK BLOEMEN"/>
    <x v="119"/>
    <s v="English Roses"/>
    <s v="100CM"/>
    <n v="1"/>
    <n v="160"/>
    <n v="0.94"/>
    <n v="150.4"/>
    <n v="9.6000000000000014"/>
    <s v="EUR"/>
    <m/>
    <m/>
    <x v="35"/>
    <n v="0"/>
    <x v="1"/>
    <x v="4"/>
    <n v="160"/>
    <n v="1.7375"/>
    <n v="278"/>
    <n v="-20.970000000000002"/>
    <n v="257.02999999999997"/>
    <x v="35"/>
    <n v="0"/>
    <m/>
    <n v="453395"/>
    <n v="45.154666666666678"/>
    <m/>
    <n v="3.2"/>
    <m/>
    <n v="48.354666666666681"/>
    <n v="208.6753333333333"/>
    <m/>
    <n v="160"/>
  </r>
  <r>
    <n v="35"/>
    <n v="2024"/>
    <s v="Auction"/>
    <s v="VROLIJK BLOEMEN"/>
    <s v="VROLIJK BLOEMEN"/>
    <x v="119"/>
    <s v="English Roses"/>
    <s v="90CM"/>
    <m/>
    <n v="40"/>
    <n v="0.75"/>
    <n v="30"/>
    <n v="2.4000000000000004"/>
    <s v="EUR"/>
    <m/>
    <m/>
    <x v="35"/>
    <n v="0"/>
    <x v="1"/>
    <x v="3"/>
    <n v="40"/>
    <n v="1.35"/>
    <n v="54"/>
    <n v="-5.2425000000000006"/>
    <n v="48.7575"/>
    <x v="35"/>
    <n v="0"/>
    <m/>
    <n v="453395"/>
    <n v="11.28866666666667"/>
    <m/>
    <n v="0.8"/>
    <m/>
    <n v="12.08866666666667"/>
    <n v="36.668833333333332"/>
    <m/>
    <n v="40"/>
  </r>
  <r>
    <n v="35"/>
    <n v="2024"/>
    <s v="Auction"/>
    <s v="VROLIJK BLOEMEN"/>
    <s v="VROLIJK BLOEMEN"/>
    <x v="119"/>
    <s v="Grandiflora Roses"/>
    <s v="70CM"/>
    <n v="1"/>
    <n v="40"/>
    <n v="0.28000000000000003"/>
    <n v="11.2"/>
    <n v="1.5"/>
    <s v="EUR"/>
    <m/>
    <m/>
    <x v="35"/>
    <n v="0"/>
    <x v="0"/>
    <x v="1"/>
    <n v="40"/>
    <n v="0.62"/>
    <n v="24.8"/>
    <n v="-5.2425000000000006"/>
    <n v="19.557500000000001"/>
    <x v="35"/>
    <n v="0"/>
    <m/>
    <n v="453395"/>
    <n v="7.055416666666666"/>
    <m/>
    <n v="0.8"/>
    <m/>
    <n v="7.8554166666666658"/>
    <n v="11.702083333333334"/>
    <m/>
    <n v="40"/>
  </r>
  <r>
    <n v="35"/>
    <n v="2024"/>
    <s v="Auction"/>
    <s v="VROLIJK BLOEMEN"/>
    <s v="VROLIJK BLOEMEN"/>
    <x v="119"/>
    <s v="Grandiflora Roses"/>
    <s v="80CM"/>
    <m/>
    <n v="160"/>
    <n v="0.33"/>
    <n v="52.8"/>
    <n v="6"/>
    <s v="EUR"/>
    <m/>
    <m/>
    <x v="35"/>
    <n v="0"/>
    <x v="0"/>
    <x v="2"/>
    <n v="160"/>
    <n v="0.65500000000000003"/>
    <n v="104.80000000000001"/>
    <n v="-20.970000000000002"/>
    <n v="83.830000000000013"/>
    <x v="35"/>
    <n v="0"/>
    <m/>
    <n v="453395"/>
    <n v="28.221666666666664"/>
    <m/>
    <n v="3.2"/>
    <m/>
    <n v="31.421666666666663"/>
    <n v="52.408333333333346"/>
    <m/>
    <n v="160"/>
  </r>
  <r>
    <n v="35"/>
    <n v="2024"/>
    <s v="Auction"/>
    <s v="VROLIJK BLOEMEN"/>
    <s v="VROLIJK BLOEMEN"/>
    <x v="119"/>
    <s v="Grandiflora Roses"/>
    <s v="90CM"/>
    <m/>
    <n v="80"/>
    <n v="0.38"/>
    <n v="30.4"/>
    <n v="3"/>
    <s v="EUR"/>
    <m/>
    <m/>
    <x v="35"/>
    <n v="0"/>
    <x v="0"/>
    <x v="3"/>
    <n v="80"/>
    <n v="0.82"/>
    <n v="65.599999999999994"/>
    <n v="-10.485000000000001"/>
    <n v="55.114999999999995"/>
    <x v="35"/>
    <n v="0"/>
    <m/>
    <n v="453395"/>
    <n v="14.110833333333332"/>
    <m/>
    <n v="1.6"/>
    <m/>
    <n v="15.710833333333332"/>
    <n v="39.404166666666661"/>
    <m/>
    <n v="80"/>
  </r>
  <r>
    <n v="35"/>
    <n v="2024"/>
    <s v="Auction"/>
    <s v="VROLIJK BLOEMEN"/>
    <s v="VROLIJK BLOEMEN"/>
    <x v="119"/>
    <s v="Grandiflora Roses"/>
    <s v="100CM"/>
    <m/>
    <n v="40"/>
    <n v="0.47"/>
    <n v="18.8"/>
    <n v="1.5"/>
    <s v="EUR"/>
    <m/>
    <m/>
    <x v="35"/>
    <n v="0"/>
    <x v="0"/>
    <x v="4"/>
    <n v="40"/>
    <n v="1.0699999999999998"/>
    <n v="42.8"/>
    <n v="-5.2425000000000006"/>
    <n v="37.557499999999997"/>
    <x v="35"/>
    <n v="0"/>
    <m/>
    <n v="453395"/>
    <n v="7.055416666666666"/>
    <m/>
    <n v="0.8"/>
    <m/>
    <n v="7.8554166666666658"/>
    <n v="29.702083333333331"/>
    <m/>
    <n v="40"/>
  </r>
  <r>
    <n v="36"/>
    <n v="2024"/>
    <s v="Auction"/>
    <s v="VROLIJK BLOEMEN"/>
    <s v="VROLIJK BLOEMEN"/>
    <x v="120"/>
    <s v="Shrub Roses"/>
    <s v="900CM"/>
    <n v="6"/>
    <n v="96"/>
    <n v="1.42"/>
    <n v="136.32"/>
    <n v="72"/>
    <s v="EUR"/>
    <m/>
    <m/>
    <x v="35"/>
    <n v="0"/>
    <x v="7"/>
    <x v="7"/>
    <n v="96"/>
    <n v="8.1395833333333343"/>
    <n v="781.40000000000009"/>
    <n v="-16.470280373831791"/>
    <n v="764.92971962616832"/>
    <x v="35"/>
    <n v="0"/>
    <m/>
    <n v="453396"/>
    <n v="353.23333333333335"/>
    <m/>
    <n v="5.76"/>
    <m/>
    <n v="358.99333333333334"/>
    <n v="405.93638629283498"/>
    <m/>
    <n v="96"/>
  </r>
  <r>
    <n v="36"/>
    <n v="2024"/>
    <s v="Auction"/>
    <s v="VROLIJK BLOEMEN"/>
    <s v="VROLIJK BLOEMEN"/>
    <x v="120"/>
    <s v="English Roses"/>
    <s v="100CM"/>
    <n v="1"/>
    <n v="200"/>
    <n v="0.94"/>
    <n v="188"/>
    <n v="12"/>
    <s v="EUR"/>
    <m/>
    <m/>
    <x v="35"/>
    <n v="0"/>
    <x v="1"/>
    <x v="4"/>
    <n v="200"/>
    <n v="1.92"/>
    <n v="384"/>
    <n v="-34.313084112149561"/>
    <n v="349.68691588785043"/>
    <x v="35"/>
    <n v="0"/>
    <m/>
    <n v="453396"/>
    <n v="58.87222222222222"/>
    <m/>
    <n v="4"/>
    <m/>
    <n v="62.87222222222222"/>
    <n v="286.81469366562823"/>
    <m/>
    <n v="200"/>
  </r>
  <r>
    <n v="36"/>
    <n v="2024"/>
    <s v="Auction"/>
    <s v="VROLIJK BLOEMEN"/>
    <s v="VROLIJK BLOEMEN"/>
    <x v="120"/>
    <s v="Polyantha Roses"/>
    <s v="100CM"/>
    <n v="1"/>
    <n v="120"/>
    <n v="1.04"/>
    <n v="124.8"/>
    <n v="7.1999999999999993"/>
    <s v="EUR"/>
    <m/>
    <m/>
    <x v="35"/>
    <n v="0"/>
    <x v="3"/>
    <x v="4"/>
    <n v="120"/>
    <n v="1.3"/>
    <n v="156"/>
    <n v="-20.587850467289737"/>
    <n v="135.41214953271026"/>
    <x v="35"/>
    <n v="0"/>
    <m/>
    <n v="453396"/>
    <n v="35.323333333333338"/>
    <m/>
    <n v="2.4"/>
    <m/>
    <n v="37.723333333333336"/>
    <n v="97.68881619937693"/>
    <m/>
    <n v="120"/>
  </r>
  <r>
    <n v="36"/>
    <n v="2024"/>
    <s v="Auction"/>
    <s v="VROLIJK BLOEMEN"/>
    <s v="VROLIJK BLOEMEN"/>
    <x v="120"/>
    <s v="Polyantha Roses"/>
    <s v="90CM"/>
    <m/>
    <n v="80"/>
    <n v="0.85"/>
    <n v="68"/>
    <n v="4.8000000000000007"/>
    <s v="EUR"/>
    <m/>
    <m/>
    <x v="35"/>
    <n v="0"/>
    <x v="3"/>
    <x v="3"/>
    <n v="80"/>
    <n v="1.05"/>
    <n v="84"/>
    <n v="-13.725233644859825"/>
    <n v="70.274766355140173"/>
    <x v="35"/>
    <n v="0"/>
    <m/>
    <n v="453396"/>
    <n v="23.548888888888893"/>
    <m/>
    <n v="1.6"/>
    <m/>
    <n v="25.148888888888894"/>
    <n v="45.125877466251282"/>
    <m/>
    <n v="80"/>
  </r>
  <r>
    <n v="36"/>
    <n v="2024"/>
    <s v="Auction"/>
    <s v="VROLIJK BLOEMEN"/>
    <s v="VROLIJK BLOEMEN"/>
    <x v="120"/>
    <s v="Grandiflora Roses"/>
    <s v="70CM"/>
    <n v="1"/>
    <n v="120"/>
    <n v="0.28000000000000003"/>
    <n v="33.6"/>
    <n v="4"/>
    <s v="EUR"/>
    <m/>
    <m/>
    <x v="35"/>
    <n v="0"/>
    <x v="0"/>
    <x v="1"/>
    <n v="120"/>
    <n v="0.66"/>
    <n v="79.2"/>
    <n v="-20.587850467289737"/>
    <n v="58.612149532710262"/>
    <x v="35"/>
    <n v="0"/>
    <m/>
    <n v="453396"/>
    <n v="19.624074074074073"/>
    <m/>
    <n v="2.4"/>
    <m/>
    <n v="22.024074074074072"/>
    <n v="36.58807545863619"/>
    <m/>
    <n v="120"/>
  </r>
  <r>
    <n v="36"/>
    <n v="2024"/>
    <s v="Auction"/>
    <s v="VROLIJK BLOEMEN"/>
    <s v="VROLIJK BLOEMEN"/>
    <x v="120"/>
    <s v="Grandiflora Roses"/>
    <s v="80CM"/>
    <m/>
    <n v="120"/>
    <n v="0.33"/>
    <n v="39.6"/>
    <n v="4"/>
    <s v="EUR"/>
    <m/>
    <m/>
    <x v="35"/>
    <n v="0"/>
    <x v="0"/>
    <x v="2"/>
    <n v="120"/>
    <n v="0.64666666666666661"/>
    <n v="77.599999999999994"/>
    <n v="-20.587850467289737"/>
    <n v="57.012149532710254"/>
    <x v="35"/>
    <n v="0"/>
    <m/>
    <n v="453396"/>
    <n v="19.624074074074073"/>
    <m/>
    <n v="2.4"/>
    <m/>
    <n v="22.024074074074072"/>
    <n v="34.988075458636182"/>
    <m/>
    <n v="120"/>
  </r>
  <r>
    <n v="36"/>
    <n v="2024"/>
    <s v="Auction"/>
    <s v="VROLIJK BLOEMEN"/>
    <s v="VROLIJK BLOEMEN"/>
    <x v="120"/>
    <s v="Grandiflora Roses"/>
    <s v="90CM"/>
    <m/>
    <n v="80"/>
    <n v="0.38"/>
    <n v="30.4"/>
    <n v="2.6666666666666665"/>
    <s v="EUR"/>
    <m/>
    <m/>
    <x v="35"/>
    <n v="0"/>
    <x v="0"/>
    <x v="3"/>
    <n v="80"/>
    <n v="0.79"/>
    <n v="63.2"/>
    <n v="-13.725233644859825"/>
    <n v="49.474766355140176"/>
    <x v="35"/>
    <n v="0"/>
    <m/>
    <n v="453396"/>
    <n v="13.082716049382716"/>
    <m/>
    <n v="1.6"/>
    <m/>
    <n v="14.682716049382716"/>
    <n v="34.792050305757456"/>
    <m/>
    <n v="80"/>
  </r>
  <r>
    <n v="36"/>
    <n v="2024"/>
    <s v="Auction"/>
    <s v="VROLIJK BLOEMEN"/>
    <s v="VROLIJK BLOEMEN"/>
    <x v="120"/>
    <s v="Grandiflora Roses"/>
    <s v="100CM"/>
    <m/>
    <n v="40"/>
    <n v="0.47"/>
    <n v="18.8"/>
    <n v="1.3333333333333333"/>
    <s v="EUR"/>
    <m/>
    <m/>
    <x v="35"/>
    <n v="0"/>
    <x v="0"/>
    <x v="4"/>
    <n v="40"/>
    <n v="2.15"/>
    <n v="86"/>
    <n v="-6.8626168224299127"/>
    <n v="79.137383177570086"/>
    <x v="35"/>
    <n v="0"/>
    <m/>
    <n v="453396"/>
    <n v="6.5413580246913581"/>
    <m/>
    <n v="0.8"/>
    <m/>
    <n v="7.3413580246913579"/>
    <n v="71.796025152878727"/>
    <m/>
    <n v="40"/>
  </r>
  <r>
    <n v="36"/>
    <n v="2024"/>
    <s v="Auction"/>
    <s v="VROLIJK BLOEMEN"/>
    <s v="VROLIJK BLOEMEN"/>
    <x v="121"/>
    <s v="Shrub Roses"/>
    <s v="900CM"/>
    <n v="7"/>
    <n v="112"/>
    <n v="1.42"/>
    <n v="158.49"/>
    <n v="84"/>
    <s v="EUR"/>
    <m/>
    <m/>
    <x v="35"/>
    <n v="56"/>
    <x v="7"/>
    <x v="7"/>
    <n v="56"/>
    <n v="8.0732142857142861"/>
    <n v="452.1"/>
    <n v="-6.1761904761904782"/>
    <n v="445.92380952380955"/>
    <x v="35"/>
    <n v="-56"/>
    <m/>
    <s v="F094216"/>
    <n v="449.79199999999992"/>
    <m/>
    <n v="3.36"/>
    <m/>
    <n v="453.15199999999993"/>
    <n v="-7.2281904761903775"/>
    <m/>
    <n v="56"/>
  </r>
  <r>
    <n v="36"/>
    <n v="2024"/>
    <s v="Auction"/>
    <s v="VROLIJK BLOEMEN"/>
    <s v="VROLIJK BLOEMEN"/>
    <x v="121"/>
    <s v="English Roses"/>
    <s v="60CM"/>
    <n v="1"/>
    <n v="480"/>
    <n v="0.47"/>
    <n v="226.42"/>
    <n v="12"/>
    <s v="EUR"/>
    <m/>
    <m/>
    <x v="35"/>
    <n v="0"/>
    <x v="1"/>
    <x v="0"/>
    <n v="480"/>
    <n v="0.84166666666666667"/>
    <n v="404"/>
    <n v="-52.938775510204103"/>
    <n v="351.0612244897959"/>
    <x v="35"/>
    <n v="0"/>
    <m/>
    <s v="F094216"/>
    <n v="64.256"/>
    <m/>
    <n v="9.6"/>
    <m/>
    <n v="73.855999999999995"/>
    <n v="277.20522448979591"/>
    <m/>
    <n v="480"/>
  </r>
  <r>
    <n v="36"/>
    <n v="2024"/>
    <s v="Auction"/>
    <s v="VROLIJK BLOEMEN"/>
    <s v="VROLIJK BLOEMEN"/>
    <x v="121"/>
    <s v="English Roses"/>
    <s v="80CM"/>
    <n v="1"/>
    <n v="120"/>
    <n v="0.62"/>
    <n v="74.400000000000006"/>
    <n v="5.1428571428571423"/>
    <s v="EUR"/>
    <m/>
    <m/>
    <x v="35"/>
    <n v="0"/>
    <x v="1"/>
    <x v="2"/>
    <n v="120"/>
    <n v="0.85"/>
    <n v="102"/>
    <n v="-13.234693877551026"/>
    <n v="88.765306122448976"/>
    <x v="35"/>
    <n v="0"/>
    <m/>
    <s v="F094216"/>
    <n v="27.538285714285706"/>
    <m/>
    <n v="2.4"/>
    <m/>
    <n v="29.938285714285705"/>
    <n v="58.827020408163271"/>
    <m/>
    <n v="120"/>
  </r>
  <r>
    <n v="36"/>
    <n v="2024"/>
    <s v="Auction"/>
    <s v="VROLIJK BLOEMEN"/>
    <s v="VROLIJK BLOEMEN"/>
    <x v="121"/>
    <s v="English Roses"/>
    <s v="70CM"/>
    <m/>
    <n v="80"/>
    <n v="0.56999999999999995"/>
    <n v="45.6"/>
    <n v="3.4285714285714284"/>
    <s v="EUR"/>
    <m/>
    <m/>
    <x v="35"/>
    <n v="0"/>
    <x v="1"/>
    <x v="1"/>
    <n v="80"/>
    <n v="0.93"/>
    <n v="74.400000000000006"/>
    <n v="-8.8231292517006832"/>
    <n v="65.576870748299328"/>
    <x v="35"/>
    <n v="0"/>
    <m/>
    <s v="F094216"/>
    <n v="18.35885714285714"/>
    <m/>
    <n v="1.6"/>
    <m/>
    <n v="19.958857142857141"/>
    <n v="45.618013605442187"/>
    <m/>
    <n v="80"/>
  </r>
  <r>
    <n v="36"/>
    <n v="2024"/>
    <s v="Auction"/>
    <s v="VROLIJK BLOEMEN"/>
    <s v="VROLIJK BLOEMEN"/>
    <x v="121"/>
    <s v="English Roses"/>
    <s v="100CM"/>
    <m/>
    <n v="80"/>
    <n v="1.03"/>
    <n v="82.4"/>
    <n v="3.4285714285714284"/>
    <s v="EUR"/>
    <m/>
    <m/>
    <x v="35"/>
    <n v="0"/>
    <x v="1"/>
    <x v="4"/>
    <n v="80"/>
    <n v="1.2"/>
    <n v="96"/>
    <n v="-8.8231292517006832"/>
    <n v="87.176870748299322"/>
    <x v="35"/>
    <n v="0"/>
    <m/>
    <s v="F094216"/>
    <n v="18.35885714285714"/>
    <m/>
    <n v="1.6"/>
    <m/>
    <n v="19.958857142857141"/>
    <n v="67.218013605442181"/>
    <m/>
    <n v="80"/>
  </r>
  <r>
    <n v="36"/>
    <n v="2024"/>
    <s v="Auction"/>
    <s v="VROLIJK BLOEMEN"/>
    <s v="VROLIJK BLOEMEN"/>
    <x v="121"/>
    <s v="Polyantha Roses"/>
    <s v="50CM"/>
    <n v="1"/>
    <n v="120"/>
    <n v="0.42"/>
    <n v="50.94"/>
    <n v="4"/>
    <s v="EUR"/>
    <m/>
    <m/>
    <x v="35"/>
    <n v="0"/>
    <x v="3"/>
    <x v="5"/>
    <n v="120"/>
    <n v="0.26"/>
    <n v="31.200000000000003"/>
    <n v="-13.234693877551026"/>
    <n v="17.965306122448979"/>
    <x v="35"/>
    <n v="0"/>
    <m/>
    <s v="F094216"/>
    <n v="21.418666666666663"/>
    <m/>
    <n v="2.4"/>
    <m/>
    <n v="23.818666666666662"/>
    <n v="-5.8533605442176828"/>
    <m/>
    <n v="120"/>
  </r>
  <r>
    <n v="36"/>
    <n v="2024"/>
    <s v="Auction"/>
    <s v="VROLIJK BLOEMEN"/>
    <s v="VROLIJK BLOEMEN"/>
    <x v="121"/>
    <s v="Polyantha Roses"/>
    <s v="60CM"/>
    <m/>
    <n v="200"/>
    <n v="0.52"/>
    <n v="103.77"/>
    <n v="6.666666666666667"/>
    <s v="EUR"/>
    <m/>
    <m/>
    <x v="35"/>
    <n v="0"/>
    <x v="3"/>
    <x v="0"/>
    <n v="200"/>
    <n v="0.35"/>
    <n v="70"/>
    <n v="-22.057823129251705"/>
    <n v="47.942176870748298"/>
    <x v="35"/>
    <n v="0"/>
    <m/>
    <s v="F094216"/>
    <n v="35.69777777777778"/>
    <m/>
    <n v="4"/>
    <m/>
    <n v="39.69777777777778"/>
    <n v="8.244399092970518"/>
    <m/>
    <n v="200"/>
  </r>
  <r>
    <n v="36"/>
    <n v="2024"/>
    <s v="Auction"/>
    <s v="VROLIJK BLOEMEN"/>
    <s v="VROLIJK BLOEMEN"/>
    <x v="121"/>
    <s v="Polyantha Roses"/>
    <s v="80CM"/>
    <m/>
    <n v="40"/>
    <n v="0.72"/>
    <n v="28.8"/>
    <n v="1.3333333333333333"/>
    <s v="EUR"/>
    <m/>
    <m/>
    <x v="35"/>
    <n v="0"/>
    <x v="3"/>
    <x v="2"/>
    <n v="40"/>
    <n v="0.8"/>
    <n v="32"/>
    <n v="-4.4115646258503416"/>
    <n v="27.588435374149658"/>
    <x v="35"/>
    <n v="0"/>
    <m/>
    <s v="F094216"/>
    <n v="7.1395555555555541"/>
    <m/>
    <n v="0.8"/>
    <m/>
    <n v="7.9395555555555539"/>
    <n v="19.648879818594104"/>
    <m/>
    <n v="40"/>
  </r>
  <r>
    <n v="36"/>
    <n v="2024"/>
    <s v="Auction"/>
    <s v="VROLIJK BLOEMEN"/>
    <s v="VROLIJK BLOEMEN"/>
    <x v="121"/>
    <s v="Shrub Roses"/>
    <s v="900CM"/>
    <m/>
    <m/>
    <m/>
    <m/>
    <n v="0"/>
    <s v="EUR"/>
    <m/>
    <m/>
    <x v="35"/>
    <n v="-56"/>
    <x v="7"/>
    <x v="7"/>
    <n v="56"/>
    <n v="6.9553571428571432"/>
    <n v="389.5"/>
    <n v="-59.259999999999991"/>
    <n v="330.24"/>
    <x v="35"/>
    <n v="56"/>
    <m/>
    <s v="F094216"/>
    <n v="0"/>
    <m/>
    <n v="3.36"/>
    <m/>
    <n v="3.36"/>
    <n v="326.88"/>
    <m/>
    <n v="56"/>
  </r>
  <r>
    <n v="36"/>
    <n v="2024"/>
    <s v="Auction"/>
    <s v="VROLIJK BLOEMEN"/>
    <s v="VROLIJK BLOEMEN"/>
    <x v="122"/>
    <s v="Shrub Roses"/>
    <s v="900CM"/>
    <n v="7"/>
    <n v="112"/>
    <n v="1.42"/>
    <n v="158.49"/>
    <n v="84"/>
    <s v="EUR"/>
    <m/>
    <m/>
    <x v="36"/>
    <n v="0"/>
    <x v="7"/>
    <x v="7"/>
    <n v="112"/>
    <n v="7.8812499999999996"/>
    <n v="882.69999999999993"/>
    <n v="-12.379019607843144"/>
    <n v="870.3209803921568"/>
    <x v="36"/>
    <n v="0"/>
    <m/>
    <n v="454297"/>
    <n v="398.32545454545459"/>
    <m/>
    <n v="6.72"/>
    <m/>
    <n v="405.04545454545462"/>
    <n v="465.27552584670218"/>
    <m/>
    <n v="112"/>
  </r>
  <r>
    <n v="36"/>
    <n v="2024"/>
    <s v="Auction"/>
    <s v="VROLIJK BLOEMEN"/>
    <s v="VROLIJK BLOEMEN"/>
    <x v="122"/>
    <s v="Polyantha Roses"/>
    <s v="100CM"/>
    <n v="1"/>
    <n v="160"/>
    <n v="1.1399999999999999"/>
    <n v="182.4"/>
    <n v="12"/>
    <s v="EUR"/>
    <m/>
    <m/>
    <x v="36"/>
    <n v="0"/>
    <x v="3"/>
    <x v="4"/>
    <n v="160"/>
    <n v="0.75"/>
    <n v="120"/>
    <n v="-17.684313725490206"/>
    <n v="102.3156862745098"/>
    <x v="36"/>
    <n v="0"/>
    <m/>
    <n v="454297"/>
    <n v="56.903636363636373"/>
    <m/>
    <n v="3.2"/>
    <m/>
    <n v="60.103636363636376"/>
    <n v="42.212049910873425"/>
    <m/>
    <n v="160"/>
  </r>
  <r>
    <n v="36"/>
    <n v="2024"/>
    <s v="Auction"/>
    <s v="VROLIJK BLOEMEN"/>
    <s v="VROLIJK BLOEMEN"/>
    <x v="122"/>
    <s v="Polyantha Roses"/>
    <s v="60CM"/>
    <n v="1"/>
    <n v="160"/>
    <n v="0.52"/>
    <n v="83.2"/>
    <n v="6"/>
    <s v="EUR"/>
    <m/>
    <m/>
    <x v="36"/>
    <n v="0"/>
    <x v="3"/>
    <x v="0"/>
    <n v="160"/>
    <n v="0.52"/>
    <n v="83.2"/>
    <n v="-17.684313725490206"/>
    <n v="65.51568627450979"/>
    <x v="36"/>
    <n v="0"/>
    <m/>
    <n v="454297"/>
    <n v="28.451818181818187"/>
    <m/>
    <n v="3.2"/>
    <m/>
    <n v="31.651818181818186"/>
    <n v="33.863868092691604"/>
    <m/>
    <n v="160"/>
  </r>
  <r>
    <n v="36"/>
    <n v="2024"/>
    <s v="Auction"/>
    <s v="VROLIJK BLOEMEN"/>
    <s v="VROLIJK BLOEMEN"/>
    <x v="122"/>
    <s v="Polyantha Roses"/>
    <s v="70CM"/>
    <m/>
    <n v="160"/>
    <n v="0.67"/>
    <n v="107.2"/>
    <n v="6"/>
    <s v="EUR"/>
    <m/>
    <m/>
    <x v="36"/>
    <n v="0"/>
    <x v="3"/>
    <x v="1"/>
    <n v="160"/>
    <n v="0.66249999999999998"/>
    <n v="106"/>
    <n v="-17.684313725490206"/>
    <n v="88.315686274509801"/>
    <x v="36"/>
    <n v="0"/>
    <m/>
    <n v="454297"/>
    <n v="28.451818181818187"/>
    <m/>
    <n v="3.2"/>
    <m/>
    <n v="31.651818181818186"/>
    <n v="56.663868092691615"/>
    <m/>
    <n v="160"/>
  </r>
  <r>
    <n v="36"/>
    <n v="2024"/>
    <s v="Auction"/>
    <s v="VROLIJK BLOEMEN"/>
    <s v="VROLIJK BLOEMEN"/>
    <x v="122"/>
    <s v="English Roses"/>
    <s v="50CM"/>
    <n v="1"/>
    <n v="280"/>
    <n v="0.38"/>
    <n v="106.4"/>
    <n v="5.6"/>
    <s v="EUR"/>
    <m/>
    <m/>
    <x v="36"/>
    <n v="0"/>
    <x v="1"/>
    <x v="5"/>
    <n v="280"/>
    <n v="0.64714285714285713"/>
    <n v="181.2"/>
    <n v="-30.947549019607862"/>
    <n v="150.25245098039213"/>
    <x v="36"/>
    <n v="0"/>
    <m/>
    <n v="454297"/>
    <n v="26.555030303030303"/>
    <m/>
    <n v="5.6000000000000005"/>
    <m/>
    <n v="32.155030303030301"/>
    <n v="118.09742067736182"/>
    <m/>
    <n v="280"/>
  </r>
  <r>
    <n v="36"/>
    <n v="2024"/>
    <s v="Auction"/>
    <s v="VROLIJK BLOEMEN"/>
    <s v="VROLIJK BLOEMEN"/>
    <x v="122"/>
    <s v="English Roses"/>
    <s v="70CM"/>
    <m/>
    <n v="320"/>
    <n v="0.56999999999999995"/>
    <n v="182.4"/>
    <n v="6.4"/>
    <s v="EUR"/>
    <m/>
    <m/>
    <x v="36"/>
    <n v="0"/>
    <x v="1"/>
    <x v="1"/>
    <n v="320"/>
    <n v="0.93874999999999997"/>
    <n v="300.39999999999998"/>
    <n v="-35.368627450980412"/>
    <n v="265.03137254901958"/>
    <x v="36"/>
    <n v="0"/>
    <m/>
    <n v="454297"/>
    <n v="30.348606060606063"/>
    <m/>
    <n v="6.4"/>
    <m/>
    <n v="36.748606060606065"/>
    <n v="228.28276648841353"/>
    <m/>
    <n v="320"/>
  </r>
  <r>
    <n v="36"/>
    <n v="2024"/>
    <s v="Auction"/>
    <s v="VROLIJK BLOEMEN"/>
    <s v="VROLIJK BLOEMEN"/>
    <x v="122"/>
    <s v="Floribunda Roses"/>
    <s v="70CM"/>
    <n v="1"/>
    <n v="40"/>
    <n v="0.56999999999999995"/>
    <n v="22.8"/>
    <n v="1.0909090909090908"/>
    <s v="EUR"/>
    <m/>
    <m/>
    <x v="36"/>
    <n v="0"/>
    <x v="2"/>
    <x v="1"/>
    <n v="40"/>
    <n v="1.01"/>
    <n v="40.4"/>
    <n v="-4.4210784313725515"/>
    <n v="35.978921568627449"/>
    <x v="36"/>
    <n v="0"/>
    <m/>
    <n v="454297"/>
    <n v="5.1730578512396699"/>
    <m/>
    <n v="0.8"/>
    <m/>
    <n v="5.9730578512396697"/>
    <n v="30.005863717387779"/>
    <m/>
    <n v="40"/>
  </r>
  <r>
    <n v="36"/>
    <n v="2024"/>
    <s v="Auction"/>
    <s v="VROLIJK BLOEMEN"/>
    <s v="VROLIJK BLOEMEN"/>
    <x v="122"/>
    <s v="Floribunda Roses"/>
    <s v="60CM"/>
    <m/>
    <n v="400"/>
    <n v="0.47"/>
    <n v="188"/>
    <n v="10.909090909090908"/>
    <s v="EUR"/>
    <m/>
    <m/>
    <x v="36"/>
    <n v="0"/>
    <x v="2"/>
    <x v="0"/>
    <n v="400"/>
    <n v="0.95499999999999996"/>
    <n v="382"/>
    <n v="-44.210784313725519"/>
    <n v="337.78921568627447"/>
    <x v="36"/>
    <n v="0"/>
    <m/>
    <n v="454297"/>
    <n v="51.73057851239669"/>
    <m/>
    <n v="8"/>
    <m/>
    <n v="59.73057851239669"/>
    <n v="278.0586371738778"/>
    <m/>
    <n v="400"/>
  </r>
  <r>
    <n v="37"/>
    <n v="2024"/>
    <s v="Auction"/>
    <s v="VROLIJK BLOEMEN"/>
    <s v="VROLIJK BLOEMEN"/>
    <x v="123"/>
    <s v="Shrub Roses"/>
    <s v="900CM"/>
    <n v="6"/>
    <n v="96"/>
    <n v="1.42"/>
    <n v="135.85"/>
    <n v="72"/>
    <s v="EUR"/>
    <m/>
    <m/>
    <x v="36"/>
    <n v="0"/>
    <x v="7"/>
    <x v="7"/>
    <n v="96"/>
    <n v="7.5374999999999988"/>
    <n v="723.59999999999991"/>
    <n v="-12.437197452229302"/>
    <n v="711.16280254777064"/>
    <x v="36"/>
    <n v="0"/>
    <m/>
    <n v="454536"/>
    <n v="354.86400000000003"/>
    <m/>
    <n v="5.76"/>
    <m/>
    <n v="360.62400000000002"/>
    <n v="350.53880254777062"/>
    <m/>
    <n v="96"/>
  </r>
  <r>
    <n v="37"/>
    <n v="2024"/>
    <s v="Auction"/>
    <s v="VROLIJK BLOEMEN"/>
    <s v="VROLIJK BLOEMEN"/>
    <x v="123"/>
    <s v="English Roses"/>
    <s v="100CM"/>
    <n v="1"/>
    <n v="200"/>
    <n v="1.03"/>
    <n v="206"/>
    <n v="12"/>
    <s v="EUR"/>
    <m/>
    <m/>
    <x v="36"/>
    <n v="-160"/>
    <x v="1"/>
    <x v="4"/>
    <n v="360"/>
    <n v="1.0833333333333333"/>
    <n v="390"/>
    <n v="-46.639490445859884"/>
    <n v="343.36050955414009"/>
    <x v="36"/>
    <n v="160"/>
    <m/>
    <n v="454536"/>
    <n v="59.144000000000005"/>
    <m/>
    <n v="7.2"/>
    <m/>
    <n v="66.344000000000008"/>
    <n v="277.0165095541401"/>
    <m/>
    <n v="360"/>
  </r>
  <r>
    <n v="37"/>
    <n v="2024"/>
    <s v="Auction"/>
    <s v="VROLIJK BLOEMEN"/>
    <s v="VROLIJK BLOEMEN"/>
    <x v="123"/>
    <s v="Polyantha Roses"/>
    <s v="100CM"/>
    <n v="1"/>
    <n v="160"/>
    <n v="1.1399999999999999"/>
    <n v="182.4"/>
    <n v="6.8571428571428568"/>
    <s v="EUR"/>
    <m/>
    <m/>
    <x v="36"/>
    <n v="0"/>
    <x v="3"/>
    <x v="4"/>
    <n v="160"/>
    <n v="0.90250000000000008"/>
    <n v="144.4"/>
    <n v="-20.728662420382168"/>
    <n v="123.67133757961784"/>
    <x v="36"/>
    <n v="0"/>
    <m/>
    <n v="454536"/>
    <n v="33.796571428571433"/>
    <m/>
    <n v="3.2"/>
    <m/>
    <n v="36.996571428571436"/>
    <n v="86.674766151046413"/>
    <m/>
    <n v="160"/>
  </r>
  <r>
    <n v="37"/>
    <n v="2024"/>
    <s v="Auction"/>
    <s v="VROLIJK BLOEMEN"/>
    <s v="VROLIJK BLOEMEN"/>
    <x v="123"/>
    <s v="Polyantha Roses"/>
    <s v="90CM"/>
    <m/>
    <n v="40"/>
    <n v="0.93"/>
    <n v="37.200000000000003"/>
    <n v="1.7142857142857142"/>
    <s v="EUR"/>
    <m/>
    <m/>
    <x v="36"/>
    <n v="0"/>
    <x v="3"/>
    <x v="3"/>
    <n v="40"/>
    <n v="0.95"/>
    <n v="38"/>
    <n v="-5.182165605095542"/>
    <n v="32.817834394904459"/>
    <x v="36"/>
    <n v="0"/>
    <m/>
    <n v="454536"/>
    <n v="8.4491428571428582"/>
    <m/>
    <n v="0.8"/>
    <m/>
    <n v="9.2491428571428589"/>
    <n v="23.568691537761602"/>
    <m/>
    <n v="40"/>
  </r>
  <r>
    <n v="37"/>
    <n v="2024"/>
    <s v="Auction"/>
    <s v="VROLIJK BLOEMEN"/>
    <s v="VROLIJK BLOEMEN"/>
    <x v="123"/>
    <s v="Polyantha Roses"/>
    <s v="80CM"/>
    <m/>
    <n v="40"/>
    <n v="0.72"/>
    <n v="28.8"/>
    <n v="1.7142857142857142"/>
    <s v="EUR"/>
    <m/>
    <m/>
    <x v="36"/>
    <n v="0"/>
    <x v="3"/>
    <x v="2"/>
    <n v="40"/>
    <n v="0.8"/>
    <n v="32"/>
    <n v="-5.182165605095542"/>
    <n v="26.817834394904459"/>
    <x v="36"/>
    <n v="0"/>
    <m/>
    <n v="454536"/>
    <n v="8.4491428571428582"/>
    <m/>
    <n v="0.8"/>
    <m/>
    <n v="9.2491428571428589"/>
    <n v="17.568691537761602"/>
    <m/>
    <n v="40"/>
  </r>
  <r>
    <n v="37"/>
    <n v="2024"/>
    <s v="Auction"/>
    <s v="VROLIJK BLOEMEN"/>
    <s v="VROLIJK BLOEMEN"/>
    <x v="123"/>
    <s v="Polyantha Roses"/>
    <s v="70CM"/>
    <m/>
    <n v="40"/>
    <n v="0.67"/>
    <n v="26.8"/>
    <n v="1.7142857142857142"/>
    <s v="EUR"/>
    <m/>
    <m/>
    <x v="36"/>
    <n v="0"/>
    <x v="3"/>
    <x v="1"/>
    <n v="40"/>
    <n v="0.72"/>
    <n v="28.799999999999997"/>
    <n v="-5.182165605095542"/>
    <n v="23.617834394904456"/>
    <x v="36"/>
    <n v="0"/>
    <m/>
    <n v="454536"/>
    <n v="8.4491428571428582"/>
    <m/>
    <n v="0.8"/>
    <m/>
    <n v="9.2491428571428589"/>
    <n v="14.368691537761597"/>
    <m/>
    <n v="40"/>
  </r>
  <r>
    <n v="37"/>
    <n v="2024"/>
    <s v="Auction"/>
    <s v="VROLIJK BLOEMEN"/>
    <s v="VROLIJK BLOEMEN"/>
    <x v="123"/>
    <s v="English Roses"/>
    <s v="90CM"/>
    <n v="1"/>
    <n v="40"/>
    <n v="0.83"/>
    <n v="33.200000000000003"/>
    <n v="2.4000000000000004"/>
    <s v="EUR"/>
    <m/>
    <m/>
    <x v="36"/>
    <n v="0"/>
    <x v="1"/>
    <x v="3"/>
    <n v="40"/>
    <n v="1.1000000000000001"/>
    <n v="44"/>
    <n v="-5.182165605095542"/>
    <n v="38.817834394904459"/>
    <x v="36"/>
    <n v="0"/>
    <m/>
    <n v="454536"/>
    <n v="11.828800000000003"/>
    <m/>
    <n v="0.8"/>
    <m/>
    <n v="12.628800000000004"/>
    <n v="26.189034394904454"/>
    <m/>
    <n v="40"/>
  </r>
  <r>
    <n v="37"/>
    <n v="2024"/>
    <s v="Auction"/>
    <s v="VROLIJK BLOEMEN"/>
    <s v="VROLIJK BLOEMEN"/>
    <x v="123"/>
    <s v="English Roses"/>
    <s v="100CM"/>
    <m/>
    <n v="160"/>
    <n v="1.03"/>
    <n v="164.8"/>
    <n v="9.6000000000000014"/>
    <s v="EUR"/>
    <m/>
    <m/>
    <x v="36"/>
    <n v="160"/>
    <x v="1"/>
    <x v="4"/>
    <m/>
    <m/>
    <n v="0"/>
    <n v="0"/>
    <n v="0"/>
    <x v="36"/>
    <n v="-160"/>
    <m/>
    <n v="454536"/>
    <n v="47.315200000000011"/>
    <m/>
    <n v="0"/>
    <m/>
    <n v="47.315200000000011"/>
    <n v="-47.315200000000011"/>
    <m/>
    <n v="0"/>
  </r>
  <r>
    <n v="37"/>
    <n v="2024"/>
    <s v="Auction"/>
    <s v="VROLIJK BLOEMEN"/>
    <s v="VROLIJK BLOEMEN"/>
    <x v="123"/>
    <s v="Grandiflora Roses"/>
    <s v="70CM"/>
    <n v="1"/>
    <n v="160"/>
    <n v="0.28000000000000003"/>
    <n v="44.8"/>
    <n v="4"/>
    <s v="EUR"/>
    <m/>
    <m/>
    <x v="36"/>
    <n v="0"/>
    <x v="0"/>
    <x v="1"/>
    <n v="160"/>
    <n v="0.32250000000000001"/>
    <n v="51.6"/>
    <n v="-20.728662420382168"/>
    <n v="30.871337579617833"/>
    <x v="36"/>
    <n v="0"/>
    <m/>
    <n v="454536"/>
    <n v="19.71466666666667"/>
    <m/>
    <n v="3.2"/>
    <m/>
    <n v="22.914666666666669"/>
    <n v="7.9566709129511644"/>
    <m/>
    <n v="160"/>
  </r>
  <r>
    <n v="37"/>
    <n v="2024"/>
    <s v="Auction"/>
    <s v="VROLIJK BLOEMEN"/>
    <s v="VROLIJK BLOEMEN"/>
    <x v="123"/>
    <s v="Grandiflora Roses"/>
    <s v="80CM"/>
    <m/>
    <n v="240"/>
    <n v="0.33"/>
    <n v="79.2"/>
    <n v="6"/>
    <s v="EUR"/>
    <m/>
    <m/>
    <x v="36"/>
    <n v="0"/>
    <x v="0"/>
    <x v="2"/>
    <n v="240"/>
    <n v="0.49833333333333329"/>
    <n v="119.6"/>
    <n v="-31.09299363057325"/>
    <n v="88.507006369426747"/>
    <x v="36"/>
    <n v="0"/>
    <m/>
    <n v="454536"/>
    <n v="29.572000000000003"/>
    <m/>
    <n v="4.8"/>
    <m/>
    <n v="34.372"/>
    <n v="54.135006369426748"/>
    <m/>
    <n v="240"/>
  </r>
  <r>
    <n v="37"/>
    <n v="2024"/>
    <s v="Auction"/>
    <s v="VROLIJK BLOEMEN"/>
    <s v="VROLIJK BLOEMEN"/>
    <x v="123"/>
    <s v="Grandiflora Roses"/>
    <s v="100CM"/>
    <m/>
    <n v="80"/>
    <n v="0.47"/>
    <n v="37.6"/>
    <n v="2"/>
    <s v="EUR"/>
    <m/>
    <m/>
    <x v="36"/>
    <n v="0"/>
    <x v="0"/>
    <x v="4"/>
    <n v="80"/>
    <n v="0.9"/>
    <n v="72"/>
    <n v="-10.364331210191084"/>
    <n v="61.635668789808918"/>
    <x v="36"/>
    <n v="0"/>
    <m/>
    <n v="454536"/>
    <n v="9.8573333333333348"/>
    <m/>
    <n v="1.6"/>
    <m/>
    <n v="11.457333333333334"/>
    <n v="50.17833545647558"/>
    <m/>
    <n v="80"/>
  </r>
  <r>
    <n v="37"/>
    <n v="2024"/>
    <s v="Auction"/>
    <s v="VROLIJK BLOEMEN"/>
    <s v="VROLIJK BLOEMEN"/>
    <x v="124"/>
    <s v="Shrub Roses"/>
    <s v="900CM"/>
    <n v="7"/>
    <n v="112"/>
    <n v="1.42"/>
    <n v="158.49"/>
    <n v="84"/>
    <s v="EUR"/>
    <m/>
    <m/>
    <x v="36"/>
    <n v="56"/>
    <x v="7"/>
    <x v="7"/>
    <n v="56"/>
    <n v="7.8553571428571427"/>
    <n v="439.9"/>
    <n v="-4.9247181008902015"/>
    <n v="434.9752818991098"/>
    <x v="36"/>
    <n v="-56"/>
    <m/>
    <s v="F094798"/>
    <n v="387.30500000000001"/>
    <m/>
    <n v="3.36"/>
    <m/>
    <n v="390.66500000000002"/>
    <n v="44.310281899109782"/>
    <m/>
    <n v="56"/>
  </r>
  <r>
    <n v="37"/>
    <n v="2024"/>
    <s v="Auction"/>
    <s v="VROLIJK BLOEMEN"/>
    <s v="VROLIJK BLOEMEN"/>
    <x v="124"/>
    <s v="Polyantha Roses"/>
    <s v="100CM"/>
    <n v="1"/>
    <n v="200"/>
    <n v="1.1399999999999999"/>
    <n v="228"/>
    <n v="12"/>
    <s v="EUR"/>
    <m/>
    <m/>
    <x v="36"/>
    <n v="0"/>
    <x v="3"/>
    <x v="4"/>
    <n v="200"/>
    <n v="1.026"/>
    <n v="205.20000000000002"/>
    <n v="-17.588278931750722"/>
    <n v="187.6117210682493"/>
    <x v="36"/>
    <n v="0"/>
    <m/>
    <s v="F094798"/>
    <n v="55.32928571428571"/>
    <m/>
    <n v="4"/>
    <m/>
    <n v="59.32928571428571"/>
    <n v="128.28243535396359"/>
    <m/>
    <n v="200"/>
  </r>
  <r>
    <n v="37"/>
    <n v="2024"/>
    <s v="Auction"/>
    <s v="VROLIJK BLOEMEN"/>
    <s v="VROLIJK BLOEMEN"/>
    <x v="124"/>
    <s v="Floribunda Roses"/>
    <s v="60CM"/>
    <n v="1"/>
    <n v="600"/>
    <n v="0.47"/>
    <n v="283.02"/>
    <n v="12"/>
    <s v="EUR"/>
    <m/>
    <m/>
    <x v="36"/>
    <n v="0"/>
    <x v="2"/>
    <x v="0"/>
    <n v="600"/>
    <n v="0.74199999999999999"/>
    <n v="445.2"/>
    <n v="-52.764836795252158"/>
    <n v="392.43516320474782"/>
    <x v="36"/>
    <n v="0"/>
    <m/>
    <s v="F094798"/>
    <n v="55.32928571428571"/>
    <m/>
    <n v="12"/>
    <m/>
    <n v="67.329285714285703"/>
    <n v="325.10587749046215"/>
    <m/>
    <n v="600"/>
  </r>
  <r>
    <n v="37"/>
    <n v="2024"/>
    <s v="Auction"/>
    <s v="VROLIJK BLOEMEN"/>
    <s v="VROLIJK BLOEMEN"/>
    <x v="124"/>
    <s v="English Roses"/>
    <s v="50CM"/>
    <n v="1"/>
    <n v="440"/>
    <n v="0.38"/>
    <n v="166.04"/>
    <n v="12"/>
    <s v="EUR"/>
    <m/>
    <m/>
    <x v="36"/>
    <n v="0"/>
    <x v="1"/>
    <x v="5"/>
    <n v="440"/>
    <n v="0.63272727272727269"/>
    <n v="278.39999999999998"/>
    <n v="-38.694213649851584"/>
    <n v="239.7057863501484"/>
    <x v="36"/>
    <n v="0"/>
    <m/>
    <s v="F094798"/>
    <n v="55.32928571428571"/>
    <m/>
    <n v="8.8000000000000007"/>
    <m/>
    <n v="64.129285714285714"/>
    <n v="175.57650063586269"/>
    <m/>
    <n v="440"/>
  </r>
  <r>
    <n v="37"/>
    <n v="2024"/>
    <s v="Auction"/>
    <s v="VROLIJK BLOEMEN"/>
    <s v="VROLIJK BLOEMEN"/>
    <x v="124"/>
    <s v="English Roses"/>
    <s v="90CM"/>
    <n v="1"/>
    <n v="80"/>
    <n v="0.83"/>
    <n v="66.400000000000006"/>
    <n v="4.8000000000000007"/>
    <s v="EUR"/>
    <m/>
    <m/>
    <x v="36"/>
    <n v="0"/>
    <x v="1"/>
    <x v="3"/>
    <n v="80"/>
    <n v="1.9750000000000001"/>
    <n v="158"/>
    <n v="-7.0353115727002873"/>
    <n v="150.96468842729971"/>
    <x v="36"/>
    <n v="0"/>
    <m/>
    <s v="F094798"/>
    <n v="22.131714285714288"/>
    <m/>
    <n v="1.6"/>
    <m/>
    <n v="23.73171428571429"/>
    <n v="127.23297414158542"/>
    <m/>
    <n v="80"/>
  </r>
  <r>
    <n v="37"/>
    <n v="2024"/>
    <s v="Auction"/>
    <s v="VROLIJK BLOEMEN"/>
    <s v="VROLIJK BLOEMEN"/>
    <x v="124"/>
    <s v="English Roses"/>
    <s v="100CM"/>
    <m/>
    <n v="120"/>
    <n v="1.03"/>
    <n v="123.6"/>
    <n v="7.1999999999999993"/>
    <s v="EUR"/>
    <m/>
    <m/>
    <x v="36"/>
    <n v="0"/>
    <x v="1"/>
    <x v="4"/>
    <n v="120"/>
    <n v="1.85"/>
    <n v="222"/>
    <n v="-10.552967359050431"/>
    <n v="211.44703264094957"/>
    <x v="36"/>
    <n v="0"/>
    <m/>
    <s v="F094798"/>
    <n v="33.197571428571422"/>
    <m/>
    <n v="2.4"/>
    <m/>
    <n v="35.59757142857142"/>
    <n v="175.84946121237815"/>
    <m/>
    <n v="120"/>
  </r>
  <r>
    <n v="37"/>
    <n v="2024"/>
    <s v="Auction"/>
    <s v="VROLIJK BLOEMEN"/>
    <s v="VROLIJK BLOEMEN"/>
    <x v="124"/>
    <s v="Polyantha Roses"/>
    <s v="50CM"/>
    <n v="1"/>
    <n v="200"/>
    <n v="0.42"/>
    <n v="84.91"/>
    <n v="6"/>
    <s v="EUR"/>
    <m/>
    <m/>
    <x v="36"/>
    <n v="0"/>
    <x v="3"/>
    <x v="5"/>
    <n v="200"/>
    <n v="0.37"/>
    <n v="74"/>
    <n v="-17.588278931750722"/>
    <n v="56.411721068249278"/>
    <x v="36"/>
    <n v="0"/>
    <m/>
    <s v="F094798"/>
    <n v="27.664642857142855"/>
    <m/>
    <n v="4"/>
    <m/>
    <n v="31.664642857142855"/>
    <n v="24.747078211106423"/>
    <m/>
    <n v="200"/>
  </r>
  <r>
    <n v="37"/>
    <n v="2024"/>
    <s v="Auction"/>
    <s v="VROLIJK BLOEMEN"/>
    <s v="VROLIJK BLOEMEN"/>
    <x v="124"/>
    <s v="Polyantha Roses"/>
    <s v="70CM"/>
    <m/>
    <n v="120"/>
    <n v="0.67"/>
    <n v="80.400000000000006"/>
    <n v="3.5999999999999996"/>
    <s v="EUR"/>
    <m/>
    <m/>
    <x v="36"/>
    <n v="0"/>
    <x v="3"/>
    <x v="1"/>
    <n v="120"/>
    <n v="0.80666666666666664"/>
    <n v="96.8"/>
    <n v="-10.552967359050431"/>
    <n v="86.24703264094957"/>
    <x v="36"/>
    <n v="0"/>
    <m/>
    <s v="F094798"/>
    <n v="16.598785714285711"/>
    <m/>
    <n v="2.4"/>
    <m/>
    <n v="18.99878571428571"/>
    <n v="67.248246926663853"/>
    <m/>
    <n v="120"/>
  </r>
  <r>
    <n v="37"/>
    <n v="2024"/>
    <s v="Auction"/>
    <s v="VROLIJK BLOEMEN"/>
    <s v="VROLIJK BLOEMEN"/>
    <x v="124"/>
    <s v="Polyantha Roses"/>
    <s v="80CM"/>
    <m/>
    <n v="80"/>
    <n v="0.72"/>
    <n v="57.6"/>
    <n v="2.4000000000000004"/>
    <s v="EUR"/>
    <m/>
    <m/>
    <x v="36"/>
    <n v="0"/>
    <x v="3"/>
    <x v="2"/>
    <n v="80"/>
    <n v="0.80999999999999994"/>
    <n v="64.8"/>
    <n v="-7.0353115727002873"/>
    <n v="57.76468842729971"/>
    <x v="36"/>
    <n v="0"/>
    <m/>
    <s v="F094798"/>
    <n v="11.065857142857144"/>
    <m/>
    <n v="1.6"/>
    <m/>
    <n v="12.665857142857144"/>
    <n v="45.098831284442568"/>
    <m/>
    <n v="80"/>
  </r>
  <r>
    <n v="37"/>
    <n v="2024"/>
    <s v="Auction"/>
    <s v="VROLIJK BLOEMEN"/>
    <s v="VROLIJK BLOEMEN"/>
    <x v="124"/>
    <s v="English Roses"/>
    <s v="60CM"/>
    <n v="1"/>
    <n v="240"/>
    <n v="0.47"/>
    <n v="113.21"/>
    <n v="6.545454545454545"/>
    <s v="EUR"/>
    <m/>
    <m/>
    <x v="36"/>
    <n v="0"/>
    <x v="1"/>
    <x v="0"/>
    <n v="240"/>
    <n v="0.93500000000000005"/>
    <n v="224.4"/>
    <n v="-21.105934718100862"/>
    <n v="203.29406528189915"/>
    <x v="36"/>
    <n v="0"/>
    <m/>
    <s v="F094798"/>
    <n v="30.179610389610389"/>
    <m/>
    <n v="4.8"/>
    <m/>
    <n v="34.979610389610386"/>
    <n v="168.31445489228878"/>
    <m/>
    <n v="240"/>
  </r>
  <r>
    <n v="37"/>
    <n v="2024"/>
    <s v="Auction"/>
    <s v="VROLIJK BLOEMEN"/>
    <s v="VROLIJK BLOEMEN"/>
    <x v="124"/>
    <s v="English Roses"/>
    <s v="70CM"/>
    <m/>
    <n v="200"/>
    <n v="0.56999999999999995"/>
    <n v="114"/>
    <n v="5.4545454545454541"/>
    <s v="EUR"/>
    <m/>
    <m/>
    <x v="36"/>
    <n v="0"/>
    <x v="1"/>
    <x v="1"/>
    <n v="200"/>
    <n v="1.62"/>
    <n v="324"/>
    <n v="-17.588278931750722"/>
    <n v="306.41172106824928"/>
    <x v="36"/>
    <n v="0"/>
    <m/>
    <s v="F094798"/>
    <n v="25.149675324675322"/>
    <m/>
    <n v="4"/>
    <m/>
    <n v="29.149675324675322"/>
    <n v="277.26204574357394"/>
    <m/>
    <n v="200"/>
  </r>
  <r>
    <n v="37"/>
    <n v="2024"/>
    <s v="Auction"/>
    <s v="VROLIJK BLOEMEN"/>
    <s v="VROLIJK BLOEMEN"/>
    <x v="124"/>
    <s v="Grandiflora Roses"/>
    <s v="80CM"/>
    <n v="1"/>
    <n v="120"/>
    <n v="0.33"/>
    <n v="39.619999999999997"/>
    <n v="4"/>
    <s v="EUR"/>
    <m/>
    <m/>
    <x v="36"/>
    <n v="0"/>
    <x v="0"/>
    <x v="2"/>
    <n v="120"/>
    <n v="0.69666666666666666"/>
    <n v="83.6"/>
    <n v="-10.552967359050431"/>
    <n v="73.047032640949567"/>
    <x v="36"/>
    <n v="0"/>
    <m/>
    <s v="F094798"/>
    <n v="18.443095238095239"/>
    <m/>
    <n v="2.4"/>
    <m/>
    <n v="20.843095238095238"/>
    <n v="52.203937402854329"/>
    <m/>
    <n v="120"/>
  </r>
  <r>
    <n v="37"/>
    <n v="2024"/>
    <s v="Auction"/>
    <s v="VROLIJK BLOEMEN"/>
    <s v="VROLIJK BLOEMEN"/>
    <x v="124"/>
    <s v="Grandiflora Roses"/>
    <s v="70CM"/>
    <m/>
    <n v="240"/>
    <n v="0.28000000000000003"/>
    <n v="67.92"/>
    <n v="8"/>
    <s v="EUR"/>
    <m/>
    <m/>
    <x v="36"/>
    <n v="0"/>
    <x v="0"/>
    <x v="1"/>
    <n v="240"/>
    <n v="0.56000000000000005"/>
    <n v="134.4"/>
    <n v="-21.105934718100862"/>
    <n v="113.29406528189915"/>
    <x v="36"/>
    <n v="0"/>
    <m/>
    <s v="F094798"/>
    <n v="36.886190476190478"/>
    <m/>
    <n v="4.8"/>
    <m/>
    <n v="41.686190476190475"/>
    <n v="71.607874805708676"/>
    <m/>
    <n v="240"/>
  </r>
  <r>
    <n v="37"/>
    <n v="2024"/>
    <s v="Auction"/>
    <s v="VROLIJK BLOEMEN"/>
    <s v="VROLIJK BLOEMEN"/>
    <x v="124"/>
    <s v="Shrub Roses"/>
    <s v="900CM"/>
    <m/>
    <m/>
    <m/>
    <m/>
    <m/>
    <s v="EUR"/>
    <m/>
    <m/>
    <x v="36"/>
    <n v="-56"/>
    <x v="7"/>
    <x v="7"/>
    <n v="56"/>
    <n v="7.6232142857142851"/>
    <n v="426.9"/>
    <n v="-60.919999999999959"/>
    <n v="365.98"/>
    <x v="36"/>
    <n v="56"/>
    <m/>
    <s v="F094798"/>
    <n v="0"/>
    <m/>
    <n v="3.36"/>
    <m/>
    <n v="3.36"/>
    <n v="362.62"/>
    <m/>
    <n v="56"/>
  </r>
  <r>
    <n v="38"/>
    <n v="2024"/>
    <s v="Auction"/>
    <s v="VROLIJK BLOEMEN"/>
    <s v="VROLIJK BLOEMEN"/>
    <x v="125"/>
    <s v="Shrub Roses"/>
    <s v="900CM"/>
    <n v="11"/>
    <n v="176"/>
    <n v="1.42"/>
    <n v="249.06"/>
    <n v="132"/>
    <s v="EUR"/>
    <m/>
    <m/>
    <x v="37"/>
    <n v="88"/>
    <x v="7"/>
    <x v="7"/>
    <n v="88"/>
    <n v="7.9681818181818187"/>
    <n v="701.2"/>
    <n v="-8.9379421221864881"/>
    <n v="692.2620578778135"/>
    <x v="37"/>
    <n v="-88"/>
    <m/>
    <n v="455386"/>
    <n v="638.45833333333337"/>
    <m/>
    <n v="5.2799999999999994"/>
    <m/>
    <n v="643.73833333333334"/>
    <n v="48.52372454448016"/>
    <m/>
    <n v="88"/>
  </r>
  <r>
    <n v="38"/>
    <n v="2024"/>
    <s v="Auction"/>
    <s v="VROLIJK BLOEMEN"/>
    <s v="VROLIJK BLOEMEN"/>
    <x v="125"/>
    <s v="English Roses"/>
    <s v="100CM"/>
    <n v="1"/>
    <n v="200"/>
    <n v="1.03"/>
    <n v="206"/>
    <n v="12"/>
    <s v="EUR"/>
    <m/>
    <m/>
    <x v="37"/>
    <n v="-80"/>
    <x v="1"/>
    <x v="4"/>
    <n v="280"/>
    <n v="1.4785714285714286"/>
    <n v="414"/>
    <n v="-28.438906752411551"/>
    <n v="385.56109324758847"/>
    <x v="37"/>
    <n v="80"/>
    <m/>
    <n v="455386"/>
    <n v="58.041666666666664"/>
    <m/>
    <n v="5.6000000000000005"/>
    <m/>
    <n v="63.641666666666666"/>
    <n v="321.91942658092182"/>
    <m/>
    <n v="280"/>
  </r>
  <r>
    <n v="38"/>
    <n v="2024"/>
    <s v="Auction"/>
    <s v="VROLIJK BLOEMEN"/>
    <s v="VROLIJK BLOEMEN"/>
    <x v="125"/>
    <s v="Floribunda Roses"/>
    <s v="60CM"/>
    <n v="1"/>
    <n v="520"/>
    <n v="0.47"/>
    <n v="244.4"/>
    <n v="12"/>
    <s v="EUR"/>
    <m/>
    <m/>
    <x v="37"/>
    <n v="-280"/>
    <x v="2"/>
    <x v="0"/>
    <n v="800"/>
    <n v="0.79749999999999999"/>
    <n v="638"/>
    <n v="-81.25401929260444"/>
    <n v="556.74598070739557"/>
    <x v="37"/>
    <n v="280"/>
    <m/>
    <n v="455386"/>
    <n v="58.041666666666664"/>
    <m/>
    <n v="16"/>
    <m/>
    <n v="74.041666666666657"/>
    <n v="482.70431404072895"/>
    <m/>
    <n v="800"/>
  </r>
  <r>
    <n v="38"/>
    <n v="2024"/>
    <s v="Auction"/>
    <s v="VROLIJK BLOEMEN"/>
    <s v="VROLIJK BLOEMEN"/>
    <x v="125"/>
    <s v="Polyantha Roses"/>
    <s v="100CM"/>
    <n v="1"/>
    <n v="200"/>
    <n v="1.1399999999999999"/>
    <n v="228"/>
    <n v="12"/>
    <s v="EUR"/>
    <m/>
    <m/>
    <x v="37"/>
    <n v="0"/>
    <x v="3"/>
    <x v="4"/>
    <n v="200"/>
    <n v="0.94799999999999995"/>
    <n v="189.6"/>
    <n v="-20.31350482315111"/>
    <n v="169.28649517684889"/>
    <x v="37"/>
    <n v="0"/>
    <m/>
    <n v="455386"/>
    <n v="58.041666666666664"/>
    <m/>
    <n v="4"/>
    <m/>
    <n v="62.041666666666664"/>
    <n v="107.24482851018223"/>
    <m/>
    <n v="200"/>
  </r>
  <r>
    <n v="38"/>
    <n v="2024"/>
    <s v="Auction"/>
    <s v="VROLIJK BLOEMEN"/>
    <s v="VROLIJK BLOEMEN"/>
    <x v="125"/>
    <s v="English Roses"/>
    <s v="60CM"/>
    <n v="1"/>
    <n v="200"/>
    <n v="0.47"/>
    <n v="94"/>
    <n v="6"/>
    <s v="EUR"/>
    <m/>
    <m/>
    <x v="37"/>
    <n v="0"/>
    <x v="1"/>
    <x v="0"/>
    <n v="200"/>
    <n v="1.46"/>
    <n v="292"/>
    <n v="-20.31350482315111"/>
    <n v="271.68649517684889"/>
    <x v="37"/>
    <n v="0"/>
    <m/>
    <n v="455386"/>
    <n v="29.020833333333332"/>
    <m/>
    <n v="4"/>
    <m/>
    <n v="33.020833333333329"/>
    <n v="238.66566184351558"/>
    <m/>
    <n v="200"/>
  </r>
  <r>
    <n v="38"/>
    <n v="2024"/>
    <s v="Auction"/>
    <s v="VROLIJK BLOEMEN"/>
    <s v="VROLIJK BLOEMEN"/>
    <x v="125"/>
    <s v="English Roses"/>
    <s v="70CM"/>
    <m/>
    <n v="120"/>
    <n v="0.56999999999999995"/>
    <n v="68.400000000000006"/>
    <n v="3.5999999999999996"/>
    <s v="EUR"/>
    <m/>
    <m/>
    <x v="37"/>
    <n v="0"/>
    <x v="1"/>
    <x v="1"/>
    <n v="120"/>
    <n v="1.95"/>
    <n v="234"/>
    <n v="-12.188102893890667"/>
    <n v="221.81189710610934"/>
    <x v="37"/>
    <n v="0"/>
    <m/>
    <n v="455386"/>
    <n v="17.412500000000001"/>
    <m/>
    <n v="2.4"/>
    <m/>
    <n v="19.8125"/>
    <n v="201.99939710610934"/>
    <m/>
    <n v="120"/>
  </r>
  <r>
    <n v="38"/>
    <n v="2024"/>
    <s v="Auction"/>
    <s v="VROLIJK BLOEMEN"/>
    <s v="VROLIJK BLOEMEN"/>
    <x v="125"/>
    <s v="English Roses"/>
    <s v="80CM"/>
    <m/>
    <n v="80"/>
    <n v="0.62"/>
    <n v="49.6"/>
    <n v="2.4000000000000004"/>
    <s v="EUR"/>
    <m/>
    <m/>
    <x v="37"/>
    <n v="0"/>
    <x v="1"/>
    <x v="2"/>
    <n v="80"/>
    <n v="1.4"/>
    <n v="112"/>
    <n v="-8.1254019292604447"/>
    <n v="103.87459807073955"/>
    <x v="37"/>
    <n v="0"/>
    <m/>
    <n v="455386"/>
    <n v="11.608333333333336"/>
    <m/>
    <n v="1.6"/>
    <m/>
    <n v="13.208333333333336"/>
    <n v="90.666264737406209"/>
    <m/>
    <n v="80"/>
  </r>
  <r>
    <n v="38"/>
    <n v="2024"/>
    <s v="Auction"/>
    <s v="VROLIJK BLOEMEN"/>
    <s v="VROLIJK BLOEMEN"/>
    <x v="125"/>
    <s v="English Roses"/>
    <s v="90CM"/>
    <n v="1"/>
    <n v="120"/>
    <n v="0.83"/>
    <n v="99.6"/>
    <n v="7.1999999999999993"/>
    <s v="EUR"/>
    <m/>
    <m/>
    <x v="37"/>
    <n v="0"/>
    <x v="1"/>
    <x v="3"/>
    <n v="120"/>
    <n v="1.45"/>
    <n v="174"/>
    <n v="-12.188102893890667"/>
    <n v="161.81189710610934"/>
    <x v="37"/>
    <n v="0"/>
    <m/>
    <n v="455386"/>
    <n v="34.825000000000003"/>
    <m/>
    <n v="2.4"/>
    <m/>
    <n v="37.225000000000001"/>
    <n v="124.58689710610935"/>
    <m/>
    <n v="120"/>
  </r>
  <r>
    <n v="38"/>
    <n v="2024"/>
    <s v="Auction"/>
    <s v="VROLIJK BLOEMEN"/>
    <s v="VROLIJK BLOEMEN"/>
    <x v="125"/>
    <s v="English Roses"/>
    <s v="100CM"/>
    <m/>
    <n v="80"/>
    <n v="1.03"/>
    <n v="82.4"/>
    <n v="4.8000000000000007"/>
    <s v="EUR"/>
    <m/>
    <m/>
    <x v="37"/>
    <n v="80"/>
    <x v="1"/>
    <x v="4"/>
    <m/>
    <m/>
    <n v="0"/>
    <n v="0"/>
    <n v="0"/>
    <x v="37"/>
    <n v="-80"/>
    <m/>
    <n v="455386"/>
    <n v="23.216666666666672"/>
    <m/>
    <n v="0"/>
    <m/>
    <n v="23.216666666666672"/>
    <n v="-23.216666666666672"/>
    <m/>
    <n v="0"/>
  </r>
  <r>
    <n v="38"/>
    <n v="2024"/>
    <s v="Auction"/>
    <s v="VROLIJK BLOEMEN"/>
    <s v="VROLIJK BLOEMEN"/>
    <x v="125"/>
    <s v="Grandiflora Roses"/>
    <s v="70CM"/>
    <n v="1"/>
    <n v="120"/>
    <n v="0.28000000000000003"/>
    <n v="33.6"/>
    <n v="3.2727272727272725"/>
    <s v="EUR"/>
    <m/>
    <m/>
    <x v="37"/>
    <n v="0"/>
    <x v="0"/>
    <x v="1"/>
    <n v="120"/>
    <n v="0.38999999999999996"/>
    <n v="46.8"/>
    <n v="-12.188102893890667"/>
    <n v="34.611897106109332"/>
    <x v="37"/>
    <n v="0"/>
    <m/>
    <n v="455386"/>
    <n v="15.829545454545453"/>
    <m/>
    <n v="2.4"/>
    <m/>
    <n v="18.229545454545452"/>
    <n v="16.38235165156388"/>
    <m/>
    <n v="120"/>
  </r>
  <r>
    <n v="38"/>
    <n v="2024"/>
    <s v="Auction"/>
    <s v="VROLIJK BLOEMEN"/>
    <s v="VROLIJK BLOEMEN"/>
    <x v="125"/>
    <s v="Grandiflora Roses"/>
    <s v="80CM"/>
    <m/>
    <n v="320"/>
    <n v="0.33"/>
    <n v="105.6"/>
    <n v="8.7272727272727266"/>
    <s v="EUR"/>
    <m/>
    <m/>
    <x v="37"/>
    <n v="0"/>
    <x v="0"/>
    <x v="2"/>
    <n v="320"/>
    <n v="0.4375"/>
    <n v="140"/>
    <n v="-32.501607717041779"/>
    <n v="107.49839228295822"/>
    <x v="37"/>
    <n v="0"/>
    <m/>
    <n v="455386"/>
    <n v="42.212121212121211"/>
    <m/>
    <n v="6.4"/>
    <m/>
    <n v="48.61212121212121"/>
    <n v="58.886271070837012"/>
    <m/>
    <n v="320"/>
  </r>
  <r>
    <n v="38"/>
    <n v="2024"/>
    <s v="Auction"/>
    <s v="VROLIJK BLOEMEN"/>
    <s v="VROLIJK BLOEMEN"/>
    <x v="125"/>
    <s v="Floribunda Roses"/>
    <s v="60CM"/>
    <n v="1"/>
    <n v="280"/>
    <n v="0.47"/>
    <n v="131.6"/>
    <n v="7.6363636363636367"/>
    <s v="EUR"/>
    <m/>
    <m/>
    <x v="37"/>
    <n v="280"/>
    <x v="2"/>
    <x v="0"/>
    <m/>
    <m/>
    <n v="0"/>
    <n v="0"/>
    <n v="0"/>
    <x v="37"/>
    <n v="-280"/>
    <m/>
    <n v="455386"/>
    <n v="36.935606060606062"/>
    <m/>
    <n v="0"/>
    <m/>
    <n v="36.935606060606062"/>
    <n v="-36.935606060606062"/>
    <m/>
    <n v="0"/>
  </r>
  <r>
    <n v="38"/>
    <n v="2024"/>
    <s v="Auction"/>
    <s v="VROLIJK BLOEMEN"/>
    <s v="VROLIJK BLOEMEN"/>
    <x v="125"/>
    <s v="Floribunda Roses"/>
    <s v="90CM"/>
    <m/>
    <n v="40"/>
    <n v="0.83"/>
    <n v="33.200000000000003"/>
    <n v="1.0909090909090908"/>
    <s v="EUR"/>
    <m/>
    <m/>
    <x v="37"/>
    <n v="0"/>
    <x v="2"/>
    <x v="3"/>
    <n v="40"/>
    <n v="1.4"/>
    <n v="56"/>
    <n v="-4.0627009646302223"/>
    <n v="51.937299035369776"/>
    <x v="37"/>
    <n v="0"/>
    <m/>
    <n v="455386"/>
    <n v="5.2765151515151514"/>
    <m/>
    <n v="0.8"/>
    <m/>
    <n v="6.0765151515151512"/>
    <n v="45.860783883854623"/>
    <m/>
    <n v="40"/>
  </r>
  <r>
    <n v="38"/>
    <n v="2024"/>
    <s v="Auction"/>
    <s v="VROLIJK BLOEMEN"/>
    <s v="VROLIJK BLOEMEN"/>
    <x v="125"/>
    <s v="Floribunda Roses"/>
    <s v="80CM"/>
    <m/>
    <n v="120"/>
    <n v="0.62"/>
    <n v="74.400000000000006"/>
    <n v="3.2727272727272725"/>
    <s v="EUR"/>
    <m/>
    <m/>
    <x v="37"/>
    <n v="0"/>
    <x v="2"/>
    <x v="2"/>
    <n v="120"/>
    <n v="1.45"/>
    <n v="174"/>
    <n v="-12.188102893890667"/>
    <n v="161.81189710610934"/>
    <x v="37"/>
    <n v="0"/>
    <m/>
    <n v="455386"/>
    <n v="15.829545454545453"/>
    <m/>
    <n v="2.4"/>
    <m/>
    <n v="18.229545454545452"/>
    <n v="143.5823516515639"/>
    <m/>
    <n v="120"/>
  </r>
  <r>
    <n v="38"/>
    <n v="2024"/>
    <s v="Auction"/>
    <s v="VROLIJK BLOEMEN"/>
    <s v="VROLIJK BLOEMEN"/>
    <x v="125"/>
    <s v="Shrub Roses"/>
    <s v="900CM"/>
    <m/>
    <m/>
    <m/>
    <m/>
    <m/>
    <s v="EUR"/>
    <m/>
    <m/>
    <x v="37"/>
    <n v="-88"/>
    <x v="7"/>
    <x v="7"/>
    <n v="88"/>
    <n v="8.0250000000000004"/>
    <n v="706.2"/>
    <n v="-9.4726548672566313"/>
    <n v="696.72734513274338"/>
    <x v="37"/>
    <n v="88"/>
    <m/>
    <n v="455386"/>
    <n v="0"/>
    <m/>
    <n v="5.2799999999999994"/>
    <m/>
    <n v="5.2799999999999994"/>
    <n v="691.44734513274341"/>
    <m/>
    <n v="88"/>
  </r>
  <r>
    <n v="38"/>
    <n v="2024"/>
    <s v="Auction"/>
    <s v="VROLIJK BLOEMEN"/>
    <s v="VROLIJK BLOEMEN"/>
    <x v="126"/>
    <s v="Shrub Roses"/>
    <s v="900CM"/>
    <n v="6"/>
    <n v="96"/>
    <n v="1.42"/>
    <n v="135.85"/>
    <n v="72"/>
    <s v="EUR"/>
    <m/>
    <m/>
    <x v="37"/>
    <n v="0"/>
    <x v="7"/>
    <x v="7"/>
    <n v="96"/>
    <n v="7.588541666666667"/>
    <n v="728.5"/>
    <n v="-74.07000000000005"/>
    <n v="654.42999999999995"/>
    <x v="37"/>
    <n v="0"/>
    <m/>
    <s v="F095405"/>
    <n v="339.93230769230769"/>
    <m/>
    <n v="5.76"/>
    <m/>
    <n v="345.69230769230768"/>
    <n v="308.73769230769227"/>
    <m/>
    <n v="96"/>
  </r>
  <r>
    <n v="38"/>
    <n v="2024"/>
    <s v="Auction"/>
    <s v="VROLIJK BLOEMEN"/>
    <s v="VROLIJK BLOEMEN"/>
    <x v="126"/>
    <s v="English Roses"/>
    <s v="100CM"/>
    <n v="1"/>
    <n v="200"/>
    <n v="1.03"/>
    <n v="206"/>
    <n v="12"/>
    <s v="EUR"/>
    <m/>
    <m/>
    <x v="37"/>
    <n v="-120"/>
    <x v="1"/>
    <x v="4"/>
    <n v="320"/>
    <n v="1.45"/>
    <n v="464"/>
    <n v="-34.446017699115025"/>
    <n v="429.55398230088497"/>
    <x v="37"/>
    <n v="120"/>
    <m/>
    <s v="F094798"/>
    <n v="56.655384615384619"/>
    <m/>
    <n v="6.4"/>
    <m/>
    <n v="63.055384615384618"/>
    <n v="366.49859768550033"/>
    <m/>
    <n v="320"/>
  </r>
  <r>
    <n v="38"/>
    <n v="2024"/>
    <s v="Auction"/>
    <s v="VROLIJK BLOEMEN"/>
    <s v="VROLIJK BLOEMEN"/>
    <x v="126"/>
    <s v="Floribunda Roses"/>
    <s v="50CM"/>
    <n v="1"/>
    <n v="280"/>
    <n v="0.38"/>
    <n v="105.66"/>
    <n v="5.6"/>
    <s v="EUR"/>
    <m/>
    <m/>
    <x v="37"/>
    <n v="280"/>
    <x v="2"/>
    <x v="5"/>
    <m/>
    <m/>
    <n v="0"/>
    <n v="0"/>
    <n v="0"/>
    <x v="37"/>
    <n v="-280"/>
    <m/>
    <s v="F094798"/>
    <n v="26.439179487179484"/>
    <m/>
    <n v="0"/>
    <m/>
    <n v="26.439179487179484"/>
    <n v="-26.439179487179484"/>
    <m/>
    <n v="0"/>
  </r>
  <r>
    <n v="38"/>
    <n v="2024"/>
    <s v="Auction"/>
    <s v="VROLIJK BLOEMEN"/>
    <s v="VROLIJK BLOEMEN"/>
    <x v="126"/>
    <s v="Floribunda Roses"/>
    <s v="60CM"/>
    <m/>
    <n v="320"/>
    <n v="0.47"/>
    <n v="150.94"/>
    <n v="6.4"/>
    <s v="EUR"/>
    <m/>
    <m/>
    <x v="37"/>
    <n v="320"/>
    <x v="2"/>
    <x v="0"/>
    <m/>
    <m/>
    <n v="0"/>
    <n v="0"/>
    <n v="0"/>
    <x v="37"/>
    <n v="-320"/>
    <m/>
    <s v="F094798"/>
    <n v="30.216205128205129"/>
    <m/>
    <n v="0"/>
    <m/>
    <n v="30.216205128205129"/>
    <n v="-30.216205128205129"/>
    <m/>
    <n v="0"/>
  </r>
  <r>
    <n v="38"/>
    <n v="2024"/>
    <s v="Auction"/>
    <s v="VROLIJK BLOEMEN"/>
    <s v="VROLIJK BLOEMEN"/>
    <x v="126"/>
    <s v="English Roses"/>
    <s v="50CM"/>
    <n v="1"/>
    <n v="320"/>
    <n v="0.38"/>
    <n v="120.75"/>
    <n v="6.4"/>
    <s v="EUR"/>
    <m/>
    <m/>
    <x v="37"/>
    <n v="0"/>
    <x v="1"/>
    <x v="5"/>
    <n v="320"/>
    <n v="0.73250000000000004"/>
    <n v="234.4"/>
    <n v="-34.446017699115025"/>
    <n v="199.95398230088497"/>
    <x v="37"/>
    <n v="0"/>
    <m/>
    <s v="F094798"/>
    <n v="30.216205128205129"/>
    <m/>
    <n v="6.4"/>
    <m/>
    <n v="36.616205128205131"/>
    <n v="163.33777717267984"/>
    <m/>
    <n v="320"/>
  </r>
  <r>
    <n v="38"/>
    <n v="2024"/>
    <s v="Auction"/>
    <s v="VROLIJK BLOEMEN"/>
    <s v="VROLIJK BLOEMEN"/>
    <x v="126"/>
    <s v="English Roses"/>
    <s v="60CM"/>
    <m/>
    <n v="280"/>
    <n v="0.47"/>
    <n v="132.08000000000001"/>
    <n v="5.6"/>
    <s v="EUR"/>
    <m/>
    <m/>
    <x v="37"/>
    <n v="0"/>
    <x v="1"/>
    <x v="0"/>
    <n v="280"/>
    <n v="0.78"/>
    <n v="218.4"/>
    <n v="-30.140265486725646"/>
    <n v="188.25973451327437"/>
    <x v="37"/>
    <n v="0"/>
    <m/>
    <s v="F094798"/>
    <n v="26.439179487179484"/>
    <m/>
    <n v="5.6000000000000005"/>
    <m/>
    <n v="32.039179487179481"/>
    <n v="156.22055502609487"/>
    <m/>
    <n v="280"/>
  </r>
  <r>
    <n v="38"/>
    <n v="2024"/>
    <s v="Auction"/>
    <s v="VROLIJK BLOEMEN"/>
    <s v="VROLIJK BLOEMEN"/>
    <x v="126"/>
    <s v="Polyantha Roses"/>
    <s v="50CM"/>
    <n v="1"/>
    <n v="240"/>
    <n v="0.42"/>
    <n v="101.89"/>
    <n v="6.545454545454545"/>
    <s v="EUR"/>
    <m/>
    <m/>
    <x v="37"/>
    <n v="0"/>
    <x v="3"/>
    <x v="5"/>
    <n v="240"/>
    <n v="0.38"/>
    <n v="91.2"/>
    <n v="-25.83451327433627"/>
    <n v="65.365486725663729"/>
    <x v="37"/>
    <n v="0"/>
    <m/>
    <s v="F094798"/>
    <n v="30.90293706293706"/>
    <m/>
    <n v="4.8"/>
    <m/>
    <n v="35.70293706293706"/>
    <n v="29.662549662726668"/>
    <m/>
    <n v="240"/>
  </r>
  <r>
    <n v="38"/>
    <n v="2024"/>
    <s v="Auction"/>
    <s v="VROLIJK BLOEMEN"/>
    <s v="VROLIJK BLOEMEN"/>
    <x v="126"/>
    <s v="Polyantha Roses"/>
    <s v="60CM"/>
    <m/>
    <n v="200"/>
    <n v="0.52"/>
    <n v="103.77"/>
    <n v="5.4545454545454541"/>
    <s v="EUR"/>
    <m/>
    <m/>
    <x v="37"/>
    <n v="0"/>
    <x v="3"/>
    <x v="0"/>
    <n v="200"/>
    <n v="0.54"/>
    <n v="108"/>
    <n v="-21.528761061946891"/>
    <n v="86.471238938053105"/>
    <x v="37"/>
    <n v="0"/>
    <m/>
    <s v="F094798"/>
    <n v="25.752447552447549"/>
    <m/>
    <n v="4"/>
    <m/>
    <n v="29.752447552447549"/>
    <n v="56.718791385605556"/>
    <m/>
    <n v="200"/>
  </r>
  <r>
    <n v="38"/>
    <n v="2024"/>
    <s v="Auction"/>
    <s v="VROLIJK BLOEMEN"/>
    <s v="VROLIJK BLOEMEN"/>
    <x v="126"/>
    <s v="English Roses"/>
    <s v="90CM"/>
    <n v="1"/>
    <n v="80"/>
    <n v="0.83"/>
    <n v="66.400000000000006"/>
    <n v="4.8000000000000007"/>
    <s v="EUR"/>
    <m/>
    <m/>
    <x v="37"/>
    <n v="-80"/>
    <x v="1"/>
    <x v="3"/>
    <n v="160"/>
    <n v="1.4"/>
    <n v="224"/>
    <n v="-17.223008849557512"/>
    <n v="206.77699115044248"/>
    <x v="37"/>
    <n v="80"/>
    <m/>
    <s v="F094798"/>
    <n v="22.662153846153849"/>
    <m/>
    <n v="3.2"/>
    <m/>
    <n v="25.862153846153848"/>
    <n v="180.91483730428862"/>
    <m/>
    <n v="160"/>
  </r>
  <r>
    <n v="38"/>
    <n v="2024"/>
    <s v="Auction"/>
    <s v="VROLIJK BLOEMEN"/>
    <s v="VROLIJK BLOEMEN"/>
    <x v="126"/>
    <s v="English Roses"/>
    <s v="100CM"/>
    <m/>
    <n v="120"/>
    <n v="1.03"/>
    <n v="123.6"/>
    <n v="7.1999999999999993"/>
    <s v="EUR"/>
    <m/>
    <m/>
    <x v="37"/>
    <n v="120"/>
    <x v="1"/>
    <x v="4"/>
    <m/>
    <m/>
    <n v="0"/>
    <n v="0"/>
    <n v="0"/>
    <x v="37"/>
    <n v="-120"/>
    <m/>
    <s v="F094798"/>
    <n v="33.993230769230763"/>
    <m/>
    <n v="0"/>
    <m/>
    <n v="33.993230769230763"/>
    <n v="-33.993230769230763"/>
    <m/>
    <n v="0"/>
  </r>
  <r>
    <n v="38"/>
    <n v="2024"/>
    <s v="Auction"/>
    <s v="VROLIJK BLOEMEN"/>
    <s v="VROLIJK BLOEMEN"/>
    <x v="126"/>
    <s v="Grandiflora Roses"/>
    <s v="80CM"/>
    <n v="1"/>
    <n v="80"/>
    <n v="0.33"/>
    <n v="26.42"/>
    <n v="2.4000000000000004"/>
    <s v="EUR"/>
    <m/>
    <m/>
    <x v="37"/>
    <n v="80"/>
    <x v="0"/>
    <x v="2"/>
    <m/>
    <m/>
    <n v="0"/>
    <n v="0"/>
    <n v="0"/>
    <x v="37"/>
    <n v="-80"/>
    <m/>
    <s v="F094798"/>
    <n v="11.331076923076925"/>
    <m/>
    <n v="0"/>
    <m/>
    <n v="11.331076923076925"/>
    <n v="-11.331076923076925"/>
    <m/>
    <n v="0"/>
  </r>
  <r>
    <n v="38"/>
    <n v="2024"/>
    <s v="Auction"/>
    <s v="VROLIJK BLOEMEN"/>
    <s v="VROLIJK BLOEMEN"/>
    <x v="126"/>
    <s v="Grandiflora Roses"/>
    <s v="90CM"/>
    <m/>
    <n v="120"/>
    <n v="0.38"/>
    <n v="45.28"/>
    <n v="3.5999999999999996"/>
    <s v="EUR"/>
    <m/>
    <m/>
    <x v="37"/>
    <n v="120"/>
    <x v="0"/>
    <x v="3"/>
    <m/>
    <m/>
    <n v="0"/>
    <n v="0"/>
    <n v="0"/>
    <x v="37"/>
    <n v="-120"/>
    <m/>
    <s v="F094798"/>
    <n v="16.996615384615382"/>
    <m/>
    <n v="0"/>
    <m/>
    <n v="16.996615384615382"/>
    <n v="-16.996615384615382"/>
    <m/>
    <n v="0"/>
  </r>
  <r>
    <n v="38"/>
    <n v="2024"/>
    <s v="Auction"/>
    <s v="VROLIJK BLOEMEN"/>
    <s v="VROLIJK BLOEMEN"/>
    <x v="126"/>
    <s v="Grandiflora Roses"/>
    <s v="70CM"/>
    <m/>
    <n v="200"/>
    <n v="0.28000000000000003"/>
    <n v="56.6"/>
    <n v="6"/>
    <s v="EUR"/>
    <m/>
    <m/>
    <x v="37"/>
    <n v="200"/>
    <x v="0"/>
    <x v="1"/>
    <m/>
    <m/>
    <n v="0"/>
    <n v="0"/>
    <n v="0"/>
    <x v="37"/>
    <n v="-200"/>
    <m/>
    <s v="F094798"/>
    <n v="28.32769230769231"/>
    <m/>
    <n v="0"/>
    <m/>
    <n v="28.32769230769231"/>
    <n v="-28.32769230769231"/>
    <m/>
    <n v="0"/>
  </r>
  <r>
    <n v="38"/>
    <n v="2024"/>
    <s v="Auction"/>
    <s v="VROLIJK BLOEMEN"/>
    <s v="VROLIJK BLOEMEN"/>
    <x v="126"/>
    <s v="English Roses"/>
    <s v="80CM"/>
    <n v="1"/>
    <n v="120"/>
    <n v="0.62"/>
    <n v="74.400000000000006"/>
    <n v="5.1428571428571423"/>
    <s v="EUR"/>
    <m/>
    <m/>
    <x v="37"/>
    <n v="-40"/>
    <x v="1"/>
    <x v="2"/>
    <n v="160"/>
    <n v="1.6625000000000001"/>
    <n v="266"/>
    <n v="-17.223008849557512"/>
    <n v="248.77699115044248"/>
    <x v="37"/>
    <n v="40"/>
    <m/>
    <s v="F094798"/>
    <n v="24.280879120879117"/>
    <m/>
    <n v="3.2"/>
    <m/>
    <n v="27.480879120879116"/>
    <n v="221.29611202956337"/>
    <m/>
    <n v="160"/>
  </r>
  <r>
    <n v="38"/>
    <n v="2024"/>
    <s v="Auction"/>
    <s v="VROLIJK BLOEMEN"/>
    <s v="VROLIJK BLOEMEN"/>
    <x v="126"/>
    <s v="English Roses"/>
    <s v="90CM"/>
    <m/>
    <n v="120"/>
    <n v="0.83"/>
    <n v="99.6"/>
    <n v="5.1428571428571423"/>
    <s v="EUR"/>
    <m/>
    <m/>
    <x v="37"/>
    <n v="120"/>
    <x v="1"/>
    <x v="3"/>
    <m/>
    <m/>
    <n v="0"/>
    <n v="0"/>
    <n v="0"/>
    <x v="37"/>
    <n v="-120"/>
    <m/>
    <s v="F094798"/>
    <n v="24.280879120879117"/>
    <m/>
    <n v="0"/>
    <m/>
    <n v="24.280879120879117"/>
    <n v="-24.280879120879117"/>
    <m/>
    <n v="0"/>
  </r>
  <r>
    <n v="38"/>
    <n v="2024"/>
    <s v="Auction"/>
    <s v="VROLIJK BLOEMEN"/>
    <s v="VROLIJK BLOEMEN"/>
    <x v="126"/>
    <s v="English Roses"/>
    <s v="70CM"/>
    <m/>
    <n v="40"/>
    <n v="0.56999999999999995"/>
    <n v="22.8"/>
    <n v="1.7142857142857142"/>
    <s v="EUR"/>
    <m/>
    <m/>
    <x v="37"/>
    <n v="0"/>
    <x v="1"/>
    <x v="1"/>
    <n v="40"/>
    <n v="1.1499999999999999"/>
    <n v="46"/>
    <n v="-4.3057522123893781"/>
    <n v="41.694247787610621"/>
    <x v="37"/>
    <n v="0"/>
    <m/>
    <s v="F094798"/>
    <n v="8.0936263736263729"/>
    <m/>
    <n v="0.8"/>
    <m/>
    <n v="8.8936263736263736"/>
    <n v="32.800621413984246"/>
    <m/>
    <n v="40"/>
  </r>
  <r>
    <n v="38"/>
    <n v="2024"/>
    <s v="Auction"/>
    <s v="VROLIJK BLOEMEN"/>
    <s v="VROLIJK BLOEMEN"/>
    <x v="127"/>
    <s v="Shrub Roses"/>
    <s v="900CM"/>
    <n v="7"/>
    <n v="112"/>
    <n v="1.42"/>
    <n v="158.49"/>
    <n v="84"/>
    <s v="EUR"/>
    <m/>
    <m/>
    <x v="38"/>
    <n v="56"/>
    <x v="7"/>
    <x v="7"/>
    <n v="56"/>
    <n v="8.1714285714285726"/>
    <n v="457.60000000000008"/>
    <n v="-4.5326605504587203"/>
    <n v="453.06733944954135"/>
    <x v="38"/>
    <n v="-56"/>
    <m/>
    <n v="455817"/>
    <n v="390.32583333333338"/>
    <m/>
    <n v="3.36"/>
    <m/>
    <n v="393.68583333333339"/>
    <n v="59.381506116207959"/>
    <m/>
    <n v="56"/>
  </r>
  <r>
    <n v="38"/>
    <n v="2024"/>
    <s v="Auction"/>
    <s v="VROLIJK BLOEMEN"/>
    <s v="VROLIJK BLOEMEN"/>
    <x v="127"/>
    <s v="Floribunda Roses"/>
    <s v="50CM"/>
    <n v="1"/>
    <n v="760"/>
    <n v="0.38"/>
    <n v="288.8"/>
    <n v="12"/>
    <s v="EUR"/>
    <m/>
    <m/>
    <x v="38"/>
    <n v="0"/>
    <x v="2"/>
    <x v="5"/>
    <n v="760"/>
    <n v="0.66578947368421049"/>
    <n v="505.99999999999994"/>
    <n v="-61.514678899082632"/>
    <n v="444.4853211009173"/>
    <x v="38"/>
    <n v="0"/>
    <m/>
    <n v="455817"/>
    <n v="55.760833333333331"/>
    <m/>
    <n v="15.200000000000001"/>
    <m/>
    <n v="70.960833333333326"/>
    <n v="373.52448776758399"/>
    <m/>
    <n v="760"/>
  </r>
  <r>
    <n v="38"/>
    <n v="2024"/>
    <s v="Auction"/>
    <s v="VROLIJK BLOEMEN"/>
    <s v="VROLIJK BLOEMEN"/>
    <x v="127"/>
    <s v="Floribunda Roses"/>
    <s v="60CM"/>
    <n v="1"/>
    <n v="520"/>
    <n v="0.47"/>
    <n v="244.4"/>
    <n v="12"/>
    <s v="EUR"/>
    <m/>
    <m/>
    <x v="38"/>
    <n v="0"/>
    <x v="2"/>
    <x v="0"/>
    <n v="520"/>
    <n v="1.3038461538461539"/>
    <n v="678"/>
    <n v="-42.088990825688121"/>
    <n v="635.91100917431186"/>
    <x v="38"/>
    <n v="0"/>
    <m/>
    <n v="455817"/>
    <n v="55.760833333333331"/>
    <m/>
    <n v="10.4"/>
    <m/>
    <n v="66.160833333333329"/>
    <n v="569.7501758409785"/>
    <m/>
    <n v="520"/>
  </r>
  <r>
    <n v="38"/>
    <n v="2024"/>
    <s v="Auction"/>
    <s v="VROLIJK BLOEMEN"/>
    <s v="VROLIJK BLOEMEN"/>
    <x v="127"/>
    <s v="Grandiflora Roses"/>
    <s v="70CM"/>
    <n v="1"/>
    <n v="520"/>
    <n v="0.28000000000000003"/>
    <n v="145.6"/>
    <n v="12"/>
    <s v="EUR"/>
    <m/>
    <m/>
    <x v="38"/>
    <n v="0"/>
    <x v="0"/>
    <x v="1"/>
    <n v="520"/>
    <n v="0.50076923076923074"/>
    <n v="260.39999999999998"/>
    <n v="-42.088990825688121"/>
    <n v="218.31100917431186"/>
    <x v="38"/>
    <n v="0"/>
    <m/>
    <n v="455817"/>
    <n v="55.760833333333331"/>
    <m/>
    <n v="10.4"/>
    <m/>
    <n v="66.160833333333329"/>
    <n v="152.15017584097853"/>
    <m/>
    <n v="520"/>
  </r>
  <r>
    <n v="38"/>
    <n v="2024"/>
    <s v="Auction"/>
    <s v="VROLIJK BLOEMEN"/>
    <s v="VROLIJK BLOEMEN"/>
    <x v="127"/>
    <s v="Grandiflora Roses"/>
    <s v="80CM"/>
    <n v="1"/>
    <n v="280"/>
    <n v="0.33"/>
    <n v="92.4"/>
    <n v="8.3999999999999986"/>
    <s v="EUR"/>
    <m/>
    <m/>
    <x v="38"/>
    <n v="0"/>
    <x v="0"/>
    <x v="2"/>
    <n v="280"/>
    <n v="0.20571428571428571"/>
    <n v="57.6"/>
    <n v="-22.663302752293603"/>
    <n v="34.936697247706398"/>
    <x v="38"/>
    <n v="0"/>
    <m/>
    <n v="455817"/>
    <n v="39.032583333333328"/>
    <m/>
    <n v="5.6000000000000005"/>
    <m/>
    <n v="44.632583333333329"/>
    <n v="-9.6958860856269311"/>
    <m/>
    <n v="280"/>
  </r>
  <r>
    <n v="38"/>
    <n v="2024"/>
    <s v="Auction"/>
    <s v="VROLIJK BLOEMEN"/>
    <s v="VROLIJK BLOEMEN"/>
    <x v="127"/>
    <s v="Grandiflora Roses"/>
    <s v="90CM"/>
    <m/>
    <n v="120"/>
    <n v="0.38"/>
    <n v="45.6"/>
    <n v="3.5999999999999996"/>
    <s v="EUR"/>
    <m/>
    <m/>
    <x v="38"/>
    <n v="0"/>
    <x v="0"/>
    <x v="3"/>
    <n v="120"/>
    <n v="0.28999999999999998"/>
    <n v="34.799999999999997"/>
    <n v="-9.712844036697259"/>
    <n v="25.087155963302738"/>
    <x v="38"/>
    <n v="0"/>
    <m/>
    <n v="455817"/>
    <n v="16.728249999999999"/>
    <m/>
    <n v="2.4"/>
    <m/>
    <n v="19.128249999999998"/>
    <n v="5.9589059633027404"/>
    <m/>
    <n v="120"/>
  </r>
  <r>
    <n v="38"/>
    <n v="2024"/>
    <s v="Auction"/>
    <s v="VROLIJK BLOEMEN"/>
    <s v="VROLIJK BLOEMEN"/>
    <x v="127"/>
    <s v="English Roses"/>
    <s v="50CM"/>
    <n v="1"/>
    <n v="40"/>
    <n v="0.38"/>
    <n v="15.2"/>
    <n v="1.3333333333333333"/>
    <s v="EUR"/>
    <m/>
    <m/>
    <x v="38"/>
    <n v="0"/>
    <x v="1"/>
    <x v="5"/>
    <n v="40"/>
    <n v="0.27"/>
    <n v="10.8"/>
    <n v="-3.2376146788990861"/>
    <n v="7.5623853211009147"/>
    <x v="38"/>
    <n v="0"/>
    <m/>
    <n v="455817"/>
    <n v="6.1956481481481473"/>
    <m/>
    <n v="0.8"/>
    <m/>
    <n v="6.9956481481481472"/>
    <n v="0.56673717295276749"/>
    <m/>
    <n v="40"/>
  </r>
  <r>
    <n v="38"/>
    <n v="2024"/>
    <s v="Auction"/>
    <s v="VROLIJK BLOEMEN"/>
    <s v="VROLIJK BLOEMEN"/>
    <x v="127"/>
    <s v="English Roses"/>
    <s v="60CM"/>
    <m/>
    <n v="40"/>
    <n v="0.47"/>
    <n v="18.8"/>
    <n v="1.3333333333333333"/>
    <s v="EUR"/>
    <m/>
    <m/>
    <x v="38"/>
    <n v="0"/>
    <x v="1"/>
    <x v="0"/>
    <n v="40"/>
    <n v="0.32999999999999996"/>
    <n v="13.2"/>
    <n v="-3.2376146788990861"/>
    <n v="9.9623853211009141"/>
    <x v="38"/>
    <n v="0"/>
    <m/>
    <n v="455817"/>
    <n v="6.1956481481481473"/>
    <m/>
    <n v="0.8"/>
    <m/>
    <n v="6.9956481481481472"/>
    <n v="2.966737172952767"/>
    <m/>
    <n v="40"/>
  </r>
  <r>
    <n v="38"/>
    <n v="2024"/>
    <s v="Auction"/>
    <s v="VROLIJK BLOEMEN"/>
    <s v="VROLIJK BLOEMEN"/>
    <x v="127"/>
    <s v="English Roses"/>
    <s v="70CM"/>
    <m/>
    <n v="200"/>
    <n v="0.56999999999999995"/>
    <n v="114"/>
    <n v="6.666666666666667"/>
    <s v="EUR"/>
    <m/>
    <m/>
    <x v="38"/>
    <n v="0"/>
    <x v="1"/>
    <x v="1"/>
    <n v="200"/>
    <n v="1.02"/>
    <n v="204"/>
    <n v="-16.188073394495429"/>
    <n v="187.81192660550457"/>
    <x v="38"/>
    <n v="0"/>
    <m/>
    <n v="455817"/>
    <n v="30.978240740740745"/>
    <m/>
    <n v="4"/>
    <m/>
    <n v="34.978240740740745"/>
    <n v="152.83368586476382"/>
    <m/>
    <n v="200"/>
  </r>
  <r>
    <n v="38"/>
    <n v="2024"/>
    <s v="Auction"/>
    <s v="VROLIJK BLOEMEN"/>
    <s v="VROLIJK BLOEMEN"/>
    <x v="127"/>
    <s v="English Roses"/>
    <s v="90CM"/>
    <m/>
    <n v="40"/>
    <n v="0.83"/>
    <n v="33.200000000000003"/>
    <n v="1.3333333333333333"/>
    <s v="EUR"/>
    <m/>
    <m/>
    <x v="38"/>
    <n v="0"/>
    <x v="1"/>
    <x v="3"/>
    <n v="40"/>
    <n v="0.36"/>
    <n v="14.399999999999999"/>
    <n v="-3.2376146788990861"/>
    <n v="11.162385321100913"/>
    <x v="38"/>
    <n v="0"/>
    <m/>
    <n v="455817"/>
    <n v="6.1956481481481473"/>
    <m/>
    <n v="0.8"/>
    <m/>
    <n v="6.9956481481481472"/>
    <n v="4.1667371729527662"/>
    <m/>
    <n v="40"/>
  </r>
  <r>
    <n v="38"/>
    <n v="2024"/>
    <s v="Auction"/>
    <s v="VROLIJK BLOEMEN"/>
    <s v="VROLIJK BLOEMEN"/>
    <x v="127"/>
    <s v="English Roses"/>
    <s v="100CM"/>
    <m/>
    <n v="40"/>
    <n v="1.03"/>
    <n v="41.2"/>
    <n v="1.3333333333333333"/>
    <s v="EUR"/>
    <m/>
    <m/>
    <x v="38"/>
    <n v="0"/>
    <x v="1"/>
    <x v="4"/>
    <n v="40"/>
    <n v="0.59000000000000008"/>
    <n v="23.6"/>
    <n v="-3.2376146788990861"/>
    <n v="20.362385321100916"/>
    <x v="38"/>
    <n v="0"/>
    <m/>
    <n v="455817"/>
    <n v="6.1956481481481473"/>
    <m/>
    <n v="0.8"/>
    <m/>
    <n v="6.9956481481481472"/>
    <n v="13.366737172952769"/>
    <m/>
    <n v="40"/>
  </r>
  <r>
    <n v="38"/>
    <n v="2024"/>
    <s v="Auction"/>
    <s v="VROLIJK BLOEMEN"/>
    <s v="VROLIJK BLOEMEN"/>
    <x v="127"/>
    <s v="Shrub Roses"/>
    <s v="900CM"/>
    <m/>
    <m/>
    <m/>
    <m/>
    <m/>
    <s v="EUR"/>
    <m/>
    <m/>
    <x v="38"/>
    <n v="-56"/>
    <x v="7"/>
    <x v="7"/>
    <n v="56"/>
    <n v="8.3357142857142854"/>
    <n v="466.79999999999995"/>
    <n v="-62.79000000000002"/>
    <n v="404.00999999999993"/>
    <x v="38"/>
    <n v="56"/>
    <m/>
    <n v="455817"/>
    <n v="0"/>
    <m/>
    <n v="3.36"/>
    <m/>
    <n v="3.36"/>
    <n v="400.64999999999992"/>
    <m/>
    <n v="56"/>
  </r>
  <r>
    <n v="39"/>
    <n v="2024"/>
    <s v="Auction"/>
    <s v="VROLIJK BLOEMEN"/>
    <s v="VROLIJK BLOEMEN"/>
    <x v="128"/>
    <s v="Shrub Roses"/>
    <s v="900CM"/>
    <n v="4"/>
    <n v="64"/>
    <n v="1.42"/>
    <n v="90.57"/>
    <n v="48"/>
    <s v="EUR"/>
    <m/>
    <m/>
    <x v="38"/>
    <n v="-12"/>
    <x v="7"/>
    <x v="7"/>
    <n v="76"/>
    <n v="8.3697368421052634"/>
    <n v="636.1"/>
    <n v="-5.3245754119138171"/>
    <n v="630.77542458808625"/>
    <x v="38"/>
    <n v="12"/>
    <m/>
    <n v="456320"/>
    <n v="201.07"/>
    <m/>
    <n v="4.5599999999999996"/>
    <m/>
    <n v="205.63"/>
    <n v="425.14542458808626"/>
    <m/>
    <n v="76"/>
  </r>
  <r>
    <n v="39"/>
    <n v="2024"/>
    <s v="Auction"/>
    <s v="VROLIJK BLOEMEN"/>
    <s v="VROLIJK BLOEMEN"/>
    <x v="128"/>
    <s v="Shrub Roses"/>
    <s v="900CM"/>
    <n v="1"/>
    <n v="12"/>
    <n v="1.42"/>
    <n v="16.98"/>
    <n v="12"/>
    <s v="EUR"/>
    <m/>
    <m/>
    <x v="38"/>
    <n v="12"/>
    <x v="7"/>
    <x v="7"/>
    <m/>
    <m/>
    <n v="0"/>
    <n v="0"/>
    <n v="0"/>
    <x v="38"/>
    <n v="-12"/>
    <m/>
    <n v="456320"/>
    <n v="50.267499999999998"/>
    <m/>
    <n v="0"/>
    <m/>
    <n v="50.267499999999998"/>
    <n v="-50.267499999999998"/>
    <m/>
    <n v="0"/>
  </r>
  <r>
    <n v="39"/>
    <n v="2024"/>
    <s v="Auction"/>
    <s v="VROLIJK BLOEMEN"/>
    <s v="VROLIJK BLOEMEN"/>
    <x v="128"/>
    <s v="English Roses"/>
    <s v="100CM"/>
    <n v="1"/>
    <n v="200"/>
    <n v="1.03"/>
    <n v="206"/>
    <n v="12"/>
    <s v="EUR"/>
    <m/>
    <m/>
    <x v="38"/>
    <n v="0"/>
    <x v="1"/>
    <x v="4"/>
    <n v="200"/>
    <n v="0.86599999999999999"/>
    <n v="173.2"/>
    <n v="-14.012040557667943"/>
    <n v="159.18795944233204"/>
    <x v="38"/>
    <n v="0"/>
    <m/>
    <n v="456320"/>
    <n v="50.267499999999998"/>
    <m/>
    <n v="4"/>
    <m/>
    <n v="54.267499999999998"/>
    <n v="104.92045944233205"/>
    <m/>
    <n v="200"/>
  </r>
  <r>
    <n v="39"/>
    <n v="2024"/>
    <s v="Auction"/>
    <s v="VROLIJK BLOEMEN"/>
    <s v="VROLIJK BLOEMEN"/>
    <x v="128"/>
    <s v="Grandiflora Roses"/>
    <s v="60CM"/>
    <n v="2"/>
    <n v="1440"/>
    <n v="0.24"/>
    <n v="339.62"/>
    <n v="24"/>
    <s v="EUR"/>
    <m/>
    <m/>
    <x v="38"/>
    <n v="0"/>
    <x v="0"/>
    <x v="0"/>
    <n v="1440"/>
    <n v="0.26305555555555554"/>
    <n v="378.79999999999995"/>
    <n v="-100.88669201520919"/>
    <n v="277.91330798479078"/>
    <x v="38"/>
    <n v="0"/>
    <m/>
    <n v="456320"/>
    <n v="100.535"/>
    <m/>
    <n v="28.8"/>
    <m/>
    <n v="129.33500000000001"/>
    <n v="148.57830798479077"/>
    <m/>
    <n v="1440"/>
  </r>
  <r>
    <n v="39"/>
    <n v="2024"/>
    <s v="Auction"/>
    <s v="VROLIJK BLOEMEN"/>
    <s v="VROLIJK BLOEMEN"/>
    <x v="128"/>
    <s v="Grandiflora Roses"/>
    <s v="70CM"/>
    <n v="1"/>
    <n v="520"/>
    <n v="0.28000000000000003"/>
    <n v="147.16999999999999"/>
    <n v="12"/>
    <s v="EUR"/>
    <m/>
    <m/>
    <x v="38"/>
    <n v="0"/>
    <x v="0"/>
    <x v="1"/>
    <n v="520"/>
    <n v="0.31"/>
    <n v="161.19999999999999"/>
    <n v="-36.431305449936652"/>
    <n v="124.76869455006334"/>
    <x v="38"/>
    <n v="0"/>
    <m/>
    <n v="456320"/>
    <n v="50.267499999999998"/>
    <m/>
    <n v="10.4"/>
    <m/>
    <n v="60.667499999999997"/>
    <n v="64.101194550063354"/>
    <m/>
    <n v="520"/>
  </r>
  <r>
    <n v="39"/>
    <n v="2024"/>
    <s v="Auction"/>
    <s v="VROLIJK BLOEMEN"/>
    <s v="VROLIJK BLOEMEN"/>
    <x v="128"/>
    <s v="Grandiflora Roses"/>
    <s v="80CM"/>
    <n v="1"/>
    <n v="320"/>
    <n v="0.33"/>
    <n v="105.66"/>
    <n v="9.6000000000000014"/>
    <s v="EUR"/>
    <m/>
    <m/>
    <x v="38"/>
    <n v="0"/>
    <x v="0"/>
    <x v="2"/>
    <n v="320"/>
    <n v="0.36"/>
    <n v="115.19999999999999"/>
    <n v="-22.419264892268707"/>
    <n v="92.780735107731289"/>
    <x v="38"/>
    <n v="0"/>
    <m/>
    <n v="456320"/>
    <n v="40.214000000000013"/>
    <m/>
    <n v="6.4"/>
    <m/>
    <n v="46.614000000000011"/>
    <n v="46.166735107731277"/>
    <m/>
    <n v="320"/>
  </r>
  <r>
    <n v="39"/>
    <n v="2024"/>
    <s v="Auction"/>
    <s v="VROLIJK BLOEMEN"/>
    <s v="VROLIJK BLOEMEN"/>
    <x v="128"/>
    <s v="Grandiflora Roses"/>
    <s v="100CM"/>
    <m/>
    <n v="40"/>
    <n v="0.47"/>
    <n v="18.87"/>
    <n v="1.2000000000000002"/>
    <s v="EUR"/>
    <m/>
    <m/>
    <x v="38"/>
    <n v="0"/>
    <x v="0"/>
    <x v="4"/>
    <n v="40"/>
    <n v="0.55999999999999994"/>
    <n v="22.4"/>
    <n v="-2.8024081115335884"/>
    <n v="19.597591888466411"/>
    <x v="38"/>
    <n v="0"/>
    <m/>
    <n v="456320"/>
    <n v="5.0267500000000016"/>
    <m/>
    <n v="0.8"/>
    <m/>
    <n v="5.8267500000000014"/>
    <n v="13.770841888466411"/>
    <m/>
    <n v="40"/>
  </r>
  <r>
    <n v="39"/>
    <n v="2024"/>
    <s v="Auction"/>
    <s v="VROLIJK BLOEMEN"/>
    <s v="VROLIJK BLOEMEN"/>
    <x v="128"/>
    <s v="Grandiflora Roses"/>
    <s v="90CM"/>
    <m/>
    <n v="40"/>
    <n v="0.38"/>
    <n v="15.09"/>
    <n v="1.2000000000000002"/>
    <s v="EUR"/>
    <m/>
    <m/>
    <x v="38"/>
    <n v="-40"/>
    <x v="0"/>
    <x v="3"/>
    <n v="80"/>
    <n v="0.52"/>
    <n v="41.6"/>
    <n v="-5.6048162230671768"/>
    <n v="35.995183776932826"/>
    <x v="38"/>
    <n v="40"/>
    <m/>
    <n v="456320"/>
    <n v="5.0267500000000016"/>
    <m/>
    <n v="1.6"/>
    <m/>
    <n v="6.6267500000000013"/>
    <n v="29.368433776932825"/>
    <m/>
    <n v="80"/>
  </r>
  <r>
    <n v="39"/>
    <n v="2024"/>
    <s v="Auction"/>
    <s v="VROLIJK BLOEMEN"/>
    <s v="VROLIJK BLOEMEN"/>
    <x v="128"/>
    <s v="Floribunda Roses"/>
    <s v="80CM"/>
    <n v="1"/>
    <n v="40"/>
    <n v="0.62"/>
    <n v="24.8"/>
    <n v="2"/>
    <s v="EUR"/>
    <m/>
    <m/>
    <x v="38"/>
    <n v="0"/>
    <x v="2"/>
    <x v="2"/>
    <n v="40"/>
    <n v="0.95"/>
    <n v="38"/>
    <n v="-2.8024081115335884"/>
    <n v="35.197591888466413"/>
    <x v="38"/>
    <n v="0"/>
    <m/>
    <n v="456320"/>
    <n v="8.3779166666666676"/>
    <m/>
    <n v="0.8"/>
    <m/>
    <n v="9.1779166666666683"/>
    <n v="26.019675221799744"/>
    <m/>
    <n v="40"/>
  </r>
  <r>
    <n v="39"/>
    <n v="2024"/>
    <s v="Auction"/>
    <s v="VROLIJK BLOEMEN"/>
    <s v="VROLIJK BLOEMEN"/>
    <x v="128"/>
    <s v="Floribunda Roses"/>
    <s v="100CM"/>
    <m/>
    <n v="40"/>
    <n v="1.03"/>
    <n v="41.2"/>
    <n v="2"/>
    <s v="EUR"/>
    <m/>
    <m/>
    <x v="38"/>
    <n v="0"/>
    <x v="2"/>
    <x v="4"/>
    <n v="40"/>
    <n v="0.91999999999999993"/>
    <n v="36.799999999999997"/>
    <n v="-2.8024081115335884"/>
    <n v="33.99759188846641"/>
    <x v="38"/>
    <n v="0"/>
    <m/>
    <n v="456320"/>
    <n v="8.3779166666666676"/>
    <m/>
    <n v="0.8"/>
    <m/>
    <n v="9.1779166666666683"/>
    <n v="24.819675221799741"/>
    <m/>
    <n v="40"/>
  </r>
  <r>
    <n v="39"/>
    <n v="2024"/>
    <s v="Auction"/>
    <s v="VROLIJK BLOEMEN"/>
    <s v="VROLIJK BLOEMEN"/>
    <x v="128"/>
    <s v="Floribunda Roses"/>
    <s v="90CM"/>
    <m/>
    <n v="160"/>
    <n v="0.83"/>
    <n v="132.80000000000001"/>
    <n v="8"/>
    <s v="EUR"/>
    <m/>
    <m/>
    <x v="38"/>
    <n v="0"/>
    <x v="2"/>
    <x v="3"/>
    <n v="160"/>
    <n v="0.97499999999999998"/>
    <n v="156"/>
    <n v="-11.209632446134354"/>
    <n v="144.79036755386565"/>
    <x v="38"/>
    <n v="0"/>
    <m/>
    <n v="456320"/>
    <n v="33.51166666666667"/>
    <m/>
    <n v="3.2"/>
    <m/>
    <n v="36.711666666666673"/>
    <n v="108.07870088719898"/>
    <m/>
    <n v="160"/>
  </r>
  <r>
    <n v="39"/>
    <n v="2024"/>
    <s v="Auction"/>
    <s v="VROLIJK BLOEMEN"/>
    <s v="VROLIJK BLOEMEN"/>
    <x v="128"/>
    <s v="Polyantha Roses"/>
    <s v="70CM"/>
    <n v="1"/>
    <n v="80"/>
    <n v="0.67"/>
    <n v="53.6"/>
    <n v="4"/>
    <s v="EUR"/>
    <m/>
    <m/>
    <x v="38"/>
    <n v="0"/>
    <x v="3"/>
    <x v="1"/>
    <n v="80"/>
    <n v="0.98000000000000009"/>
    <n v="78.400000000000006"/>
    <n v="-5.6048162230671768"/>
    <n v="72.795183776932831"/>
    <x v="38"/>
    <n v="0"/>
    <m/>
    <n v="456320"/>
    <n v="16.755833333333335"/>
    <m/>
    <n v="1.6"/>
    <m/>
    <n v="18.355833333333337"/>
    <n v="54.439350443599494"/>
    <m/>
    <n v="80"/>
  </r>
  <r>
    <n v="39"/>
    <n v="2024"/>
    <s v="Auction"/>
    <s v="VROLIJK BLOEMEN"/>
    <s v="VROLIJK BLOEMEN"/>
    <x v="128"/>
    <s v="Polyantha Roses"/>
    <s v="90CM"/>
    <m/>
    <n v="40"/>
    <n v="0.93"/>
    <n v="37.200000000000003"/>
    <n v="2"/>
    <s v="EUR"/>
    <m/>
    <m/>
    <x v="38"/>
    <n v="0"/>
    <x v="3"/>
    <x v="3"/>
    <n v="40"/>
    <n v="1.03"/>
    <n v="41.2"/>
    <n v="-2.8024081115335884"/>
    <n v="38.397591888466415"/>
    <x v="38"/>
    <n v="0"/>
    <m/>
    <n v="456320"/>
    <n v="8.3779166666666676"/>
    <m/>
    <n v="0.8"/>
    <m/>
    <n v="9.1779166666666683"/>
    <n v="29.219675221799747"/>
    <m/>
    <n v="40"/>
  </r>
  <r>
    <n v="39"/>
    <n v="2024"/>
    <s v="Auction"/>
    <s v="VROLIJK BLOEMEN"/>
    <s v="VROLIJK BLOEMEN"/>
    <x v="128"/>
    <s v="Polyantha Roses"/>
    <s v="100CM"/>
    <m/>
    <n v="120"/>
    <n v="1.1399999999999999"/>
    <n v="136.80000000000001"/>
    <n v="6"/>
    <s v="EUR"/>
    <m/>
    <m/>
    <x v="38"/>
    <n v="0"/>
    <x v="3"/>
    <x v="4"/>
    <n v="120"/>
    <n v="1.0566666666666666"/>
    <n v="126.8"/>
    <n v="-8.407224334600766"/>
    <n v="118.39277566539923"/>
    <x v="38"/>
    <n v="0"/>
    <m/>
    <n v="456320"/>
    <n v="25.133749999999999"/>
    <m/>
    <n v="2.4"/>
    <m/>
    <n v="27.533749999999998"/>
    <n v="90.85902566539923"/>
    <m/>
    <n v="120"/>
  </r>
  <r>
    <n v="39"/>
    <n v="2024"/>
    <s v="Auction"/>
    <s v="VROLIJK BLOEMEN"/>
    <s v="VROLIJK BLOEMEN"/>
    <x v="129"/>
    <s v="Shrub Roses"/>
    <s v="900CM"/>
    <n v="3"/>
    <n v="48"/>
    <n v="1.42"/>
    <n v="67.92"/>
    <n v="36"/>
    <s v="EUR"/>
    <m/>
    <m/>
    <x v="38"/>
    <n v="-10"/>
    <x v="7"/>
    <x v="7"/>
    <n v="58"/>
    <n v="8.7862068965517235"/>
    <n v="509.59999999999997"/>
    <n v="-3.7909683666881859"/>
    <n v="505.8090316333118"/>
    <x v="38"/>
    <n v="10"/>
    <m/>
    <s v="F096268"/>
    <n v="157.53299999999999"/>
    <m/>
    <n v="3.48"/>
    <m/>
    <n v="161.01299999999998"/>
    <n v="344.79603163331183"/>
    <m/>
    <n v="58"/>
  </r>
  <r>
    <n v="39"/>
    <n v="2024"/>
    <s v="Auction"/>
    <s v="VROLIJK BLOEMEN"/>
    <s v="VROLIJK BLOEMEN"/>
    <x v="129"/>
    <s v="Shrub Roses"/>
    <s v="900CM"/>
    <n v="1"/>
    <n v="10"/>
    <n v="1.42"/>
    <n v="14.15"/>
    <n v="12"/>
    <s v="EUR"/>
    <m/>
    <m/>
    <x v="38"/>
    <n v="10"/>
    <x v="7"/>
    <x v="7"/>
    <m/>
    <m/>
    <n v="0"/>
    <n v="0"/>
    <n v="0"/>
    <x v="38"/>
    <n v="-10"/>
    <m/>
    <s v="F096268"/>
    <n v="52.511000000000003"/>
    <m/>
    <n v="0"/>
    <m/>
    <n v="52.511000000000003"/>
    <n v="-52.511000000000003"/>
    <m/>
    <n v="0"/>
  </r>
  <r>
    <n v="39"/>
    <n v="2024"/>
    <s v="Auction"/>
    <s v="VROLIJK BLOEMEN"/>
    <s v="VROLIJK BLOEMEN"/>
    <x v="129"/>
    <s v="Grandiflora Roses"/>
    <s v="60CM"/>
    <n v="1"/>
    <n v="720"/>
    <n v="0.24"/>
    <n v="169.81"/>
    <n v="12"/>
    <s v="EUR"/>
    <m/>
    <m/>
    <x v="38"/>
    <n v="120"/>
    <x v="0"/>
    <x v="0"/>
    <n v="600"/>
    <n v="0.26"/>
    <n v="156"/>
    <n v="-39.216914138153648"/>
    <n v="116.78308586184636"/>
    <x v="38"/>
    <n v="-120"/>
    <m/>
    <s v="F096268"/>
    <n v="52.511000000000003"/>
    <m/>
    <n v="12"/>
    <m/>
    <n v="64.510999999999996"/>
    <n v="52.272085861846364"/>
    <m/>
    <n v="600"/>
  </r>
  <r>
    <n v="39"/>
    <n v="2024"/>
    <s v="Auction"/>
    <s v="VROLIJK BLOEMEN"/>
    <s v="VROLIJK BLOEMEN"/>
    <x v="129"/>
    <s v="Grandiflora Roses"/>
    <s v="70CM"/>
    <n v="1"/>
    <n v="520"/>
    <n v="0.28000000000000003"/>
    <n v="147.16999999999999"/>
    <n v="12"/>
    <s v="EUR"/>
    <m/>
    <m/>
    <x v="38"/>
    <n v="-120"/>
    <x v="0"/>
    <x v="1"/>
    <n v="640"/>
    <n v="0.31"/>
    <n v="198.4"/>
    <n v="-41.831375080697228"/>
    <n v="156.56862491930278"/>
    <x v="38"/>
    <n v="120"/>
    <m/>
    <s v="F096268"/>
    <n v="52.511000000000003"/>
    <m/>
    <n v="12.8"/>
    <m/>
    <n v="65.311000000000007"/>
    <n v="91.257624919302771"/>
    <m/>
    <n v="640"/>
  </r>
  <r>
    <n v="39"/>
    <n v="2024"/>
    <s v="Auction"/>
    <s v="VROLIJK BLOEMEN"/>
    <s v="VROLIJK BLOEMEN"/>
    <x v="129"/>
    <s v="Grandiflora Roses"/>
    <s v="80CM"/>
    <n v="1"/>
    <n v="320"/>
    <n v="0.33"/>
    <n v="105.66"/>
    <n v="8"/>
    <s v="EUR"/>
    <m/>
    <m/>
    <x v="38"/>
    <n v="0"/>
    <x v="0"/>
    <x v="2"/>
    <n v="320"/>
    <n v="0.47249999999999998"/>
    <n v="151.19999999999999"/>
    <n v="-20.915687540348614"/>
    <n v="130.28431245965137"/>
    <x v="38"/>
    <n v="0"/>
    <m/>
    <s v="F096268"/>
    <n v="35.007333333333335"/>
    <m/>
    <n v="6.4"/>
    <m/>
    <n v="41.407333333333334"/>
    <n v="88.876979126318048"/>
    <m/>
    <n v="320"/>
  </r>
  <r>
    <n v="39"/>
    <n v="2024"/>
    <s v="Auction"/>
    <s v="VROLIJK BLOEMEN"/>
    <s v="VROLIJK BLOEMEN"/>
    <x v="129"/>
    <s v="Grandiflora Roses"/>
    <s v="90CM"/>
    <m/>
    <n v="160"/>
    <n v="0.38"/>
    <n v="60.38"/>
    <n v="4"/>
    <s v="EUR"/>
    <m/>
    <m/>
    <x v="38"/>
    <n v="0"/>
    <x v="0"/>
    <x v="3"/>
    <n v="160"/>
    <n v="0.2"/>
    <n v="32"/>
    <n v="-10.457843770174307"/>
    <n v="21.542156229825693"/>
    <x v="38"/>
    <n v="0"/>
    <m/>
    <s v="F096268"/>
    <n v="17.503666666666668"/>
    <m/>
    <n v="3.2"/>
    <m/>
    <n v="20.703666666666667"/>
    <n v="0.83848956315902612"/>
    <m/>
    <n v="160"/>
  </r>
  <r>
    <n v="39"/>
    <n v="2024"/>
    <s v="Auction"/>
    <s v="VROLIJK BLOEMEN"/>
    <s v="VROLIJK BLOEMEN"/>
    <x v="129"/>
    <s v="Floribunda Roses"/>
    <s v="60CM"/>
    <n v="1"/>
    <n v="280"/>
    <n v="0.47"/>
    <n v="132.08000000000001"/>
    <n v="8.3999999999999986"/>
    <s v="EUR"/>
    <m/>
    <m/>
    <x v="38"/>
    <n v="0"/>
    <x v="2"/>
    <x v="0"/>
    <n v="280"/>
    <n v="0.82428571428571429"/>
    <n v="230.8"/>
    <n v="-18.301226597805037"/>
    <n v="212.49877340219498"/>
    <x v="38"/>
    <n v="0"/>
    <m/>
    <s v="F096268"/>
    <n v="36.7577"/>
    <m/>
    <n v="5.6000000000000005"/>
    <m/>
    <n v="42.357700000000001"/>
    <n v="170.14107340219499"/>
    <m/>
    <n v="280"/>
  </r>
  <r>
    <n v="39"/>
    <n v="2024"/>
    <s v="Auction"/>
    <s v="VROLIJK BLOEMEN"/>
    <s v="VROLIJK BLOEMEN"/>
    <x v="129"/>
    <s v="Floribunda Roses"/>
    <s v="70CM"/>
    <m/>
    <n v="120"/>
    <n v="0.56999999999999995"/>
    <n v="68.400000000000006"/>
    <n v="3.5999999999999996"/>
    <s v="EUR"/>
    <m/>
    <m/>
    <x v="38"/>
    <n v="0"/>
    <x v="2"/>
    <x v="1"/>
    <n v="120"/>
    <n v="0.77999999999999992"/>
    <n v="93.6"/>
    <n v="-7.8433828276307302"/>
    <n v="85.756617172369261"/>
    <x v="38"/>
    <n v="0"/>
    <m/>
    <s v="F096268"/>
    <n v="15.753299999999998"/>
    <m/>
    <n v="2.4"/>
    <m/>
    <n v="18.153299999999998"/>
    <n v="67.603317172369259"/>
    <m/>
    <n v="120"/>
  </r>
  <r>
    <n v="39"/>
    <n v="2024"/>
    <s v="Auction"/>
    <s v="VROLIJK BLOEMEN"/>
    <s v="VROLIJK BLOEMEN"/>
    <x v="129"/>
    <s v="Polyantha Roses"/>
    <s v="50CM"/>
    <n v="1"/>
    <n v="160"/>
    <n v="0.42"/>
    <n v="67.92"/>
    <n v="4"/>
    <s v="EUR"/>
    <m/>
    <m/>
    <x v="38"/>
    <n v="0"/>
    <x v="3"/>
    <x v="5"/>
    <n v="160"/>
    <n v="0.24249999999999999"/>
    <n v="38.799999999999997"/>
    <n v="-10.457843770174307"/>
    <n v="28.34215622982569"/>
    <x v="38"/>
    <n v="0"/>
    <m/>
    <s v="F096268"/>
    <n v="17.503666666666668"/>
    <m/>
    <n v="3.2"/>
    <m/>
    <n v="20.703666666666667"/>
    <n v="7.6384895631590233"/>
    <m/>
    <n v="160"/>
  </r>
  <r>
    <n v="39"/>
    <n v="2024"/>
    <s v="Auction"/>
    <s v="VROLIJK BLOEMEN"/>
    <s v="VROLIJK BLOEMEN"/>
    <x v="129"/>
    <s v="Polyantha Roses"/>
    <s v="60CM"/>
    <m/>
    <n v="280"/>
    <n v="0.52"/>
    <n v="145.28"/>
    <n v="7"/>
    <s v="EUR"/>
    <m/>
    <m/>
    <x v="38"/>
    <n v="0"/>
    <x v="3"/>
    <x v="0"/>
    <n v="280"/>
    <n v="0.45142857142857146"/>
    <n v="126.4"/>
    <n v="-18.301226597805037"/>
    <n v="108.09877340219496"/>
    <x v="38"/>
    <n v="0"/>
    <m/>
    <s v="F096268"/>
    <n v="30.631416666666667"/>
    <m/>
    <n v="5.6000000000000005"/>
    <m/>
    <n v="36.231416666666668"/>
    <n v="71.86735673552829"/>
    <m/>
    <n v="280"/>
  </r>
  <r>
    <n v="39"/>
    <n v="2024"/>
    <s v="Auction"/>
    <s v="VROLIJK BLOEMEN"/>
    <s v="VROLIJK BLOEMEN"/>
    <x v="129"/>
    <s v="Polyantha Roses"/>
    <s v="90CM"/>
    <m/>
    <n v="40"/>
    <n v="0.93"/>
    <n v="37.200000000000003"/>
    <n v="1"/>
    <s v="EUR"/>
    <m/>
    <m/>
    <x v="38"/>
    <n v="0"/>
    <x v="3"/>
    <x v="3"/>
    <n v="40"/>
    <n v="1.03"/>
    <n v="41.2"/>
    <n v="-2.6144609425435767"/>
    <n v="38.58553905745643"/>
    <x v="38"/>
    <n v="0"/>
    <m/>
    <s v="F096268"/>
    <n v="4.3759166666666669"/>
    <m/>
    <n v="0.8"/>
    <m/>
    <n v="5.1759166666666667"/>
    <n v="33.409622390789764"/>
    <m/>
    <n v="40"/>
  </r>
  <r>
    <n v="39"/>
    <n v="2024"/>
    <s v="Auction"/>
    <s v="VROLIJK BLOEMEN"/>
    <s v="VROLIJK BLOEMEN"/>
    <x v="129"/>
    <s v="English Roses"/>
    <s v="50CM"/>
    <n v="1"/>
    <n v="120"/>
    <n v="0.38"/>
    <n v="45.28"/>
    <n v="3.2727272727272725"/>
    <s v="EUR"/>
    <m/>
    <m/>
    <x v="38"/>
    <n v="0"/>
    <x v="1"/>
    <x v="5"/>
    <n v="120"/>
    <n v="0.32"/>
    <n v="38.4"/>
    <n v="-7.8433828276307302"/>
    <n v="30.556617172369268"/>
    <x v="38"/>
    <n v="0"/>
    <m/>
    <s v="F096268"/>
    <n v="14.321181818181818"/>
    <m/>
    <n v="2.4"/>
    <m/>
    <n v="16.721181818181819"/>
    <n v="13.83543535418745"/>
    <m/>
    <n v="120"/>
  </r>
  <r>
    <n v="39"/>
    <n v="2024"/>
    <s v="Auction"/>
    <s v="VROLIJK BLOEMEN"/>
    <s v="VROLIJK BLOEMEN"/>
    <x v="129"/>
    <s v="English Roses"/>
    <s v="60CM"/>
    <m/>
    <n v="80"/>
    <n v="0.47"/>
    <n v="37.74"/>
    <n v="2.1818181818181817"/>
    <s v="EUR"/>
    <m/>
    <m/>
    <x v="38"/>
    <n v="0"/>
    <x v="1"/>
    <x v="0"/>
    <n v="80"/>
    <n v="0.79"/>
    <n v="63.2"/>
    <n v="-5.2289218850871535"/>
    <n v="57.971078114912849"/>
    <x v="38"/>
    <n v="0"/>
    <m/>
    <s v="F096268"/>
    <n v="9.5474545454545456"/>
    <m/>
    <n v="1.6"/>
    <m/>
    <n v="11.147454545454545"/>
    <n v="46.823623569458306"/>
    <m/>
    <n v="80"/>
  </r>
  <r>
    <n v="39"/>
    <n v="2024"/>
    <s v="Auction"/>
    <s v="VROLIJK BLOEMEN"/>
    <s v="VROLIJK BLOEMEN"/>
    <x v="129"/>
    <s v="English Roses"/>
    <s v="70CM"/>
    <m/>
    <n v="120"/>
    <n v="0.56999999999999995"/>
    <n v="68.400000000000006"/>
    <n v="3.2727272727272725"/>
    <s v="EUR"/>
    <m/>
    <m/>
    <x v="38"/>
    <n v="0"/>
    <x v="1"/>
    <x v="1"/>
    <n v="120"/>
    <n v="0.59"/>
    <n v="70.8"/>
    <n v="-7.8433828276307302"/>
    <n v="62.956617172369263"/>
    <x v="38"/>
    <n v="0"/>
    <m/>
    <s v="F096268"/>
    <n v="14.321181818181818"/>
    <m/>
    <n v="2.4"/>
    <m/>
    <n v="16.721181818181819"/>
    <n v="46.235435354187445"/>
    <m/>
    <n v="120"/>
  </r>
  <r>
    <n v="39"/>
    <n v="2024"/>
    <s v="Auction"/>
    <s v="VROLIJK BLOEMEN"/>
    <s v="VROLIJK BLOEMEN"/>
    <x v="129"/>
    <s v="English Roses"/>
    <s v="80CM"/>
    <m/>
    <n v="120"/>
    <n v="0.62"/>
    <n v="74.400000000000006"/>
    <n v="3.2727272727272725"/>
    <s v="EUR"/>
    <m/>
    <m/>
    <x v="38"/>
    <n v="0"/>
    <x v="1"/>
    <x v="2"/>
    <n v="120"/>
    <n v="0.61"/>
    <n v="73.2"/>
    <n v="-7.8433828276307302"/>
    <n v="65.356617172369269"/>
    <x v="38"/>
    <n v="0"/>
    <m/>
    <s v="F096268"/>
    <n v="14.321181818181818"/>
    <m/>
    <n v="2.4"/>
    <m/>
    <n v="16.721181818181819"/>
    <n v="48.63543535418745"/>
    <m/>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4B082-11B8-4AF1-B1A6-12048A31F919}" name="Net Sales Per Stem Length"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Stem Length">
  <location ref="M3:O11" firstHeaderRow="0" firstDataRow="1" firstDataCol="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Variety" showAll="0">
      <items count="24">
        <item m="1" x="10"/>
        <item m="1" x="12"/>
        <item m="1" x="11"/>
        <item m="1" x="13"/>
        <item m="1" x="14"/>
        <item m="1" x="16"/>
        <item m="1" x="17"/>
        <item m="1" x="15"/>
        <item m="1" x="8"/>
        <item x="5"/>
        <item m="1" x="18"/>
        <item m="1" x="22"/>
        <item m="1" x="20"/>
        <item m="1" x="19"/>
        <item x="1"/>
        <item m="1" x="21"/>
        <item x="2"/>
        <item x="0"/>
        <item x="6"/>
        <item x="4"/>
        <item x="3"/>
        <item x="7"/>
        <item m="1" x="9"/>
        <item t="default"/>
      </items>
    </pivotField>
    <pivotField axis="axisRow" showAll="0" sortType="descending">
      <items count="11">
        <item h="1" m="1" x="8"/>
        <item x="4"/>
        <item x="6"/>
        <item x="5"/>
        <item x="0"/>
        <item x="1"/>
        <item x="2"/>
        <item x="3"/>
        <item h="1" m="1" x="9"/>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s>
  <rowFields count="1">
    <field x="19"/>
  </rowFields>
  <rowItems count="8">
    <i>
      <x v="4"/>
    </i>
    <i>
      <x v="5"/>
    </i>
    <i>
      <x v="6"/>
    </i>
    <i>
      <x v="3"/>
    </i>
    <i>
      <x v="7"/>
    </i>
    <i>
      <x v="1"/>
    </i>
    <i>
      <x v="2"/>
    </i>
    <i t="grand">
      <x/>
    </i>
  </rowItems>
  <colFields count="1">
    <field x="-2"/>
  </colFields>
  <colItems count="2">
    <i>
      <x/>
    </i>
    <i i="1">
      <x v="1"/>
    </i>
  </colItems>
  <dataFields count="2">
    <dataField name="Net Receivable" fld="34" baseField="0" baseItem="0"/>
    <dataField name="Average Price" fld="37" baseField="0" baseItem="0"/>
  </dataFields>
  <formats count="2">
    <format dxfId="7">
      <pivotArea collapsedLevelsAreSubtotals="1" fieldPosition="0">
        <references count="1">
          <reference field="19" count="0"/>
        </references>
      </pivotArea>
    </format>
    <format dxfId="8">
      <pivotArea grandRow="1" outline="0" collapsedLevelsAreSubtotals="1" fieldPosition="0"/>
    </format>
  </formats>
  <chartFormats count="2">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ECAA7-6821-4EB1-A31D-068AD41562B5}" name="Cost Per Variety"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Variety">
  <location ref="M28:N36" firstHeaderRow="1" firstDataRow="1" firstDataCol="1" rowPageCount="1" colPageCount="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Variety" axis="axisRow" showAll="0">
      <items count="24">
        <item m="1" x="10"/>
        <item m="1" x="12"/>
        <item m="1" x="11"/>
        <item m="1" x="13"/>
        <item m="1" x="14"/>
        <item m="1" x="16"/>
        <item h="1" m="1" x="17"/>
        <item m="1" x="15"/>
        <item m="1" x="8"/>
        <item x="5"/>
        <item m="1" x="18"/>
        <item m="1" x="22"/>
        <item m="1" x="20"/>
        <item m="1" x="19"/>
        <item x="1"/>
        <item m="1" x="21"/>
        <item x="2"/>
        <item x="0"/>
        <item x="6"/>
        <item x="4"/>
        <item x="3"/>
        <item h="1" x="7"/>
        <item m="1" x="9"/>
        <item t="default"/>
      </items>
    </pivotField>
    <pivotField name="Stem Length" axis="axisPage" multipleItemSelectionAllowed="1" showAll="0">
      <items count="11">
        <item m="1" x="8"/>
        <item x="4"/>
        <item x="6"/>
        <item x="5"/>
        <item x="0"/>
        <item x="1"/>
        <item x="2"/>
        <item x="3"/>
        <item m="1" x="9"/>
        <item x="7"/>
        <item t="default"/>
      </items>
    </pivotField>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s>
  <rowFields count="1">
    <field x="18"/>
  </rowFields>
  <rowItems count="8">
    <i>
      <x v="9"/>
    </i>
    <i>
      <x v="14"/>
    </i>
    <i>
      <x v="16"/>
    </i>
    <i>
      <x v="17"/>
    </i>
    <i>
      <x v="18"/>
    </i>
    <i>
      <x v="19"/>
    </i>
    <i>
      <x v="20"/>
    </i>
    <i t="grand">
      <x/>
    </i>
  </rowItems>
  <colItems count="1">
    <i/>
  </colItems>
  <pageFields count="1">
    <pageField fld="19" hier="-1"/>
  </pageFields>
  <dataFields count="1">
    <dataField name="Costs per stem" fld="38" baseField="19" baseItem="1" numFmtId="166"/>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79080-07E5-4586-AA4C-E907854FD64A}" name="Net Sales Per Variety"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Variety">
  <location ref="M14:O22" firstHeaderRow="0" firstDataRow="1" firstDataCol="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ncludeNewItemsInFilter="1" sortType="descending">
      <items count="24">
        <item m="1" x="8"/>
        <item m="1" x="14"/>
        <item m="1" x="10"/>
        <item m="1" x="22"/>
        <item m="1" x="16"/>
        <item m="1" x="13"/>
        <item m="1" x="11"/>
        <item m="1" x="12"/>
        <item m="1" x="21"/>
        <item m="1" x="15"/>
        <item m="1" x="9"/>
        <item m="1" x="18"/>
        <item m="1" x="19"/>
        <item m="1" x="17"/>
        <item m="1" x="20"/>
        <item x="0"/>
        <item x="1"/>
        <item x="2"/>
        <item x="3"/>
        <item x="4"/>
        <item h="1"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s>
  <rowFields count="1">
    <field x="18"/>
  </rowFields>
  <rowItems count="8">
    <i>
      <x v="17"/>
    </i>
    <i>
      <x v="15"/>
    </i>
    <i>
      <x v="16"/>
    </i>
    <i>
      <x v="18"/>
    </i>
    <i>
      <x v="22"/>
    </i>
    <i>
      <x v="19"/>
    </i>
    <i>
      <x v="21"/>
    </i>
    <i t="grand">
      <x/>
    </i>
  </rowItems>
  <colFields count="1">
    <field x="-2"/>
  </colFields>
  <colItems count="2">
    <i>
      <x/>
    </i>
    <i i="1">
      <x v="1"/>
    </i>
  </colItems>
  <dataFields count="2">
    <dataField name="Sum of Net Receivable/ (Payable)" fld="34" baseField="19" baseItem="0" numFmtId="166"/>
    <dataField name="Average Price" fld="37" baseField="0" baseItem="0" numFmtId="166"/>
  </dataFields>
  <chartFormats count="10">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730332-E6B3-4CD8-B645-9EB8D2743FCE}" name="Net Sales Per Week"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Sales Week">
  <location ref="E3:F43" firstHeaderRow="1" firstDataRow="1" firstDataCol="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axis="axisRow" showAll="0">
      <items count="40">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items count="24">
        <item m="1" x="10"/>
        <item m="1" x="12"/>
        <item m="1" x="11"/>
        <item m="1" x="13"/>
        <item m="1" x="14"/>
        <item m="1" x="16"/>
        <item m="1" x="17"/>
        <item m="1" x="15"/>
        <item m="1" x="8"/>
        <item x="5"/>
        <item m="1" x="18"/>
        <item m="1" x="22"/>
        <item m="1" x="20"/>
        <item m="1" x="19"/>
        <item x="1"/>
        <item m="1" x="21"/>
        <item x="2"/>
        <item x="0"/>
        <item x="6"/>
        <item x="4"/>
        <item x="3"/>
        <item x="7"/>
        <item m="1" x="9"/>
        <item t="default"/>
      </items>
    </pivotField>
    <pivotField showAll="0">
      <items count="11">
        <item x="5"/>
        <item x="0"/>
        <item x="1"/>
        <item x="2"/>
        <item x="3"/>
        <item x="4"/>
        <item x="6"/>
        <item x="7"/>
        <item m="1" x="8"/>
        <item m="1" x="9"/>
        <item t="default"/>
      </items>
    </pivotField>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showAll="0">
      <items count="15">
        <item h="1" sd="0" x="0"/>
        <item sd="0" x="1"/>
        <item sd="0" x="2"/>
        <item sd="0" x="3"/>
        <item sd="0" x="4"/>
        <item sd="0" x="5"/>
        <item sd="0" x="6"/>
        <item sd="0" x="7"/>
        <item sd="0" x="8"/>
        <item sd="0" x="9"/>
        <item sd="0" x="10"/>
        <item sd="0" x="11"/>
        <item h="1" sd="0" x="12"/>
        <item h="1" sd="0" x="13"/>
        <item t="default"/>
      </items>
    </pivotField>
    <pivotField showAll="0">
      <items count="7">
        <item h="1" sd="0" x="0"/>
        <item sd="0" x="1"/>
        <item sd="0" x="2"/>
        <item sd="0" x="3"/>
        <item sd="0" x="4"/>
        <item h="1" x="5"/>
        <item t="default"/>
      </items>
    </pivotField>
    <pivotField showAll="0">
      <items count="5">
        <item sd="0" x="0"/>
        <item sd="0" x="1"/>
        <item sd="0" x="2"/>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s>
  <rowFields count="1">
    <field x="16"/>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Weekly Average Price" fld="39" baseField="0" baseItem="0"/>
  </dataFields>
  <formats count="1">
    <format dxfId="6">
      <pivotArea outline="0" collapsedLevelsAreSubtotals="1" fieldPosition="0"/>
    </format>
  </formats>
  <chartFormats count="10">
    <chartFormat chart="3" format="6"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16" count="1" selected="0">
            <x v="35"/>
          </reference>
        </references>
      </pivotArea>
    </chartFormat>
    <chartFormat chart="19" format="5">
      <pivotArea type="data" outline="0" fieldPosition="0">
        <references count="2">
          <reference field="4294967294" count="1" selected="0">
            <x v="0"/>
          </reference>
          <reference field="16" count="1" selected="0">
            <x v="29"/>
          </reference>
        </references>
      </pivotArea>
    </chartFormat>
    <chartFormat chart="19" format="6">
      <pivotArea type="data" outline="0" fieldPosition="0">
        <references count="2">
          <reference field="4294967294" count="1" selected="0">
            <x v="0"/>
          </reference>
          <reference field="16" count="1" selected="0">
            <x v="24"/>
          </reference>
        </references>
      </pivotArea>
    </chartFormat>
    <chartFormat chart="19" format="7">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DDD11C-751D-457F-BCBC-07605E425C46}" name="Volume Sold against Average Price"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Payment Dates">
  <location ref="I3:K14" firstHeaderRow="0" firstDataRow="1" firstDataCol="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4">
        <item m="1" x="10"/>
        <item m="1" x="12"/>
        <item m="1" x="11"/>
        <item m="1" x="13"/>
        <item m="1" x="14"/>
        <item m="1" x="16"/>
        <item m="1" x="17"/>
        <item m="1" x="15"/>
        <item m="1" x="8"/>
        <item x="5"/>
        <item m="1" x="18"/>
        <item m="1" x="22"/>
        <item m="1" x="20"/>
        <item m="1" x="19"/>
        <item x="1"/>
        <item m="1" x="21"/>
        <item x="2"/>
        <item x="0"/>
        <item x="6"/>
        <item x="4"/>
        <item x="3"/>
        <item x="7"/>
        <item m="1" x="9"/>
        <item t="default"/>
      </items>
    </pivotField>
    <pivotField showAll="0">
      <items count="11">
        <item x="5"/>
        <item x="0"/>
        <item x="1"/>
        <item x="2"/>
        <item x="3"/>
        <item x="4"/>
        <item x="6"/>
        <item x="7"/>
        <item m="1" x="8"/>
        <item m="1" x="9"/>
        <item t="default"/>
      </items>
    </pivotField>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axis="axisRow"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4">
        <item x="1"/>
        <item x="2"/>
        <item x="0"/>
        <item t="default"/>
      </items>
    </pivotField>
  </pivotFields>
  <rowFields count="1">
    <field x="43"/>
  </rowFields>
  <rowItems count="11">
    <i>
      <x v="1"/>
    </i>
    <i>
      <x v="2"/>
    </i>
    <i>
      <x v="3"/>
    </i>
    <i>
      <x v="4"/>
    </i>
    <i>
      <x v="5"/>
    </i>
    <i>
      <x v="6"/>
    </i>
    <i>
      <x v="7"/>
    </i>
    <i>
      <x v="8"/>
    </i>
    <i>
      <x v="9"/>
    </i>
    <i>
      <x v="10"/>
    </i>
    <i t="grand">
      <x/>
    </i>
  </rowItems>
  <colFields count="1">
    <field x="-2"/>
  </colFields>
  <colItems count="2">
    <i>
      <x/>
    </i>
    <i i="1">
      <x v="1"/>
    </i>
  </colItems>
  <dataFields count="2">
    <dataField name="Av. Price Per Stem" fld="39" baseField="38" baseItem="1"/>
    <dataField name="Stems Sold" fld="36" baseField="38" baseItem="1" numFmtId="167"/>
  </dataFields>
  <formats count="2">
    <format dxfId="4">
      <pivotArea outline="0" collapsedLevelsAreSubtotals="1" fieldPosition="0"/>
    </format>
    <format dxfId="5">
      <pivotArea outline="0" collapsedLevelsAreSubtotals="1" fieldPosition="0">
        <references count="1">
          <reference field="4294967294" count="1" selected="0">
            <x v="1"/>
          </reference>
        </references>
      </pivotArea>
    </format>
  </formats>
  <chartFormats count="5">
    <chartFormat chart="3"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6CAA6D-07AC-4484-9AB1-5DB26932C380}" name="Net Sales Per Month (Payment Date)"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Payment Dates">
  <location ref="A3:B14" firstHeaderRow="1" firstDataRow="1" firstDataCol="1"/>
  <pivotFields count="46">
    <pivotField showAll="0"/>
    <pivotField showAll="0"/>
    <pivotField showAll="0"/>
    <pivotField showAll="0"/>
    <pivotField showAll="0"/>
    <pivotField showAll="0">
      <items count="131">
        <item x="41"/>
        <item x="42"/>
        <item x="43"/>
        <item x="37"/>
        <item x="38"/>
        <item x="39"/>
        <item x="40"/>
        <item x="33"/>
        <item x="34"/>
        <item x="35"/>
        <item x="36"/>
        <item x="29"/>
        <item x="30"/>
        <item x="31"/>
        <item x="32"/>
        <item x="25"/>
        <item x="26"/>
        <item x="27"/>
        <item x="28"/>
        <item x="21"/>
        <item x="22"/>
        <item x="23"/>
        <item x="24"/>
        <item x="17"/>
        <item x="18"/>
        <item x="19"/>
        <item x="20"/>
        <item x="13"/>
        <item x="14"/>
        <item x="15"/>
        <item x="16"/>
        <item x="8"/>
        <item x="10"/>
        <item x="11"/>
        <item x="12"/>
        <item x="4"/>
        <item x="5"/>
        <item x="6"/>
        <item x="7"/>
        <item x="0"/>
        <item x="1"/>
        <item x="2"/>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9"/>
        <item x="119"/>
        <item x="120"/>
        <item x="121"/>
        <item x="122"/>
        <item x="123"/>
        <item x="124"/>
        <item x="125"/>
        <item x="126"/>
        <item x="127"/>
        <item x="128"/>
        <item x="1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4">
        <item m="1" x="10"/>
        <item m="1" x="12"/>
        <item m="1" x="11"/>
        <item m="1" x="13"/>
        <item m="1" x="14"/>
        <item m="1" x="16"/>
        <item m="1" x="17"/>
        <item m="1" x="15"/>
        <item m="1" x="8"/>
        <item x="5"/>
        <item m="1" x="18"/>
        <item m="1" x="22"/>
        <item m="1" x="20"/>
        <item m="1" x="19"/>
        <item x="1"/>
        <item m="1" x="21"/>
        <item x="2"/>
        <item x="0"/>
        <item x="6"/>
        <item x="4"/>
        <item x="3"/>
        <item x="7"/>
        <item m="1" x="9"/>
        <item t="default"/>
      </items>
    </pivotField>
    <pivotField showAll="0">
      <items count="11">
        <item x="5"/>
        <item x="0"/>
        <item x="1"/>
        <item x="2"/>
        <item x="3"/>
        <item x="4"/>
        <item x="6"/>
        <item x="7"/>
        <item m="1" x="8"/>
        <item m="1" x="9"/>
        <item t="default"/>
      </items>
    </pivotField>
    <pivotField showAll="0"/>
    <pivotField showAll="0"/>
    <pivotField showAll="0"/>
    <pivotField showAll="0"/>
    <pivotField showAll="0"/>
    <pivotField showAll="0">
      <items count="41">
        <item m="1" x="39"/>
        <item x="10"/>
        <item x="9"/>
        <item x="8"/>
        <item x="7"/>
        <item x="6"/>
        <item x="5"/>
        <item x="4"/>
        <item x="3"/>
        <item x="2"/>
        <item x="0"/>
        <item x="1"/>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showAll="0">
      <items count="4">
        <item sd="0" x="1"/>
        <item sd="0" x="2"/>
        <item x="0"/>
        <item t="default"/>
      </items>
    </pivotField>
  </pivotFields>
  <rowFields count="1">
    <field x="43"/>
  </rowFields>
  <rowItems count="11">
    <i>
      <x v="1"/>
    </i>
    <i>
      <x v="2"/>
    </i>
    <i>
      <x v="3"/>
    </i>
    <i>
      <x v="4"/>
    </i>
    <i>
      <x v="5"/>
    </i>
    <i>
      <x v="6"/>
    </i>
    <i>
      <x v="7"/>
    </i>
    <i>
      <x v="8"/>
    </i>
    <i>
      <x v="9"/>
    </i>
    <i>
      <x v="10"/>
    </i>
    <i t="grand">
      <x/>
    </i>
  </rowItems>
  <colItems count="1">
    <i/>
  </colItems>
  <dataFields count="1">
    <dataField name="Net Receivable(Net of Freight)" fld="34" baseField="26" baseItem="4" numFmtId="164"/>
  </dataFields>
  <formats count="1">
    <format dxfId="3">
      <pivotArea outline="0" collapsedLevelsAreSubtotals="1" fieldPosition="0"/>
    </format>
  </formats>
  <chartFormats count="4">
    <chartFormat chart="3" format="3"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2" xr10:uid="{216652AC-7295-4AAD-B075-F5C35194051B}" sourceName="Variety2">
  <pivotTables>
    <pivotTable tabId="2" name="Net Sales Per Month (Payment Date)"/>
    <pivotTable tabId="2" name="Net Sales Per Stem Length"/>
    <pivotTable tabId="2" name="Net Sales Per Week"/>
    <pivotTable tabId="2" name="Volume Sold against Average Price"/>
  </pivotTables>
  <data>
    <tabular pivotCacheId="469121400">
      <items count="23">
        <i x="5" s="1"/>
        <i x="1" s="1"/>
        <i x="2" s="1"/>
        <i x="0" s="1"/>
        <i x="6" s="1"/>
        <i x="4" s="1"/>
        <i x="3" s="1"/>
        <i x="7" s="1"/>
        <i x="10" s="1" nd="1"/>
        <i x="12" s="1" nd="1"/>
        <i x="11" s="1" nd="1"/>
        <i x="13" s="1" nd="1"/>
        <i x="14" s="1" nd="1"/>
        <i x="16" s="1" nd="1"/>
        <i x="17" s="1" nd="1"/>
        <i x="15" s="1" nd="1"/>
        <i x="8" s="1" nd="1"/>
        <i x="18" s="1" nd="1"/>
        <i x="22" s="1" nd="1"/>
        <i x="20" s="1" nd="1"/>
        <i x="19" s="1" nd="1"/>
        <i x="21" s="1"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ction_Length" xr10:uid="{4F9848F2-4EB6-481D-82E8-56EE0EADFC48}" sourceName="Auction Length">
  <pivotTables>
    <pivotTable tabId="2" name="Net Sales Per Month (Payment Date)"/>
    <pivotTable tabId="2" name="Net Sales Per Week"/>
    <pivotTable tabId="2" name="Volume Sold against Average Price"/>
  </pivotTables>
  <data>
    <tabular pivotCacheId="469121400">
      <items count="10">
        <i x="5" s="1"/>
        <i x="0" s="1"/>
        <i x="1" s="1"/>
        <i x="2" s="1"/>
        <i x="3" s="1"/>
        <i x="4" s="1"/>
        <i x="6" s="1"/>
        <i x="7" s="1"/>
        <i x="8"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ety2" xr10:uid="{94CD3C18-6EE8-4D53-B32F-02FDFF7F914F}" cache="Slicer_Variety2" caption="Variety" style="SlicerStyleDark6" rowHeight="247650"/>
  <slicer name="Auction Length" xr10:uid="{4D199554-B960-4146-8621-6BE2701829FD}" cache="Slicer_Auction_Length" caption="Length" style="SlicerStyleLight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CE6EEA-C4DF-445D-A9FC-434B83582268}" name="Auction_Sales" displayName="Auction_Sales" ref="A1:AK2546" totalsRowShown="0" headerRowDxfId="46" dataDxfId="45">
  <autoFilter ref="A1:AK2546" xr:uid="{D0CE6EEA-C4DF-445D-A9FC-434B83582268}"/>
  <tableColumns count="37">
    <tableColumn id="1" xr3:uid="{523D236C-9BE0-4413-8A88-7393B7D84483}" name="Shipment Week no" dataDxfId="44"/>
    <tableColumn id="2" xr3:uid="{290FAD51-56C3-4BCB-93D9-1E302D8D80B7}" name="Year" dataDxfId="43"/>
    <tableColumn id="3" xr3:uid="{B4C7CB35-28A7-44BC-BEBA-6306C908D318}" name="Customer Type" dataDxfId="42"/>
    <tableColumn id="4" xr3:uid="{E3CD95E2-3BDD-4776-B1BA-21323917E493}" name="Customer Name" dataDxfId="41"/>
    <tableColumn id="5" xr3:uid="{4B8E06F4-C54A-4FE3-A68A-E2DC2615F8D2}" name="Consignee" dataDxfId="40"/>
    <tableColumn id="6" xr3:uid="{A32D6B3C-109B-4359-A042-FFFA183FE4CB}" name="Invoice Date" dataDxfId="39"/>
    <tableColumn id="8" xr3:uid="{C41526BC-1692-448F-B3E0-A3CCBB60F512}" name="Variety " dataDxfId="38"/>
    <tableColumn id="9" xr3:uid="{AEC329DB-BDCE-446C-9BFB-E67F70CC1650}" name="Length Shipped" dataDxfId="37"/>
    <tableColumn id="10" xr3:uid="{DE36D064-90A6-4D05-9367-9833FBA03C91}" name="No of boxes" dataDxfId="36"/>
    <tableColumn id="11" xr3:uid="{F8CB9B05-CA2F-4F35-8B3E-475DC7612334}" name="Total Weight (Kgs)" dataDxfId="35"/>
    <tableColumn id="12" xr3:uid="{717D9363-D7E3-490D-861D-3C516634DCF6}" name="No. of Stems Shipped" dataDxfId="34"/>
    <tableColumn id="13" xr3:uid="{8DBE3C86-9B64-4036-94F6-0A11339B60CF}" name="Average Shipping Price" dataDxfId="33"/>
    <tableColumn id="14" xr3:uid="{B0B4F789-0E36-43AD-B22C-176A825EEA23}" name="Total Shipping Value" dataDxfId="32"/>
    <tableColumn id="15" xr3:uid="{66482A6A-D448-4756-8656-53494436B9B8}" name="Currency" dataDxfId="31"/>
    <tableColumn id="16" xr3:uid="{3E0908E7-9B54-4830-8E5B-AE4B8530D485}" name="EUR Equivalent" dataDxfId="30"/>
    <tableColumn id="17" xr3:uid="{31CB4786-9091-4917-B6D4-8465DD647C4C}" name="Customs Entry No" dataDxfId="29"/>
    <tableColumn id="18" xr3:uid="{ECA1932B-8D3B-418C-ADDC-F20148498342}" name="Sales Week" dataDxfId="28">
      <calculatedColumnFormula>IF(Auction_Sales[[#This Row],[Payment Date]]=0,"",-1+WEEKNUM(Auction_Sales[[#This Row],[Payment Date]]))</calculatedColumnFormula>
    </tableColumn>
    <tableColumn id="19" xr3:uid="{0C4F107B-5C58-4111-A816-68F9F4C54CB0}" name="Variance" dataDxfId="27"/>
    <tableColumn id="20" xr3:uid="{239D7DD1-375E-4068-840A-EC6E7D396FC5}" name="Variety2" dataDxfId="26"/>
    <tableColumn id="21" xr3:uid="{10F522FE-4B0A-4FC2-AEF6-B5DA979A43E5}" name="Auction Length" dataDxfId="25"/>
    <tableColumn id="22" xr3:uid="{85803EC6-5ADA-44B2-9C56-4FBD24D52C66}" name="No of Stems Sold at Auction" dataDxfId="24"/>
    <tableColumn id="23" xr3:uid="{3D480BFC-133D-43BC-B2D0-26DFED18C752}" name="Average Auction Price" dataDxfId="23"/>
    <tableColumn id="24" xr3:uid="{A1C020FD-B7E8-4D4F-A352-BDA47771FE47}" name="Total Gross Auction Value" dataDxfId="22"/>
    <tableColumn id="25" xr3:uid="{6AD781A7-FF0B-4A5C-800E-D94991917566}" name="Auction Charges" dataDxfId="21"/>
    <tableColumn id="26" xr3:uid="{7EEBF96D-F3C0-43EE-A10E-BA9477BEF71D}" name="Total Net Auction Value" dataDxfId="2"/>
    <tableColumn id="27" xr3:uid="{056AAB99-03AC-428B-A399-51FF69DF0BDA}" name="Payment Date" dataDxfId="0"/>
    <tableColumn id="28" xr3:uid="{4746B29D-FBA1-4499-81BC-86227025BBEB}" name="Variance Due to Qty" dataDxfId="1"/>
    <tableColumn id="29" xr3:uid="{EFCFD6B0-D539-4E3D-AF03-162C13FB8511}" name="Credit note Value to be raised" dataDxfId="20"/>
    <tableColumn id="30" xr3:uid="{51CA8F00-A5A8-46F2-8BA7-F2E3389DE558}" name="Freight Invoice" dataDxfId="19"/>
    <tableColumn id="31" xr3:uid="{EFDC82E9-BF50-4EA2-9832-E69E568A49D8}" name="Freight Charges" dataDxfId="18"/>
    <tableColumn id="32" xr3:uid="{4045D80E-E7EE-4724-A3F6-0885AED396F3}" name="Unpacker Invoice" dataDxfId="17"/>
    <tableColumn id="33" xr3:uid="{1EEB1014-CE8D-4861-B404-18A2F138282F}" name="Unpacker Charges" dataDxfId="16"/>
    <tableColumn id="34" xr3:uid="{3F44735D-3C36-4099-A69C-2947E7883262}" name="Other recovered Charges" dataDxfId="15"/>
    <tableColumn id="35" xr3:uid="{DC979271-E8D2-43E3-B6FF-F3B551AABE1F}" name="Total Charges" dataDxfId="14"/>
    <tableColumn id="36" xr3:uid="{A94303E5-638E-480C-846F-17E700DA01EC}" name="Net Receivable/ (Payable)" dataDxfId="13"/>
    <tableColumn id="37" xr3:uid="{C47FE4C8-A300-4A03-8803-AF4DF228F98F}" name="Net Receivable/ (Payable) EUR " dataDxfId="12"/>
    <tableColumn id="38" xr3:uid="{AED6663B-5B0F-45BF-9A7C-AA4552A4267A}" name="Stems Volume Sold"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9E53E6A-EE54-4CAC-9CDE-0FEF12F2E12E}" sourceName="Invoice Date">
  <pivotTables>
    <pivotTable tabId="2" name="Net Sales Per Month (Payment Date)"/>
    <pivotTable tabId="2" name="Net Sales Per Stem Length"/>
    <pivotTable tabId="2" name="Net Sales Per Week"/>
    <pivotTable tabId="2" name="Volume Sold against Average Price"/>
    <pivotTable tabId="2" name="Cost Per Variety"/>
  </pivotTables>
  <state minimalRefreshVersion="6" lastRefreshVersion="6" pivotCacheId="4691214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68883C9E-DCCA-48A4-A3C3-69676EA0C81C}" cache="NativeTimeline_Invoice_Date" caption="Invoice Date" level="2" selectionLevel="2" scrollPosition="2024-03-01T00:00:00" style="TimeSlicerStyleLight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CEC7-5498-499B-AAB1-F746CC58BEEC}">
  <dimension ref="A1"/>
  <sheetViews>
    <sheetView showGridLines="0" tabSelected="1" workbookViewId="0">
      <selection activeCell="W51" sqref="W51"/>
    </sheetView>
  </sheetViews>
  <sheetFormatPr defaultRowHeight="13.8"/>
  <cols>
    <col min="1" max="16384" width="9" style="3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44E-E787-44A5-BFB4-DF6C557B6CF3}">
  <sheetPr>
    <tabColor rgb="FF92D050"/>
  </sheetPr>
  <dimension ref="A1:BG2546"/>
  <sheetViews>
    <sheetView zoomScale="50" zoomScaleNormal="50" workbookViewId="0">
      <selection activeCell="Z4" sqref="Z4"/>
    </sheetView>
  </sheetViews>
  <sheetFormatPr defaultColWidth="9" defaultRowHeight="13.8"/>
  <cols>
    <col min="1" max="1" width="24.75" style="9" customWidth="1"/>
    <col min="2" max="2" width="9" style="9" bestFit="1" customWidth="1"/>
    <col min="3" max="3" width="20.5" style="9" customWidth="1"/>
    <col min="4" max="4" width="21.5" style="9" customWidth="1"/>
    <col min="5" max="5" width="19" style="9" bestFit="1" customWidth="1"/>
    <col min="6" max="6" width="17.5" style="9" customWidth="1"/>
    <col min="7" max="7" width="51.625" style="9" bestFit="1" customWidth="1"/>
    <col min="8" max="8" width="21.75" style="9" customWidth="1"/>
    <col min="9" max="9" width="19" style="9" customWidth="1"/>
    <col min="10" max="10" width="24.5" style="9" customWidth="1"/>
    <col min="11" max="11" width="28.25" style="9" customWidth="1"/>
    <col min="12" max="12" width="30" style="9" customWidth="1"/>
    <col min="13" max="13" width="27.25" style="9" customWidth="1"/>
    <col min="14" max="14" width="14" style="9" customWidth="1"/>
    <col min="15" max="15" width="21.25" style="9" customWidth="1"/>
    <col min="16" max="16" width="24.25" style="9" customWidth="1"/>
    <col min="17" max="17" width="27" style="9" customWidth="1"/>
    <col min="18" max="18" width="13.25" style="9" customWidth="1"/>
    <col min="19" max="19" width="61.25" style="9" bestFit="1" customWidth="1"/>
    <col min="20" max="20" width="20.75" style="9" customWidth="1"/>
    <col min="21" max="21" width="35.25" style="9" customWidth="1"/>
    <col min="22" max="22" width="28" style="13" customWidth="1"/>
    <col min="23" max="23" width="32.75" style="9" customWidth="1"/>
    <col min="24" max="24" width="25.625" style="9" customWidth="1"/>
    <col min="25" max="25" width="29.75" style="9" customWidth="1"/>
    <col min="26" max="26" width="18.75" style="10" customWidth="1"/>
    <col min="27" max="27" width="26" style="9" customWidth="1"/>
    <col min="28" max="28" width="37.5" style="9" customWidth="1"/>
    <col min="29" max="29" width="20.75" style="9" customWidth="1"/>
    <col min="30" max="30" width="22" style="9" customWidth="1"/>
    <col min="31" max="31" width="23.25" style="9" customWidth="1"/>
    <col min="32" max="32" width="24.5" style="9" customWidth="1"/>
    <col min="33" max="33" width="32" style="9" customWidth="1"/>
    <col min="34" max="34" width="19.25" style="9" customWidth="1"/>
    <col min="35" max="35" width="32" style="9" customWidth="1"/>
    <col min="36" max="36" width="38.5" style="9" customWidth="1"/>
    <col min="37" max="37" width="25.5" style="9" customWidth="1"/>
    <col min="38" max="40" width="9" style="9"/>
    <col min="41" max="41" width="43" style="9" hidden="1" customWidth="1"/>
    <col min="42" max="42" width="10.625" style="9" hidden="1" customWidth="1"/>
    <col min="43" max="44" width="19.625" style="9" hidden="1" customWidth="1"/>
    <col min="45" max="45" width="21.75" style="9" hidden="1" customWidth="1"/>
    <col min="46" max="46" width="28" style="9" hidden="1" customWidth="1"/>
    <col min="47" max="47" width="13.875" style="9" hidden="1" customWidth="1"/>
    <col min="48" max="49" width="9" style="9" hidden="1" customWidth="1"/>
    <col min="50" max="50" width="38" style="9" hidden="1" customWidth="1"/>
    <col min="51" max="51" width="11.25" style="9" hidden="1" customWidth="1"/>
    <col min="52" max="52" width="10.875" style="9" hidden="1" customWidth="1"/>
    <col min="53" max="54" width="19.625" style="9" hidden="1" customWidth="1"/>
    <col min="55" max="55" width="29.375" style="9" hidden="1" customWidth="1"/>
    <col min="56" max="56" width="25.875" style="9" hidden="1" customWidth="1"/>
    <col min="57" max="57" width="25.625" style="9" hidden="1" customWidth="1"/>
    <col min="58" max="59" width="0" style="9" hidden="1" customWidth="1"/>
    <col min="60" max="16384" width="9" style="9"/>
  </cols>
  <sheetData>
    <row r="1" spans="1:59" s="1" customFormat="1" ht="28.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144</v>
      </c>
      <c r="R1" s="1" t="s">
        <v>16</v>
      </c>
      <c r="S1" s="1" t="s">
        <v>17</v>
      </c>
      <c r="T1" s="1" t="s">
        <v>18</v>
      </c>
      <c r="U1" s="1" t="s">
        <v>19</v>
      </c>
      <c r="V1" s="1" t="s">
        <v>20</v>
      </c>
      <c r="W1" s="1" t="s">
        <v>21</v>
      </c>
      <c r="X1" s="1" t="s">
        <v>22</v>
      </c>
      <c r="Y1" s="1" t="s">
        <v>23</v>
      </c>
      <c r="Z1" s="31" t="s">
        <v>24</v>
      </c>
      <c r="AA1" s="1" t="s">
        <v>25</v>
      </c>
      <c r="AB1" s="1" t="s">
        <v>26</v>
      </c>
      <c r="AC1" s="1" t="s">
        <v>27</v>
      </c>
      <c r="AD1" s="1" t="s">
        <v>28</v>
      </c>
      <c r="AE1" s="1" t="s">
        <v>29</v>
      </c>
      <c r="AF1" s="1" t="s">
        <v>30</v>
      </c>
      <c r="AG1" s="1" t="s">
        <v>31</v>
      </c>
      <c r="AH1" s="1" t="s">
        <v>32</v>
      </c>
      <c r="AI1" s="1" t="s">
        <v>33</v>
      </c>
      <c r="AJ1" s="1" t="s">
        <v>34</v>
      </c>
      <c r="AK1" s="1" t="s">
        <v>35</v>
      </c>
      <c r="AO1" s="2" t="s">
        <v>36</v>
      </c>
      <c r="AP1" s="2" t="s">
        <v>37</v>
      </c>
      <c r="AQ1" s="2" t="s">
        <v>38</v>
      </c>
      <c r="AR1" s="2" t="s">
        <v>39</v>
      </c>
      <c r="AS1" s="2" t="s">
        <v>40</v>
      </c>
      <c r="AT1" s="2" t="s">
        <v>41</v>
      </c>
      <c r="AU1" s="3" t="s">
        <v>42</v>
      </c>
      <c r="AX1" s="4" t="s">
        <v>43</v>
      </c>
      <c r="AY1" s="5" t="s">
        <v>44</v>
      </c>
      <c r="AZ1" s="6" t="s">
        <v>45</v>
      </c>
      <c r="BA1" s="7" t="s">
        <v>38</v>
      </c>
      <c r="BB1" s="7" t="s">
        <v>39</v>
      </c>
      <c r="BC1" s="6" t="s">
        <v>41</v>
      </c>
      <c r="BD1" s="6" t="s">
        <v>40</v>
      </c>
      <c r="BE1" s="8" t="s">
        <v>42</v>
      </c>
    </row>
    <row r="2" spans="1:59" ht="16.8">
      <c r="A2" s="9">
        <v>11</v>
      </c>
      <c r="B2" s="9">
        <v>2024</v>
      </c>
      <c r="C2" s="9" t="s">
        <v>46</v>
      </c>
      <c r="D2" s="9" t="s">
        <v>47</v>
      </c>
      <c r="E2" s="9" t="s">
        <v>47</v>
      </c>
      <c r="F2" s="10">
        <v>45360</v>
      </c>
      <c r="G2" s="9" t="s">
        <v>153</v>
      </c>
      <c r="H2" s="9" t="s">
        <v>48</v>
      </c>
      <c r="I2" s="9">
        <v>1</v>
      </c>
      <c r="J2" s="11">
        <f>12*I2</f>
        <v>12</v>
      </c>
      <c r="K2" s="9">
        <v>720</v>
      </c>
      <c r="L2" s="12">
        <v>0.24</v>
      </c>
      <c r="M2" s="12">
        <v>172.8</v>
      </c>
      <c r="N2" s="13" t="s">
        <v>49</v>
      </c>
      <c r="Q2" s="9">
        <f>IF(Auction_Sales[[#This Row],[Payment Date]]=0,"",-1+WEEKNUM(Auction_Sales[[#This Row],[Payment Date]]))</f>
        <v>10</v>
      </c>
      <c r="R2" s="9">
        <f>K2-U2</f>
        <v>0</v>
      </c>
      <c r="S2" s="1" t="str">
        <f>IF(G2=0,"",G2)</f>
        <v>Grandiflora Roses</v>
      </c>
      <c r="T2" s="1" t="str">
        <f>IF(H2=0,"",H2)</f>
        <v>60CM</v>
      </c>
      <c r="U2" s="9">
        <v>720</v>
      </c>
      <c r="V2" s="13">
        <f>272.8/U2</f>
        <v>0.37888888888888889</v>
      </c>
      <c r="W2" s="13">
        <f t="shared" ref="W2:W61" si="0">U2*V2</f>
        <v>272.8</v>
      </c>
      <c r="X2" s="14">
        <f>-(4928.8-4418.58)*U2/(3080+4880+3440)</f>
        <v>-32.224421052631598</v>
      </c>
      <c r="Y2" s="13">
        <f>W2+X2</f>
        <v>240.5755789473684</v>
      </c>
      <c r="Z2" s="10">
        <v>45364</v>
      </c>
      <c r="AA2" s="9">
        <f>U2-K2</f>
        <v>0</v>
      </c>
      <c r="AC2" s="9">
        <v>432345</v>
      </c>
      <c r="AD2" s="14">
        <f>J2/(29*12)*1218.67</f>
        <v>42.023103448275862</v>
      </c>
      <c r="AF2" s="14">
        <f>U2*0.02</f>
        <v>14.4</v>
      </c>
      <c r="AH2" s="14">
        <f>SUM(AD2:AG2)</f>
        <v>56.42310344827586</v>
      </c>
      <c r="AI2" s="13">
        <f>Y2-AH2</f>
        <v>184.15247549909253</v>
      </c>
      <c r="AK2" s="9">
        <f>U2</f>
        <v>720</v>
      </c>
      <c r="AO2" s="1" t="s">
        <v>50</v>
      </c>
      <c r="AP2" s="9">
        <f>SUMIF($G$2:$G$4994, "*belladonna oriental*", $U$2:$U$4994)</f>
        <v>0</v>
      </c>
      <c r="AQ2" s="13">
        <f>SUMIF($G$2:$G$4994, "*belladonna oriental*", $W$2:$W$4994)</f>
        <v>0</v>
      </c>
      <c r="AR2" s="13">
        <f>SUMIF($G$2:$G$4994, "*belladonna oriental*", $AI$2:$AI$4994)</f>
        <v>0</v>
      </c>
      <c r="AS2" s="15" t="str">
        <f t="shared" ref="AS2:AS13" si="1">IFERROR(AR2/AP2,"")</f>
        <v/>
      </c>
      <c r="AT2" s="15" t="str">
        <f>IFERROR(AQ2/AP2,"")</f>
        <v/>
      </c>
      <c r="AU2" s="16" t="str">
        <f>IFERROR(AS2/AT2,"")</f>
        <v/>
      </c>
      <c r="AX2" s="1" t="s">
        <v>50</v>
      </c>
      <c r="AY2" s="17" t="s">
        <v>51</v>
      </c>
      <c r="AZ2" s="9">
        <f>SUMIFS($U$2:$U$4994,$S$2:$S$4994,"*belladonna oriental*",$T$2:$T$4994,DATA!$AY2)</f>
        <v>0</v>
      </c>
      <c r="BA2" s="13">
        <f>SUMIFS($W$2:$W$4994,$S$2:$S$4994,"*belladonna oriental*",$T$2:$T$4994,DATA!$AY2)</f>
        <v>0</v>
      </c>
      <c r="BB2" s="13">
        <f>SUMIFS($AI$2:$AI$4994,$S$2:$S$4994,"*belladonna oriental*",$T$2:$T$4994,DATA!$AY2)</f>
        <v>0</v>
      </c>
      <c r="BC2" s="15" t="str">
        <f t="shared" ref="BC2:BC8" si="2">IFERROR(BA2/AZ2,"")</f>
        <v/>
      </c>
      <c r="BD2" s="15" t="str">
        <f t="shared" ref="BD2:BD8" si="3">IFERROR(BB2/AZ2,"")</f>
        <v/>
      </c>
      <c r="BE2" s="18" t="str">
        <f t="shared" ref="BE2:BE8" si="4">IFERROR(BD2/BC2,"")</f>
        <v/>
      </c>
      <c r="BF2" s="9">
        <v>13200</v>
      </c>
      <c r="BG2" s="9">
        <f>BF2-AZ2</f>
        <v>13200</v>
      </c>
    </row>
    <row r="3" spans="1:59" ht="16.8">
      <c r="A3" s="9">
        <v>11</v>
      </c>
      <c r="B3" s="9">
        <v>2024</v>
      </c>
      <c r="C3" s="9" t="s">
        <v>46</v>
      </c>
      <c r="D3" s="9" t="s">
        <v>47</v>
      </c>
      <c r="E3" s="9" t="s">
        <v>47</v>
      </c>
      <c r="F3" s="10">
        <v>45360</v>
      </c>
      <c r="G3" s="9" t="s">
        <v>153</v>
      </c>
      <c r="H3" s="9" t="s">
        <v>52</v>
      </c>
      <c r="I3" s="9">
        <v>2</v>
      </c>
      <c r="J3" s="11">
        <f t="shared" ref="J3:J15" si="5">12*I3</f>
        <v>24</v>
      </c>
      <c r="K3" s="9">
        <v>1040</v>
      </c>
      <c r="L3" s="12">
        <v>0.28000000000000003</v>
      </c>
      <c r="M3" s="12">
        <v>291.2</v>
      </c>
      <c r="N3" s="13" t="s">
        <v>49</v>
      </c>
      <c r="Q3" s="9">
        <f>IF(Auction_Sales[[#This Row],[Payment Date]]=0,"",-1+WEEKNUM(Auction_Sales[[#This Row],[Payment Date]]))</f>
        <v>10</v>
      </c>
      <c r="R3" s="9">
        <f t="shared" ref="R3:R81" si="6">K3-U3</f>
        <v>0</v>
      </c>
      <c r="S3" s="1" t="str">
        <f t="shared" ref="S3:T27" si="7">IF(G3=0,"",G3)</f>
        <v>Grandiflora Roses</v>
      </c>
      <c r="T3" s="1" t="str">
        <f t="shared" si="7"/>
        <v>70CM</v>
      </c>
      <c r="U3" s="9">
        <v>1040</v>
      </c>
      <c r="V3" s="13">
        <f>462.8/U3</f>
        <v>0.44500000000000001</v>
      </c>
      <c r="W3" s="13">
        <f t="shared" si="0"/>
        <v>462.8</v>
      </c>
      <c r="X3" s="14">
        <f t="shared" ref="X3:X34" si="8">-(4928.8-4418.58)*U3/(3080+4880+3440)</f>
        <v>-46.546385964912304</v>
      </c>
      <c r="Y3" s="13">
        <f t="shared" ref="Y3:Y34" si="9">W3+X3</f>
        <v>416.25361403508771</v>
      </c>
      <c r="Z3" s="10">
        <v>45364</v>
      </c>
      <c r="AA3" s="9">
        <f t="shared" ref="AA3:AA34" si="10">U3-K3</f>
        <v>0</v>
      </c>
      <c r="AC3" s="9">
        <v>432345</v>
      </c>
      <c r="AD3" s="14">
        <f t="shared" ref="AD3:AD34" si="11">J3/(29*12)*1218.67</f>
        <v>84.046206896551723</v>
      </c>
      <c r="AF3" s="14">
        <f t="shared" ref="AF3:AF62" si="12">U3*0.02</f>
        <v>20.8</v>
      </c>
      <c r="AH3" s="14">
        <f t="shared" ref="AH3:AH17" si="13">SUM(AD3:AG3)</f>
        <v>104.84620689655172</v>
      </c>
      <c r="AI3" s="13">
        <f t="shared" ref="AI3:AI62" si="14">Y3-AH3</f>
        <v>311.40740713853597</v>
      </c>
      <c r="AK3" s="9">
        <f t="shared" ref="AK3:AK34" si="15">U3</f>
        <v>1040</v>
      </c>
      <c r="AO3" s="1" t="s">
        <v>53</v>
      </c>
      <c r="AP3" s="9">
        <f>SUMIF($G$2:$G$4994, "*dark blue*", $U$2:$U$4994)</f>
        <v>0</v>
      </c>
      <c r="AQ3" s="13">
        <f>SUMIF($G$2:$G$4994, "dark blue*", $W$2:$W$4994)</f>
        <v>0</v>
      </c>
      <c r="AR3" s="13">
        <f>SUMIF($G$2:$G$4994, "*dark blue*", $AI$2:$AI$4994)</f>
        <v>0</v>
      </c>
      <c r="AS3" s="15" t="str">
        <f t="shared" si="1"/>
        <v/>
      </c>
      <c r="AT3" s="15" t="str">
        <f t="shared" ref="AT3:AT13" si="16">IFERROR(AQ3/AP3,"")</f>
        <v/>
      </c>
      <c r="AU3" s="16" t="str">
        <f t="shared" ref="AU3:AU16" si="17">IFERROR(AS3/AT3,"")</f>
        <v/>
      </c>
      <c r="AX3" s="1" t="s">
        <v>50</v>
      </c>
      <c r="AY3" s="17" t="s">
        <v>48</v>
      </c>
      <c r="AZ3" s="9">
        <f>SUMIFS($U$2:$U$4994,$S$2:$S$4994,"*belladonna oriental*",$T$2:$T$4994,DATA!$AY3)</f>
        <v>0</v>
      </c>
      <c r="BA3" s="13">
        <f>SUMIFS($W$2:$W$4994,$S$2:$S$4994,"*belladonna oriental*",$T$2:$T$4994,DATA!$AY3)</f>
        <v>0</v>
      </c>
      <c r="BB3" s="13">
        <f>SUMIFS($AI$2:$AI$4994,$S$2:$S$4994,"*belladonna oriental*",$T$2:$T$4994,DATA!$AY3)</f>
        <v>0</v>
      </c>
      <c r="BC3" s="15" t="str">
        <f t="shared" si="2"/>
        <v/>
      </c>
      <c r="BD3" s="15" t="str">
        <f t="shared" si="3"/>
        <v/>
      </c>
      <c r="BE3" s="18" t="str">
        <f t="shared" si="4"/>
        <v/>
      </c>
      <c r="BF3" s="9">
        <v>43280</v>
      </c>
      <c r="BG3" s="9">
        <f t="shared" ref="BG3:BG8" si="18">BF3-AZ3</f>
        <v>43280</v>
      </c>
    </row>
    <row r="4" spans="1:59">
      <c r="A4" s="9">
        <v>11</v>
      </c>
      <c r="B4" s="9">
        <v>2024</v>
      </c>
      <c r="C4" s="9" t="s">
        <v>46</v>
      </c>
      <c r="D4" s="9" t="s">
        <v>47</v>
      </c>
      <c r="E4" s="9" t="s">
        <v>47</v>
      </c>
      <c r="F4" s="10">
        <v>45360</v>
      </c>
      <c r="G4" s="9" t="s">
        <v>153</v>
      </c>
      <c r="H4" s="9" t="s">
        <v>54</v>
      </c>
      <c r="I4" s="9">
        <v>1</v>
      </c>
      <c r="J4" s="11">
        <f t="shared" si="5"/>
        <v>12</v>
      </c>
      <c r="K4" s="9">
        <v>480</v>
      </c>
      <c r="L4" s="12">
        <v>0.33</v>
      </c>
      <c r="M4" s="12">
        <v>158.4</v>
      </c>
      <c r="N4" s="13" t="s">
        <v>49</v>
      </c>
      <c r="Q4" s="9">
        <f>IF(Auction_Sales[[#This Row],[Payment Date]]=0,"",-1+WEEKNUM(Auction_Sales[[#This Row],[Payment Date]]))</f>
        <v>10</v>
      </c>
      <c r="R4" s="9">
        <f t="shared" si="6"/>
        <v>480</v>
      </c>
      <c r="S4" s="1" t="str">
        <f t="shared" si="7"/>
        <v>Grandiflora Roses</v>
      </c>
      <c r="T4" s="1" t="str">
        <f t="shared" si="7"/>
        <v>80CM</v>
      </c>
      <c r="W4" s="13">
        <f t="shared" si="0"/>
        <v>0</v>
      </c>
      <c r="X4" s="14">
        <f t="shared" si="8"/>
        <v>0</v>
      </c>
      <c r="Y4" s="13">
        <f t="shared" si="9"/>
        <v>0</v>
      </c>
      <c r="Z4" s="10">
        <v>45364</v>
      </c>
      <c r="AA4" s="9">
        <f t="shared" si="10"/>
        <v>-480</v>
      </c>
      <c r="AC4" s="9">
        <v>432345</v>
      </c>
      <c r="AD4" s="14">
        <f t="shared" si="11"/>
        <v>42.023103448275862</v>
      </c>
      <c r="AF4" s="14">
        <f t="shared" si="12"/>
        <v>0</v>
      </c>
      <c r="AH4" s="14">
        <f t="shared" si="13"/>
        <v>42.023103448275862</v>
      </c>
      <c r="AI4" s="13">
        <f t="shared" si="14"/>
        <v>-42.023103448275862</v>
      </c>
      <c r="AK4" s="9">
        <f t="shared" si="15"/>
        <v>0</v>
      </c>
      <c r="AO4" s="1" t="s">
        <v>55</v>
      </c>
      <c r="AP4" s="9">
        <f>SUMIF($G$2:$G$4994, "*pure white*", $U$2:$U$4994)</f>
        <v>0</v>
      </c>
      <c r="AQ4" s="13">
        <f>SUMIF($G$2:$G$4994, "*pure white*", $W$2:$W$4994)</f>
        <v>0</v>
      </c>
      <c r="AR4" s="13">
        <f>SUMIF($G$2:$G$4994, "*pure white*", $AI$2:$AI$4994)</f>
        <v>0</v>
      </c>
      <c r="AS4" s="15" t="str">
        <f t="shared" si="1"/>
        <v/>
      </c>
      <c r="AT4" s="15" t="str">
        <f t="shared" si="16"/>
        <v/>
      </c>
      <c r="AU4" s="16" t="str">
        <f t="shared" si="17"/>
        <v/>
      </c>
      <c r="AX4" s="1" t="s">
        <v>50</v>
      </c>
      <c r="AY4" s="9" t="s">
        <v>52</v>
      </c>
      <c r="AZ4" s="9">
        <f>SUMIFS($U$2:$U$4994,$S$2:$S$4994,"*belladonna oriental*",$T$2:$T$4994,DATA!$AY4)</f>
        <v>0</v>
      </c>
      <c r="BA4" s="13">
        <f>SUMIFS($W$2:$W$4994,$S$2:$S$4994,"*belladonna oriental*",$T$2:$T$4994,DATA!$AY4)</f>
        <v>0</v>
      </c>
      <c r="BB4" s="13">
        <f>SUMIFS($AI$2:$AI$4994,$S$2:$S$4994,"*belladonna oriental*",$T$2:$T$4994,DATA!$AY4)</f>
        <v>0</v>
      </c>
      <c r="BC4" s="15" t="str">
        <f t="shared" si="2"/>
        <v/>
      </c>
      <c r="BD4" s="15" t="str">
        <f t="shared" si="3"/>
        <v/>
      </c>
      <c r="BE4" s="18" t="str">
        <f t="shared" si="4"/>
        <v/>
      </c>
      <c r="BF4" s="9">
        <v>31800</v>
      </c>
      <c r="BG4" s="9">
        <f t="shared" si="18"/>
        <v>31800</v>
      </c>
    </row>
    <row r="5" spans="1:59">
      <c r="A5" s="9">
        <v>11</v>
      </c>
      <c r="B5" s="9">
        <v>2024</v>
      </c>
      <c r="C5" s="9" t="s">
        <v>46</v>
      </c>
      <c r="D5" s="9" t="s">
        <v>47</v>
      </c>
      <c r="E5" s="9" t="s">
        <v>47</v>
      </c>
      <c r="F5" s="10">
        <v>45360</v>
      </c>
      <c r="G5" s="9" t="s">
        <v>153</v>
      </c>
      <c r="H5" s="9" t="s">
        <v>56</v>
      </c>
      <c r="I5" s="9">
        <v>1</v>
      </c>
      <c r="J5" s="11">
        <f t="shared" si="5"/>
        <v>12</v>
      </c>
      <c r="K5" s="9">
        <v>360</v>
      </c>
      <c r="L5" s="12">
        <v>0.38</v>
      </c>
      <c r="M5" s="12">
        <v>136.80000000000001</v>
      </c>
      <c r="N5" s="13" t="s">
        <v>49</v>
      </c>
      <c r="Q5" s="9">
        <f>IF(Auction_Sales[[#This Row],[Payment Date]]=0,"",-1+WEEKNUM(Auction_Sales[[#This Row],[Payment Date]]))</f>
        <v>10</v>
      </c>
      <c r="R5" s="9">
        <f t="shared" si="6"/>
        <v>-120</v>
      </c>
      <c r="S5" s="1" t="str">
        <f t="shared" si="7"/>
        <v>Grandiflora Roses</v>
      </c>
      <c r="T5" s="1" t="str">
        <f t="shared" si="7"/>
        <v>90CM</v>
      </c>
      <c r="U5" s="9">
        <v>480</v>
      </c>
      <c r="V5" s="13">
        <f>296.8/U5</f>
        <v>0.6183333333333334</v>
      </c>
      <c r="W5" s="13">
        <f t="shared" si="0"/>
        <v>296.8</v>
      </c>
      <c r="X5" s="14">
        <f t="shared" si="8"/>
        <v>-21.482947368421062</v>
      </c>
      <c r="Y5" s="13">
        <f t="shared" si="9"/>
        <v>275.31705263157897</v>
      </c>
      <c r="Z5" s="10">
        <v>45364</v>
      </c>
      <c r="AA5" s="9">
        <f t="shared" si="10"/>
        <v>120</v>
      </c>
      <c r="AC5" s="9">
        <v>432345</v>
      </c>
      <c r="AD5" s="14">
        <f t="shared" si="11"/>
        <v>42.023103448275862</v>
      </c>
      <c r="AF5" s="14">
        <f t="shared" si="12"/>
        <v>9.6</v>
      </c>
      <c r="AH5" s="14">
        <f t="shared" si="13"/>
        <v>51.623103448275863</v>
      </c>
      <c r="AI5" s="13">
        <f t="shared" si="14"/>
        <v>223.69394918330312</v>
      </c>
      <c r="AK5" s="9">
        <f t="shared" si="15"/>
        <v>480</v>
      </c>
      <c r="AO5" s="1" t="s">
        <v>115</v>
      </c>
      <c r="AP5" s="9">
        <f>SUMIF($G$2:$G$4994, "*Sky Blue*", $U$2:$U$4994)</f>
        <v>0</v>
      </c>
      <c r="AQ5" s="13">
        <f>SUMIF($G$2:$G$4994,"*Sky Blue*",$W$2:$W$4994)</f>
        <v>0</v>
      </c>
      <c r="AR5" s="13">
        <f>SUMIF($G$2:$G$4994,"*Sky Blue*",$AI$2:$AI$4994)</f>
        <v>0</v>
      </c>
      <c r="AS5" s="15" t="str">
        <f t="shared" si="1"/>
        <v/>
      </c>
      <c r="AT5" s="15" t="str">
        <f t="shared" si="16"/>
        <v/>
      </c>
      <c r="AU5" s="16" t="str">
        <f t="shared" si="17"/>
        <v/>
      </c>
      <c r="AX5" s="1" t="s">
        <v>50</v>
      </c>
      <c r="AY5" s="9" t="s">
        <v>54</v>
      </c>
      <c r="AZ5" s="9">
        <f>SUMIFS($U$2:$U$4994,$S$2:$S$4994,"*belladonna oriental*",$T$2:$T$4994,DATA!$AY5)</f>
        <v>0</v>
      </c>
      <c r="BA5" s="13">
        <f>SUMIFS($W$2:$W$4994,$S$2:$S$4994,"*belladonna oriental*",$T$2:$T$4994,DATA!$AY5)</f>
        <v>0</v>
      </c>
      <c r="BB5" s="13">
        <f>SUMIFS($AI$2:$AI$4994,$S$2:$S$4994,"*belladonna oriental*",$T$2:$T$4994,DATA!$AY5)</f>
        <v>0</v>
      </c>
      <c r="BC5" s="15" t="str">
        <f t="shared" si="2"/>
        <v/>
      </c>
      <c r="BD5" s="15" t="str">
        <f t="shared" si="3"/>
        <v/>
      </c>
      <c r="BE5" s="18" t="str">
        <f t="shared" si="4"/>
        <v/>
      </c>
      <c r="BF5" s="9">
        <v>22400</v>
      </c>
      <c r="BG5" s="9">
        <f t="shared" si="18"/>
        <v>22400</v>
      </c>
    </row>
    <row r="6" spans="1:59">
      <c r="A6" s="9">
        <v>11</v>
      </c>
      <c r="B6" s="9">
        <v>2024</v>
      </c>
      <c r="C6" s="9" t="s">
        <v>46</v>
      </c>
      <c r="D6" s="9" t="s">
        <v>47</v>
      </c>
      <c r="E6" s="9" t="s">
        <v>47</v>
      </c>
      <c r="F6" s="10">
        <v>45360</v>
      </c>
      <c r="G6" s="9" t="s">
        <v>153</v>
      </c>
      <c r="H6" s="9" t="s">
        <v>57</v>
      </c>
      <c r="I6" s="9">
        <v>1</v>
      </c>
      <c r="J6" s="11">
        <f t="shared" si="5"/>
        <v>12</v>
      </c>
      <c r="K6" s="9">
        <v>280</v>
      </c>
      <c r="L6" s="12">
        <v>0.47</v>
      </c>
      <c r="M6" s="12">
        <v>131.6</v>
      </c>
      <c r="N6" s="13" t="s">
        <v>49</v>
      </c>
      <c r="Q6" s="9">
        <f>IF(Auction_Sales[[#This Row],[Payment Date]]=0,"",-1+WEEKNUM(Auction_Sales[[#This Row],[Payment Date]]))</f>
        <v>10</v>
      </c>
      <c r="R6" s="9">
        <f t="shared" si="6"/>
        <v>0</v>
      </c>
      <c r="S6" s="1" t="str">
        <f t="shared" si="7"/>
        <v>Grandiflora Roses</v>
      </c>
      <c r="T6" s="1" t="str">
        <f t="shared" si="7"/>
        <v>100CM</v>
      </c>
      <c r="U6" s="9">
        <v>280</v>
      </c>
      <c r="V6" s="13">
        <f>188/U6</f>
        <v>0.67142857142857137</v>
      </c>
      <c r="W6" s="13">
        <f t="shared" si="0"/>
        <v>187.99999999999997</v>
      </c>
      <c r="X6" s="14">
        <f t="shared" si="8"/>
        <v>-12.531719298245619</v>
      </c>
      <c r="Y6" s="13">
        <f t="shared" si="9"/>
        <v>175.46828070175434</v>
      </c>
      <c r="Z6" s="10">
        <v>45364</v>
      </c>
      <c r="AA6" s="9">
        <f t="shared" si="10"/>
        <v>0</v>
      </c>
      <c r="AC6" s="9">
        <v>432345</v>
      </c>
      <c r="AD6" s="14">
        <f t="shared" si="11"/>
        <v>42.023103448275862</v>
      </c>
      <c r="AF6" s="14">
        <f t="shared" si="12"/>
        <v>5.6000000000000005</v>
      </c>
      <c r="AH6" s="14">
        <f t="shared" si="13"/>
        <v>47.623103448275863</v>
      </c>
      <c r="AI6" s="13">
        <f t="shared" si="14"/>
        <v>127.84517725347848</v>
      </c>
      <c r="AK6" s="9">
        <f t="shared" si="15"/>
        <v>280</v>
      </c>
      <c r="AO6" s="1" t="s">
        <v>58</v>
      </c>
      <c r="AP6" s="9">
        <f>SUMIF($G$2:$G$4994, "*white bee*", $U$2:$U$4994)</f>
        <v>0</v>
      </c>
      <c r="AQ6" s="13">
        <f>SUMIF($G$2:$G$4994, "*white bee*", $W$2:$W$4994)</f>
        <v>0</v>
      </c>
      <c r="AR6" s="13">
        <f>SUMIF($G$2:$G$4994, "*white bee*", $AI$2:$AI$4994)</f>
        <v>0</v>
      </c>
      <c r="AS6" s="15" t="str">
        <f t="shared" si="1"/>
        <v/>
      </c>
      <c r="AT6" s="15" t="str">
        <f t="shared" si="16"/>
        <v/>
      </c>
      <c r="AU6" s="16" t="str">
        <f t="shared" si="17"/>
        <v/>
      </c>
      <c r="AX6" s="1" t="s">
        <v>50</v>
      </c>
      <c r="AY6" s="9" t="s">
        <v>56</v>
      </c>
      <c r="AZ6" s="9">
        <f>SUMIFS($U$2:$U$4994,$S$2:$S$4994,"*belladonna oriental*",$T$2:$T$4994,DATA!$AY6)</f>
        <v>0</v>
      </c>
      <c r="BA6" s="13">
        <f>SUMIFS($W$2:$W$4994,$S$2:$S$4994,"*belladonna oriental*",$T$2:$T$4994,DATA!$AY6)</f>
        <v>0</v>
      </c>
      <c r="BB6" s="13">
        <f>SUMIFS($AI$2:$AI$4994,$S$2:$S$4994,"*belladonna oriental*",$T$2:$T$4994,DATA!$AY6)</f>
        <v>0</v>
      </c>
      <c r="BC6" s="15" t="str">
        <f t="shared" si="2"/>
        <v/>
      </c>
      <c r="BD6" s="15" t="str">
        <f t="shared" si="3"/>
        <v/>
      </c>
      <c r="BE6" s="18" t="str">
        <f t="shared" si="4"/>
        <v/>
      </c>
      <c r="BF6" s="9">
        <v>14960</v>
      </c>
      <c r="BG6" s="9">
        <f t="shared" si="18"/>
        <v>14960</v>
      </c>
    </row>
    <row r="7" spans="1:59">
      <c r="A7" s="9">
        <v>11</v>
      </c>
      <c r="B7" s="9">
        <v>2024</v>
      </c>
      <c r="C7" s="9" t="s">
        <v>46</v>
      </c>
      <c r="D7" s="9" t="s">
        <v>47</v>
      </c>
      <c r="E7" s="9" t="s">
        <v>47</v>
      </c>
      <c r="F7" s="10">
        <v>45360</v>
      </c>
      <c r="G7" s="9" t="s">
        <v>154</v>
      </c>
      <c r="H7" s="9" t="s">
        <v>48</v>
      </c>
      <c r="I7" s="9">
        <v>1</v>
      </c>
      <c r="J7" s="11">
        <f t="shared" si="5"/>
        <v>12</v>
      </c>
      <c r="K7" s="9">
        <v>480</v>
      </c>
      <c r="L7" s="12">
        <v>0.47</v>
      </c>
      <c r="M7" s="12">
        <v>225.6</v>
      </c>
      <c r="N7" s="13" t="s">
        <v>49</v>
      </c>
      <c r="Q7" s="9">
        <f>IF(Auction_Sales[[#This Row],[Payment Date]]=0,"",-1+WEEKNUM(Auction_Sales[[#This Row],[Payment Date]]))</f>
        <v>10</v>
      </c>
      <c r="R7" s="9">
        <f t="shared" si="6"/>
        <v>-120</v>
      </c>
      <c r="S7" s="1" t="str">
        <f t="shared" si="7"/>
        <v>English Roses</v>
      </c>
      <c r="T7" s="1" t="str">
        <f t="shared" si="7"/>
        <v>60CM</v>
      </c>
      <c r="U7" s="9">
        <v>600</v>
      </c>
      <c r="V7" s="13">
        <f>191.6/U7</f>
        <v>0.3193333333333333</v>
      </c>
      <c r="W7" s="13">
        <f t="shared" si="0"/>
        <v>191.6</v>
      </c>
      <c r="X7" s="14">
        <f t="shared" si="8"/>
        <v>-26.853684210526332</v>
      </c>
      <c r="Y7" s="13">
        <f t="shared" si="9"/>
        <v>164.74631578947367</v>
      </c>
      <c r="Z7" s="10">
        <v>45364</v>
      </c>
      <c r="AA7" s="9">
        <f t="shared" si="10"/>
        <v>120</v>
      </c>
      <c r="AC7" s="9">
        <v>432345</v>
      </c>
      <c r="AD7" s="14">
        <f t="shared" si="11"/>
        <v>42.023103448275862</v>
      </c>
      <c r="AF7" s="14">
        <f t="shared" si="12"/>
        <v>12</v>
      </c>
      <c r="AH7" s="14">
        <f t="shared" si="13"/>
        <v>54.023103448275862</v>
      </c>
      <c r="AI7" s="13">
        <f t="shared" si="14"/>
        <v>110.72321234119781</v>
      </c>
      <c r="AK7" s="9">
        <f t="shared" si="15"/>
        <v>600</v>
      </c>
      <c r="AO7" s="1" t="s">
        <v>59</v>
      </c>
      <c r="AP7" s="9">
        <f>SUMIF($G$2:$G$4994, "*light blue*", $U$2:$U$4994)</f>
        <v>0</v>
      </c>
      <c r="AQ7" s="13">
        <f>SUMIF($G$2:$G$4994, "*light blue*", $W$2:$W$4994)</f>
        <v>0</v>
      </c>
      <c r="AR7" s="13">
        <f>SUMIF($G$2:$G$4994, "*light blue*", $AI$2:$AI$4994)</f>
        <v>0</v>
      </c>
      <c r="AS7" s="15" t="str">
        <f t="shared" si="1"/>
        <v/>
      </c>
      <c r="AT7" s="15" t="str">
        <f t="shared" si="16"/>
        <v/>
      </c>
      <c r="AU7" s="16" t="str">
        <f t="shared" si="17"/>
        <v/>
      </c>
      <c r="AX7" s="1" t="s">
        <v>50</v>
      </c>
      <c r="AY7" s="9" t="s">
        <v>57</v>
      </c>
      <c r="AZ7" s="9">
        <f>SUMIFS($U$2:$U$4994,$S$2:$S$4994,"*belladonna oriental*",$T$2:$T$4994,DATA!$AY7)</f>
        <v>0</v>
      </c>
      <c r="BA7" s="13">
        <f>SUMIFS($W$2:$W$4994,$S$2:$S$4994,"*belladonna oriental*",$T$2:$T$4994,DATA!$AY7)</f>
        <v>0</v>
      </c>
      <c r="BB7" s="13">
        <f>SUMIFS($AI$2:$AI$4994,$S$2:$S$4994,"*belladonna oriental*",$T$2:$T$4994,DATA!$AY7)</f>
        <v>0</v>
      </c>
      <c r="BC7" s="15" t="str">
        <f t="shared" si="2"/>
        <v/>
      </c>
      <c r="BD7" s="15" t="str">
        <f t="shared" si="3"/>
        <v/>
      </c>
      <c r="BE7" s="18" t="str">
        <f t="shared" si="4"/>
        <v/>
      </c>
      <c r="BF7" s="9">
        <v>8680</v>
      </c>
      <c r="BG7" s="9">
        <f t="shared" si="18"/>
        <v>8680</v>
      </c>
    </row>
    <row r="8" spans="1:59">
      <c r="A8" s="9">
        <v>11</v>
      </c>
      <c r="B8" s="9">
        <v>2024</v>
      </c>
      <c r="C8" s="9" t="s">
        <v>46</v>
      </c>
      <c r="D8" s="9" t="s">
        <v>47</v>
      </c>
      <c r="E8" s="9" t="s">
        <v>47</v>
      </c>
      <c r="F8" s="10">
        <v>45360</v>
      </c>
      <c r="G8" s="9" t="s">
        <v>154</v>
      </c>
      <c r="H8" s="9" t="s">
        <v>52</v>
      </c>
      <c r="I8" s="9">
        <v>2</v>
      </c>
      <c r="J8" s="11">
        <f t="shared" si="5"/>
        <v>24</v>
      </c>
      <c r="K8" s="9">
        <v>800</v>
      </c>
      <c r="L8" s="12">
        <v>0.52</v>
      </c>
      <c r="M8" s="12">
        <v>416</v>
      </c>
      <c r="N8" s="13" t="s">
        <v>49</v>
      </c>
      <c r="Q8" s="9">
        <f>IF(Auction_Sales[[#This Row],[Payment Date]]=0,"",-1+WEEKNUM(Auction_Sales[[#This Row],[Payment Date]]))</f>
        <v>10</v>
      </c>
      <c r="R8" s="9">
        <f t="shared" si="6"/>
        <v>800</v>
      </c>
      <c r="S8" s="1" t="str">
        <f t="shared" si="7"/>
        <v>English Roses</v>
      </c>
      <c r="T8" s="1" t="str">
        <f t="shared" si="7"/>
        <v>70CM</v>
      </c>
      <c r="W8" s="13">
        <f t="shared" si="0"/>
        <v>0</v>
      </c>
      <c r="X8" s="14">
        <f t="shared" si="8"/>
        <v>0</v>
      </c>
      <c r="Y8" s="13">
        <f t="shared" si="9"/>
        <v>0</v>
      </c>
      <c r="Z8" s="10">
        <v>45364</v>
      </c>
      <c r="AA8" s="9">
        <f t="shared" si="10"/>
        <v>-800</v>
      </c>
      <c r="AC8" s="9">
        <v>432345</v>
      </c>
      <c r="AD8" s="14">
        <f t="shared" si="11"/>
        <v>84.046206896551723</v>
      </c>
      <c r="AF8" s="14">
        <f t="shared" si="12"/>
        <v>0</v>
      </c>
      <c r="AH8" s="14">
        <f t="shared" si="13"/>
        <v>84.046206896551723</v>
      </c>
      <c r="AI8" s="13">
        <f t="shared" si="14"/>
        <v>-84.046206896551723</v>
      </c>
      <c r="AK8" s="9">
        <f t="shared" si="15"/>
        <v>0</v>
      </c>
      <c r="AO8" s="1" t="s">
        <v>160</v>
      </c>
      <c r="AP8" s="9">
        <f>SUMIF($G$2:$G$4994, "*diplocyclos*", $U$2:$U$4994)</f>
        <v>0</v>
      </c>
      <c r="AQ8" s="13">
        <f>SUMIF($G$2:$G$4994, "*diplocyclos*", $W$2:$W$4994)</f>
        <v>0</v>
      </c>
      <c r="AR8" s="13">
        <f>SUMIF($G$2:$G$4994,"*diplocyclos*",$AI$2:$AI$4994)</f>
        <v>0</v>
      </c>
      <c r="AS8" s="15" t="str">
        <f t="shared" si="1"/>
        <v/>
      </c>
      <c r="AT8" s="15" t="str">
        <f t="shared" si="16"/>
        <v/>
      </c>
      <c r="AU8" s="16" t="str">
        <f t="shared" si="17"/>
        <v/>
      </c>
      <c r="AX8" s="1" t="s">
        <v>50</v>
      </c>
      <c r="AY8" s="9" t="s">
        <v>60</v>
      </c>
      <c r="AZ8" s="9">
        <f>SUMIFS($U$2:$U$4994,$S$2:$S$4994,"*belladonna oriental*",$T$2:$T$4994,DATA!$AY8)</f>
        <v>0</v>
      </c>
      <c r="BA8" s="13">
        <f>SUMIFS($W$2:$W$4994,$S$2:$S$4994,"*belladonna oriental*",$T$2:$T$4994,DATA!$AY8)</f>
        <v>0</v>
      </c>
      <c r="BB8" s="13">
        <f>SUMIFS($AI$2:$AI$4994,$S$2:$S$4994,"*belladonna oriental*",$T$2:$T$4994,DATA!$AY8)</f>
        <v>0</v>
      </c>
      <c r="BC8" s="15" t="str">
        <f t="shared" si="2"/>
        <v/>
      </c>
      <c r="BD8" s="15" t="str">
        <f t="shared" si="3"/>
        <v/>
      </c>
      <c r="BE8" s="18" t="str">
        <f t="shared" si="4"/>
        <v/>
      </c>
      <c r="BF8" s="9">
        <v>1000</v>
      </c>
      <c r="BG8" s="9">
        <f t="shared" si="18"/>
        <v>1000</v>
      </c>
    </row>
    <row r="9" spans="1:59">
      <c r="A9" s="9">
        <v>11</v>
      </c>
      <c r="B9" s="9">
        <v>2024</v>
      </c>
      <c r="C9" s="9" t="s">
        <v>46</v>
      </c>
      <c r="D9" s="9" t="s">
        <v>47</v>
      </c>
      <c r="E9" s="9" t="s">
        <v>47</v>
      </c>
      <c r="F9" s="10">
        <v>45360</v>
      </c>
      <c r="G9" s="9" t="s">
        <v>154</v>
      </c>
      <c r="H9" s="9" t="s">
        <v>56</v>
      </c>
      <c r="I9" s="9">
        <v>1</v>
      </c>
      <c r="J9" s="11">
        <f t="shared" si="5"/>
        <v>12</v>
      </c>
      <c r="K9" s="9">
        <v>200</v>
      </c>
      <c r="L9" s="12">
        <v>0.75</v>
      </c>
      <c r="M9" s="12">
        <v>150</v>
      </c>
      <c r="N9" s="13" t="s">
        <v>49</v>
      </c>
      <c r="Q9" s="9">
        <f>IF(Auction_Sales[[#This Row],[Payment Date]]=0,"",-1+WEEKNUM(Auction_Sales[[#This Row],[Payment Date]]))</f>
        <v>10</v>
      </c>
      <c r="R9" s="9">
        <f t="shared" si="6"/>
        <v>200</v>
      </c>
      <c r="S9" s="1" t="str">
        <f t="shared" si="7"/>
        <v>English Roses</v>
      </c>
      <c r="T9" s="1" t="str">
        <f t="shared" si="7"/>
        <v>90CM</v>
      </c>
      <c r="W9" s="13">
        <f t="shared" si="0"/>
        <v>0</v>
      </c>
      <c r="X9" s="14">
        <f t="shared" si="8"/>
        <v>0</v>
      </c>
      <c r="Y9" s="13">
        <f t="shared" si="9"/>
        <v>0</v>
      </c>
      <c r="Z9" s="10">
        <v>45364</v>
      </c>
      <c r="AA9" s="9">
        <f t="shared" si="10"/>
        <v>-200</v>
      </c>
      <c r="AC9" s="9">
        <v>432345</v>
      </c>
      <c r="AD9" s="14">
        <f t="shared" si="11"/>
        <v>42.023103448275862</v>
      </c>
      <c r="AF9" s="14">
        <f t="shared" si="12"/>
        <v>0</v>
      </c>
      <c r="AH9" s="14">
        <f t="shared" si="13"/>
        <v>42.023103448275862</v>
      </c>
      <c r="AI9" s="13">
        <f t="shared" si="14"/>
        <v>-42.023103448275862</v>
      </c>
      <c r="AK9" s="9">
        <f t="shared" si="15"/>
        <v>0</v>
      </c>
      <c r="AO9" s="1" t="s">
        <v>61</v>
      </c>
      <c r="AP9" s="9">
        <f>SUMIF($G$2:$G$4994, "*pink lilac*", $U$2:$U$4994)</f>
        <v>0</v>
      </c>
      <c r="AQ9" s="13">
        <f>SUMIF($G$2:$G$4994, "*pink lilac*", $W$2:$W$4994)</f>
        <v>0</v>
      </c>
      <c r="AR9" s="13">
        <f>SUMIF($G$2:$G$4994, "*pink lilac*", $AI$2:$AI$4994)</f>
        <v>0</v>
      </c>
      <c r="AS9" s="15" t="str">
        <f t="shared" si="1"/>
        <v/>
      </c>
      <c r="AT9" s="15" t="str">
        <f t="shared" si="16"/>
        <v/>
      </c>
      <c r="AU9" s="16" t="str">
        <f t="shared" si="17"/>
        <v/>
      </c>
      <c r="AX9" s="1"/>
    </row>
    <row r="10" spans="1:59" ht="16.8">
      <c r="A10" s="9">
        <v>11</v>
      </c>
      <c r="B10" s="9">
        <v>2024</v>
      </c>
      <c r="C10" s="9" t="s">
        <v>46</v>
      </c>
      <c r="D10" s="9" t="s">
        <v>47</v>
      </c>
      <c r="E10" s="9" t="s">
        <v>47</v>
      </c>
      <c r="F10" s="10">
        <v>45360</v>
      </c>
      <c r="G10" s="9" t="s">
        <v>154</v>
      </c>
      <c r="H10" s="9" t="s">
        <v>57</v>
      </c>
      <c r="I10" s="9">
        <v>1</v>
      </c>
      <c r="J10" s="11">
        <f t="shared" si="5"/>
        <v>12</v>
      </c>
      <c r="K10" s="9">
        <v>160</v>
      </c>
      <c r="L10" s="12">
        <v>0.94</v>
      </c>
      <c r="M10" s="12">
        <v>150.4</v>
      </c>
      <c r="N10" s="13" t="s">
        <v>49</v>
      </c>
      <c r="Q10" s="9">
        <f>IF(Auction_Sales[[#This Row],[Payment Date]]=0,"",-1+WEEKNUM(Auction_Sales[[#This Row],[Payment Date]]))</f>
        <v>10</v>
      </c>
      <c r="R10" s="9">
        <f t="shared" si="6"/>
        <v>160</v>
      </c>
      <c r="S10" s="1" t="str">
        <f t="shared" si="7"/>
        <v>English Roses</v>
      </c>
      <c r="T10" s="1" t="str">
        <f t="shared" si="7"/>
        <v>100CM</v>
      </c>
      <c r="U10" s="9">
        <f>80-80</f>
        <v>0</v>
      </c>
      <c r="V10" s="13">
        <f>(9.6-55.2)/80</f>
        <v>-0.57000000000000006</v>
      </c>
      <c r="W10" s="13">
        <f>80*V10</f>
        <v>-45.600000000000009</v>
      </c>
      <c r="X10" s="14">
        <f t="shared" si="8"/>
        <v>0</v>
      </c>
      <c r="Y10" s="13">
        <f t="shared" si="9"/>
        <v>-45.600000000000009</v>
      </c>
      <c r="Z10" s="10">
        <v>45364</v>
      </c>
      <c r="AA10" s="9">
        <f t="shared" si="10"/>
        <v>-160</v>
      </c>
      <c r="AC10" s="9">
        <v>432345</v>
      </c>
      <c r="AD10" s="14">
        <f t="shared" si="11"/>
        <v>42.023103448275862</v>
      </c>
      <c r="AF10" s="14">
        <f t="shared" si="12"/>
        <v>0</v>
      </c>
      <c r="AH10" s="14">
        <f t="shared" si="13"/>
        <v>42.023103448275862</v>
      </c>
      <c r="AI10" s="13">
        <f t="shared" si="14"/>
        <v>-87.62310344827587</v>
      </c>
      <c r="AK10" s="9">
        <f t="shared" si="15"/>
        <v>0</v>
      </c>
      <c r="AO10" s="1" t="s">
        <v>62</v>
      </c>
      <c r="AP10" s="9">
        <f>SUMIF($G$2:$G$4994, "*ballkleid*", $U$2:$U$4994)</f>
        <v>0</v>
      </c>
      <c r="AQ10" s="13">
        <f>SUMIF($G$2:$G$4994, "*ballkleid*", $W$2:$W$4994)</f>
        <v>0</v>
      </c>
      <c r="AR10" s="13">
        <f>SUMIF($G$2:$G$4994, "*ballkleid*", $AI$2:$AI$4994)</f>
        <v>0</v>
      </c>
      <c r="AS10" s="15" t="str">
        <f t="shared" si="1"/>
        <v/>
      </c>
      <c r="AT10" s="15" t="str">
        <f t="shared" si="16"/>
        <v/>
      </c>
      <c r="AU10" s="16" t="str">
        <f t="shared" si="17"/>
        <v/>
      </c>
      <c r="AX10" s="1" t="s">
        <v>115</v>
      </c>
      <c r="AY10" s="17" t="s">
        <v>51</v>
      </c>
      <c r="AZ10" s="9">
        <f>SUMIFS($U$2:$U$4994,$S$2:$S$4994,"*Sky Blue*",$T$2:$T$4994,DATA!$AY10)</f>
        <v>0</v>
      </c>
      <c r="BA10" s="13">
        <f>SUMIFS($W$2:$W$4994,$S$2:$S$4994,"*Sky Blue*",$T$2:$T$4994,DATA!$AY10)</f>
        <v>0</v>
      </c>
      <c r="BB10" s="13">
        <f>SUMIFS($AI$2:$AI$4994,$S$2:$S$4994,"*Sky Blue*",$T$2:$T$4994,DATA!$AY10)</f>
        <v>0</v>
      </c>
      <c r="BC10" s="15" t="str">
        <f t="shared" ref="BC10:BC16" si="19">IFERROR(BA10/AZ10,"")</f>
        <v/>
      </c>
      <c r="BD10" s="15" t="str">
        <f t="shared" ref="BD10:BD16" si="20">IFERROR(BB10/AZ10,"")</f>
        <v/>
      </c>
      <c r="BE10" s="18" t="str">
        <f t="shared" ref="BE10:BE16" si="21">IFERROR(BD10/BC10,"")</f>
        <v/>
      </c>
      <c r="BF10" s="9">
        <v>33680</v>
      </c>
      <c r="BG10" s="9">
        <f>BF10-AZ10</f>
        <v>33680</v>
      </c>
    </row>
    <row r="11" spans="1:59" ht="16.8">
      <c r="A11" s="9">
        <v>11</v>
      </c>
      <c r="B11" s="9">
        <v>2024</v>
      </c>
      <c r="C11" s="9" t="s">
        <v>46</v>
      </c>
      <c r="D11" s="9" t="s">
        <v>47</v>
      </c>
      <c r="E11" s="9" t="s">
        <v>47</v>
      </c>
      <c r="F11" s="10">
        <v>45360</v>
      </c>
      <c r="G11" s="9" t="s">
        <v>155</v>
      </c>
      <c r="H11" s="9" t="s">
        <v>48</v>
      </c>
      <c r="I11" s="9">
        <v>3</v>
      </c>
      <c r="J11" s="11">
        <f t="shared" si="5"/>
        <v>36</v>
      </c>
      <c r="K11" s="9">
        <v>1560</v>
      </c>
      <c r="L11" s="12">
        <v>0.47</v>
      </c>
      <c r="M11" s="12">
        <v>733.2</v>
      </c>
      <c r="N11" s="13" t="s">
        <v>49</v>
      </c>
      <c r="Q11" s="9">
        <f>IF(Auction_Sales[[#This Row],[Payment Date]]=0,"",-1+WEEKNUM(Auction_Sales[[#This Row],[Payment Date]]))</f>
        <v>10</v>
      </c>
      <c r="R11" s="9">
        <f t="shared" si="6"/>
        <v>-160</v>
      </c>
      <c r="S11" s="1" t="str">
        <f t="shared" si="7"/>
        <v>Floribunda Roses</v>
      </c>
      <c r="T11" s="1" t="str">
        <f t="shared" si="7"/>
        <v>60CM</v>
      </c>
      <c r="U11" s="9">
        <v>1720</v>
      </c>
      <c r="V11" s="13">
        <f>556.8/U11</f>
        <v>0.3237209302325581</v>
      </c>
      <c r="W11" s="13">
        <f t="shared" si="0"/>
        <v>556.79999999999995</v>
      </c>
      <c r="X11" s="14">
        <f t="shared" si="8"/>
        <v>-76.980561403508815</v>
      </c>
      <c r="Y11" s="13">
        <f t="shared" si="9"/>
        <v>479.81943859649112</v>
      </c>
      <c r="Z11" s="10">
        <v>45364</v>
      </c>
      <c r="AA11" s="9">
        <f t="shared" si="10"/>
        <v>160</v>
      </c>
      <c r="AC11" s="9">
        <v>432345</v>
      </c>
      <c r="AD11" s="14">
        <f t="shared" si="11"/>
        <v>126.06931034482758</v>
      </c>
      <c r="AF11" s="14">
        <f t="shared" si="12"/>
        <v>34.4</v>
      </c>
      <c r="AH11" s="14">
        <f t="shared" si="13"/>
        <v>160.46931034482759</v>
      </c>
      <c r="AI11" s="13">
        <f t="shared" si="14"/>
        <v>319.35012825166353</v>
      </c>
      <c r="AK11" s="9">
        <f t="shared" si="15"/>
        <v>1720</v>
      </c>
      <c r="AO11" s="1" t="s">
        <v>63</v>
      </c>
      <c r="AP11" s="9">
        <f>SUMIF($G$2:$G$4994, "*eucalyptus*", $U$2:$U$4994)</f>
        <v>0</v>
      </c>
      <c r="AQ11" s="13">
        <f>SUMIF($G$2:$G$4994, "*eucalyptus*", $W$2:$W$4994)</f>
        <v>0</v>
      </c>
      <c r="AR11" s="13">
        <f>SUMIF($G$2:$G$4994, "*eucalyptus*", $AI$2:$AI$4994)</f>
        <v>0</v>
      </c>
      <c r="AS11" s="15" t="str">
        <f t="shared" si="1"/>
        <v/>
      </c>
      <c r="AT11" s="15" t="str">
        <f t="shared" si="16"/>
        <v/>
      </c>
      <c r="AU11" s="16" t="str">
        <f t="shared" si="17"/>
        <v/>
      </c>
      <c r="AX11" s="1" t="s">
        <v>115</v>
      </c>
      <c r="AY11" s="17" t="s">
        <v>48</v>
      </c>
      <c r="AZ11" s="9">
        <f>SUMIFS($U$2:$U$4994,$S$2:$S$4994,"*Sky Blue*",$T$2:$T$4994,DATA!$AY11)</f>
        <v>0</v>
      </c>
      <c r="BA11" s="13">
        <f>SUMIFS($W$2:$W$4994,$S$2:$S$4994,"*Sky Blue*",$T$2:$T$4994,DATA!$AY11)</f>
        <v>0</v>
      </c>
      <c r="BB11" s="13">
        <f>SUMIFS($AI$2:$AI$4994,$S$2:$S$4994,"*Sky Blue*",$T$2:$T$4994,DATA!$AY11)</f>
        <v>0</v>
      </c>
      <c r="BC11" s="15" t="str">
        <f t="shared" si="19"/>
        <v/>
      </c>
      <c r="BD11" s="15" t="str">
        <f t="shared" si="20"/>
        <v/>
      </c>
      <c r="BE11" s="18" t="str">
        <f t="shared" si="21"/>
        <v/>
      </c>
      <c r="BF11" s="9">
        <v>47040</v>
      </c>
      <c r="BG11" s="9">
        <f t="shared" ref="BG11:BG16" si="22">BF11-AZ11</f>
        <v>47040</v>
      </c>
    </row>
    <row r="12" spans="1:59">
      <c r="A12" s="9">
        <v>11</v>
      </c>
      <c r="B12" s="9">
        <v>2024</v>
      </c>
      <c r="C12" s="9" t="s">
        <v>46</v>
      </c>
      <c r="D12" s="9" t="s">
        <v>47</v>
      </c>
      <c r="E12" s="9" t="s">
        <v>47</v>
      </c>
      <c r="F12" s="10">
        <v>45360</v>
      </c>
      <c r="G12" s="9" t="s">
        <v>155</v>
      </c>
      <c r="H12" s="9" t="s">
        <v>52</v>
      </c>
      <c r="I12" s="9">
        <v>4</v>
      </c>
      <c r="J12" s="11">
        <f t="shared" si="5"/>
        <v>48</v>
      </c>
      <c r="K12" s="9">
        <v>1600</v>
      </c>
      <c r="L12" s="12">
        <v>0.52</v>
      </c>
      <c r="M12" s="12">
        <v>832</v>
      </c>
      <c r="N12" s="13" t="s">
        <v>49</v>
      </c>
      <c r="Q12" s="9">
        <f>IF(Auction_Sales[[#This Row],[Payment Date]]=0,"",-1+WEEKNUM(Auction_Sales[[#This Row],[Payment Date]]))</f>
        <v>10</v>
      </c>
      <c r="R12" s="9">
        <f t="shared" si="6"/>
        <v>1600</v>
      </c>
      <c r="S12" s="1" t="str">
        <f t="shared" si="7"/>
        <v>Floribunda Roses</v>
      </c>
      <c r="T12" s="1" t="str">
        <f t="shared" si="7"/>
        <v>70CM</v>
      </c>
      <c r="U12" s="9">
        <f>720-720</f>
        <v>0</v>
      </c>
      <c r="V12" s="13">
        <f>(86.4-338.4)/720</f>
        <v>-0.35</v>
      </c>
      <c r="W12" s="13">
        <f>720*V12</f>
        <v>-251.99999999999997</v>
      </c>
      <c r="X12" s="14">
        <f t="shared" si="8"/>
        <v>0</v>
      </c>
      <c r="Y12" s="13">
        <f t="shared" si="9"/>
        <v>-251.99999999999997</v>
      </c>
      <c r="Z12" s="10">
        <v>45364</v>
      </c>
      <c r="AA12" s="9">
        <f t="shared" si="10"/>
        <v>-1600</v>
      </c>
      <c r="AC12" s="9">
        <v>432345</v>
      </c>
      <c r="AD12" s="14">
        <f t="shared" si="11"/>
        <v>168.09241379310345</v>
      </c>
      <c r="AF12" s="14">
        <f t="shared" si="12"/>
        <v>0</v>
      </c>
      <c r="AH12" s="14">
        <f t="shared" si="13"/>
        <v>168.09241379310345</v>
      </c>
      <c r="AI12" s="13">
        <f t="shared" si="14"/>
        <v>-420.09241379310345</v>
      </c>
      <c r="AK12" s="9">
        <f t="shared" si="15"/>
        <v>0</v>
      </c>
      <c r="AO12" s="1" t="s">
        <v>64</v>
      </c>
      <c r="AP12" s="9">
        <f>SUMIF($G$2:$G$4994, "*pacific*", $U$2:$U$4994)</f>
        <v>0</v>
      </c>
      <c r="AQ12" s="13">
        <f>SUMIF($G$2:$G$4994, "*pacific*", $W$2:$W$4994)</f>
        <v>0</v>
      </c>
      <c r="AR12" s="13">
        <f>SUMIF($G$2:$G$4994, "*pacific*", $AI$2:$AI$4994)</f>
        <v>0</v>
      </c>
      <c r="AS12" s="15" t="str">
        <f t="shared" si="1"/>
        <v/>
      </c>
      <c r="AT12" s="15" t="str">
        <f t="shared" si="16"/>
        <v/>
      </c>
      <c r="AU12" s="16" t="str">
        <f t="shared" si="17"/>
        <v/>
      </c>
      <c r="AX12" s="1" t="s">
        <v>115</v>
      </c>
      <c r="AY12" s="9" t="s">
        <v>52</v>
      </c>
      <c r="AZ12" s="9">
        <f>SUMIFS($U$2:$U$4994,$S$2:$S$4994,"*Sky Blue*",$T$2:$T$4994,DATA!$AY12)</f>
        <v>0</v>
      </c>
      <c r="BA12" s="13">
        <f>SUMIFS($W$2:$W$4994,$S$2:$S$4994,"*Sky Blue*",$T$2:$T$4994,DATA!$AY12)</f>
        <v>0</v>
      </c>
      <c r="BB12" s="13">
        <f>SUMIFS($AI$2:$AI$4994,$S$2:$S$4994,"*Sky Blue*",$T$2:$T$4994,DATA!$AY12)</f>
        <v>0</v>
      </c>
      <c r="BC12" s="15" t="str">
        <f t="shared" si="19"/>
        <v/>
      </c>
      <c r="BD12" s="15" t="str">
        <f t="shared" si="20"/>
        <v/>
      </c>
      <c r="BE12" s="18" t="str">
        <f t="shared" si="21"/>
        <v/>
      </c>
      <c r="BF12" s="9">
        <v>45520</v>
      </c>
      <c r="BG12" s="9">
        <f t="shared" si="22"/>
        <v>45520</v>
      </c>
    </row>
    <row r="13" spans="1:59">
      <c r="A13" s="9">
        <v>11</v>
      </c>
      <c r="B13" s="9">
        <v>2024</v>
      </c>
      <c r="C13" s="9" t="s">
        <v>46</v>
      </c>
      <c r="D13" s="9" t="s">
        <v>47</v>
      </c>
      <c r="E13" s="9" t="s">
        <v>47</v>
      </c>
      <c r="F13" s="10">
        <v>45360</v>
      </c>
      <c r="G13" s="9" t="s">
        <v>155</v>
      </c>
      <c r="H13" s="9" t="s">
        <v>54</v>
      </c>
      <c r="I13" s="9">
        <v>1</v>
      </c>
      <c r="J13" s="11">
        <f t="shared" si="5"/>
        <v>12</v>
      </c>
      <c r="K13" s="9">
        <v>320</v>
      </c>
      <c r="L13" s="12">
        <v>0.56999999999999995</v>
      </c>
      <c r="M13" s="12">
        <v>182.4</v>
      </c>
      <c r="N13" s="13" t="s">
        <v>49</v>
      </c>
      <c r="Q13" s="9">
        <f>IF(Auction_Sales[[#This Row],[Payment Date]]=0,"",-1+WEEKNUM(Auction_Sales[[#This Row],[Payment Date]]))</f>
        <v>10</v>
      </c>
      <c r="R13" s="9">
        <f t="shared" si="6"/>
        <v>0</v>
      </c>
      <c r="S13" s="1" t="str">
        <f t="shared" si="7"/>
        <v>Floribunda Roses</v>
      </c>
      <c r="T13" s="1" t="str">
        <f t="shared" si="7"/>
        <v>80CM</v>
      </c>
      <c r="U13" s="9">
        <v>320</v>
      </c>
      <c r="V13" s="13">
        <f>154.4/U13</f>
        <v>0.48250000000000004</v>
      </c>
      <c r="W13" s="13">
        <f t="shared" si="0"/>
        <v>154.4</v>
      </c>
      <c r="X13" s="14">
        <f t="shared" si="8"/>
        <v>-14.321964912280709</v>
      </c>
      <c r="Y13" s="13">
        <f t="shared" si="9"/>
        <v>140.07803508771929</v>
      </c>
      <c r="Z13" s="10">
        <v>45364</v>
      </c>
      <c r="AA13" s="9">
        <f t="shared" si="10"/>
        <v>0</v>
      </c>
      <c r="AC13" s="9">
        <v>432345</v>
      </c>
      <c r="AD13" s="14">
        <f t="shared" si="11"/>
        <v>42.023103448275862</v>
      </c>
      <c r="AF13" s="14">
        <f t="shared" si="12"/>
        <v>6.4</v>
      </c>
      <c r="AH13" s="14">
        <f t="shared" si="13"/>
        <v>48.42310344827586</v>
      </c>
      <c r="AI13" s="13">
        <f t="shared" si="14"/>
        <v>91.654931639443419</v>
      </c>
      <c r="AK13" s="9">
        <f t="shared" si="15"/>
        <v>320</v>
      </c>
      <c r="AO13" s="19" t="s">
        <v>65</v>
      </c>
      <c r="AP13" s="9">
        <f>SUMIF($G$2:$G$4994, "*baby blue*", $U$2:$U$4994)</f>
        <v>0</v>
      </c>
      <c r="AQ13" s="13">
        <f>SUMIF($G$2:$G$4994, "*baby blue*", $W$2:$W$4994)</f>
        <v>0</v>
      </c>
      <c r="AR13" s="13">
        <f>SUMIF($G$2:$G$4994, "*baby blue*", $AI$2:$AI$4994)</f>
        <v>0</v>
      </c>
      <c r="AS13" s="15" t="str">
        <f t="shared" si="1"/>
        <v/>
      </c>
      <c r="AT13" s="15" t="str">
        <f t="shared" si="16"/>
        <v/>
      </c>
      <c r="AU13" s="16" t="str">
        <f t="shared" si="17"/>
        <v/>
      </c>
      <c r="AX13" s="1" t="s">
        <v>115</v>
      </c>
      <c r="AY13" s="9" t="s">
        <v>54</v>
      </c>
      <c r="AZ13" s="9">
        <f>SUMIFS($U$2:$U$4994,$S$2:$S$4994,"*Sky Blue*",$T$2:$T$4994,DATA!$AY13)</f>
        <v>0</v>
      </c>
      <c r="BA13" s="13">
        <f>SUMIFS($W$2:$W$4994,$S$2:$S$4994,"*Sky Blue*",$T$2:$T$4994,DATA!$AY13)</f>
        <v>0</v>
      </c>
      <c r="BB13" s="13">
        <f>SUMIFS($AI$2:$AI$4994,$S$2:$S$4994,"*Sky Blue*",$T$2:$T$4994,DATA!$AY13)</f>
        <v>0</v>
      </c>
      <c r="BC13" s="15" t="str">
        <f t="shared" si="19"/>
        <v/>
      </c>
      <c r="BD13" s="15" t="str">
        <f t="shared" si="20"/>
        <v/>
      </c>
      <c r="BE13" s="18" t="str">
        <f t="shared" si="21"/>
        <v/>
      </c>
      <c r="BF13" s="9">
        <v>20720</v>
      </c>
      <c r="BG13" s="9">
        <f t="shared" si="22"/>
        <v>20720</v>
      </c>
    </row>
    <row r="14" spans="1:59">
      <c r="A14" s="9">
        <v>11</v>
      </c>
      <c r="B14" s="9">
        <v>2024</v>
      </c>
      <c r="C14" s="9" t="s">
        <v>46</v>
      </c>
      <c r="D14" s="9" t="s">
        <v>47</v>
      </c>
      <c r="E14" s="9" t="s">
        <v>47</v>
      </c>
      <c r="F14" s="10">
        <v>45360</v>
      </c>
      <c r="G14" s="9" t="s">
        <v>155</v>
      </c>
      <c r="H14" s="9" t="s">
        <v>56</v>
      </c>
      <c r="I14" s="9">
        <v>1</v>
      </c>
      <c r="J14" s="11">
        <f t="shared" si="5"/>
        <v>12</v>
      </c>
      <c r="K14" s="9">
        <v>240</v>
      </c>
      <c r="L14" s="12">
        <v>0.75</v>
      </c>
      <c r="M14" s="12">
        <v>180</v>
      </c>
      <c r="N14" s="13" t="s">
        <v>49</v>
      </c>
      <c r="Q14" s="9">
        <f>IF(Auction_Sales[[#This Row],[Payment Date]]=0,"",-1+WEEKNUM(Auction_Sales[[#This Row],[Payment Date]]))</f>
        <v>10</v>
      </c>
      <c r="R14" s="9">
        <f t="shared" si="6"/>
        <v>0</v>
      </c>
      <c r="S14" s="1" t="str">
        <f t="shared" si="7"/>
        <v>Floribunda Roses</v>
      </c>
      <c r="T14" s="1" t="str">
        <f t="shared" si="7"/>
        <v>90CM</v>
      </c>
      <c r="U14" s="9">
        <v>240</v>
      </c>
      <c r="V14" s="13">
        <f>123.6/U14</f>
        <v>0.51500000000000001</v>
      </c>
      <c r="W14" s="13">
        <f t="shared" si="0"/>
        <v>123.60000000000001</v>
      </c>
      <c r="X14" s="14">
        <f t="shared" si="8"/>
        <v>-10.741473684210531</v>
      </c>
      <c r="Y14" s="13">
        <f t="shared" si="9"/>
        <v>112.85852631578948</v>
      </c>
      <c r="Z14" s="10">
        <v>45364</v>
      </c>
      <c r="AA14" s="9">
        <f t="shared" si="10"/>
        <v>0</v>
      </c>
      <c r="AC14" s="9">
        <v>432345</v>
      </c>
      <c r="AD14" s="14">
        <f t="shared" si="11"/>
        <v>42.023103448275862</v>
      </c>
      <c r="AF14" s="14">
        <f t="shared" si="12"/>
        <v>4.8</v>
      </c>
      <c r="AH14" s="14">
        <f t="shared" si="13"/>
        <v>46.823103448275859</v>
      </c>
      <c r="AI14" s="13">
        <f t="shared" si="14"/>
        <v>66.035422867513617</v>
      </c>
      <c r="AK14" s="9">
        <f t="shared" si="15"/>
        <v>240</v>
      </c>
      <c r="AO14" s="1"/>
      <c r="AQ14" s="13"/>
      <c r="AR14" s="13"/>
      <c r="AS14" s="15"/>
      <c r="AT14" s="15"/>
      <c r="AU14" s="16"/>
      <c r="AX14" s="1" t="s">
        <v>115</v>
      </c>
      <c r="AY14" s="9" t="s">
        <v>56</v>
      </c>
      <c r="AZ14" s="9">
        <f>SUMIFS($U$2:$U$4994,$S$2:$S$4994,"*Sky Blue*",$T$2:$T$4994,DATA!$AY14)</f>
        <v>0</v>
      </c>
      <c r="BA14" s="13">
        <f>SUMIFS($W$2:$W$4994,$S$2:$S$4994,"*Sky Blue*",$T$2:$T$4994,DATA!$AY14)</f>
        <v>0</v>
      </c>
      <c r="BB14" s="13">
        <f>SUMIFS($AI$2:$AI$4994,$S$2:$S$4994,"*Sky Blue*",$T$2:$T$4994,DATA!$AY14)</f>
        <v>0</v>
      </c>
      <c r="BC14" s="15" t="str">
        <f t="shared" si="19"/>
        <v/>
      </c>
      <c r="BD14" s="15" t="str">
        <f t="shared" si="20"/>
        <v/>
      </c>
      <c r="BE14" s="18" t="str">
        <f t="shared" si="21"/>
        <v/>
      </c>
      <c r="BF14" s="9">
        <v>14760</v>
      </c>
      <c r="BG14" s="9">
        <f t="shared" si="22"/>
        <v>14760</v>
      </c>
    </row>
    <row r="15" spans="1:59">
      <c r="A15" s="9">
        <v>11</v>
      </c>
      <c r="B15" s="9">
        <v>2024</v>
      </c>
      <c r="C15" s="9" t="s">
        <v>46</v>
      </c>
      <c r="D15" s="9" t="s">
        <v>47</v>
      </c>
      <c r="E15" s="9" t="s">
        <v>47</v>
      </c>
      <c r="F15" s="10">
        <v>45360</v>
      </c>
      <c r="G15" s="9" t="s">
        <v>155</v>
      </c>
      <c r="H15" s="9" t="s">
        <v>57</v>
      </c>
      <c r="I15" s="9">
        <v>1</v>
      </c>
      <c r="J15" s="11">
        <f t="shared" si="5"/>
        <v>12</v>
      </c>
      <c r="K15" s="9">
        <v>200</v>
      </c>
      <c r="L15" s="12">
        <v>0.94</v>
      </c>
      <c r="M15" s="12">
        <v>188</v>
      </c>
      <c r="N15" s="13" t="s">
        <v>49</v>
      </c>
      <c r="Q15" s="9">
        <f>IF(Auction_Sales[[#This Row],[Payment Date]]=0,"",-1+WEEKNUM(Auction_Sales[[#This Row],[Payment Date]]))</f>
        <v>10</v>
      </c>
      <c r="R15" s="9">
        <f t="shared" si="6"/>
        <v>0</v>
      </c>
      <c r="S15" s="1" t="str">
        <f t="shared" si="7"/>
        <v>Floribunda Roses</v>
      </c>
      <c r="T15" s="1" t="str">
        <f t="shared" si="7"/>
        <v>100CM</v>
      </c>
      <c r="U15" s="9">
        <v>200</v>
      </c>
      <c r="V15" s="13">
        <f>138.8/U15</f>
        <v>0.69400000000000006</v>
      </c>
      <c r="W15" s="13">
        <f t="shared" si="0"/>
        <v>138.80000000000001</v>
      </c>
      <c r="X15" s="14">
        <f t="shared" si="8"/>
        <v>-8.9512280701754445</v>
      </c>
      <c r="Y15" s="13">
        <f t="shared" si="9"/>
        <v>129.84877192982458</v>
      </c>
      <c r="Z15" s="10">
        <v>45364</v>
      </c>
      <c r="AA15" s="9">
        <f t="shared" si="10"/>
        <v>0</v>
      </c>
      <c r="AC15" s="9">
        <v>432345</v>
      </c>
      <c r="AD15" s="14">
        <f t="shared" si="11"/>
        <v>42.023103448275862</v>
      </c>
      <c r="AF15" s="14">
        <f t="shared" si="12"/>
        <v>4</v>
      </c>
      <c r="AH15" s="14">
        <f t="shared" si="13"/>
        <v>46.023103448275862</v>
      </c>
      <c r="AI15" s="13">
        <f t="shared" si="14"/>
        <v>83.825668481548718</v>
      </c>
      <c r="AK15" s="9">
        <f t="shared" si="15"/>
        <v>200</v>
      </c>
      <c r="AO15" s="1"/>
      <c r="AQ15" s="13"/>
      <c r="AR15" s="13"/>
      <c r="AS15" s="15"/>
      <c r="AT15" s="15"/>
      <c r="AU15" s="16"/>
      <c r="AX15" s="1" t="s">
        <v>115</v>
      </c>
      <c r="AY15" s="9" t="s">
        <v>57</v>
      </c>
      <c r="AZ15" s="9">
        <f>SUMIFS($U$2:$U$4994,$S$2:$S$4994,"*Sky Blue*",$T$2:$T$4994,DATA!$AY15)</f>
        <v>0</v>
      </c>
      <c r="BA15" s="13">
        <f>SUMIFS($W$2:$W$4994,$S$2:$S$4994,"*Sky Blue*",$T$2:$T$4994,DATA!$AY15)</f>
        <v>0</v>
      </c>
      <c r="BB15" s="13">
        <f>SUMIFS($AI$2:$AI$4994,$S$2:$S$4994,"*Sky Blue*",$T$2:$T$4994,DATA!$AY15)</f>
        <v>0</v>
      </c>
      <c r="BC15" s="15" t="str">
        <f t="shared" si="19"/>
        <v/>
      </c>
      <c r="BD15" s="15" t="str">
        <f t="shared" si="20"/>
        <v/>
      </c>
      <c r="BE15" s="18" t="str">
        <f t="shared" si="21"/>
        <v/>
      </c>
      <c r="BF15" s="9">
        <v>7720</v>
      </c>
      <c r="BG15" s="9">
        <f t="shared" si="22"/>
        <v>7720</v>
      </c>
    </row>
    <row r="16" spans="1:59" ht="16.8">
      <c r="A16" s="9">
        <v>11</v>
      </c>
      <c r="B16" s="9">
        <v>2024</v>
      </c>
      <c r="C16" s="9" t="s">
        <v>46</v>
      </c>
      <c r="D16" s="9" t="s">
        <v>47</v>
      </c>
      <c r="E16" s="9" t="s">
        <v>47</v>
      </c>
      <c r="F16" s="10">
        <v>45360</v>
      </c>
      <c r="G16" s="9" t="s">
        <v>154</v>
      </c>
      <c r="H16" s="9" t="s">
        <v>48</v>
      </c>
      <c r="I16" s="9">
        <v>1</v>
      </c>
      <c r="J16" s="11">
        <f>K16/480*12</f>
        <v>9</v>
      </c>
      <c r="K16" s="9">
        <v>360</v>
      </c>
      <c r="L16" s="12">
        <v>0.47</v>
      </c>
      <c r="M16" s="12">
        <v>169.2</v>
      </c>
      <c r="N16" s="13" t="s">
        <v>49</v>
      </c>
      <c r="Q16" s="9">
        <f>IF(Auction_Sales[[#This Row],[Payment Date]]=0,"",-1+WEEKNUM(Auction_Sales[[#This Row],[Payment Date]]))</f>
        <v>10</v>
      </c>
      <c r="R16" s="9">
        <f t="shared" si="6"/>
        <v>360</v>
      </c>
      <c r="S16" s="1" t="str">
        <f t="shared" si="7"/>
        <v>English Roses</v>
      </c>
      <c r="T16" s="1" t="str">
        <f t="shared" si="7"/>
        <v>60CM</v>
      </c>
      <c r="W16" s="13">
        <f t="shared" si="0"/>
        <v>0</v>
      </c>
      <c r="X16" s="14">
        <f t="shared" si="8"/>
        <v>0</v>
      </c>
      <c r="Y16" s="13">
        <f t="shared" si="9"/>
        <v>0</v>
      </c>
      <c r="Z16" s="10">
        <v>45364</v>
      </c>
      <c r="AA16" s="9">
        <f t="shared" si="10"/>
        <v>-360</v>
      </c>
      <c r="AC16" s="9">
        <v>432345</v>
      </c>
      <c r="AD16" s="14">
        <f t="shared" si="11"/>
        <v>31.517327586206896</v>
      </c>
      <c r="AF16" s="14">
        <f t="shared" si="12"/>
        <v>0</v>
      </c>
      <c r="AH16" s="14">
        <f t="shared" si="13"/>
        <v>31.517327586206896</v>
      </c>
      <c r="AI16" s="13">
        <f t="shared" si="14"/>
        <v>-31.517327586206896</v>
      </c>
      <c r="AK16" s="9">
        <f t="shared" si="15"/>
        <v>0</v>
      </c>
      <c r="AO16" s="20" t="s">
        <v>66</v>
      </c>
      <c r="AP16" s="21">
        <f>SUM(AP2:AP15)</f>
        <v>0</v>
      </c>
      <c r="AQ16" s="22">
        <f>SUM(AQ2:AQ15)</f>
        <v>0</v>
      </c>
      <c r="AR16" s="22">
        <f>SUM(AR2:AR15)</f>
        <v>0</v>
      </c>
      <c r="AS16" s="22">
        <f>IFERROR(AR16/AP16,0)</f>
        <v>0</v>
      </c>
      <c r="AT16" s="22">
        <f>IFERROR(AQ16/AP16,0)</f>
        <v>0</v>
      </c>
      <c r="AU16" s="16" t="str">
        <f t="shared" si="17"/>
        <v/>
      </c>
      <c r="AX16" s="1" t="s">
        <v>115</v>
      </c>
      <c r="AY16" s="9" t="s">
        <v>60</v>
      </c>
      <c r="AZ16" s="9">
        <f>SUMIFS($U$2:$U$4994,$S$2:$S$4994,"*Sky Blue*",$T$2:$T$4994,DATA!$AY16)</f>
        <v>0</v>
      </c>
      <c r="BA16" s="13">
        <f>SUMIFS($W$2:$W$4994,$S$2:$S$4994,"*Sky Blue*",$T$2:$T$4994,DATA!$AY16)</f>
        <v>0</v>
      </c>
      <c r="BB16" s="13">
        <f>SUMIFS($AI$2:$AI$4994,$S$2:$S$4994,"*Sky Blue*",$T$2:$T$4994,DATA!$AY16)</f>
        <v>0</v>
      </c>
      <c r="BC16" s="15" t="str">
        <f t="shared" si="19"/>
        <v/>
      </c>
      <c r="BD16" s="15" t="str">
        <f t="shared" si="20"/>
        <v/>
      </c>
      <c r="BE16" s="18" t="str">
        <f t="shared" si="21"/>
        <v/>
      </c>
      <c r="BF16" s="9">
        <v>4000</v>
      </c>
      <c r="BG16" s="9">
        <f t="shared" si="22"/>
        <v>4000</v>
      </c>
    </row>
    <row r="17" spans="1:57">
      <c r="A17" s="9">
        <v>11</v>
      </c>
      <c r="B17" s="9">
        <v>2024</v>
      </c>
      <c r="C17" s="9" t="s">
        <v>46</v>
      </c>
      <c r="D17" s="9" t="s">
        <v>47</v>
      </c>
      <c r="E17" s="9" t="s">
        <v>47</v>
      </c>
      <c r="F17" s="10">
        <v>45360</v>
      </c>
      <c r="G17" s="9" t="s">
        <v>154</v>
      </c>
      <c r="H17" s="9" t="s">
        <v>51</v>
      </c>
      <c r="J17" s="11">
        <f>K17/480*12</f>
        <v>3</v>
      </c>
      <c r="K17" s="9">
        <v>120</v>
      </c>
      <c r="L17" s="12">
        <v>0.38</v>
      </c>
      <c r="M17" s="12">
        <v>45.6</v>
      </c>
      <c r="N17" s="13" t="s">
        <v>49</v>
      </c>
      <c r="Q17" s="9">
        <f>IF(Auction_Sales[[#This Row],[Payment Date]]=0,"",-1+WEEKNUM(Auction_Sales[[#This Row],[Payment Date]]))</f>
        <v>10</v>
      </c>
      <c r="R17" s="9">
        <f t="shared" si="6"/>
        <v>-280</v>
      </c>
      <c r="S17" s="1" t="str">
        <f t="shared" si="7"/>
        <v>English Roses</v>
      </c>
      <c r="T17" s="1" t="str">
        <f t="shared" si="7"/>
        <v>50CM</v>
      </c>
      <c r="U17" s="9">
        <v>400</v>
      </c>
      <c r="V17" s="13">
        <f>88/U17</f>
        <v>0.22</v>
      </c>
      <c r="W17" s="13">
        <f t="shared" si="0"/>
        <v>88</v>
      </c>
      <c r="X17" s="14">
        <f t="shared" si="8"/>
        <v>-17.902456140350889</v>
      </c>
      <c r="Y17" s="13">
        <f t="shared" si="9"/>
        <v>70.097543859649107</v>
      </c>
      <c r="Z17" s="10">
        <v>45364</v>
      </c>
      <c r="AA17" s="9">
        <f t="shared" si="10"/>
        <v>280</v>
      </c>
      <c r="AC17" s="9">
        <v>432345</v>
      </c>
      <c r="AD17" s="14">
        <f t="shared" si="11"/>
        <v>10.505775862068965</v>
      </c>
      <c r="AF17" s="14">
        <f t="shared" si="12"/>
        <v>8</v>
      </c>
      <c r="AH17" s="14">
        <f t="shared" si="13"/>
        <v>18.505775862068965</v>
      </c>
      <c r="AI17" s="13">
        <f t="shared" si="14"/>
        <v>51.591767997580142</v>
      </c>
      <c r="AK17" s="9">
        <f t="shared" si="15"/>
        <v>400</v>
      </c>
      <c r="AO17" s="9" t="s">
        <v>67</v>
      </c>
      <c r="AP17" s="37" t="str">
        <f>IF(AP16=SUM($U$2:$U$4994),"MATCH","FALSE")</f>
        <v>FALSE</v>
      </c>
      <c r="AQ17" s="37" t="str">
        <f>IF(AQ16=SUM(W2:W4994),"MATCH","FALSE")</f>
        <v>FALSE</v>
      </c>
      <c r="AR17" s="37" t="str">
        <f>IF(AR16=SUM(AI2:AI4994),"MATCH","FALSE")</f>
        <v>FALSE</v>
      </c>
      <c r="AU17" s="16"/>
      <c r="AX17" s="1"/>
    </row>
    <row r="18" spans="1:57" ht="16.8">
      <c r="A18" s="9">
        <v>11</v>
      </c>
      <c r="B18" s="9">
        <v>2024</v>
      </c>
      <c r="C18" s="9" t="s">
        <v>46</v>
      </c>
      <c r="D18" s="9" t="s">
        <v>47</v>
      </c>
      <c r="E18" s="9" t="s">
        <v>47</v>
      </c>
      <c r="F18" s="10">
        <v>45360</v>
      </c>
      <c r="G18" s="9" t="s">
        <v>156</v>
      </c>
      <c r="H18" s="9" t="s">
        <v>51</v>
      </c>
      <c r="I18" s="9">
        <v>1</v>
      </c>
      <c r="J18" s="11">
        <f>K18/480*12</f>
        <v>1</v>
      </c>
      <c r="K18" s="9">
        <v>40</v>
      </c>
      <c r="L18" s="12">
        <v>0.42</v>
      </c>
      <c r="M18" s="12">
        <v>16.8</v>
      </c>
      <c r="N18" s="13" t="s">
        <v>49</v>
      </c>
      <c r="Q18" s="9">
        <f>IF(Auction_Sales[[#This Row],[Payment Date]]=0,"",-1+WEEKNUM(Auction_Sales[[#This Row],[Payment Date]]))</f>
        <v>10</v>
      </c>
      <c r="R18" s="9">
        <f t="shared" si="6"/>
        <v>0</v>
      </c>
      <c r="S18" s="1" t="str">
        <f t="shared" si="7"/>
        <v>Polyantha Roses</v>
      </c>
      <c r="T18" s="1" t="str">
        <f t="shared" si="7"/>
        <v>50CM</v>
      </c>
      <c r="U18" s="9">
        <v>40</v>
      </c>
      <c r="V18" s="13">
        <f>15.2/U18</f>
        <v>0.38</v>
      </c>
      <c r="W18" s="13">
        <f t="shared" si="0"/>
        <v>15.2</v>
      </c>
      <c r="X18" s="14">
        <f t="shared" si="8"/>
        <v>-1.7902456140350886</v>
      </c>
      <c r="Y18" s="13">
        <f t="shared" si="9"/>
        <v>13.409754385964911</v>
      </c>
      <c r="Z18" s="10">
        <v>45364</v>
      </c>
      <c r="AA18" s="9">
        <f t="shared" si="10"/>
        <v>0</v>
      </c>
      <c r="AC18" s="9">
        <v>432345</v>
      </c>
      <c r="AD18" s="14">
        <f t="shared" si="11"/>
        <v>3.5019252873563218</v>
      </c>
      <c r="AF18" s="14">
        <f t="shared" si="12"/>
        <v>0.8</v>
      </c>
      <c r="AH18" s="14">
        <f t="shared" ref="AH18" si="23">SUM(AD18:AG18)</f>
        <v>4.3019252873563216</v>
      </c>
      <c r="AI18" s="13">
        <f t="shared" si="14"/>
        <v>9.1078290986085904</v>
      </c>
      <c r="AK18" s="9">
        <f t="shared" si="15"/>
        <v>40</v>
      </c>
      <c r="AX18" s="1" t="s">
        <v>55</v>
      </c>
      <c r="AY18" s="17" t="s">
        <v>51</v>
      </c>
      <c r="AZ18" s="9">
        <f>SUMIFS($U$2:$U$4994,$S$2:$S$4994,"*pure white*",$T$2:$T$4994,DATA!$AY18)</f>
        <v>0</v>
      </c>
      <c r="BA18" s="13">
        <f>SUMIFS($W$2:$W$4994,$S$2:$S$4994,"*pure white*",$T$2:$T$4994,DATA!$AY18)</f>
        <v>0</v>
      </c>
      <c r="BB18" s="13">
        <f>SUMIFS($AI$2:$AI$4994,$S$2:$S$4994,"*pure white*",$T$2:$T$4994,DATA!$AY18)</f>
        <v>0</v>
      </c>
      <c r="BC18" s="15" t="str">
        <f>IFERROR(BA18/AZ18,"")</f>
        <v/>
      </c>
      <c r="BD18" s="15" t="str">
        <f t="shared" ref="BD18:BD24" si="24">IFERROR(BB18/AZ18,"")</f>
        <v/>
      </c>
      <c r="BE18" s="18" t="str">
        <f>IFERROR(BD18/BC18,"")</f>
        <v/>
      </c>
    </row>
    <row r="19" spans="1:57" ht="16.8">
      <c r="A19" s="9">
        <v>11</v>
      </c>
      <c r="B19" s="9">
        <v>2024</v>
      </c>
      <c r="C19" s="9" t="s">
        <v>46</v>
      </c>
      <c r="D19" s="9" t="s">
        <v>47</v>
      </c>
      <c r="E19" s="9" t="s">
        <v>47</v>
      </c>
      <c r="F19" s="10">
        <v>45360</v>
      </c>
      <c r="G19" s="9" t="s">
        <v>156</v>
      </c>
      <c r="H19" s="9" t="s">
        <v>48</v>
      </c>
      <c r="J19" s="11">
        <f t="shared" ref="J19:J20" si="25">K19/480*12</f>
        <v>4</v>
      </c>
      <c r="K19" s="9">
        <v>160</v>
      </c>
      <c r="L19" s="12">
        <v>0.52</v>
      </c>
      <c r="M19" s="12">
        <v>83.2</v>
      </c>
      <c r="N19" s="13" t="s">
        <v>49</v>
      </c>
      <c r="Q19" s="9">
        <f>IF(Auction_Sales[[#This Row],[Payment Date]]=0,"",-1+WEEKNUM(Auction_Sales[[#This Row],[Payment Date]]))</f>
        <v>10</v>
      </c>
      <c r="R19" s="9">
        <f t="shared" si="6"/>
        <v>0</v>
      </c>
      <c r="S19" s="1" t="str">
        <f t="shared" si="7"/>
        <v>Polyantha Roses</v>
      </c>
      <c r="T19" s="1" t="str">
        <f t="shared" si="7"/>
        <v>60CM</v>
      </c>
      <c r="U19" s="9">
        <f>160+320-320</f>
        <v>160</v>
      </c>
      <c r="V19" s="13">
        <f>(92.8+70.4-163.2)/U19</f>
        <v>0</v>
      </c>
      <c r="W19" s="13">
        <f t="shared" si="0"/>
        <v>0</v>
      </c>
      <c r="X19" s="14">
        <f t="shared" si="8"/>
        <v>-7.1609824561403546</v>
      </c>
      <c r="Y19" s="13">
        <f t="shared" si="9"/>
        <v>-7.1609824561403546</v>
      </c>
      <c r="Z19" s="10">
        <v>45364</v>
      </c>
      <c r="AA19" s="9">
        <f t="shared" si="10"/>
        <v>0</v>
      </c>
      <c r="AC19" s="9">
        <v>432345</v>
      </c>
      <c r="AD19" s="14">
        <f t="shared" si="11"/>
        <v>14.007701149425287</v>
      </c>
      <c r="AF19" s="14">
        <f t="shared" si="12"/>
        <v>3.2</v>
      </c>
      <c r="AH19" s="14">
        <f t="shared" ref="AH19:AH20" si="26">SUM(AD19:AG19)</f>
        <v>17.207701149425287</v>
      </c>
      <c r="AI19" s="13">
        <f t="shared" si="14"/>
        <v>-24.368683605565643</v>
      </c>
      <c r="AK19" s="9">
        <f t="shared" si="15"/>
        <v>160</v>
      </c>
      <c r="AO19" s="1" t="s">
        <v>68</v>
      </c>
      <c r="AP19" s="21">
        <f>AP16-AP8</f>
        <v>0</v>
      </c>
      <c r="AQ19" s="22">
        <f>AQ16-AQ8</f>
        <v>0</v>
      </c>
      <c r="AR19" s="22">
        <f>AR16-AR8</f>
        <v>0</v>
      </c>
      <c r="AS19" s="22">
        <f>IFERROR(AR19/AP19,0)</f>
        <v>0</v>
      </c>
      <c r="AX19" s="1" t="s">
        <v>55</v>
      </c>
      <c r="AY19" s="17" t="s">
        <v>48</v>
      </c>
      <c r="AZ19" s="9">
        <f>SUMIFS($U$2:$U$4994,$S$2:$S$4994,"*pure white*",$T$2:$T$4994,DATA!$AY19)</f>
        <v>0</v>
      </c>
      <c r="BA19" s="13">
        <f>SUMIFS($W$2:$W$4994,$S$2:$S$4994,"*pure white*",$T$2:$T$4994,DATA!$AY19)</f>
        <v>0</v>
      </c>
      <c r="BB19" s="13">
        <f>SUMIFS($AI$2:$AI$4994,$S$2:$S$4994,"*pure white*",$T$2:$T$4994,DATA!$AY19)</f>
        <v>0</v>
      </c>
      <c r="BC19" s="15" t="str">
        <f t="shared" ref="BC19:BC24" si="27">IFERROR(BA19/AZ19,"")</f>
        <v/>
      </c>
      <c r="BD19" s="15" t="str">
        <f t="shared" si="24"/>
        <v/>
      </c>
      <c r="BE19" s="18" t="str">
        <f t="shared" ref="BE19:BE24" si="28">IFERROR(BD19/BC19,"")</f>
        <v/>
      </c>
    </row>
    <row r="20" spans="1:57" ht="16.8">
      <c r="A20" s="9">
        <v>11</v>
      </c>
      <c r="B20" s="9">
        <v>2024</v>
      </c>
      <c r="C20" s="9" t="s">
        <v>46</v>
      </c>
      <c r="D20" s="9" t="s">
        <v>47</v>
      </c>
      <c r="E20" s="9" t="s">
        <v>47</v>
      </c>
      <c r="F20" s="10">
        <v>45360</v>
      </c>
      <c r="G20" s="9" t="s">
        <v>156</v>
      </c>
      <c r="H20" s="9" t="s">
        <v>52</v>
      </c>
      <c r="J20" s="11">
        <f t="shared" si="25"/>
        <v>7</v>
      </c>
      <c r="K20" s="9">
        <v>280</v>
      </c>
      <c r="L20" s="12">
        <v>0.61</v>
      </c>
      <c r="M20" s="12">
        <v>170.8</v>
      </c>
      <c r="N20" s="13" t="s">
        <v>49</v>
      </c>
      <c r="Q20" s="9">
        <f>IF(Auction_Sales[[#This Row],[Payment Date]]=0,"",-1+WEEKNUM(Auction_Sales[[#This Row],[Payment Date]]))</f>
        <v>10</v>
      </c>
      <c r="R20" s="9">
        <f t="shared" si="6"/>
        <v>0</v>
      </c>
      <c r="S20" s="1" t="str">
        <f t="shared" si="7"/>
        <v>Polyantha Roses</v>
      </c>
      <c r="T20" s="1" t="str">
        <f t="shared" si="7"/>
        <v>70CM</v>
      </c>
      <c r="U20" s="9">
        <v>280</v>
      </c>
      <c r="V20" s="13">
        <f>186/U20</f>
        <v>0.66428571428571426</v>
      </c>
      <c r="W20" s="13">
        <f t="shared" si="0"/>
        <v>186</v>
      </c>
      <c r="X20" s="14">
        <f t="shared" si="8"/>
        <v>-12.531719298245619</v>
      </c>
      <c r="Y20" s="13">
        <f t="shared" si="9"/>
        <v>173.4682807017544</v>
      </c>
      <c r="Z20" s="10">
        <v>45364</v>
      </c>
      <c r="AA20" s="9">
        <f t="shared" si="10"/>
        <v>0</v>
      </c>
      <c r="AC20" s="9">
        <v>432345</v>
      </c>
      <c r="AD20" s="14">
        <f t="shared" si="11"/>
        <v>24.513477011494253</v>
      </c>
      <c r="AF20" s="14">
        <f t="shared" si="12"/>
        <v>5.6000000000000005</v>
      </c>
      <c r="AH20" s="14">
        <f t="shared" si="26"/>
        <v>30.113477011494254</v>
      </c>
      <c r="AI20" s="13">
        <f t="shared" si="14"/>
        <v>143.35480369026016</v>
      </c>
      <c r="AK20" s="9">
        <f t="shared" si="15"/>
        <v>280</v>
      </c>
      <c r="AO20" s="1"/>
      <c r="AP20" s="23"/>
      <c r="AQ20" s="24"/>
      <c r="AR20" s="24"/>
      <c r="AS20" s="24"/>
      <c r="AX20" s="1" t="s">
        <v>55</v>
      </c>
      <c r="AY20" s="9" t="s">
        <v>52</v>
      </c>
      <c r="AZ20" s="9">
        <f>SUMIFS($U$2:$U$4994,$S$2:$S$4994,"*pure white*",$T$2:$T$4994,DATA!$AY20)</f>
        <v>0</v>
      </c>
      <c r="BA20" s="13">
        <f>SUMIFS($W$2:$W$4994,$S$2:$S$4994,"*pure white*",$T$2:$T$4994,DATA!$AY20)</f>
        <v>0</v>
      </c>
      <c r="BB20" s="13">
        <f>SUMIFS($AI$2:$AI$4994,$S$2:$S$4994,"*pure white*",$T$2:$T$4994,DATA!$AY20)</f>
        <v>0</v>
      </c>
      <c r="BC20" s="15" t="str">
        <f t="shared" si="27"/>
        <v/>
      </c>
      <c r="BD20" s="15" t="str">
        <f t="shared" si="24"/>
        <v/>
      </c>
      <c r="BE20" s="18" t="str">
        <f t="shared" si="28"/>
        <v/>
      </c>
    </row>
    <row r="21" spans="1:57" ht="16.8">
      <c r="A21" s="9">
        <v>11</v>
      </c>
      <c r="B21" s="9">
        <v>2024</v>
      </c>
      <c r="C21" s="9" t="s">
        <v>46</v>
      </c>
      <c r="D21" s="9" t="s">
        <v>47</v>
      </c>
      <c r="E21" s="9" t="s">
        <v>47</v>
      </c>
      <c r="F21" s="10">
        <v>45360</v>
      </c>
      <c r="G21" s="9" t="s">
        <v>154</v>
      </c>
      <c r="H21" s="9" t="s">
        <v>54</v>
      </c>
      <c r="I21" s="9">
        <v>1</v>
      </c>
      <c r="J21" s="11">
        <f>K21/320*12</f>
        <v>10.5</v>
      </c>
      <c r="K21" s="9">
        <v>280</v>
      </c>
      <c r="L21" s="12">
        <v>0.56999999999999995</v>
      </c>
      <c r="M21" s="12">
        <v>159.6</v>
      </c>
      <c r="N21" s="13" t="s">
        <v>49</v>
      </c>
      <c r="Q21" s="9">
        <f>IF(Auction_Sales[[#This Row],[Payment Date]]=0,"",-1+WEEKNUM(Auction_Sales[[#This Row],[Payment Date]]))</f>
        <v>10</v>
      </c>
      <c r="R21" s="9">
        <f t="shared" si="6"/>
        <v>0</v>
      </c>
      <c r="S21" s="1" t="str">
        <f t="shared" si="7"/>
        <v>English Roses</v>
      </c>
      <c r="T21" s="1" t="str">
        <f t="shared" si="7"/>
        <v>80CM</v>
      </c>
      <c r="U21" s="9">
        <v>280</v>
      </c>
      <c r="V21" s="13">
        <f>171.2/U21</f>
        <v>0.61142857142857143</v>
      </c>
      <c r="W21" s="13">
        <f t="shared" si="0"/>
        <v>171.2</v>
      </c>
      <c r="X21" s="14">
        <f t="shared" si="8"/>
        <v>-12.531719298245619</v>
      </c>
      <c r="Y21" s="13">
        <f t="shared" si="9"/>
        <v>158.66828070175438</v>
      </c>
      <c r="Z21" s="10">
        <v>45364</v>
      </c>
      <c r="AA21" s="9">
        <f t="shared" si="10"/>
        <v>0</v>
      </c>
      <c r="AC21" s="9">
        <v>432345</v>
      </c>
      <c r="AD21" s="14">
        <f t="shared" si="11"/>
        <v>36.770215517241382</v>
      </c>
      <c r="AF21" s="14">
        <f t="shared" si="12"/>
        <v>5.6000000000000005</v>
      </c>
      <c r="AH21" s="14">
        <f t="shared" ref="AH21:AH34" si="29">SUM(AD21:AG21)</f>
        <v>42.370215517241384</v>
      </c>
      <c r="AI21" s="13">
        <f t="shared" si="14"/>
        <v>116.29806518451301</v>
      </c>
      <c r="AK21" s="9">
        <f t="shared" si="15"/>
        <v>280</v>
      </c>
      <c r="AO21" s="1"/>
      <c r="AP21" s="23"/>
      <c r="AQ21" s="24"/>
      <c r="AR21" s="24"/>
      <c r="AS21" s="24"/>
      <c r="AX21" s="1" t="s">
        <v>55</v>
      </c>
      <c r="AY21" s="9" t="s">
        <v>54</v>
      </c>
      <c r="AZ21" s="9">
        <f>SUMIFS($U$2:$U$4994,$S$2:$S$4994,"*pure white*",$T$2:$T$4994,DATA!$AY21)</f>
        <v>0</v>
      </c>
      <c r="BA21" s="13">
        <f>SUMIFS($W$2:$W$4994,$S$2:$S$4994,"*pure white*",$T$2:$T$4994,DATA!$AY21)</f>
        <v>0</v>
      </c>
      <c r="BB21" s="13">
        <f>SUMIFS($AI$2:$AI$4994,$S$2:$S$4994,"*pure white*",$T$2:$T$4994,DATA!$AY21)</f>
        <v>0</v>
      </c>
      <c r="BC21" s="15" t="str">
        <f t="shared" si="27"/>
        <v/>
      </c>
      <c r="BD21" s="15" t="str">
        <f t="shared" si="24"/>
        <v/>
      </c>
      <c r="BE21" s="18" t="str">
        <f t="shared" si="28"/>
        <v/>
      </c>
    </row>
    <row r="22" spans="1:57" ht="16.8">
      <c r="A22" s="9">
        <v>11</v>
      </c>
      <c r="B22" s="9">
        <v>2024</v>
      </c>
      <c r="C22" s="9" t="s">
        <v>46</v>
      </c>
      <c r="D22" s="9" t="s">
        <v>47</v>
      </c>
      <c r="E22" s="9" t="s">
        <v>47</v>
      </c>
      <c r="F22" s="10">
        <v>45360</v>
      </c>
      <c r="G22" s="9" t="s">
        <v>154</v>
      </c>
      <c r="H22" s="9" t="s">
        <v>56</v>
      </c>
      <c r="J22" s="11">
        <f>K22/320*12</f>
        <v>1.5</v>
      </c>
      <c r="K22" s="9">
        <v>40</v>
      </c>
      <c r="L22" s="12">
        <v>0.75</v>
      </c>
      <c r="M22" s="12">
        <v>30</v>
      </c>
      <c r="N22" s="13" t="s">
        <v>49</v>
      </c>
      <c r="Q22" s="9">
        <f>IF(Auction_Sales[[#This Row],[Payment Date]]=0,"",-1+WEEKNUM(Auction_Sales[[#This Row],[Payment Date]]))</f>
        <v>10</v>
      </c>
      <c r="R22" s="9">
        <f t="shared" si="6"/>
        <v>-200</v>
      </c>
      <c r="S22" s="1" t="str">
        <f t="shared" si="7"/>
        <v>English Roses</v>
      </c>
      <c r="T22" s="1" t="str">
        <f t="shared" si="7"/>
        <v>90CM</v>
      </c>
      <c r="U22" s="9">
        <v>240</v>
      </c>
      <c r="V22" s="13">
        <f>87.2/U22</f>
        <v>0.36333333333333334</v>
      </c>
      <c r="W22" s="13">
        <f t="shared" si="0"/>
        <v>87.2</v>
      </c>
      <c r="X22" s="14">
        <f t="shared" si="8"/>
        <v>-10.741473684210531</v>
      </c>
      <c r="Y22" s="13">
        <f t="shared" si="9"/>
        <v>76.45852631578947</v>
      </c>
      <c r="Z22" s="10">
        <v>45364</v>
      </c>
      <c r="AA22" s="9">
        <f t="shared" si="10"/>
        <v>200</v>
      </c>
      <c r="AC22" s="9">
        <v>432345</v>
      </c>
      <c r="AD22" s="14">
        <f t="shared" si="11"/>
        <v>5.2528879310344827</v>
      </c>
      <c r="AF22" s="14">
        <f t="shared" si="12"/>
        <v>4.8</v>
      </c>
      <c r="AH22" s="14">
        <f t="shared" si="29"/>
        <v>10.052887931034483</v>
      </c>
      <c r="AI22" s="13">
        <f t="shared" si="14"/>
        <v>66.40563838475498</v>
      </c>
      <c r="AK22" s="9">
        <f t="shared" si="15"/>
        <v>240</v>
      </c>
      <c r="AO22" s="1"/>
      <c r="AP22" s="23"/>
      <c r="AQ22" s="24"/>
      <c r="AR22" s="24"/>
      <c r="AS22" s="24"/>
      <c r="AX22" s="1" t="s">
        <v>55</v>
      </c>
      <c r="AY22" s="9" t="s">
        <v>56</v>
      </c>
      <c r="AZ22" s="9">
        <f>SUMIFS($U$2:$U$4994,$S$2:$S$4994,"*pure white*",$T$2:$T$4994,DATA!$AY22)</f>
        <v>0</v>
      </c>
      <c r="BA22" s="13">
        <f>SUMIFS($W$2:$W$4994,$S$2:$S$4994,"*pure white*",$T$2:$T$4994,DATA!$AY22)</f>
        <v>0</v>
      </c>
      <c r="BB22" s="13">
        <f>SUMIFS($AI$2:$AI$4994,$S$2:$S$4994,"*pure white*",$T$2:$T$4994,DATA!$AY22)</f>
        <v>0</v>
      </c>
      <c r="BC22" s="15" t="str">
        <f t="shared" si="27"/>
        <v/>
      </c>
      <c r="BD22" s="15" t="str">
        <f t="shared" si="24"/>
        <v/>
      </c>
      <c r="BE22" s="18" t="str">
        <f t="shared" si="28"/>
        <v/>
      </c>
    </row>
    <row r="23" spans="1:57" ht="16.8">
      <c r="A23" s="9">
        <v>11</v>
      </c>
      <c r="B23" s="9">
        <v>2024</v>
      </c>
      <c r="C23" s="9" t="s">
        <v>46</v>
      </c>
      <c r="D23" s="9" t="s">
        <v>47</v>
      </c>
      <c r="E23" s="9" t="s">
        <v>47</v>
      </c>
      <c r="F23" s="10">
        <v>45360</v>
      </c>
      <c r="G23" s="9" t="s">
        <v>154</v>
      </c>
      <c r="H23" s="9" t="s">
        <v>57</v>
      </c>
      <c r="I23" s="9">
        <v>1</v>
      </c>
      <c r="J23" s="11">
        <f>K23/240*12</f>
        <v>4</v>
      </c>
      <c r="K23" s="9">
        <v>80</v>
      </c>
      <c r="L23" s="12">
        <v>0.94</v>
      </c>
      <c r="M23" s="12">
        <v>75.2</v>
      </c>
      <c r="N23" s="13" t="s">
        <v>49</v>
      </c>
      <c r="Q23" s="9">
        <f>IF(Auction_Sales[[#This Row],[Payment Date]]=0,"",-1+WEEKNUM(Auction_Sales[[#This Row],[Payment Date]]))</f>
        <v>10</v>
      </c>
      <c r="R23" s="9">
        <f t="shared" si="6"/>
        <v>-160</v>
      </c>
      <c r="S23" s="1" t="str">
        <f t="shared" si="7"/>
        <v>English Roses</v>
      </c>
      <c r="T23" s="1" t="str">
        <f t="shared" si="7"/>
        <v>100CM</v>
      </c>
      <c r="U23" s="9">
        <v>240</v>
      </c>
      <c r="V23" s="13">
        <f>102/U23</f>
        <v>0.42499999999999999</v>
      </c>
      <c r="W23" s="13">
        <f t="shared" si="0"/>
        <v>102</v>
      </c>
      <c r="X23" s="14">
        <f t="shared" si="8"/>
        <v>-10.741473684210531</v>
      </c>
      <c r="Y23" s="13">
        <f t="shared" si="9"/>
        <v>91.258526315789467</v>
      </c>
      <c r="Z23" s="10">
        <v>45364</v>
      </c>
      <c r="AA23" s="9">
        <f t="shared" si="10"/>
        <v>160</v>
      </c>
      <c r="AC23" s="9">
        <v>432345</v>
      </c>
      <c r="AD23" s="14">
        <f t="shared" si="11"/>
        <v>14.007701149425287</v>
      </c>
      <c r="AF23" s="14">
        <f t="shared" si="12"/>
        <v>4.8</v>
      </c>
      <c r="AH23" s="14">
        <f t="shared" si="29"/>
        <v>18.807701149425288</v>
      </c>
      <c r="AI23" s="13">
        <f t="shared" si="14"/>
        <v>72.450825166364183</v>
      </c>
      <c r="AK23" s="9">
        <f t="shared" si="15"/>
        <v>240</v>
      </c>
      <c r="AO23" s="1"/>
      <c r="AP23" s="23"/>
      <c r="AQ23" s="24"/>
      <c r="AR23" s="24"/>
      <c r="AS23" s="24"/>
      <c r="AX23" s="1" t="s">
        <v>55</v>
      </c>
      <c r="AY23" s="9" t="s">
        <v>57</v>
      </c>
      <c r="AZ23" s="9">
        <f>SUMIFS($U$2:$U$4994,$S$2:$S$4994,"*pure white*",$T$2:$T$4994,DATA!$AY23)</f>
        <v>0</v>
      </c>
      <c r="BA23" s="13">
        <f>SUMIFS($W$2:$W$4994,$S$2:$S$4994,"*pure white*",$T$2:$T$4994,DATA!$AY23)</f>
        <v>0</v>
      </c>
      <c r="BB23" s="13">
        <f>SUMIFS($AI$2:$AI$4994,$S$2:$S$4994,"*pure white*",$T$2:$T$4994,DATA!$AY23)</f>
        <v>0</v>
      </c>
      <c r="BC23" s="15" t="str">
        <f t="shared" si="27"/>
        <v/>
      </c>
      <c r="BD23" s="15" t="str">
        <f t="shared" si="24"/>
        <v/>
      </c>
      <c r="BE23" s="18" t="str">
        <f t="shared" si="28"/>
        <v/>
      </c>
    </row>
    <row r="24" spans="1:57" ht="16.8">
      <c r="A24" s="9">
        <v>11</v>
      </c>
      <c r="B24" s="9">
        <v>2024</v>
      </c>
      <c r="C24" s="9" t="s">
        <v>46</v>
      </c>
      <c r="D24" s="9" t="s">
        <v>47</v>
      </c>
      <c r="E24" s="9" t="s">
        <v>47</v>
      </c>
      <c r="F24" s="10">
        <v>45360</v>
      </c>
      <c r="G24" s="9" t="s">
        <v>154</v>
      </c>
      <c r="H24" s="9" t="s">
        <v>52</v>
      </c>
      <c r="J24" s="11">
        <f>K24/240*12</f>
        <v>8</v>
      </c>
      <c r="K24" s="9">
        <v>160</v>
      </c>
      <c r="L24" s="12">
        <v>0.52</v>
      </c>
      <c r="M24" s="12">
        <v>83.2</v>
      </c>
      <c r="N24" s="13" t="s">
        <v>49</v>
      </c>
      <c r="Q24" s="9">
        <f>IF(Auction_Sales[[#This Row],[Payment Date]]=0,"",-1+WEEKNUM(Auction_Sales[[#This Row],[Payment Date]]))</f>
        <v>10</v>
      </c>
      <c r="R24" s="9">
        <f t="shared" si="6"/>
        <v>-800</v>
      </c>
      <c r="S24" s="1" t="str">
        <f t="shared" si="7"/>
        <v>English Roses</v>
      </c>
      <c r="T24" s="1" t="str">
        <f t="shared" si="7"/>
        <v>70CM</v>
      </c>
      <c r="U24" s="9">
        <v>960</v>
      </c>
      <c r="V24" s="13">
        <f>385.2/U24</f>
        <v>0.40125</v>
      </c>
      <c r="W24" s="13">
        <f t="shared" si="0"/>
        <v>385.2</v>
      </c>
      <c r="X24" s="14">
        <f t="shared" si="8"/>
        <v>-42.965894736842124</v>
      </c>
      <c r="Y24" s="13">
        <f t="shared" si="9"/>
        <v>342.23410526315786</v>
      </c>
      <c r="Z24" s="10">
        <v>45364</v>
      </c>
      <c r="AA24" s="9">
        <f t="shared" si="10"/>
        <v>800</v>
      </c>
      <c r="AC24" s="9">
        <v>432345</v>
      </c>
      <c r="AD24" s="14">
        <f t="shared" si="11"/>
        <v>28.015402298850574</v>
      </c>
      <c r="AF24" s="14">
        <f t="shared" si="12"/>
        <v>19.2</v>
      </c>
      <c r="AH24" s="14">
        <f t="shared" si="29"/>
        <v>47.215402298850577</v>
      </c>
      <c r="AI24" s="13">
        <f t="shared" si="14"/>
        <v>295.01870296430729</v>
      </c>
      <c r="AK24" s="9">
        <f t="shared" si="15"/>
        <v>960</v>
      </c>
      <c r="AO24" s="1"/>
      <c r="AP24" s="23"/>
      <c r="AQ24" s="24"/>
      <c r="AR24" s="24"/>
      <c r="AS24" s="1"/>
      <c r="AT24" s="1"/>
      <c r="AU24" s="25"/>
      <c r="AX24" s="1" t="s">
        <v>55</v>
      </c>
      <c r="AY24" s="9" t="s">
        <v>60</v>
      </c>
      <c r="AZ24" s="9">
        <f>SUMIFS($U$2:$U$4994,$S$2:$S$4994,"*pure white*",$T$2:$T$4994,DATA!$AY24)</f>
        <v>0</v>
      </c>
      <c r="BA24" s="13">
        <f>SUMIFS($W$2:$W$4994,$S$2:$S$4994,"*pure white*",$T$2:$T$4994,DATA!$AY24)</f>
        <v>0</v>
      </c>
      <c r="BB24" s="13">
        <f>SUMIFS($AI$2:$AI$4994,$S$2:$S$4994,"*pure white*",$T$2:$T$4994,DATA!$AY24)</f>
        <v>0</v>
      </c>
      <c r="BC24" s="15" t="str">
        <f t="shared" si="27"/>
        <v/>
      </c>
      <c r="BD24" s="15" t="str">
        <f t="shared" si="24"/>
        <v/>
      </c>
      <c r="BE24" s="18" t="str">
        <f t="shared" si="28"/>
        <v/>
      </c>
    </row>
    <row r="25" spans="1:57" ht="16.8">
      <c r="A25" s="9">
        <v>11</v>
      </c>
      <c r="B25" s="9">
        <v>2024</v>
      </c>
      <c r="C25" s="9" t="s">
        <v>46</v>
      </c>
      <c r="D25" s="9" t="s">
        <v>47</v>
      </c>
      <c r="E25" s="9" t="s">
        <v>47</v>
      </c>
      <c r="F25" s="10">
        <v>45360</v>
      </c>
      <c r="G25" s="9" t="s">
        <v>155</v>
      </c>
      <c r="H25" s="9" t="s">
        <v>48</v>
      </c>
      <c r="I25" s="9">
        <v>1</v>
      </c>
      <c r="J25" s="11">
        <f>K25/400*12</f>
        <v>4.8000000000000007</v>
      </c>
      <c r="K25" s="9">
        <v>160</v>
      </c>
      <c r="L25" s="12">
        <v>0.47</v>
      </c>
      <c r="M25" s="12">
        <v>75.2</v>
      </c>
      <c r="N25" s="13" t="s">
        <v>49</v>
      </c>
      <c r="Q25" s="9">
        <f>IF(Auction_Sales[[#This Row],[Payment Date]]=0,"",-1+WEEKNUM(Auction_Sales[[#This Row],[Payment Date]]))</f>
        <v>10</v>
      </c>
      <c r="R25" s="9">
        <f t="shared" si="6"/>
        <v>160</v>
      </c>
      <c r="S25" s="1" t="str">
        <f t="shared" si="7"/>
        <v>Floribunda Roses</v>
      </c>
      <c r="T25" s="1" t="str">
        <f t="shared" si="7"/>
        <v>60CM</v>
      </c>
      <c r="W25" s="13">
        <f t="shared" si="0"/>
        <v>0</v>
      </c>
      <c r="X25" s="14">
        <f t="shared" si="8"/>
        <v>0</v>
      </c>
      <c r="Y25" s="13">
        <f t="shared" si="9"/>
        <v>0</v>
      </c>
      <c r="Z25" s="10">
        <v>45364</v>
      </c>
      <c r="AA25" s="9">
        <f t="shared" si="10"/>
        <v>-160</v>
      </c>
      <c r="AC25" s="9">
        <v>432345</v>
      </c>
      <c r="AD25" s="14">
        <f t="shared" si="11"/>
        <v>16.809241379310347</v>
      </c>
      <c r="AF25" s="14">
        <f t="shared" si="12"/>
        <v>0</v>
      </c>
      <c r="AH25" s="14">
        <f t="shared" si="29"/>
        <v>16.809241379310347</v>
      </c>
      <c r="AI25" s="13">
        <f t="shared" si="14"/>
        <v>-16.809241379310347</v>
      </c>
      <c r="AK25" s="9">
        <f t="shared" si="15"/>
        <v>0</v>
      </c>
      <c r="AO25" s="1"/>
      <c r="AP25" s="23"/>
      <c r="AQ25" s="24"/>
      <c r="AR25" s="24"/>
      <c r="AS25" s="24"/>
      <c r="AX25" s="1"/>
    </row>
    <row r="26" spans="1:57" ht="16.8">
      <c r="A26" s="9">
        <v>11</v>
      </c>
      <c r="B26" s="9">
        <v>2024</v>
      </c>
      <c r="C26" s="9" t="s">
        <v>46</v>
      </c>
      <c r="D26" s="9" t="s">
        <v>47</v>
      </c>
      <c r="E26" s="9" t="s">
        <v>47</v>
      </c>
      <c r="F26" s="10">
        <v>45360</v>
      </c>
      <c r="G26" s="9" t="s">
        <v>155</v>
      </c>
      <c r="H26" s="9" t="s">
        <v>52</v>
      </c>
      <c r="J26" s="11">
        <f>K26/400*12</f>
        <v>7.1999999999999993</v>
      </c>
      <c r="K26" s="9">
        <v>240</v>
      </c>
      <c r="L26" s="12">
        <v>0.52</v>
      </c>
      <c r="M26" s="12">
        <v>124.8</v>
      </c>
      <c r="N26" s="13" t="s">
        <v>49</v>
      </c>
      <c r="Q26" s="9">
        <f>IF(Auction_Sales[[#This Row],[Payment Date]]=0,"",-1+WEEKNUM(Auction_Sales[[#This Row],[Payment Date]]))</f>
        <v>10</v>
      </c>
      <c r="R26" s="9">
        <f t="shared" si="6"/>
        <v>-1600</v>
      </c>
      <c r="S26" s="1" t="str">
        <f t="shared" si="7"/>
        <v>Floribunda Roses</v>
      </c>
      <c r="T26" s="1" t="str">
        <f t="shared" si="7"/>
        <v>70CM</v>
      </c>
      <c r="U26" s="9">
        <v>1840</v>
      </c>
      <c r="V26" s="13">
        <f>1051.2/U26</f>
        <v>0.57130434782608697</v>
      </c>
      <c r="W26" s="13">
        <f t="shared" si="0"/>
        <v>1051.2</v>
      </c>
      <c r="X26" s="14">
        <f t="shared" si="8"/>
        <v>-82.351298245614075</v>
      </c>
      <c r="Y26" s="13">
        <f t="shared" si="9"/>
        <v>968.84870175438596</v>
      </c>
      <c r="Z26" s="10">
        <v>45364</v>
      </c>
      <c r="AA26" s="9">
        <f t="shared" si="10"/>
        <v>1600</v>
      </c>
      <c r="AC26" s="9">
        <v>432345</v>
      </c>
      <c r="AD26" s="14">
        <f t="shared" si="11"/>
        <v>25.213862068965515</v>
      </c>
      <c r="AF26" s="14">
        <f t="shared" si="12"/>
        <v>36.800000000000004</v>
      </c>
      <c r="AH26" s="14">
        <f t="shared" si="29"/>
        <v>62.013862068965523</v>
      </c>
      <c r="AI26" s="13">
        <f t="shared" si="14"/>
        <v>906.83483968542043</v>
      </c>
      <c r="AK26" s="9">
        <f t="shared" si="15"/>
        <v>1840</v>
      </c>
      <c r="AO26" s="1" t="s">
        <v>153</v>
      </c>
      <c r="AP26" s="23"/>
      <c r="AQ26" s="24"/>
      <c r="AR26" s="24"/>
      <c r="AS26" s="24"/>
      <c r="AX26" s="1" t="s">
        <v>64</v>
      </c>
      <c r="AY26" s="17" t="s">
        <v>51</v>
      </c>
      <c r="AZ26" s="9">
        <f>SUMIFS($U$2:$U$4994,$S$2:$S$4994,"*pacific*",$T$2:$T$4994,DATA!$AY26)</f>
        <v>0</v>
      </c>
      <c r="BA26" s="13">
        <f>SUMIFS($W$2:$W$4994,$S$2:$S$4994,"*pacific*",$T$2:$T$4994,DATA!$AY26)</f>
        <v>0</v>
      </c>
      <c r="BB26" s="13">
        <f>SUMIFS($AI$2:$AI$4994,$S$2:$S$4994,"*pacific*",$T$2:$T$4994,DATA!$AY26)</f>
        <v>0</v>
      </c>
      <c r="BC26" s="15" t="str">
        <f t="shared" ref="BC26:BC32" si="30">IFERROR(BA26/AZ26,"")</f>
        <v/>
      </c>
      <c r="BD26" s="15" t="str">
        <f t="shared" ref="BD26:BD32" si="31">IFERROR(BB26/AZ26,"")</f>
        <v/>
      </c>
      <c r="BE26" s="18" t="str">
        <f t="shared" ref="BE26:BE32" si="32">IFERROR(BD26/BC26,"")</f>
        <v/>
      </c>
    </row>
    <row r="27" spans="1:57" ht="16.8">
      <c r="A27" s="9">
        <v>11</v>
      </c>
      <c r="B27" s="9">
        <v>2024</v>
      </c>
      <c r="C27" s="9" t="s">
        <v>46</v>
      </c>
      <c r="D27" s="9" t="s">
        <v>47</v>
      </c>
      <c r="E27" s="9" t="s">
        <v>47</v>
      </c>
      <c r="F27" s="10">
        <v>45360</v>
      </c>
      <c r="G27" s="9" t="s">
        <v>156</v>
      </c>
      <c r="H27" s="9" t="s">
        <v>56</v>
      </c>
      <c r="I27" s="9">
        <v>1</v>
      </c>
      <c r="J27" s="11">
        <f>K27/200*12</f>
        <v>4.8000000000000007</v>
      </c>
      <c r="K27" s="9">
        <v>80</v>
      </c>
      <c r="L27" s="12">
        <v>0.85</v>
      </c>
      <c r="M27" s="12">
        <v>68</v>
      </c>
      <c r="N27" s="13" t="s">
        <v>49</v>
      </c>
      <c r="Q27" s="9">
        <f>IF(Auction_Sales[[#This Row],[Payment Date]]=0,"",-1+WEEKNUM(Auction_Sales[[#This Row],[Payment Date]]))</f>
        <v>10</v>
      </c>
      <c r="R27" s="9">
        <f t="shared" si="6"/>
        <v>0</v>
      </c>
      <c r="S27" s="1" t="str">
        <f t="shared" si="7"/>
        <v>Polyantha Roses</v>
      </c>
      <c r="T27" s="1" t="str">
        <f t="shared" si="7"/>
        <v>90CM</v>
      </c>
      <c r="U27" s="9">
        <v>80</v>
      </c>
      <c r="V27" s="13">
        <f>73.2/U27</f>
        <v>0.91500000000000004</v>
      </c>
      <c r="W27" s="13">
        <f t="shared" si="0"/>
        <v>73.2</v>
      </c>
      <c r="X27" s="14">
        <f t="shared" si="8"/>
        <v>-3.5804912280701773</v>
      </c>
      <c r="Y27" s="13">
        <f t="shared" si="9"/>
        <v>69.61950877192983</v>
      </c>
      <c r="Z27" s="10">
        <v>45364</v>
      </c>
      <c r="AA27" s="9">
        <f t="shared" si="10"/>
        <v>0</v>
      </c>
      <c r="AC27" s="9">
        <v>432345</v>
      </c>
      <c r="AD27" s="14">
        <f t="shared" si="11"/>
        <v>16.809241379310347</v>
      </c>
      <c r="AF27" s="14">
        <f t="shared" si="12"/>
        <v>1.6</v>
      </c>
      <c r="AH27" s="14">
        <f t="shared" si="29"/>
        <v>18.409241379310348</v>
      </c>
      <c r="AI27" s="13">
        <f t="shared" si="14"/>
        <v>51.210267392619485</v>
      </c>
      <c r="AK27" s="9">
        <f t="shared" si="15"/>
        <v>80</v>
      </c>
      <c r="AO27" s="1" t="s">
        <v>154</v>
      </c>
      <c r="AX27" s="1" t="s">
        <v>64</v>
      </c>
      <c r="AY27" s="17" t="s">
        <v>48</v>
      </c>
      <c r="AZ27" s="9">
        <f>SUMIFS($U$2:$U$4994,$S$2:$S$4994,"*pacific*",$T$2:$T$4994,DATA!$AY27)</f>
        <v>0</v>
      </c>
      <c r="BA27" s="13">
        <f>SUMIFS($W$2:$W$4994,$S$2:$S$4994,"*pacific*",$T$2:$T$4994,DATA!$AY27)</f>
        <v>0</v>
      </c>
      <c r="BB27" s="13">
        <f>SUMIFS($AI$2:$AI$4994,$S$2:$S$4994,"*pacific*",$T$2:$T$4994,DATA!$AY27)</f>
        <v>0</v>
      </c>
      <c r="BC27" s="15" t="str">
        <f t="shared" si="30"/>
        <v/>
      </c>
      <c r="BD27" s="15" t="str">
        <f t="shared" si="31"/>
        <v/>
      </c>
      <c r="BE27" s="18" t="str">
        <f t="shared" si="32"/>
        <v/>
      </c>
    </row>
    <row r="28" spans="1:57">
      <c r="A28" s="9">
        <v>11</v>
      </c>
      <c r="B28" s="9">
        <v>2024</v>
      </c>
      <c r="C28" s="9" t="s">
        <v>46</v>
      </c>
      <c r="D28" s="9" t="s">
        <v>47</v>
      </c>
      <c r="E28" s="9" t="s">
        <v>47</v>
      </c>
      <c r="F28" s="10">
        <v>45360</v>
      </c>
      <c r="G28" s="9" t="s">
        <v>156</v>
      </c>
      <c r="H28" s="9" t="s">
        <v>57</v>
      </c>
      <c r="J28" s="11">
        <f>K28/200*12</f>
        <v>7.1999999999999993</v>
      </c>
      <c r="K28" s="9">
        <v>120</v>
      </c>
      <c r="L28" s="12">
        <v>1.04</v>
      </c>
      <c r="M28" s="12">
        <v>124.8</v>
      </c>
      <c r="N28" s="13" t="s">
        <v>49</v>
      </c>
      <c r="Q28" s="9">
        <f>IF(Auction_Sales[[#This Row],[Payment Date]]=0,"",-1+WEEKNUM(Auction_Sales[[#This Row],[Payment Date]]))</f>
        <v>10</v>
      </c>
      <c r="R28" s="9">
        <f t="shared" si="6"/>
        <v>0</v>
      </c>
      <c r="S28" s="1" t="str">
        <f t="shared" ref="S28:T34" si="33">IF(G28=0,"",G28)</f>
        <v>Polyantha Roses</v>
      </c>
      <c r="T28" s="1" t="str">
        <f t="shared" si="33"/>
        <v>100CM</v>
      </c>
      <c r="U28" s="9">
        <v>120</v>
      </c>
      <c r="V28" s="13">
        <f>120/U28</f>
        <v>1</v>
      </c>
      <c r="W28" s="13">
        <f t="shared" si="0"/>
        <v>120</v>
      </c>
      <c r="X28" s="14">
        <f t="shared" si="8"/>
        <v>-5.3707368421052655</v>
      </c>
      <c r="Y28" s="13">
        <f t="shared" si="9"/>
        <v>114.62926315789474</v>
      </c>
      <c r="Z28" s="10">
        <v>45364</v>
      </c>
      <c r="AA28" s="9">
        <f t="shared" si="10"/>
        <v>0</v>
      </c>
      <c r="AC28" s="9">
        <v>432345</v>
      </c>
      <c r="AD28" s="14">
        <f t="shared" si="11"/>
        <v>25.213862068965515</v>
      </c>
      <c r="AF28" s="14">
        <f t="shared" si="12"/>
        <v>2.4</v>
      </c>
      <c r="AH28" s="14">
        <f t="shared" si="29"/>
        <v>27.613862068965513</v>
      </c>
      <c r="AI28" s="13">
        <f t="shared" si="14"/>
        <v>87.015401088929224</v>
      </c>
      <c r="AK28" s="9">
        <f t="shared" si="15"/>
        <v>120</v>
      </c>
      <c r="AO28" s="1" t="s">
        <v>155</v>
      </c>
      <c r="AX28" s="1" t="s">
        <v>64</v>
      </c>
      <c r="AY28" s="9" t="s">
        <v>52</v>
      </c>
      <c r="AZ28" s="9">
        <f>SUMIFS($U$2:$U$4994,$S$2:$S$4994,"*pacific*",$T$2:$T$4994,DATA!$AY28)</f>
        <v>0</v>
      </c>
      <c r="BA28" s="13">
        <f>SUMIFS($W$2:$W$4994,$S$2:$S$4994,"*pacific*",$T$2:$T$4994,DATA!$AY28)</f>
        <v>0</v>
      </c>
      <c r="BB28" s="13">
        <f>SUMIFS($AI$2:$AI$4994,$S$2:$S$4994,"*pacific*",$T$2:$T$4994,DATA!$AY28)</f>
        <v>0</v>
      </c>
      <c r="BC28" s="15" t="str">
        <f t="shared" si="30"/>
        <v/>
      </c>
      <c r="BD28" s="15" t="str">
        <f t="shared" si="31"/>
        <v/>
      </c>
      <c r="BE28" s="18" t="str">
        <f t="shared" si="32"/>
        <v/>
      </c>
    </row>
    <row r="29" spans="1:57">
      <c r="A29" s="9">
        <v>11</v>
      </c>
      <c r="B29" s="9">
        <v>2024</v>
      </c>
      <c r="C29" s="9" t="s">
        <v>46</v>
      </c>
      <c r="D29" s="9" t="s">
        <v>47</v>
      </c>
      <c r="E29" s="9" t="s">
        <v>47</v>
      </c>
      <c r="F29" s="10">
        <v>45360</v>
      </c>
      <c r="G29" s="9" t="s">
        <v>153</v>
      </c>
      <c r="H29" s="9" t="s">
        <v>54</v>
      </c>
      <c r="I29" s="9">
        <v>1</v>
      </c>
      <c r="J29" s="11">
        <f>K29/360*12</f>
        <v>8</v>
      </c>
      <c r="K29" s="9">
        <v>240</v>
      </c>
      <c r="L29" s="12">
        <v>0.33</v>
      </c>
      <c r="M29" s="12">
        <v>79.2</v>
      </c>
      <c r="N29" s="13" t="s">
        <v>49</v>
      </c>
      <c r="Q29" s="9">
        <f>IF(Auction_Sales[[#This Row],[Payment Date]]=0,"",-1+WEEKNUM(Auction_Sales[[#This Row],[Payment Date]]))</f>
        <v>10</v>
      </c>
      <c r="R29" s="9">
        <f t="shared" si="6"/>
        <v>-520</v>
      </c>
      <c r="S29" s="1" t="str">
        <f t="shared" si="33"/>
        <v>Grandiflora Roses</v>
      </c>
      <c r="T29" s="1" t="str">
        <f t="shared" si="33"/>
        <v>80CM</v>
      </c>
      <c r="U29" s="9">
        <v>760</v>
      </c>
      <c r="V29" s="13">
        <f>416.8/U29</f>
        <v>0.54842105263157892</v>
      </c>
      <c r="W29" s="13">
        <f t="shared" si="0"/>
        <v>416.79999999999995</v>
      </c>
      <c r="X29" s="14">
        <f t="shared" si="8"/>
        <v>-34.014666666666685</v>
      </c>
      <c r="Y29" s="13">
        <f t="shared" si="9"/>
        <v>382.78533333333326</v>
      </c>
      <c r="Z29" s="10">
        <v>45364</v>
      </c>
      <c r="AA29" s="9">
        <f t="shared" si="10"/>
        <v>520</v>
      </c>
      <c r="AC29" s="9">
        <v>432345</v>
      </c>
      <c r="AD29" s="14">
        <f t="shared" si="11"/>
        <v>28.015402298850574</v>
      </c>
      <c r="AF29" s="14">
        <f t="shared" si="12"/>
        <v>15.200000000000001</v>
      </c>
      <c r="AH29" s="14">
        <f t="shared" si="29"/>
        <v>43.215402298850577</v>
      </c>
      <c r="AI29" s="13">
        <f t="shared" si="14"/>
        <v>339.56993103448269</v>
      </c>
      <c r="AK29" s="9">
        <f t="shared" si="15"/>
        <v>760</v>
      </c>
      <c r="AO29" s="1" t="s">
        <v>156</v>
      </c>
      <c r="AX29" s="1" t="s">
        <v>64</v>
      </c>
      <c r="AY29" s="9" t="s">
        <v>54</v>
      </c>
      <c r="AZ29" s="9">
        <f>SUMIFS($U$2:$U$4994,$S$2:$S$4994,"*pacific*",$T$2:$T$4994,DATA!$AY29)</f>
        <v>0</v>
      </c>
      <c r="BA29" s="13">
        <f>SUMIFS($W$2:$W$4994,$S$2:$S$4994,"*pacific*",$T$2:$T$4994,DATA!$AY29)</f>
        <v>0</v>
      </c>
      <c r="BB29" s="13">
        <f>SUMIFS($AI$2:$AI$4994,$S$2:$S$4994,"*pacific*",$T$2:$T$4994,DATA!$AY29)</f>
        <v>0</v>
      </c>
      <c r="BC29" s="15" t="str">
        <f t="shared" si="30"/>
        <v/>
      </c>
      <c r="BD29" s="15" t="str">
        <f t="shared" si="31"/>
        <v/>
      </c>
      <c r="BE29" s="18" t="str">
        <f t="shared" si="32"/>
        <v/>
      </c>
    </row>
    <row r="30" spans="1:57">
      <c r="A30" s="9">
        <v>11</v>
      </c>
      <c r="B30" s="9">
        <v>2024</v>
      </c>
      <c r="C30" s="9" t="s">
        <v>46</v>
      </c>
      <c r="D30" s="9" t="s">
        <v>47</v>
      </c>
      <c r="E30" s="9" t="s">
        <v>47</v>
      </c>
      <c r="F30" s="10">
        <v>45360</v>
      </c>
      <c r="G30" s="9" t="s">
        <v>153</v>
      </c>
      <c r="H30" s="9" t="s">
        <v>56</v>
      </c>
      <c r="J30" s="11">
        <f>K30/360*12</f>
        <v>4</v>
      </c>
      <c r="K30" s="9">
        <v>120</v>
      </c>
      <c r="L30" s="12">
        <v>0.38</v>
      </c>
      <c r="M30" s="12">
        <v>45.6</v>
      </c>
      <c r="N30" s="13" t="s">
        <v>49</v>
      </c>
      <c r="Q30" s="9">
        <f>IF(Auction_Sales[[#This Row],[Payment Date]]=0,"",-1+WEEKNUM(Auction_Sales[[#This Row],[Payment Date]]))</f>
        <v>10</v>
      </c>
      <c r="R30" s="9">
        <f t="shared" si="6"/>
        <v>120</v>
      </c>
      <c r="S30" s="1" t="str">
        <f t="shared" si="33"/>
        <v>Grandiflora Roses</v>
      </c>
      <c r="T30" s="1" t="str">
        <f t="shared" si="33"/>
        <v>90CM</v>
      </c>
      <c r="W30" s="13">
        <f t="shared" si="0"/>
        <v>0</v>
      </c>
      <c r="X30" s="14">
        <f t="shared" si="8"/>
        <v>0</v>
      </c>
      <c r="Y30" s="13">
        <f t="shared" si="9"/>
        <v>0</v>
      </c>
      <c r="Z30" s="10">
        <v>45364</v>
      </c>
      <c r="AA30" s="9">
        <f t="shared" si="10"/>
        <v>-120</v>
      </c>
      <c r="AC30" s="9">
        <v>432345</v>
      </c>
      <c r="AD30" s="14">
        <f t="shared" si="11"/>
        <v>14.007701149425287</v>
      </c>
      <c r="AF30" s="14">
        <f t="shared" si="12"/>
        <v>0</v>
      </c>
      <c r="AH30" s="14">
        <f t="shared" si="29"/>
        <v>14.007701149425287</v>
      </c>
      <c r="AI30" s="13">
        <f t="shared" si="14"/>
        <v>-14.007701149425287</v>
      </c>
      <c r="AK30" s="9">
        <f t="shared" si="15"/>
        <v>0</v>
      </c>
      <c r="AO30" s="1" t="s">
        <v>157</v>
      </c>
      <c r="AX30" s="1" t="s">
        <v>64</v>
      </c>
      <c r="AY30" s="9" t="s">
        <v>56</v>
      </c>
      <c r="AZ30" s="9">
        <f>SUMIFS($U$2:$U$4994,$S$2:$S$4994,"*pacific*",$T$2:$T$4994,DATA!$AY30)</f>
        <v>0</v>
      </c>
      <c r="BA30" s="13">
        <f>SUMIFS($W$2:$W$4994,$S$2:$S$4994,"*pacific*",$T$2:$T$4994,DATA!$AY30)</f>
        <v>0</v>
      </c>
      <c r="BB30" s="13">
        <f>SUMIFS($AI$2:$AI$4994,$S$2:$S$4994,"*pacific*",$T$2:$T$4994,DATA!$AY30)</f>
        <v>0</v>
      </c>
      <c r="BC30" s="15" t="str">
        <f t="shared" si="30"/>
        <v/>
      </c>
      <c r="BD30" s="15" t="str">
        <f t="shared" si="31"/>
        <v/>
      </c>
      <c r="BE30" s="18" t="str">
        <f t="shared" si="32"/>
        <v/>
      </c>
    </row>
    <row r="31" spans="1:57">
      <c r="A31" s="9">
        <v>11</v>
      </c>
      <c r="B31" s="9">
        <v>2024</v>
      </c>
      <c r="C31" s="9" t="s">
        <v>46</v>
      </c>
      <c r="D31" s="9" t="s">
        <v>47</v>
      </c>
      <c r="E31" s="9" t="s">
        <v>47</v>
      </c>
      <c r="F31" s="10">
        <v>45360</v>
      </c>
      <c r="G31" s="9" t="s">
        <v>157</v>
      </c>
      <c r="H31" s="9" t="s">
        <v>51</v>
      </c>
      <c r="I31" s="9">
        <v>1</v>
      </c>
      <c r="J31" s="11">
        <f>K31/400*12</f>
        <v>2.4000000000000004</v>
      </c>
      <c r="K31" s="9">
        <v>80</v>
      </c>
      <c r="L31" s="12">
        <v>0.14000000000000001</v>
      </c>
      <c r="M31" s="12">
        <v>11.2</v>
      </c>
      <c r="N31" s="13" t="s">
        <v>49</v>
      </c>
      <c r="Q31" s="9">
        <f>IF(Auction_Sales[[#This Row],[Payment Date]]=0,"",-1+WEEKNUM(Auction_Sales[[#This Row],[Payment Date]]))</f>
        <v>10</v>
      </c>
      <c r="R31" s="9">
        <f t="shared" si="6"/>
        <v>0</v>
      </c>
      <c r="S31" s="1" t="str">
        <f t="shared" si="33"/>
        <v>Moss Roses</v>
      </c>
      <c r="T31" s="1" t="str">
        <f t="shared" si="33"/>
        <v>50CM</v>
      </c>
      <c r="U31" s="9">
        <v>80</v>
      </c>
      <c r="V31" s="13">
        <f>19.2/U31</f>
        <v>0.24</v>
      </c>
      <c r="W31" s="13">
        <f t="shared" si="0"/>
        <v>19.2</v>
      </c>
      <c r="X31" s="14">
        <f t="shared" si="8"/>
        <v>-3.5804912280701773</v>
      </c>
      <c r="Y31" s="13">
        <f t="shared" si="9"/>
        <v>15.619508771929823</v>
      </c>
      <c r="Z31" s="10">
        <v>45364</v>
      </c>
      <c r="AA31" s="9">
        <f t="shared" si="10"/>
        <v>0</v>
      </c>
      <c r="AC31" s="9">
        <v>432345</v>
      </c>
      <c r="AD31" s="14">
        <f t="shared" si="11"/>
        <v>8.4046206896551734</v>
      </c>
      <c r="AF31" s="14">
        <f t="shared" si="12"/>
        <v>1.6</v>
      </c>
      <c r="AH31" s="14">
        <f t="shared" si="29"/>
        <v>10.004620689655173</v>
      </c>
      <c r="AI31" s="13">
        <f t="shared" si="14"/>
        <v>5.6148880822746499</v>
      </c>
      <c r="AK31" s="9">
        <f t="shared" si="15"/>
        <v>80</v>
      </c>
      <c r="AO31" s="1">
        <v>0</v>
      </c>
      <c r="AX31" s="1" t="s">
        <v>64</v>
      </c>
      <c r="AY31" s="9" t="s">
        <v>57</v>
      </c>
      <c r="AZ31" s="9">
        <f>SUMIFS($U$2:$U$4994,$S$2:$S$4994,"*pacific*",$T$2:$T$4994,DATA!$AY31)</f>
        <v>0</v>
      </c>
      <c r="BA31" s="13">
        <f>SUMIFS($W$2:$W$4994,$S$2:$S$4994,"*pacific*",$T$2:$T$4994,DATA!$AY31)</f>
        <v>0</v>
      </c>
      <c r="BB31" s="13">
        <f>SUMIFS($AI$2:$AI$4994,$S$2:$S$4994,"*pacific*",$T$2:$T$4994,DATA!$AY31)</f>
        <v>0</v>
      </c>
      <c r="BC31" s="15" t="str">
        <f t="shared" si="30"/>
        <v/>
      </c>
      <c r="BD31" s="15" t="str">
        <f t="shared" si="31"/>
        <v/>
      </c>
      <c r="BE31" s="18" t="str">
        <f t="shared" si="32"/>
        <v/>
      </c>
    </row>
    <row r="32" spans="1:57" ht="16.8">
      <c r="A32" s="9">
        <v>11</v>
      </c>
      <c r="B32" s="9">
        <v>2024</v>
      </c>
      <c r="C32" s="9" t="s">
        <v>46</v>
      </c>
      <c r="D32" s="9" t="s">
        <v>47</v>
      </c>
      <c r="E32" s="9" t="s">
        <v>47</v>
      </c>
      <c r="F32" s="10">
        <v>45360</v>
      </c>
      <c r="G32" s="9" t="s">
        <v>157</v>
      </c>
      <c r="H32" s="9" t="s">
        <v>48</v>
      </c>
      <c r="J32" s="11">
        <f t="shared" ref="J32:J34" si="34">K32/400*12</f>
        <v>3.5999999999999996</v>
      </c>
      <c r="K32" s="9">
        <v>120</v>
      </c>
      <c r="L32" s="12">
        <v>0.24</v>
      </c>
      <c r="M32" s="12">
        <v>28.8</v>
      </c>
      <c r="N32" s="13" t="s">
        <v>49</v>
      </c>
      <c r="Q32" s="9">
        <f>IF(Auction_Sales[[#This Row],[Payment Date]]=0,"",-1+WEEKNUM(Auction_Sales[[#This Row],[Payment Date]]))</f>
        <v>10</v>
      </c>
      <c r="R32" s="9">
        <f t="shared" si="6"/>
        <v>0</v>
      </c>
      <c r="S32" s="1" t="str">
        <f t="shared" si="33"/>
        <v>Moss Roses</v>
      </c>
      <c r="T32" s="1" t="str">
        <f t="shared" si="33"/>
        <v>60CM</v>
      </c>
      <c r="U32" s="9">
        <v>120</v>
      </c>
      <c r="V32" s="13">
        <f>30/U32</f>
        <v>0.25</v>
      </c>
      <c r="W32" s="13">
        <f t="shared" si="0"/>
        <v>30</v>
      </c>
      <c r="X32" s="14">
        <f t="shared" si="8"/>
        <v>-5.3707368421052655</v>
      </c>
      <c r="Y32" s="13">
        <f t="shared" si="9"/>
        <v>24.629263157894734</v>
      </c>
      <c r="Z32" s="10">
        <v>45364</v>
      </c>
      <c r="AA32" s="9">
        <f t="shared" si="10"/>
        <v>0</v>
      </c>
      <c r="AC32" s="9">
        <v>432345</v>
      </c>
      <c r="AD32" s="14">
        <f t="shared" si="11"/>
        <v>12.606931034482757</v>
      </c>
      <c r="AF32" s="14">
        <f t="shared" si="12"/>
        <v>2.4</v>
      </c>
      <c r="AH32" s="14">
        <f t="shared" si="29"/>
        <v>15.006931034482758</v>
      </c>
      <c r="AI32" s="13">
        <f t="shared" si="14"/>
        <v>9.6223321234119759</v>
      </c>
      <c r="AK32" s="9">
        <f t="shared" si="15"/>
        <v>120</v>
      </c>
      <c r="AO32" s="1" t="s">
        <v>158</v>
      </c>
      <c r="AP32" s="23"/>
      <c r="AX32" s="1" t="s">
        <v>64</v>
      </c>
      <c r="AY32" s="9" t="s">
        <v>60</v>
      </c>
      <c r="AZ32" s="9">
        <f>SUMIFS($U$2:$U$4994,$S$2:$S$4994,"*pacific*",$T$2:$T$4994,DATA!$AY32)</f>
        <v>0</v>
      </c>
      <c r="BA32" s="13">
        <f>SUMIFS($W$2:$W$4994,$S$2:$S$4994,"*pacific*",$T$2:$T$4994,DATA!$AY32)</f>
        <v>0</v>
      </c>
      <c r="BB32" s="13">
        <f>SUMIFS($AI$2:$AI$4994,$S$2:$S$4994,"*pacific*",$T$2:$T$4994,DATA!$AY32)</f>
        <v>0</v>
      </c>
      <c r="BC32" s="15" t="str">
        <f t="shared" si="30"/>
        <v/>
      </c>
      <c r="BD32" s="15" t="str">
        <f t="shared" si="31"/>
        <v/>
      </c>
      <c r="BE32" s="18" t="str">
        <f t="shared" si="32"/>
        <v/>
      </c>
    </row>
    <row r="33" spans="1:57" ht="16.8">
      <c r="A33" s="9">
        <v>11</v>
      </c>
      <c r="B33" s="9">
        <v>2024</v>
      </c>
      <c r="C33" s="9" t="s">
        <v>46</v>
      </c>
      <c r="D33" s="9" t="s">
        <v>47</v>
      </c>
      <c r="E33" s="9" t="s">
        <v>47</v>
      </c>
      <c r="F33" s="10">
        <v>45360</v>
      </c>
      <c r="G33" s="9" t="s">
        <v>157</v>
      </c>
      <c r="H33" s="9" t="s">
        <v>52</v>
      </c>
      <c r="J33" s="11">
        <f t="shared" si="34"/>
        <v>2.4000000000000004</v>
      </c>
      <c r="K33" s="9">
        <v>80</v>
      </c>
      <c r="L33" s="12">
        <v>0.28000000000000003</v>
      </c>
      <c r="M33" s="12">
        <v>22.4</v>
      </c>
      <c r="N33" s="13" t="s">
        <v>49</v>
      </c>
      <c r="Q33" s="9">
        <f>IF(Auction_Sales[[#This Row],[Payment Date]]=0,"",-1+WEEKNUM(Auction_Sales[[#This Row],[Payment Date]]))</f>
        <v>10</v>
      </c>
      <c r="R33" s="9">
        <f t="shared" si="6"/>
        <v>0</v>
      </c>
      <c r="S33" s="1" t="str">
        <f t="shared" si="33"/>
        <v>Moss Roses</v>
      </c>
      <c r="T33" s="1" t="str">
        <f t="shared" si="33"/>
        <v>70CM</v>
      </c>
      <c r="U33" s="9">
        <v>80</v>
      </c>
      <c r="V33" s="13">
        <f>30/U33</f>
        <v>0.375</v>
      </c>
      <c r="W33" s="13">
        <f t="shared" si="0"/>
        <v>30</v>
      </c>
      <c r="X33" s="14">
        <f t="shared" si="8"/>
        <v>-3.5804912280701773</v>
      </c>
      <c r="Y33" s="13">
        <f t="shared" si="9"/>
        <v>26.419508771929824</v>
      </c>
      <c r="Z33" s="10">
        <v>45364</v>
      </c>
      <c r="AA33" s="9">
        <f t="shared" si="10"/>
        <v>0</v>
      </c>
      <c r="AC33" s="9">
        <v>432345</v>
      </c>
      <c r="AD33" s="14">
        <f t="shared" si="11"/>
        <v>8.4046206896551734</v>
      </c>
      <c r="AF33" s="14">
        <f t="shared" si="12"/>
        <v>1.6</v>
      </c>
      <c r="AH33" s="14">
        <f t="shared" si="29"/>
        <v>10.004620689655173</v>
      </c>
      <c r="AI33" s="13">
        <f t="shared" si="14"/>
        <v>16.414888082274651</v>
      </c>
      <c r="AK33" s="9">
        <f t="shared" si="15"/>
        <v>80</v>
      </c>
      <c r="AO33" s="1" t="s">
        <v>159</v>
      </c>
      <c r="AP33" s="23"/>
      <c r="AX33" s="1"/>
    </row>
    <row r="34" spans="1:57" ht="16.8">
      <c r="A34" s="9">
        <v>11</v>
      </c>
      <c r="B34" s="9">
        <v>2024</v>
      </c>
      <c r="C34" s="9" t="s">
        <v>46</v>
      </c>
      <c r="D34" s="9" t="s">
        <v>47</v>
      </c>
      <c r="E34" s="9" t="s">
        <v>47</v>
      </c>
      <c r="F34" s="10">
        <v>45360</v>
      </c>
      <c r="G34" s="9" t="s">
        <v>157</v>
      </c>
      <c r="H34" s="9" t="s">
        <v>54</v>
      </c>
      <c r="J34" s="11">
        <f t="shared" si="34"/>
        <v>3.5999999999999996</v>
      </c>
      <c r="K34" s="9">
        <v>120</v>
      </c>
      <c r="L34" s="12">
        <v>0.33</v>
      </c>
      <c r="M34" s="12">
        <v>39.6</v>
      </c>
      <c r="N34" s="13" t="s">
        <v>49</v>
      </c>
      <c r="Q34" s="9">
        <f>IF(Auction_Sales[[#This Row],[Payment Date]]=0,"",-1+WEEKNUM(Auction_Sales[[#This Row],[Payment Date]]))</f>
        <v>10</v>
      </c>
      <c r="R34" s="9">
        <f t="shared" si="6"/>
        <v>0</v>
      </c>
      <c r="S34" s="1" t="str">
        <f t="shared" si="33"/>
        <v>Moss Roses</v>
      </c>
      <c r="T34" s="1" t="str">
        <f t="shared" si="33"/>
        <v>80CM</v>
      </c>
      <c r="U34" s="9">
        <v>120</v>
      </c>
      <c r="V34" s="13">
        <f>65.6/U34</f>
        <v>0.54666666666666663</v>
      </c>
      <c r="W34" s="13">
        <f t="shared" si="0"/>
        <v>65.599999999999994</v>
      </c>
      <c r="X34" s="14">
        <f t="shared" si="8"/>
        <v>-5.3707368421052655</v>
      </c>
      <c r="Y34" s="13">
        <f t="shared" si="9"/>
        <v>60.229263157894728</v>
      </c>
      <c r="Z34" s="10">
        <v>45364</v>
      </c>
      <c r="AA34" s="9">
        <f t="shared" si="10"/>
        <v>0</v>
      </c>
      <c r="AC34" s="9">
        <v>432345</v>
      </c>
      <c r="AD34" s="14">
        <f t="shared" si="11"/>
        <v>12.606931034482757</v>
      </c>
      <c r="AF34" s="14">
        <f t="shared" si="12"/>
        <v>2.4</v>
      </c>
      <c r="AH34" s="14">
        <f t="shared" si="29"/>
        <v>15.006931034482758</v>
      </c>
      <c r="AI34" s="13">
        <f t="shared" si="14"/>
        <v>45.222332123411974</v>
      </c>
      <c r="AK34" s="9">
        <f t="shared" si="15"/>
        <v>120</v>
      </c>
      <c r="AO34" s="1" t="s">
        <v>160</v>
      </c>
      <c r="AX34" s="1" t="s">
        <v>62</v>
      </c>
      <c r="AY34" s="17" t="s">
        <v>51</v>
      </c>
      <c r="AZ34" s="9">
        <f>SUMIFS($U$2:$U$4994,$S$2:$S$4994,"*ballkleid*",$T$2:$T$4994,DATA!$AY34)</f>
        <v>0</v>
      </c>
      <c r="BA34" s="13">
        <f>SUMIFS($W$2:$W$4994,$S$2:$S$4994,"*ballkleid*",$T$2:$T$4994,DATA!$AY34)</f>
        <v>0</v>
      </c>
      <c r="BB34" s="13">
        <f>SUMIFS($AI$2:$AI$4994,$S$2:$S$4994,"*ballkleid*",$T$2:$T$4994,DATA!$AY34)</f>
        <v>0</v>
      </c>
      <c r="BC34" s="15" t="str">
        <f t="shared" ref="BC34" si="35">IFERROR(BA34/AZ34,"")</f>
        <v/>
      </c>
      <c r="BD34" s="15" t="str">
        <f t="shared" ref="BD34" si="36">IFERROR(BB34/AZ34,"")</f>
        <v/>
      </c>
      <c r="BE34" s="18" t="str">
        <f t="shared" ref="BE34" si="37">IFERROR(BD34/BC34,"")</f>
        <v/>
      </c>
    </row>
    <row r="35" spans="1:57">
      <c r="A35" s="9">
        <v>11</v>
      </c>
      <c r="B35" s="9">
        <v>2024</v>
      </c>
      <c r="C35" s="9" t="s">
        <v>46</v>
      </c>
      <c r="D35" s="9" t="s">
        <v>47</v>
      </c>
      <c r="E35" s="9" t="s">
        <v>47</v>
      </c>
      <c r="F35" s="10">
        <v>45362</v>
      </c>
      <c r="G35" s="9" t="s">
        <v>153</v>
      </c>
      <c r="H35" s="9" t="s">
        <v>48</v>
      </c>
      <c r="I35" s="9">
        <v>1</v>
      </c>
      <c r="J35" s="11">
        <f t="shared" ref="J35:J51" si="38">I35*12</f>
        <v>12</v>
      </c>
      <c r="K35" s="9">
        <v>920</v>
      </c>
      <c r="L35" s="12">
        <v>0.24</v>
      </c>
      <c r="M35" s="12">
        <v>220.8</v>
      </c>
      <c r="N35" s="13" t="s">
        <v>49</v>
      </c>
      <c r="Q35" s="9">
        <f>IF(Auction_Sales[[#This Row],[Payment Date]]=0,"",-1+WEEKNUM(Auction_Sales[[#This Row],[Payment Date]]))</f>
        <v>10</v>
      </c>
      <c r="R35" s="9">
        <f t="shared" ref="R35:R40" si="39">K35-U35</f>
        <v>0</v>
      </c>
      <c r="S35" s="1" t="str">
        <f t="shared" ref="S35:T50" si="40">IF(G35=0,"",G35)</f>
        <v>Grandiflora Roses</v>
      </c>
      <c r="T35" s="1" t="str">
        <f t="shared" si="40"/>
        <v>60CM</v>
      </c>
      <c r="U35" s="9">
        <v>920</v>
      </c>
      <c r="V35" s="13">
        <f>340.4/U35</f>
        <v>0.37</v>
      </c>
      <c r="W35" s="13">
        <f t="shared" si="0"/>
        <v>340.4</v>
      </c>
      <c r="X35" s="14">
        <f>-(5962.8-5454.46)*U35/(4280+5040+3600)</f>
        <v>-36.197585139318896</v>
      </c>
      <c r="Y35" s="13">
        <f t="shared" ref="Y35:Y62" si="41">W35+X35</f>
        <v>304.20241486068107</v>
      </c>
      <c r="Z35" s="10">
        <v>45364</v>
      </c>
      <c r="AA35" s="9">
        <f t="shared" ref="AA35:AA90" si="42">U35-K35</f>
        <v>0</v>
      </c>
      <c r="AC35" s="9" t="s">
        <v>69</v>
      </c>
      <c r="AD35" s="14">
        <f>J35/(30*12)*1311.14</f>
        <v>43.704666666666668</v>
      </c>
      <c r="AF35" s="14">
        <f t="shared" ref="AF35:AF37" si="43">U35*0.02</f>
        <v>18.400000000000002</v>
      </c>
      <c r="AH35" s="14">
        <f t="shared" ref="AH35:AH37" si="44">SUM(AD35:AG35)</f>
        <v>62.104666666666674</v>
      </c>
      <c r="AI35" s="13">
        <f t="shared" si="14"/>
        <v>242.0977481940144</v>
      </c>
      <c r="AK35" s="9">
        <f t="shared" ref="AK35:AK87" si="45">U35</f>
        <v>920</v>
      </c>
      <c r="AO35" s="1"/>
      <c r="AX35" s="1" t="s">
        <v>62</v>
      </c>
      <c r="AY35" s="9" t="s">
        <v>57</v>
      </c>
      <c r="AZ35" s="9">
        <f>SUMIFS($U$2:$U$4994,$S$2:$S$4994,"*ballkleid*",$T$2:$T$4994,DATA!$AY35)</f>
        <v>0</v>
      </c>
      <c r="BA35" s="13">
        <f>SUMIFS($W$2:$W$4994,$S$2:$S$4994,"*ballkleid*",$T$2:$T$4994,DATA!$AY35)</f>
        <v>0</v>
      </c>
      <c r="BB35" s="13">
        <f>SUMIFS($AI$2:$AI$4994,$S$2:$S$4994,"*ballkleid*",$T$2:$T$4994,DATA!$AY35)</f>
        <v>0</v>
      </c>
      <c r="BC35" s="15" t="str">
        <f t="shared" ref="BC35:BC36" si="46">IFERROR(BA35/AZ35,"")</f>
        <v/>
      </c>
      <c r="BD35" s="15" t="str">
        <f t="shared" ref="BD35:BD36" si="47">IFERROR(BB35/AZ35,"")</f>
        <v/>
      </c>
      <c r="BE35" s="18" t="str">
        <f t="shared" ref="BE35:BE36" si="48">IFERROR(BD35/BC35,"")</f>
        <v/>
      </c>
    </row>
    <row r="36" spans="1:57">
      <c r="A36" s="9">
        <v>11</v>
      </c>
      <c r="B36" s="9">
        <v>2024</v>
      </c>
      <c r="C36" s="9" t="s">
        <v>46</v>
      </c>
      <c r="D36" s="9" t="s">
        <v>47</v>
      </c>
      <c r="E36" s="9" t="s">
        <v>47</v>
      </c>
      <c r="F36" s="10">
        <v>45362</v>
      </c>
      <c r="G36" s="9" t="s">
        <v>153</v>
      </c>
      <c r="H36" s="9" t="s">
        <v>52</v>
      </c>
      <c r="I36" s="9">
        <v>1</v>
      </c>
      <c r="J36" s="11">
        <f t="shared" si="38"/>
        <v>12</v>
      </c>
      <c r="K36" s="9">
        <v>440</v>
      </c>
      <c r="L36" s="12">
        <v>0.28000000000000003</v>
      </c>
      <c r="M36" s="12">
        <v>123.2</v>
      </c>
      <c r="N36" s="13" t="s">
        <v>49</v>
      </c>
      <c r="Q36" s="9">
        <f>IF(Auction_Sales[[#This Row],[Payment Date]]=0,"",-1+WEEKNUM(Auction_Sales[[#This Row],[Payment Date]]))</f>
        <v>10</v>
      </c>
      <c r="R36" s="9">
        <f t="shared" si="39"/>
        <v>-520</v>
      </c>
      <c r="S36" s="1" t="str">
        <f t="shared" si="40"/>
        <v>Grandiflora Roses</v>
      </c>
      <c r="T36" s="1" t="str">
        <f t="shared" si="40"/>
        <v>70CM</v>
      </c>
      <c r="U36" s="9">
        <v>960</v>
      </c>
      <c r="V36" s="13">
        <f>566.8/U36</f>
        <v>0.59041666666666659</v>
      </c>
      <c r="W36" s="13">
        <f t="shared" si="0"/>
        <v>566.79999999999995</v>
      </c>
      <c r="X36" s="14">
        <f t="shared" ref="X36:X62" si="49">-(5962.8-5454.46)*U36/(4280+5040+3600)</f>
        <v>-37.771393188854503</v>
      </c>
      <c r="Y36" s="13">
        <f t="shared" si="41"/>
        <v>529.02860681114544</v>
      </c>
      <c r="Z36" s="10">
        <v>45364</v>
      </c>
      <c r="AA36" s="9">
        <f t="shared" si="42"/>
        <v>520</v>
      </c>
      <c r="AC36" s="9" t="s">
        <v>69</v>
      </c>
      <c r="AD36" s="14">
        <f t="shared" ref="AD36:AD62" si="50">J36/(30*12)*1311.14</f>
        <v>43.704666666666668</v>
      </c>
      <c r="AF36" s="14">
        <f t="shared" si="43"/>
        <v>19.2</v>
      </c>
      <c r="AH36" s="14">
        <f t="shared" si="44"/>
        <v>62.904666666666671</v>
      </c>
      <c r="AI36" s="13">
        <f t="shared" si="14"/>
        <v>466.12394014447875</v>
      </c>
      <c r="AK36" s="9">
        <f t="shared" si="45"/>
        <v>960</v>
      </c>
      <c r="AO36" s="1"/>
      <c r="AX36" s="1" t="s">
        <v>62</v>
      </c>
      <c r="AY36" s="9" t="s">
        <v>60</v>
      </c>
      <c r="AZ36" s="9">
        <f>SUMIFS($U$2:$U$4994,$S$2:$S$4994,"*ballkleid*",$T$2:$T$4994,DATA!$AY36)</f>
        <v>0</v>
      </c>
      <c r="BA36" s="13">
        <f>SUMIFS($W$2:$W$4994,$S$2:$S$4994,"*ballkleid*",$T$2:$T$4994,DATA!$AY36)</f>
        <v>0</v>
      </c>
      <c r="BB36" s="13">
        <f>SUMIFS($AI$2:$AI$4994,$S$2:$S$4994,"*ballkleid*",$T$2:$T$4994,DATA!$AY36)</f>
        <v>0</v>
      </c>
      <c r="BC36" s="15" t="str">
        <f t="shared" si="46"/>
        <v/>
      </c>
      <c r="BD36" s="15" t="str">
        <f t="shared" si="47"/>
        <v/>
      </c>
      <c r="BE36" s="18" t="str">
        <f t="shared" si="48"/>
        <v/>
      </c>
    </row>
    <row r="37" spans="1:57">
      <c r="A37" s="9">
        <v>11</v>
      </c>
      <c r="B37" s="9">
        <v>2024</v>
      </c>
      <c r="C37" s="9" t="s">
        <v>46</v>
      </c>
      <c r="D37" s="9" t="s">
        <v>47</v>
      </c>
      <c r="E37" s="9" t="s">
        <v>47</v>
      </c>
      <c r="F37" s="10">
        <v>45362</v>
      </c>
      <c r="G37" s="9" t="s">
        <v>153</v>
      </c>
      <c r="H37" s="9" t="s">
        <v>52</v>
      </c>
      <c r="I37" s="9">
        <v>1</v>
      </c>
      <c r="J37" s="11">
        <f t="shared" si="38"/>
        <v>12</v>
      </c>
      <c r="K37" s="1">
        <v>520</v>
      </c>
      <c r="L37" s="12">
        <v>0.28000000000000003</v>
      </c>
      <c r="M37" s="12">
        <v>145.6</v>
      </c>
      <c r="N37" s="13" t="s">
        <v>49</v>
      </c>
      <c r="Q37" s="9">
        <f>IF(Auction_Sales[[#This Row],[Payment Date]]=0,"",-1+WEEKNUM(Auction_Sales[[#This Row],[Payment Date]]))</f>
        <v>10</v>
      </c>
      <c r="R37" s="9">
        <f t="shared" si="39"/>
        <v>520</v>
      </c>
      <c r="S37" s="1" t="str">
        <f t="shared" si="40"/>
        <v>Grandiflora Roses</v>
      </c>
      <c r="T37" s="1" t="str">
        <f t="shared" si="40"/>
        <v>70CM</v>
      </c>
      <c r="W37" s="13">
        <f t="shared" si="0"/>
        <v>0</v>
      </c>
      <c r="X37" s="14">
        <f t="shared" si="49"/>
        <v>0</v>
      </c>
      <c r="Y37" s="13">
        <f t="shared" si="41"/>
        <v>0</v>
      </c>
      <c r="Z37" s="10">
        <v>45364</v>
      </c>
      <c r="AA37" s="9">
        <f t="shared" si="42"/>
        <v>-520</v>
      </c>
      <c r="AC37" s="9" t="s">
        <v>69</v>
      </c>
      <c r="AD37" s="14">
        <f t="shared" si="50"/>
        <v>43.704666666666668</v>
      </c>
      <c r="AF37" s="14">
        <f t="shared" si="43"/>
        <v>0</v>
      </c>
      <c r="AH37" s="14">
        <f t="shared" si="44"/>
        <v>43.704666666666668</v>
      </c>
      <c r="AI37" s="13">
        <f t="shared" si="14"/>
        <v>-43.704666666666668</v>
      </c>
      <c r="AK37" s="9">
        <f t="shared" si="45"/>
        <v>0</v>
      </c>
      <c r="AO37" s="1"/>
      <c r="AX37" s="1"/>
      <c r="BA37" s="13"/>
      <c r="BB37" s="13"/>
    </row>
    <row r="38" spans="1:57" ht="16.8">
      <c r="A38" s="9">
        <v>11</v>
      </c>
      <c r="B38" s="9">
        <v>2024</v>
      </c>
      <c r="C38" s="9" t="s">
        <v>46</v>
      </c>
      <c r="D38" s="9" t="s">
        <v>47</v>
      </c>
      <c r="E38" s="9" t="s">
        <v>47</v>
      </c>
      <c r="F38" s="10">
        <v>45362</v>
      </c>
      <c r="G38" s="9" t="s">
        <v>153</v>
      </c>
      <c r="H38" s="9" t="s">
        <v>54</v>
      </c>
      <c r="I38" s="9">
        <v>1</v>
      </c>
      <c r="J38" s="11">
        <f t="shared" si="38"/>
        <v>12</v>
      </c>
      <c r="K38" s="1">
        <v>480</v>
      </c>
      <c r="L38" s="12">
        <v>0.33</v>
      </c>
      <c r="M38" s="12">
        <v>158.4</v>
      </c>
      <c r="N38" s="13" t="s">
        <v>49</v>
      </c>
      <c r="Q38" s="9">
        <f>IF(Auction_Sales[[#This Row],[Payment Date]]=0,"",-1+WEEKNUM(Auction_Sales[[#This Row],[Payment Date]]))</f>
        <v>10</v>
      </c>
      <c r="R38" s="9">
        <f t="shared" si="39"/>
        <v>0</v>
      </c>
      <c r="S38" s="1" t="str">
        <f t="shared" si="40"/>
        <v>Grandiflora Roses</v>
      </c>
      <c r="T38" s="1" t="str">
        <f t="shared" si="40"/>
        <v>80CM</v>
      </c>
      <c r="U38" s="9">
        <v>480</v>
      </c>
      <c r="V38" s="13">
        <f>278.4/U38</f>
        <v>0.57999999999999996</v>
      </c>
      <c r="W38" s="13">
        <f t="shared" si="0"/>
        <v>278.39999999999998</v>
      </c>
      <c r="X38" s="14">
        <f t="shared" si="49"/>
        <v>-18.885696594427252</v>
      </c>
      <c r="Y38" s="13">
        <f t="shared" si="41"/>
        <v>259.51430340557272</v>
      </c>
      <c r="Z38" s="10">
        <v>45364</v>
      </c>
      <c r="AA38" s="9">
        <f t="shared" si="42"/>
        <v>0</v>
      </c>
      <c r="AC38" s="9" t="s">
        <v>69</v>
      </c>
      <c r="AD38" s="14">
        <f t="shared" si="50"/>
        <v>43.704666666666668</v>
      </c>
      <c r="AF38" s="14">
        <f t="shared" si="12"/>
        <v>9.6</v>
      </c>
      <c r="AH38" s="14">
        <f t="shared" ref="AH38:AH39" si="51">SUM(AD38:AG38)</f>
        <v>53.30466666666667</v>
      </c>
      <c r="AI38" s="13">
        <f t="shared" si="14"/>
        <v>206.20963673890606</v>
      </c>
      <c r="AK38" s="9">
        <f t="shared" si="45"/>
        <v>480</v>
      </c>
      <c r="AO38" s="1"/>
      <c r="AP38" s="23"/>
      <c r="AX38" s="1" t="s">
        <v>58</v>
      </c>
      <c r="AY38" s="17" t="s">
        <v>51</v>
      </c>
      <c r="AZ38" s="9">
        <f>SUMIFS($U$2:$U$4994,$S$2:$S$4994,"*white bee*",$T$2:$T$4994,DATA!$AY38)</f>
        <v>0</v>
      </c>
      <c r="BA38" s="13">
        <f>SUMIFS($W$2:$W$4994,$S$2:$S$4994,"*white bee*",$T$2:$T$4994,DATA!$AY38)</f>
        <v>0</v>
      </c>
      <c r="BB38" s="13">
        <f>SUMIFS($AI$2:$AI$4994,$S$2:$S$4994,"*white bee*",$T$2:$T$4994,DATA!$AY38)</f>
        <v>0</v>
      </c>
      <c r="BC38" s="15" t="str">
        <f t="shared" ref="BC38" si="52">IFERROR(BA38/AZ38,"")</f>
        <v/>
      </c>
      <c r="BD38" s="15" t="str">
        <f t="shared" ref="BD38" si="53">IFERROR(BB38/AZ38,"")</f>
        <v/>
      </c>
      <c r="BE38" s="18" t="str">
        <f t="shared" ref="BE38" si="54">IFERROR(BD38/BC38,"")</f>
        <v/>
      </c>
    </row>
    <row r="39" spans="1:57" ht="16.8">
      <c r="A39" s="9">
        <v>11</v>
      </c>
      <c r="B39" s="9">
        <v>2024</v>
      </c>
      <c r="C39" s="9" t="s">
        <v>46</v>
      </c>
      <c r="D39" s="9" t="s">
        <v>47</v>
      </c>
      <c r="E39" s="9" t="s">
        <v>47</v>
      </c>
      <c r="F39" s="10">
        <v>45362</v>
      </c>
      <c r="G39" s="9" t="s">
        <v>153</v>
      </c>
      <c r="H39" s="9" t="s">
        <v>56</v>
      </c>
      <c r="I39" s="9">
        <v>1</v>
      </c>
      <c r="J39" s="11">
        <f t="shared" si="38"/>
        <v>12</v>
      </c>
      <c r="K39" s="1">
        <v>440</v>
      </c>
      <c r="L39" s="12">
        <v>0.38</v>
      </c>
      <c r="M39" s="12">
        <v>167.2</v>
      </c>
      <c r="N39" s="13" t="s">
        <v>49</v>
      </c>
      <c r="Q39" s="9">
        <f>IF(Auction_Sales[[#This Row],[Payment Date]]=0,"",-1+WEEKNUM(Auction_Sales[[#This Row],[Payment Date]]))</f>
        <v>10</v>
      </c>
      <c r="R39" s="9">
        <f t="shared" si="39"/>
        <v>-40</v>
      </c>
      <c r="S39" s="1" t="str">
        <f t="shared" si="40"/>
        <v>Grandiflora Roses</v>
      </c>
      <c r="T39" s="1" t="str">
        <f t="shared" si="40"/>
        <v>90CM</v>
      </c>
      <c r="U39" s="9">
        <v>480</v>
      </c>
      <c r="V39" s="13">
        <f>305.2/U39</f>
        <v>0.63583333333333336</v>
      </c>
      <c r="W39" s="13">
        <f t="shared" si="0"/>
        <v>305.2</v>
      </c>
      <c r="X39" s="14">
        <f t="shared" si="49"/>
        <v>-18.885696594427252</v>
      </c>
      <c r="Y39" s="13">
        <f t="shared" si="41"/>
        <v>286.31430340557273</v>
      </c>
      <c r="Z39" s="10">
        <v>45364</v>
      </c>
      <c r="AA39" s="9">
        <f t="shared" si="42"/>
        <v>40</v>
      </c>
      <c r="AC39" s="9" t="s">
        <v>69</v>
      </c>
      <c r="AD39" s="14">
        <f t="shared" si="50"/>
        <v>43.704666666666668</v>
      </c>
      <c r="AF39" s="14">
        <f t="shared" si="12"/>
        <v>9.6</v>
      </c>
      <c r="AH39" s="14">
        <f t="shared" si="51"/>
        <v>53.30466666666667</v>
      </c>
      <c r="AI39" s="13">
        <f t="shared" si="14"/>
        <v>233.00963673890607</v>
      </c>
      <c r="AK39" s="9">
        <f t="shared" si="45"/>
        <v>480</v>
      </c>
      <c r="AO39" s="1"/>
      <c r="AP39" s="23"/>
      <c r="AX39" s="1" t="s">
        <v>58</v>
      </c>
      <c r="AY39" s="17" t="s">
        <v>48</v>
      </c>
      <c r="AZ39" s="9">
        <f>SUMIFS($U$2:$U$4994,$S$2:$S$4994,"*white bee*",$T$2:$T$4994,DATA!$AY39)</f>
        <v>0</v>
      </c>
      <c r="BA39" s="13">
        <f>SUMIFS($W$2:$W$4994,$S$2:$S$4994,"*white bee*",$T$2:$T$4994,DATA!$AY39)</f>
        <v>0</v>
      </c>
      <c r="BB39" s="13">
        <f>SUMIFS($AI$2:$AI$4994,$S$2:$S$4994,"*white bee*",$T$2:$T$4994,DATA!$AY39)</f>
        <v>0</v>
      </c>
      <c r="BC39" s="15" t="str">
        <f t="shared" ref="BC39:BC51" si="55">IFERROR(BA39/AZ39,"")</f>
        <v/>
      </c>
      <c r="BD39" s="15" t="str">
        <f t="shared" ref="BD39:BD51" si="56">IFERROR(BB39/AZ39,"")</f>
        <v/>
      </c>
      <c r="BE39" s="18" t="str">
        <f t="shared" ref="BE39:BE51" si="57">IFERROR(BD39/BC39,"")</f>
        <v/>
      </c>
    </row>
    <row r="40" spans="1:57">
      <c r="A40" s="9">
        <v>11</v>
      </c>
      <c r="B40" s="9">
        <v>2024</v>
      </c>
      <c r="C40" s="9" t="s">
        <v>46</v>
      </c>
      <c r="D40" s="9" t="s">
        <v>47</v>
      </c>
      <c r="E40" s="9" t="s">
        <v>47</v>
      </c>
      <c r="F40" s="10">
        <v>45362</v>
      </c>
      <c r="G40" s="9" t="s">
        <v>154</v>
      </c>
      <c r="H40" s="9" t="s">
        <v>51</v>
      </c>
      <c r="I40" s="9">
        <v>1</v>
      </c>
      <c r="J40" s="11">
        <f t="shared" si="38"/>
        <v>12</v>
      </c>
      <c r="K40" s="1">
        <v>520</v>
      </c>
      <c r="L40" s="12">
        <v>0.38</v>
      </c>
      <c r="M40" s="12">
        <v>197.6</v>
      </c>
      <c r="N40" s="13" t="s">
        <v>49</v>
      </c>
      <c r="Q40" s="9">
        <f>IF(Auction_Sales[[#This Row],[Payment Date]]=0,"",-1+WEEKNUM(Auction_Sales[[#This Row],[Payment Date]]))</f>
        <v>10</v>
      </c>
      <c r="R40" s="9">
        <f t="shared" si="39"/>
        <v>-80</v>
      </c>
      <c r="S40" s="1" t="str">
        <f t="shared" si="40"/>
        <v>English Roses</v>
      </c>
      <c r="T40" s="1" t="str">
        <f t="shared" si="40"/>
        <v>50CM</v>
      </c>
      <c r="U40" s="9">
        <v>600</v>
      </c>
      <c r="V40" s="13">
        <f>138/U40</f>
        <v>0.23</v>
      </c>
      <c r="W40" s="13">
        <f t="shared" si="0"/>
        <v>138</v>
      </c>
      <c r="X40" s="14">
        <f t="shared" si="49"/>
        <v>-23.607120743034066</v>
      </c>
      <c r="Y40" s="13">
        <f t="shared" si="41"/>
        <v>114.39287925696593</v>
      </c>
      <c r="Z40" s="10">
        <v>45364</v>
      </c>
      <c r="AA40" s="9">
        <f t="shared" si="42"/>
        <v>80</v>
      </c>
      <c r="AC40" s="9" t="s">
        <v>69</v>
      </c>
      <c r="AD40" s="14">
        <f t="shared" si="50"/>
        <v>43.704666666666668</v>
      </c>
      <c r="AF40" s="14">
        <f t="shared" si="12"/>
        <v>12</v>
      </c>
      <c r="AH40" s="14">
        <f t="shared" ref="AH40:AH91" si="58">SUM(AD40:AG40)</f>
        <v>55.704666666666668</v>
      </c>
      <c r="AI40" s="13">
        <f t="shared" si="14"/>
        <v>58.688212590299258</v>
      </c>
      <c r="AK40" s="9">
        <f t="shared" si="45"/>
        <v>600</v>
      </c>
      <c r="AO40" s="1"/>
      <c r="AX40" s="1" t="s">
        <v>58</v>
      </c>
      <c r="AY40" s="9" t="s">
        <v>52</v>
      </c>
      <c r="AZ40" s="9">
        <f>SUMIFS($U$2:$U$4994,$S$2:$S$4994,"*white bee*",$T$2:$T$4994,DATA!$AY40)</f>
        <v>0</v>
      </c>
      <c r="BA40" s="13">
        <f>SUMIFS($W$2:$W$4994,$S$2:$S$4994,"*white bee*",$T$2:$T$4994,DATA!$AY40)</f>
        <v>0</v>
      </c>
      <c r="BB40" s="13">
        <f>SUMIFS($AI$2:$AI$4994,$S$2:$S$4994,"*white bee*",$T$2:$T$4994,DATA!$AY40)</f>
        <v>0</v>
      </c>
      <c r="BC40" s="15" t="str">
        <f t="shared" si="55"/>
        <v/>
      </c>
      <c r="BD40" s="15" t="str">
        <f t="shared" si="56"/>
        <v/>
      </c>
      <c r="BE40" s="18" t="str">
        <f t="shared" si="57"/>
        <v/>
      </c>
    </row>
    <row r="41" spans="1:57">
      <c r="A41" s="9">
        <v>11</v>
      </c>
      <c r="B41" s="9">
        <v>2024</v>
      </c>
      <c r="C41" s="9" t="s">
        <v>46</v>
      </c>
      <c r="D41" s="9" t="s">
        <v>47</v>
      </c>
      <c r="E41" s="9" t="s">
        <v>47</v>
      </c>
      <c r="F41" s="10">
        <v>45362</v>
      </c>
      <c r="G41" s="9" t="s">
        <v>154</v>
      </c>
      <c r="H41" s="9" t="s">
        <v>48</v>
      </c>
      <c r="I41" s="9">
        <v>1</v>
      </c>
      <c r="J41" s="11">
        <f t="shared" si="38"/>
        <v>12</v>
      </c>
      <c r="K41" s="1">
        <v>480</v>
      </c>
      <c r="L41" s="12">
        <v>0.47</v>
      </c>
      <c r="M41" s="12">
        <v>225.6</v>
      </c>
      <c r="N41" s="13" t="s">
        <v>49</v>
      </c>
      <c r="Q41" s="9">
        <f>IF(Auction_Sales[[#This Row],[Payment Date]]=0,"",-1+WEEKNUM(Auction_Sales[[#This Row],[Payment Date]]))</f>
        <v>10</v>
      </c>
      <c r="R41" s="9">
        <f t="shared" si="6"/>
        <v>-400</v>
      </c>
      <c r="S41" s="1" t="str">
        <f t="shared" si="40"/>
        <v>English Roses</v>
      </c>
      <c r="T41" s="1" t="str">
        <f t="shared" si="40"/>
        <v>60CM</v>
      </c>
      <c r="U41" s="9">
        <v>880</v>
      </c>
      <c r="V41" s="13">
        <f>186.8/U41</f>
        <v>0.21227272727272728</v>
      </c>
      <c r="W41" s="13">
        <f t="shared" si="0"/>
        <v>186.8</v>
      </c>
      <c r="X41" s="14">
        <f t="shared" si="49"/>
        <v>-34.623777089783289</v>
      </c>
      <c r="Y41" s="13">
        <f t="shared" si="41"/>
        <v>152.17622291021672</v>
      </c>
      <c r="Z41" s="10">
        <v>45364</v>
      </c>
      <c r="AA41" s="9">
        <f t="shared" si="42"/>
        <v>400</v>
      </c>
      <c r="AC41" s="9" t="s">
        <v>69</v>
      </c>
      <c r="AD41" s="14">
        <f t="shared" si="50"/>
        <v>43.704666666666668</v>
      </c>
      <c r="AF41" s="14">
        <f t="shared" si="12"/>
        <v>17.600000000000001</v>
      </c>
      <c r="AH41" s="14">
        <f t="shared" si="58"/>
        <v>61.30466666666667</v>
      </c>
      <c r="AI41" s="13">
        <f t="shared" si="14"/>
        <v>90.87155624355006</v>
      </c>
      <c r="AK41" s="9">
        <f t="shared" si="45"/>
        <v>880</v>
      </c>
      <c r="AO41" s="1"/>
      <c r="AX41" s="1" t="s">
        <v>58</v>
      </c>
      <c r="AY41" s="9" t="s">
        <v>54</v>
      </c>
      <c r="AZ41" s="9">
        <f>SUMIFS($U$2:$U$4994,$S$2:$S$4994,"*white bee*",$T$2:$T$4994,DATA!$AY41)</f>
        <v>0</v>
      </c>
      <c r="BA41" s="13">
        <f>SUMIFS($W$2:$W$4994,$S$2:$S$4994,"*white bee*",$T$2:$T$4994,DATA!$AY41)</f>
        <v>0</v>
      </c>
      <c r="BB41" s="13">
        <f>SUMIFS($AI$2:$AI$4994,$S$2:$S$4994,"*white bee*",$T$2:$T$4994,DATA!$AY41)</f>
        <v>0</v>
      </c>
      <c r="BC41" s="15" t="str">
        <f t="shared" si="55"/>
        <v/>
      </c>
      <c r="BD41" s="15" t="str">
        <f t="shared" si="56"/>
        <v/>
      </c>
      <c r="BE41" s="18" t="str">
        <f t="shared" si="57"/>
        <v/>
      </c>
    </row>
    <row r="42" spans="1:57">
      <c r="A42" s="9">
        <v>11</v>
      </c>
      <c r="B42" s="9">
        <v>2024</v>
      </c>
      <c r="C42" s="9" t="s">
        <v>46</v>
      </c>
      <c r="D42" s="9" t="s">
        <v>47</v>
      </c>
      <c r="E42" s="9" t="s">
        <v>47</v>
      </c>
      <c r="F42" s="10">
        <v>45362</v>
      </c>
      <c r="G42" s="9" t="s">
        <v>154</v>
      </c>
      <c r="H42" s="9" t="s">
        <v>52</v>
      </c>
      <c r="I42" s="9">
        <v>2</v>
      </c>
      <c r="J42" s="11">
        <f t="shared" si="38"/>
        <v>24</v>
      </c>
      <c r="K42" s="1">
        <v>800</v>
      </c>
      <c r="L42" s="12">
        <v>0.52</v>
      </c>
      <c r="M42" s="12">
        <v>416</v>
      </c>
      <c r="N42" s="13" t="s">
        <v>49</v>
      </c>
      <c r="Q42" s="9">
        <f>IF(Auction_Sales[[#This Row],[Payment Date]]=0,"",-1+WEEKNUM(Auction_Sales[[#This Row],[Payment Date]]))</f>
        <v>10</v>
      </c>
      <c r="R42" s="9">
        <f t="shared" si="6"/>
        <v>-160</v>
      </c>
      <c r="S42" s="1" t="str">
        <f t="shared" si="40"/>
        <v>English Roses</v>
      </c>
      <c r="T42" s="1" t="str">
        <f t="shared" si="40"/>
        <v>70CM</v>
      </c>
      <c r="U42" s="9">
        <v>960</v>
      </c>
      <c r="V42" s="13">
        <f>530.4/U42</f>
        <v>0.55249999999999999</v>
      </c>
      <c r="W42" s="13">
        <f t="shared" si="0"/>
        <v>530.4</v>
      </c>
      <c r="X42" s="14">
        <f t="shared" si="49"/>
        <v>-37.771393188854503</v>
      </c>
      <c r="Y42" s="13">
        <f t="shared" si="41"/>
        <v>492.62860681114546</v>
      </c>
      <c r="Z42" s="10">
        <v>45364</v>
      </c>
      <c r="AA42" s="9">
        <f t="shared" si="42"/>
        <v>160</v>
      </c>
      <c r="AC42" s="9" t="s">
        <v>69</v>
      </c>
      <c r="AD42" s="14">
        <f t="shared" si="50"/>
        <v>87.409333333333336</v>
      </c>
      <c r="AF42" s="14">
        <f t="shared" si="12"/>
        <v>19.2</v>
      </c>
      <c r="AH42" s="14">
        <f t="shared" si="58"/>
        <v>106.60933333333334</v>
      </c>
      <c r="AI42" s="13">
        <f t="shared" si="14"/>
        <v>386.01927347781213</v>
      </c>
      <c r="AK42" s="9">
        <f t="shared" si="45"/>
        <v>960</v>
      </c>
      <c r="AO42" s="1"/>
      <c r="AX42" s="1" t="s">
        <v>58</v>
      </c>
      <c r="AY42" s="9" t="s">
        <v>56</v>
      </c>
      <c r="AZ42" s="9">
        <f>SUMIFS($U$2:$U$4994,$S$2:$S$4994,"*white bee*",$T$2:$T$4994,DATA!$AY42)</f>
        <v>0</v>
      </c>
      <c r="BA42" s="13">
        <f>SUMIFS($W$2:$W$4994,$S$2:$S$4994,"*white bee*",$T$2:$T$4994,DATA!$AY42)</f>
        <v>0</v>
      </c>
      <c r="BB42" s="13">
        <f>SUMIFS($AI$2:$AI$4994,$S$2:$S$4994,"*white bee*",$T$2:$T$4994,DATA!$AY42)</f>
        <v>0</v>
      </c>
      <c r="BC42" s="15" t="str">
        <f t="shared" si="55"/>
        <v/>
      </c>
      <c r="BD42" s="15" t="str">
        <f t="shared" si="56"/>
        <v/>
      </c>
      <c r="BE42" s="18" t="str">
        <f t="shared" si="57"/>
        <v/>
      </c>
    </row>
    <row r="43" spans="1:57">
      <c r="A43" s="9">
        <v>11</v>
      </c>
      <c r="B43" s="9">
        <v>2024</v>
      </c>
      <c r="C43" s="9" t="s">
        <v>46</v>
      </c>
      <c r="D43" s="9" t="s">
        <v>47</v>
      </c>
      <c r="E43" s="9" t="s">
        <v>47</v>
      </c>
      <c r="F43" s="10">
        <v>45362</v>
      </c>
      <c r="G43" s="9" t="s">
        <v>154</v>
      </c>
      <c r="H43" s="9" t="s">
        <v>56</v>
      </c>
      <c r="I43" s="9">
        <v>1</v>
      </c>
      <c r="J43" s="11">
        <f t="shared" si="38"/>
        <v>12</v>
      </c>
      <c r="K43" s="1">
        <v>200</v>
      </c>
      <c r="L43" s="12">
        <v>0.75</v>
      </c>
      <c r="M43" s="12">
        <v>150</v>
      </c>
      <c r="N43" s="13" t="s">
        <v>49</v>
      </c>
      <c r="Q43" s="9">
        <f>IF(Auction_Sales[[#This Row],[Payment Date]]=0,"",-1+WEEKNUM(Auction_Sales[[#This Row],[Payment Date]]))</f>
        <v>10</v>
      </c>
      <c r="R43" s="9">
        <f t="shared" si="6"/>
        <v>0</v>
      </c>
      <c r="S43" s="1" t="str">
        <f t="shared" si="40"/>
        <v>English Roses</v>
      </c>
      <c r="T43" s="1" t="str">
        <f t="shared" si="40"/>
        <v>90CM</v>
      </c>
      <c r="U43" s="9">
        <v>200</v>
      </c>
      <c r="V43" s="13">
        <f>108.4/U43</f>
        <v>0.54200000000000004</v>
      </c>
      <c r="W43" s="13">
        <f t="shared" si="0"/>
        <v>108.4</v>
      </c>
      <c r="X43" s="14">
        <f t="shared" si="49"/>
        <v>-7.8690402476780212</v>
      </c>
      <c r="Y43" s="13">
        <f t="shared" si="41"/>
        <v>100.53095975232199</v>
      </c>
      <c r="Z43" s="10">
        <v>45364</v>
      </c>
      <c r="AA43" s="9">
        <f t="shared" si="42"/>
        <v>0</v>
      </c>
      <c r="AC43" s="9" t="s">
        <v>69</v>
      </c>
      <c r="AD43" s="14">
        <f t="shared" si="50"/>
        <v>43.704666666666668</v>
      </c>
      <c r="AF43" s="14">
        <f t="shared" si="12"/>
        <v>4</v>
      </c>
      <c r="AH43" s="14">
        <f t="shared" si="58"/>
        <v>47.704666666666668</v>
      </c>
      <c r="AI43" s="13">
        <f t="shared" si="14"/>
        <v>52.826293085655323</v>
      </c>
      <c r="AK43" s="9">
        <f t="shared" si="45"/>
        <v>200</v>
      </c>
      <c r="AO43" s="1"/>
      <c r="AX43" s="1" t="s">
        <v>58</v>
      </c>
      <c r="AY43" s="9" t="s">
        <v>57</v>
      </c>
      <c r="AZ43" s="9">
        <f>SUMIFS($U$2:$U$4994,$S$2:$S$4994,"*white bee*",$T$2:$T$4994,DATA!$AY43)</f>
        <v>0</v>
      </c>
      <c r="BA43" s="13">
        <f>SUMIFS($W$2:$W$4994,$S$2:$S$4994,"*white bee*",$T$2:$T$4994,DATA!$AY43)</f>
        <v>0</v>
      </c>
      <c r="BB43" s="13">
        <f>SUMIFS($AI$2:$AI$4994,$S$2:$S$4994,"*white bee*",$T$2:$T$4994,DATA!$AY43)</f>
        <v>0</v>
      </c>
      <c r="BC43" s="15" t="str">
        <f t="shared" si="55"/>
        <v/>
      </c>
      <c r="BD43" s="15" t="str">
        <f t="shared" si="56"/>
        <v/>
      </c>
      <c r="BE43" s="18" t="str">
        <f t="shared" si="57"/>
        <v/>
      </c>
    </row>
    <row r="44" spans="1:57">
      <c r="A44" s="9">
        <v>11</v>
      </c>
      <c r="B44" s="9">
        <v>2024</v>
      </c>
      <c r="C44" s="9" t="s">
        <v>46</v>
      </c>
      <c r="D44" s="9" t="s">
        <v>47</v>
      </c>
      <c r="E44" s="9" t="s">
        <v>47</v>
      </c>
      <c r="F44" s="10">
        <v>45362</v>
      </c>
      <c r="G44" s="9" t="s">
        <v>154</v>
      </c>
      <c r="H44" s="9" t="s">
        <v>57</v>
      </c>
      <c r="I44" s="9">
        <v>1</v>
      </c>
      <c r="J44" s="11">
        <f t="shared" si="38"/>
        <v>12</v>
      </c>
      <c r="K44" s="1">
        <v>200</v>
      </c>
      <c r="L44" s="12">
        <v>0.94</v>
      </c>
      <c r="M44" s="12">
        <v>188</v>
      </c>
      <c r="N44" s="13" t="s">
        <v>49</v>
      </c>
      <c r="Q44" s="9">
        <f>IF(Auction_Sales[[#This Row],[Payment Date]]=0,"",-1+WEEKNUM(Auction_Sales[[#This Row],[Payment Date]]))</f>
        <v>10</v>
      </c>
      <c r="R44" s="9">
        <f t="shared" si="6"/>
        <v>-120</v>
      </c>
      <c r="S44" s="1" t="str">
        <f t="shared" si="40"/>
        <v>English Roses</v>
      </c>
      <c r="T44" s="1" t="str">
        <f t="shared" si="40"/>
        <v>100CM</v>
      </c>
      <c r="U44" s="9">
        <v>320</v>
      </c>
      <c r="V44" s="13">
        <f>164.8/U44</f>
        <v>0.51500000000000001</v>
      </c>
      <c r="W44" s="13">
        <f t="shared" si="0"/>
        <v>164.8</v>
      </c>
      <c r="X44" s="14">
        <f t="shared" si="49"/>
        <v>-12.590464396284833</v>
      </c>
      <c r="Y44" s="13">
        <f t="shared" si="41"/>
        <v>152.20953560371518</v>
      </c>
      <c r="Z44" s="10">
        <v>45364</v>
      </c>
      <c r="AA44" s="9">
        <f t="shared" si="42"/>
        <v>120</v>
      </c>
      <c r="AC44" s="9" t="s">
        <v>69</v>
      </c>
      <c r="AD44" s="14">
        <f t="shared" si="50"/>
        <v>43.704666666666668</v>
      </c>
      <c r="AF44" s="14">
        <f t="shared" si="12"/>
        <v>6.4</v>
      </c>
      <c r="AH44" s="14">
        <f t="shared" ref="AH44:AH45" si="59">SUM(AD44:AG44)</f>
        <v>50.104666666666667</v>
      </c>
      <c r="AI44" s="13">
        <f t="shared" si="14"/>
        <v>102.10486893704851</v>
      </c>
      <c r="AK44" s="9">
        <f t="shared" si="45"/>
        <v>320</v>
      </c>
      <c r="AO44" s="1"/>
      <c r="AX44" s="1" t="s">
        <v>58</v>
      </c>
      <c r="AY44" s="9" t="s">
        <v>60</v>
      </c>
      <c r="AZ44" s="9">
        <f>SUMIFS($U$2:$U$4994,$S$2:$S$4994,"*white bee*",$T$2:$T$4994,DATA!$AY44)</f>
        <v>0</v>
      </c>
      <c r="BA44" s="13">
        <f>SUMIFS($W$2:$W$4994,$S$2:$S$4994,"*white bee*",$T$2:$T$4994,DATA!$AY44)</f>
        <v>0</v>
      </c>
      <c r="BB44" s="13">
        <f>SUMIFS($AI$2:$AI$4994,$S$2:$S$4994,"*white bee*",$T$2:$T$4994,DATA!$AY44)</f>
        <v>0</v>
      </c>
      <c r="BC44" s="15" t="str">
        <f t="shared" si="55"/>
        <v/>
      </c>
      <c r="BD44" s="15" t="str">
        <f t="shared" si="56"/>
        <v/>
      </c>
      <c r="BE44" s="18" t="str">
        <f t="shared" si="57"/>
        <v/>
      </c>
    </row>
    <row r="45" spans="1:57" ht="16.8">
      <c r="A45" s="9">
        <v>11</v>
      </c>
      <c r="B45" s="9">
        <v>2024</v>
      </c>
      <c r="C45" s="9" t="s">
        <v>46</v>
      </c>
      <c r="D45" s="9" t="s">
        <v>47</v>
      </c>
      <c r="E45" s="9" t="s">
        <v>47</v>
      </c>
      <c r="F45" s="10">
        <v>45362</v>
      </c>
      <c r="G45" s="9" t="s">
        <v>155</v>
      </c>
      <c r="H45" s="9" t="s">
        <v>51</v>
      </c>
      <c r="I45" s="9">
        <v>3</v>
      </c>
      <c r="J45" s="11">
        <f t="shared" si="38"/>
        <v>36</v>
      </c>
      <c r="K45" s="1">
        <v>1800</v>
      </c>
      <c r="L45" s="12">
        <v>0.38</v>
      </c>
      <c r="M45" s="12">
        <v>684</v>
      </c>
      <c r="N45" s="13" t="s">
        <v>49</v>
      </c>
      <c r="Q45" s="9">
        <f>IF(Auction_Sales[[#This Row],[Payment Date]]=0,"",-1+WEEKNUM(Auction_Sales[[#This Row],[Payment Date]]))</f>
        <v>10</v>
      </c>
      <c r="R45" s="9">
        <f t="shared" si="6"/>
        <v>-280</v>
      </c>
      <c r="S45" s="1" t="str">
        <f t="shared" si="40"/>
        <v>Floribunda Roses</v>
      </c>
      <c r="T45" s="1" t="str">
        <f t="shared" si="40"/>
        <v>50CM</v>
      </c>
      <c r="U45" s="9">
        <v>2080</v>
      </c>
      <c r="V45" s="13">
        <f>452.8/U45</f>
        <v>0.21769230769230768</v>
      </c>
      <c r="W45" s="13">
        <f t="shared" si="0"/>
        <v>452.8</v>
      </c>
      <c r="X45" s="14">
        <f t="shared" si="49"/>
        <v>-81.838018575851407</v>
      </c>
      <c r="Y45" s="13">
        <f t="shared" si="41"/>
        <v>370.96198142414858</v>
      </c>
      <c r="Z45" s="10">
        <v>45364</v>
      </c>
      <c r="AA45" s="9">
        <f t="shared" si="42"/>
        <v>280</v>
      </c>
      <c r="AC45" s="9" t="s">
        <v>69</v>
      </c>
      <c r="AD45" s="14">
        <f t="shared" si="50"/>
        <v>131.114</v>
      </c>
      <c r="AF45" s="14">
        <f t="shared" si="12"/>
        <v>41.6</v>
      </c>
      <c r="AH45" s="14">
        <f t="shared" si="59"/>
        <v>172.714</v>
      </c>
      <c r="AI45" s="13">
        <f t="shared" si="14"/>
        <v>198.24798142414858</v>
      </c>
      <c r="AK45" s="9">
        <f t="shared" si="45"/>
        <v>2080</v>
      </c>
      <c r="AO45" s="1"/>
      <c r="AP45" s="23"/>
      <c r="AX45" s="1"/>
      <c r="BA45" s="13"/>
      <c r="BB45" s="13"/>
      <c r="BC45" s="15" t="str">
        <f t="shared" si="55"/>
        <v/>
      </c>
      <c r="BD45" s="15" t="str">
        <f t="shared" si="56"/>
        <v/>
      </c>
      <c r="BE45" s="18" t="str">
        <f t="shared" si="57"/>
        <v/>
      </c>
    </row>
    <row r="46" spans="1:57" ht="16.8">
      <c r="A46" s="9">
        <v>11</v>
      </c>
      <c r="B46" s="9">
        <v>2024</v>
      </c>
      <c r="C46" s="9" t="s">
        <v>46</v>
      </c>
      <c r="D46" s="9" t="s">
        <v>47</v>
      </c>
      <c r="E46" s="9" t="s">
        <v>47</v>
      </c>
      <c r="F46" s="10">
        <v>45362</v>
      </c>
      <c r="G46" s="9" t="s">
        <v>155</v>
      </c>
      <c r="H46" s="9" t="s">
        <v>48</v>
      </c>
      <c r="I46" s="9">
        <v>3</v>
      </c>
      <c r="J46" s="11">
        <f t="shared" si="38"/>
        <v>36</v>
      </c>
      <c r="K46" s="1">
        <v>1560</v>
      </c>
      <c r="L46" s="12">
        <v>0.47</v>
      </c>
      <c r="M46" s="12">
        <v>733.2</v>
      </c>
      <c r="N46" s="13" t="s">
        <v>49</v>
      </c>
      <c r="Q46" s="9">
        <f>IF(Auction_Sales[[#This Row],[Payment Date]]=0,"",-1+WEEKNUM(Auction_Sales[[#This Row],[Payment Date]]))</f>
        <v>10</v>
      </c>
      <c r="R46" s="9">
        <f t="shared" si="6"/>
        <v>-360</v>
      </c>
      <c r="S46" s="1" t="str">
        <f t="shared" si="40"/>
        <v>Floribunda Roses</v>
      </c>
      <c r="T46" s="1" t="str">
        <f t="shared" si="40"/>
        <v>60CM</v>
      </c>
      <c r="U46" s="9">
        <v>1920</v>
      </c>
      <c r="V46" s="13">
        <f>896.8/U46</f>
        <v>0.46708333333333329</v>
      </c>
      <c r="W46" s="13">
        <f t="shared" si="0"/>
        <v>896.8</v>
      </c>
      <c r="X46" s="14">
        <f t="shared" si="49"/>
        <v>-75.542786377709007</v>
      </c>
      <c r="Y46" s="13">
        <f t="shared" si="41"/>
        <v>821.25721362229092</v>
      </c>
      <c r="Z46" s="10">
        <v>45364</v>
      </c>
      <c r="AA46" s="9">
        <f t="shared" si="42"/>
        <v>360</v>
      </c>
      <c r="AC46" s="9" t="s">
        <v>69</v>
      </c>
      <c r="AD46" s="14">
        <f t="shared" si="50"/>
        <v>131.114</v>
      </c>
      <c r="AF46" s="14">
        <f t="shared" si="12"/>
        <v>38.4</v>
      </c>
      <c r="AH46" s="14">
        <f t="shared" si="58"/>
        <v>169.51400000000001</v>
      </c>
      <c r="AI46" s="13">
        <f t="shared" si="14"/>
        <v>651.74321362229091</v>
      </c>
      <c r="AK46" s="9">
        <f t="shared" si="45"/>
        <v>1920</v>
      </c>
      <c r="AO46" s="1"/>
      <c r="AP46" s="23"/>
      <c r="AX46" s="1" t="s">
        <v>63</v>
      </c>
      <c r="AY46" s="17" t="s">
        <v>51</v>
      </c>
      <c r="AZ46" s="9">
        <f>SUMIFS($U$2:$U$4994,$S$2:$S$4994,"*eucalyptus*",$T$2:$T$4994,DATA!$AY46)</f>
        <v>0</v>
      </c>
      <c r="BA46" s="13">
        <f>SUMIFS($W$2:$W$4994,$S$2:$S$4994,"*eucalyptus*",$T$2:$T$4994,DATA!$AY46)</f>
        <v>0</v>
      </c>
      <c r="BB46" s="13">
        <f>SUMIFS($AI$2:$AI$4994,$S$2:$S$4994,"*eucalyptus*",$T$2:$T$4994,DATA!$AY46)</f>
        <v>0</v>
      </c>
      <c r="BC46" s="15" t="str">
        <f t="shared" si="55"/>
        <v/>
      </c>
      <c r="BD46" s="15" t="str">
        <f t="shared" si="56"/>
        <v/>
      </c>
      <c r="BE46" s="18"/>
    </row>
    <row r="47" spans="1:57" ht="16.8">
      <c r="A47" s="9">
        <v>11</v>
      </c>
      <c r="B47" s="9">
        <v>2024</v>
      </c>
      <c r="C47" s="9" t="s">
        <v>46</v>
      </c>
      <c r="D47" s="9" t="s">
        <v>47</v>
      </c>
      <c r="E47" s="9" t="s">
        <v>47</v>
      </c>
      <c r="F47" s="10">
        <v>45362</v>
      </c>
      <c r="G47" s="9" t="s">
        <v>155</v>
      </c>
      <c r="H47" s="9" t="s">
        <v>52</v>
      </c>
      <c r="I47" s="9">
        <v>3</v>
      </c>
      <c r="J47" s="11">
        <f t="shared" si="38"/>
        <v>36</v>
      </c>
      <c r="K47" s="1">
        <v>1200</v>
      </c>
      <c r="L47" s="12">
        <v>0.52</v>
      </c>
      <c r="M47" s="12">
        <v>624</v>
      </c>
      <c r="N47" s="13" t="s">
        <v>49</v>
      </c>
      <c r="Q47" s="9">
        <f>IF(Auction_Sales[[#This Row],[Payment Date]]=0,"",-1+WEEKNUM(Auction_Sales[[#This Row],[Payment Date]]))</f>
        <v>10</v>
      </c>
      <c r="R47" s="9">
        <f>K47-U47</f>
        <v>0</v>
      </c>
      <c r="S47" s="1" t="str">
        <f t="shared" si="40"/>
        <v>Floribunda Roses</v>
      </c>
      <c r="T47" s="1" t="str">
        <f t="shared" si="40"/>
        <v>70CM</v>
      </c>
      <c r="U47" s="9">
        <v>1200</v>
      </c>
      <c r="V47" s="13">
        <f>744.4/U47</f>
        <v>0.62033333333333329</v>
      </c>
      <c r="W47" s="13">
        <f t="shared" si="0"/>
        <v>744.4</v>
      </c>
      <c r="X47" s="14">
        <f t="shared" si="49"/>
        <v>-47.214241486068133</v>
      </c>
      <c r="Y47" s="13">
        <f t="shared" si="41"/>
        <v>697.18575851393189</v>
      </c>
      <c r="Z47" s="10">
        <v>45364</v>
      </c>
      <c r="AA47" s="9">
        <f t="shared" si="42"/>
        <v>0</v>
      </c>
      <c r="AC47" s="9" t="s">
        <v>69</v>
      </c>
      <c r="AD47" s="14">
        <f t="shared" si="50"/>
        <v>131.114</v>
      </c>
      <c r="AF47" s="14">
        <f t="shared" si="12"/>
        <v>24</v>
      </c>
      <c r="AH47" s="14">
        <f t="shared" si="58"/>
        <v>155.114</v>
      </c>
      <c r="AI47" s="13">
        <f t="shared" si="14"/>
        <v>542.07175851393185</v>
      </c>
      <c r="AK47" s="9">
        <f t="shared" si="45"/>
        <v>1200</v>
      </c>
      <c r="AO47" s="1"/>
      <c r="AX47" s="1" t="s">
        <v>63</v>
      </c>
      <c r="AY47" s="17" t="s">
        <v>48</v>
      </c>
      <c r="AZ47" s="9">
        <f>SUMIFS($U$2:$U$4994,$S$2:$S$4994,"*eucalyptus*",$T$2:$T$4994,DATA!$AY47)</f>
        <v>0</v>
      </c>
      <c r="BA47" s="13">
        <f>SUMIFS($W$2:$W$4994,$S$2:$S$4994,"*eucalyptus*",$T$2:$T$4994,DATA!$AY47)</f>
        <v>0</v>
      </c>
      <c r="BB47" s="13">
        <f>SUMIFS($AI$2:$AI$4994,$S$2:$S$4994,"*eucalyptus*",$T$2:$T$4994,DATA!$AY47)</f>
        <v>0</v>
      </c>
      <c r="BC47" s="15" t="str">
        <f t="shared" si="55"/>
        <v/>
      </c>
      <c r="BD47" s="15" t="str">
        <f t="shared" si="56"/>
        <v/>
      </c>
      <c r="BE47" s="18"/>
    </row>
    <row r="48" spans="1:57">
      <c r="A48" s="9">
        <v>11</v>
      </c>
      <c r="B48" s="9">
        <v>2024</v>
      </c>
      <c r="C48" s="9" t="s">
        <v>46</v>
      </c>
      <c r="D48" s="9" t="s">
        <v>47</v>
      </c>
      <c r="E48" s="9" t="s">
        <v>47</v>
      </c>
      <c r="F48" s="10">
        <v>45362</v>
      </c>
      <c r="G48" s="9" t="s">
        <v>155</v>
      </c>
      <c r="H48" s="9" t="s">
        <v>54</v>
      </c>
      <c r="I48" s="9">
        <v>1</v>
      </c>
      <c r="J48" s="11">
        <f t="shared" si="38"/>
        <v>12</v>
      </c>
      <c r="K48" s="1">
        <v>320</v>
      </c>
      <c r="L48" s="12">
        <v>0.56999999999999995</v>
      </c>
      <c r="M48" s="12">
        <v>182.4</v>
      </c>
      <c r="N48" s="13" t="s">
        <v>49</v>
      </c>
      <c r="Q48" s="9">
        <f>IF(Auction_Sales[[#This Row],[Payment Date]]=0,"",-1+WEEKNUM(Auction_Sales[[#This Row],[Payment Date]]))</f>
        <v>10</v>
      </c>
      <c r="R48" s="9">
        <f t="shared" ref="R48:R62" si="60">K48-U48</f>
        <v>-320</v>
      </c>
      <c r="S48" s="1" t="str">
        <f t="shared" si="40"/>
        <v>Floribunda Roses</v>
      </c>
      <c r="T48" s="1" t="str">
        <f t="shared" si="40"/>
        <v>80CM</v>
      </c>
      <c r="U48" s="9">
        <v>640</v>
      </c>
      <c r="V48" s="13">
        <f>313.6/U48</f>
        <v>0.49000000000000005</v>
      </c>
      <c r="W48" s="13">
        <f t="shared" si="0"/>
        <v>313.60000000000002</v>
      </c>
      <c r="X48" s="14">
        <f t="shared" si="49"/>
        <v>-25.180928792569667</v>
      </c>
      <c r="Y48" s="13">
        <f t="shared" si="41"/>
        <v>288.41907120743036</v>
      </c>
      <c r="Z48" s="10">
        <v>45364</v>
      </c>
      <c r="AA48" s="9">
        <f t="shared" si="42"/>
        <v>320</v>
      </c>
      <c r="AC48" s="9" t="s">
        <v>69</v>
      </c>
      <c r="AD48" s="14">
        <f t="shared" si="50"/>
        <v>43.704666666666668</v>
      </c>
      <c r="AF48" s="14">
        <f t="shared" si="12"/>
        <v>12.8</v>
      </c>
      <c r="AH48" s="14">
        <f t="shared" si="58"/>
        <v>56.504666666666665</v>
      </c>
      <c r="AI48" s="13">
        <f t="shared" si="14"/>
        <v>231.91440454076371</v>
      </c>
      <c r="AK48" s="9">
        <f t="shared" si="45"/>
        <v>640</v>
      </c>
      <c r="AO48" s="1"/>
      <c r="AX48" s="1" t="s">
        <v>63</v>
      </c>
      <c r="AY48" s="9" t="s">
        <v>52</v>
      </c>
      <c r="AZ48" s="9">
        <f>SUMIFS($U$2:$U$4994,$S$2:$S$4994,"*eucalyptus*",$T$2:$T$4994,DATA!$AY48)</f>
        <v>0</v>
      </c>
      <c r="BA48" s="13">
        <f>SUMIFS($W$2:$W$4994,$S$2:$S$4994,"*eucalyptus*",$T$2:$T$4994,DATA!$AY48)</f>
        <v>0</v>
      </c>
      <c r="BB48" s="13">
        <f>SUMIFS($AI$2:$AI$4994,$S$2:$S$4994,"*eucalyptus*",$T$2:$T$4994,DATA!$AY48)</f>
        <v>0</v>
      </c>
      <c r="BC48" s="15" t="str">
        <f t="shared" si="55"/>
        <v/>
      </c>
      <c r="BD48" s="15" t="str">
        <f t="shared" si="56"/>
        <v/>
      </c>
      <c r="BE48" s="18"/>
    </row>
    <row r="49" spans="1:57">
      <c r="A49" s="9">
        <v>11</v>
      </c>
      <c r="B49" s="9">
        <v>2024</v>
      </c>
      <c r="C49" s="9" t="s">
        <v>46</v>
      </c>
      <c r="D49" s="9" t="s">
        <v>47</v>
      </c>
      <c r="E49" s="9" t="s">
        <v>47</v>
      </c>
      <c r="F49" s="10">
        <v>45362</v>
      </c>
      <c r="G49" s="9" t="s">
        <v>155</v>
      </c>
      <c r="H49" s="9" t="s">
        <v>54</v>
      </c>
      <c r="I49" s="9">
        <v>1</v>
      </c>
      <c r="J49" s="11">
        <f t="shared" si="38"/>
        <v>12</v>
      </c>
      <c r="K49" s="1">
        <v>280</v>
      </c>
      <c r="L49" s="12">
        <v>0.56999999999999995</v>
      </c>
      <c r="M49" s="12">
        <v>159.6</v>
      </c>
      <c r="N49" s="13" t="s">
        <v>49</v>
      </c>
      <c r="Q49" s="9">
        <f>IF(Auction_Sales[[#This Row],[Payment Date]]=0,"",-1+WEEKNUM(Auction_Sales[[#This Row],[Payment Date]]))</f>
        <v>10</v>
      </c>
      <c r="R49" s="9">
        <f t="shared" si="60"/>
        <v>280</v>
      </c>
      <c r="S49" s="1" t="str">
        <f t="shared" si="40"/>
        <v>Floribunda Roses</v>
      </c>
      <c r="T49" s="1" t="str">
        <f t="shared" si="40"/>
        <v>80CM</v>
      </c>
      <c r="W49" s="13">
        <f t="shared" si="0"/>
        <v>0</v>
      </c>
      <c r="X49" s="14">
        <f t="shared" si="49"/>
        <v>0</v>
      </c>
      <c r="Y49" s="13">
        <f t="shared" si="41"/>
        <v>0</v>
      </c>
      <c r="Z49" s="10">
        <v>45364</v>
      </c>
      <c r="AA49" s="9">
        <f t="shared" si="42"/>
        <v>-280</v>
      </c>
      <c r="AC49" s="9" t="s">
        <v>69</v>
      </c>
      <c r="AD49" s="14">
        <f t="shared" si="50"/>
        <v>43.704666666666668</v>
      </c>
      <c r="AF49" s="14">
        <f t="shared" si="12"/>
        <v>0</v>
      </c>
      <c r="AH49" s="14">
        <f t="shared" si="58"/>
        <v>43.704666666666668</v>
      </c>
      <c r="AI49" s="13">
        <f t="shared" si="14"/>
        <v>-43.704666666666668</v>
      </c>
      <c r="AK49" s="9">
        <f t="shared" si="45"/>
        <v>0</v>
      </c>
      <c r="AO49" s="1"/>
      <c r="AX49" s="1" t="s">
        <v>63</v>
      </c>
      <c r="AY49" s="9" t="s">
        <v>54</v>
      </c>
      <c r="AZ49" s="9">
        <f>SUMIFS($U$2:$U$4994,$S$2:$S$4994,"*eucalyptus*",$T$2:$T$4994,DATA!$AY49)</f>
        <v>0</v>
      </c>
      <c r="BA49" s="13">
        <f>SUMIFS($W$2:$W$4994,$S$2:$S$4994,"*eucalyptus*",$T$2:$T$4994,DATA!$AY49)</f>
        <v>0</v>
      </c>
      <c r="BB49" s="13">
        <f>SUMIFS($AI$2:$AI$4994,$S$2:$S$4994,"*eucalyptus*",$T$2:$T$4994,DATA!$AY49)</f>
        <v>0</v>
      </c>
      <c r="BC49" s="15" t="str">
        <f t="shared" si="55"/>
        <v/>
      </c>
      <c r="BD49" s="15" t="str">
        <f t="shared" si="56"/>
        <v/>
      </c>
      <c r="BE49" s="18" t="str">
        <f t="shared" si="57"/>
        <v/>
      </c>
    </row>
    <row r="50" spans="1:57">
      <c r="A50" s="9">
        <v>11</v>
      </c>
      <c r="B50" s="9">
        <v>2024</v>
      </c>
      <c r="C50" s="9" t="s">
        <v>46</v>
      </c>
      <c r="D50" s="9" t="s">
        <v>47</v>
      </c>
      <c r="E50" s="9" t="s">
        <v>47</v>
      </c>
      <c r="F50" s="10">
        <v>45362</v>
      </c>
      <c r="G50" s="9" t="s">
        <v>155</v>
      </c>
      <c r="H50" s="9" t="s">
        <v>56</v>
      </c>
      <c r="I50" s="9">
        <v>2</v>
      </c>
      <c r="J50" s="11">
        <f t="shared" si="38"/>
        <v>24</v>
      </c>
      <c r="K50" s="1">
        <v>480</v>
      </c>
      <c r="L50" s="12">
        <v>0.75</v>
      </c>
      <c r="M50" s="12">
        <v>360</v>
      </c>
      <c r="N50" s="13" t="s">
        <v>49</v>
      </c>
      <c r="Q50" s="9">
        <f>IF(Auction_Sales[[#This Row],[Payment Date]]=0,"",-1+WEEKNUM(Auction_Sales[[#This Row],[Payment Date]]))</f>
        <v>10</v>
      </c>
      <c r="R50" s="9">
        <f t="shared" si="60"/>
        <v>0</v>
      </c>
      <c r="S50" s="1" t="str">
        <f t="shared" si="40"/>
        <v>Floribunda Roses</v>
      </c>
      <c r="T50" s="1" t="str">
        <f t="shared" si="40"/>
        <v>90CM</v>
      </c>
      <c r="U50" s="9">
        <v>480</v>
      </c>
      <c r="V50" s="13">
        <f>294/U50</f>
        <v>0.61250000000000004</v>
      </c>
      <c r="W50" s="13">
        <f t="shared" si="0"/>
        <v>294</v>
      </c>
      <c r="X50" s="14">
        <f t="shared" si="49"/>
        <v>-18.885696594427252</v>
      </c>
      <c r="Y50" s="13">
        <f t="shared" si="41"/>
        <v>275.11430340557274</v>
      </c>
      <c r="Z50" s="10">
        <v>45364</v>
      </c>
      <c r="AA50" s="9">
        <f t="shared" si="42"/>
        <v>0</v>
      </c>
      <c r="AC50" s="9" t="s">
        <v>69</v>
      </c>
      <c r="AD50" s="14">
        <f t="shared" si="50"/>
        <v>87.409333333333336</v>
      </c>
      <c r="AF50" s="14">
        <f t="shared" si="12"/>
        <v>9.6</v>
      </c>
      <c r="AH50" s="14">
        <f t="shared" si="58"/>
        <v>97.009333333333331</v>
      </c>
      <c r="AI50" s="13">
        <f t="shared" si="14"/>
        <v>178.10497007223941</v>
      </c>
      <c r="AK50" s="9">
        <f t="shared" si="45"/>
        <v>480</v>
      </c>
      <c r="AO50" s="1"/>
      <c r="AS50" s="15"/>
      <c r="AX50" s="1" t="s">
        <v>63</v>
      </c>
      <c r="AY50" s="9" t="s">
        <v>56</v>
      </c>
      <c r="AZ50" s="9">
        <f>SUMIFS($U$2:$U$4994,$S$2:$S$4994,"*eucalyptus*",$T$2:$T$4994,DATA!$AY50)</f>
        <v>0</v>
      </c>
      <c r="BA50" s="13">
        <f>SUMIFS($W$2:$W$4994,$S$2:$S$4994,"*eucalyptus*",$T$2:$T$4994,DATA!$AY50)</f>
        <v>0</v>
      </c>
      <c r="BB50" s="13">
        <f>SUMIFS($AI$2:$AI$4994,$S$2:$S$4994,"*eucalyptus*",$T$2:$T$4994,DATA!$AY50)</f>
        <v>0</v>
      </c>
      <c r="BC50" s="15" t="str">
        <f t="shared" si="55"/>
        <v/>
      </c>
      <c r="BD50" s="15" t="str">
        <f t="shared" si="56"/>
        <v/>
      </c>
      <c r="BE50" s="18" t="str">
        <f t="shared" si="57"/>
        <v/>
      </c>
    </row>
    <row r="51" spans="1:57">
      <c r="A51" s="9">
        <v>11</v>
      </c>
      <c r="B51" s="9">
        <v>2024</v>
      </c>
      <c r="C51" s="9" t="s">
        <v>46</v>
      </c>
      <c r="D51" s="9" t="s">
        <v>47</v>
      </c>
      <c r="E51" s="9" t="s">
        <v>47</v>
      </c>
      <c r="F51" s="10">
        <v>45362</v>
      </c>
      <c r="G51" s="9" t="s">
        <v>155</v>
      </c>
      <c r="H51" s="9" t="s">
        <v>57</v>
      </c>
      <c r="I51" s="9">
        <v>1</v>
      </c>
      <c r="J51" s="11">
        <f t="shared" si="38"/>
        <v>12</v>
      </c>
      <c r="K51" s="1">
        <v>200</v>
      </c>
      <c r="L51" s="12">
        <v>0.94</v>
      </c>
      <c r="M51" s="12">
        <v>188</v>
      </c>
      <c r="N51" s="13" t="s">
        <v>49</v>
      </c>
      <c r="Q51" s="9">
        <f>IF(Auction_Sales[[#This Row],[Payment Date]]=0,"",-1+WEEKNUM(Auction_Sales[[#This Row],[Payment Date]]))</f>
        <v>10</v>
      </c>
      <c r="R51" s="9">
        <f t="shared" si="60"/>
        <v>40</v>
      </c>
      <c r="S51" s="1" t="str">
        <f t="shared" ref="S51:T62" si="61">IF(G51=0,"",G51)</f>
        <v>Floribunda Roses</v>
      </c>
      <c r="T51" s="1" t="str">
        <f t="shared" si="61"/>
        <v>100CM</v>
      </c>
      <c r="U51" s="9">
        <v>160</v>
      </c>
      <c r="V51" s="13">
        <f>158.8/U51</f>
        <v>0.99250000000000005</v>
      </c>
      <c r="W51" s="13">
        <f t="shared" si="0"/>
        <v>158.80000000000001</v>
      </c>
      <c r="X51" s="14">
        <f t="shared" si="49"/>
        <v>-6.2952321981424166</v>
      </c>
      <c r="Y51" s="13">
        <f t="shared" si="41"/>
        <v>152.50476780185758</v>
      </c>
      <c r="Z51" s="10">
        <v>45364</v>
      </c>
      <c r="AA51" s="9">
        <f t="shared" si="42"/>
        <v>-40</v>
      </c>
      <c r="AC51" s="9" t="s">
        <v>69</v>
      </c>
      <c r="AD51" s="14">
        <f t="shared" si="50"/>
        <v>43.704666666666668</v>
      </c>
      <c r="AF51" s="14">
        <f t="shared" si="12"/>
        <v>3.2</v>
      </c>
      <c r="AH51" s="14">
        <f t="shared" si="58"/>
        <v>46.904666666666671</v>
      </c>
      <c r="AI51" s="13">
        <f t="shared" si="14"/>
        <v>105.60010113519091</v>
      </c>
      <c r="AK51" s="9">
        <f t="shared" si="45"/>
        <v>160</v>
      </c>
      <c r="AO51" s="1"/>
      <c r="AX51" s="1"/>
      <c r="BA51" s="13"/>
      <c r="BB51" s="13"/>
      <c r="BC51" s="15" t="str">
        <f t="shared" si="55"/>
        <v/>
      </c>
      <c r="BD51" s="15" t="str">
        <f t="shared" si="56"/>
        <v/>
      </c>
      <c r="BE51" s="18" t="str">
        <f t="shared" si="57"/>
        <v/>
      </c>
    </row>
    <row r="52" spans="1:57" ht="16.8">
      <c r="A52" s="9">
        <v>11</v>
      </c>
      <c r="B52" s="9">
        <v>2024</v>
      </c>
      <c r="C52" s="9" t="s">
        <v>46</v>
      </c>
      <c r="D52" s="9" t="s">
        <v>47</v>
      </c>
      <c r="E52" s="9" t="s">
        <v>47</v>
      </c>
      <c r="F52" s="10">
        <v>45362</v>
      </c>
      <c r="G52" s="9" t="s">
        <v>156</v>
      </c>
      <c r="H52" s="9" t="s">
        <v>51</v>
      </c>
      <c r="I52" s="9">
        <v>1</v>
      </c>
      <c r="J52" s="11">
        <f>K52/400*12</f>
        <v>1.2000000000000002</v>
      </c>
      <c r="K52" s="1">
        <v>40</v>
      </c>
      <c r="L52" s="12">
        <v>0.42</v>
      </c>
      <c r="M52" s="12">
        <v>16.8</v>
      </c>
      <c r="N52" s="13" t="s">
        <v>49</v>
      </c>
      <c r="Q52" s="9">
        <f>IF(Auction_Sales[[#This Row],[Payment Date]]=0,"",-1+WEEKNUM(Auction_Sales[[#This Row],[Payment Date]]))</f>
        <v>10</v>
      </c>
      <c r="R52" s="9">
        <f t="shared" si="60"/>
        <v>0</v>
      </c>
      <c r="S52" s="1" t="str">
        <f t="shared" si="61"/>
        <v>Polyantha Roses</v>
      </c>
      <c r="T52" s="1" t="str">
        <f t="shared" si="61"/>
        <v>50CM</v>
      </c>
      <c r="U52" s="9">
        <v>40</v>
      </c>
      <c r="V52" s="13">
        <f>20/U52</f>
        <v>0.5</v>
      </c>
      <c r="W52" s="13">
        <f t="shared" si="0"/>
        <v>20</v>
      </c>
      <c r="X52" s="14">
        <f t="shared" si="49"/>
        <v>-1.5738080495356042</v>
      </c>
      <c r="Y52" s="13">
        <f t="shared" si="41"/>
        <v>18.426191950464396</v>
      </c>
      <c r="Z52" s="10">
        <v>45364</v>
      </c>
      <c r="AA52" s="9">
        <f t="shared" si="42"/>
        <v>0</v>
      </c>
      <c r="AC52" s="9" t="s">
        <v>69</v>
      </c>
      <c r="AD52" s="14">
        <f t="shared" si="50"/>
        <v>4.3704666666666681</v>
      </c>
      <c r="AF52" s="14">
        <f t="shared" si="12"/>
        <v>0.8</v>
      </c>
      <c r="AH52" s="14">
        <f t="shared" si="58"/>
        <v>5.1704666666666679</v>
      </c>
      <c r="AI52" s="13">
        <f t="shared" si="14"/>
        <v>13.255725283797728</v>
      </c>
      <c r="AK52" s="9">
        <f t="shared" si="45"/>
        <v>40</v>
      </c>
      <c r="AO52" s="1"/>
      <c r="AP52" s="23"/>
      <c r="AX52" s="1" t="s">
        <v>160</v>
      </c>
      <c r="AY52" s="9" t="s">
        <v>137</v>
      </c>
      <c r="AZ52" s="9">
        <f>SUMIFS($U$2:$U$4994,$S$2:$S$4994,"*diplocyclos*",$T$2:$T$4994,DATA!$AY52)</f>
        <v>0</v>
      </c>
      <c r="BA52" s="13">
        <f>SUMIFS($W$2:$W$4994,$S$2:$S$4994,"*diplocyclos*",$T$2:$T$4994,DATA!$AY52)</f>
        <v>0</v>
      </c>
      <c r="BB52" s="13">
        <f>SUMIFS($AI$2:$AI$4994,$S$2:$S$4994,"*diplocyclos*",$T$2:$T$4994,DATA!$AY52)</f>
        <v>0</v>
      </c>
      <c r="BC52" s="15" t="str">
        <f t="shared" ref="BC52" si="62">IFERROR(BA52/AZ52,"")</f>
        <v/>
      </c>
      <c r="BD52" s="15" t="str">
        <f t="shared" ref="BD52" si="63">IFERROR(BB52/AZ52,"")</f>
        <v/>
      </c>
      <c r="BE52" s="18" t="str">
        <f t="shared" ref="BE52" si="64">IFERROR(BD52/BC52,"")</f>
        <v/>
      </c>
    </row>
    <row r="53" spans="1:57" ht="16.8">
      <c r="A53" s="9">
        <v>11</v>
      </c>
      <c r="B53" s="9">
        <v>2024</v>
      </c>
      <c r="C53" s="9" t="s">
        <v>46</v>
      </c>
      <c r="D53" s="9" t="s">
        <v>47</v>
      </c>
      <c r="E53" s="9" t="s">
        <v>47</v>
      </c>
      <c r="F53" s="10">
        <v>45362</v>
      </c>
      <c r="G53" s="9" t="s">
        <v>156</v>
      </c>
      <c r="H53" s="9" t="s">
        <v>48</v>
      </c>
      <c r="J53" s="11">
        <f t="shared" ref="J53:J54" si="65">K53/400*12</f>
        <v>3.5999999999999996</v>
      </c>
      <c r="K53" s="1">
        <v>120</v>
      </c>
      <c r="L53" s="12">
        <v>0.52</v>
      </c>
      <c r="M53" s="12">
        <v>62.4</v>
      </c>
      <c r="N53" s="13" t="s">
        <v>49</v>
      </c>
      <c r="Q53" s="9">
        <f>IF(Auction_Sales[[#This Row],[Payment Date]]=0,"",-1+WEEKNUM(Auction_Sales[[#This Row],[Payment Date]]))</f>
        <v>10</v>
      </c>
      <c r="R53" s="9">
        <f t="shared" si="60"/>
        <v>0</v>
      </c>
      <c r="S53" s="1" t="str">
        <f t="shared" si="61"/>
        <v>Polyantha Roses</v>
      </c>
      <c r="T53" s="1" t="str">
        <f t="shared" si="61"/>
        <v>60CM</v>
      </c>
      <c r="U53" s="9">
        <v>120</v>
      </c>
      <c r="V53" s="13">
        <f>81.6/U53</f>
        <v>0.67999999999999994</v>
      </c>
      <c r="W53" s="13">
        <f t="shared" si="0"/>
        <v>81.599999999999994</v>
      </c>
      <c r="X53" s="14">
        <f t="shared" si="49"/>
        <v>-4.7214241486068129</v>
      </c>
      <c r="Y53" s="13">
        <f t="shared" si="41"/>
        <v>76.87857585139318</v>
      </c>
      <c r="Z53" s="10">
        <v>45364</v>
      </c>
      <c r="AA53" s="9">
        <f t="shared" si="42"/>
        <v>0</v>
      </c>
      <c r="AC53" s="9" t="s">
        <v>69</v>
      </c>
      <c r="AD53" s="14">
        <f t="shared" si="50"/>
        <v>13.1114</v>
      </c>
      <c r="AF53" s="14">
        <f t="shared" si="12"/>
        <v>2.4</v>
      </c>
      <c r="AH53" s="14">
        <f t="shared" si="58"/>
        <v>15.5114</v>
      </c>
      <c r="AI53" s="13">
        <f t="shared" si="14"/>
        <v>61.367175851393178</v>
      </c>
      <c r="AK53" s="9">
        <f t="shared" si="45"/>
        <v>120</v>
      </c>
      <c r="AO53" s="1"/>
      <c r="AP53" s="23"/>
      <c r="AX53" s="1"/>
      <c r="BA53" s="13"/>
      <c r="BB53" s="13"/>
      <c r="BC53" s="15"/>
      <c r="BD53" s="15"/>
      <c r="BE53" s="18"/>
    </row>
    <row r="54" spans="1:57">
      <c r="A54" s="9">
        <v>11</v>
      </c>
      <c r="B54" s="9">
        <v>2024</v>
      </c>
      <c r="C54" s="9" t="s">
        <v>46</v>
      </c>
      <c r="D54" s="9" t="s">
        <v>47</v>
      </c>
      <c r="E54" s="9" t="s">
        <v>47</v>
      </c>
      <c r="F54" s="10">
        <v>45362</v>
      </c>
      <c r="G54" s="9" t="s">
        <v>156</v>
      </c>
      <c r="H54" s="9" t="s">
        <v>52</v>
      </c>
      <c r="J54" s="11">
        <f t="shared" si="65"/>
        <v>7.1999999999999993</v>
      </c>
      <c r="K54" s="1">
        <v>240</v>
      </c>
      <c r="L54" s="12">
        <v>0.61</v>
      </c>
      <c r="M54" s="12">
        <v>146.4</v>
      </c>
      <c r="N54" s="13" t="s">
        <v>49</v>
      </c>
      <c r="Q54" s="9">
        <f>IF(Auction_Sales[[#This Row],[Payment Date]]=0,"",-1+WEEKNUM(Auction_Sales[[#This Row],[Payment Date]]))</f>
        <v>10</v>
      </c>
      <c r="R54" s="9">
        <f t="shared" si="60"/>
        <v>0</v>
      </c>
      <c r="S54" s="1" t="str">
        <f t="shared" si="61"/>
        <v>Polyantha Roses</v>
      </c>
      <c r="T54" s="1" t="str">
        <f t="shared" si="61"/>
        <v>70CM</v>
      </c>
      <c r="U54" s="9">
        <v>240</v>
      </c>
      <c r="V54" s="13">
        <f>196.8/U54</f>
        <v>0.82000000000000006</v>
      </c>
      <c r="W54" s="13">
        <f t="shared" si="0"/>
        <v>196.8</v>
      </c>
      <c r="X54" s="14">
        <f t="shared" si="49"/>
        <v>-9.4428482972136258</v>
      </c>
      <c r="Y54" s="13">
        <f t="shared" si="41"/>
        <v>187.35715170278638</v>
      </c>
      <c r="Z54" s="10">
        <v>45364</v>
      </c>
      <c r="AA54" s="9">
        <f t="shared" si="42"/>
        <v>0</v>
      </c>
      <c r="AC54" s="9" t="s">
        <v>69</v>
      </c>
      <c r="AD54" s="14">
        <f t="shared" si="50"/>
        <v>26.222799999999999</v>
      </c>
      <c r="AF54" s="14">
        <f t="shared" si="12"/>
        <v>4.8</v>
      </c>
      <c r="AH54" s="14">
        <f t="shared" si="58"/>
        <v>31.0228</v>
      </c>
      <c r="AI54" s="13">
        <f t="shared" si="14"/>
        <v>156.33435170278639</v>
      </c>
      <c r="AK54" s="9">
        <f t="shared" si="45"/>
        <v>240</v>
      </c>
      <c r="AO54" s="1"/>
      <c r="AX54" s="1"/>
      <c r="BA54" s="13"/>
      <c r="BB54" s="13"/>
      <c r="BC54" s="15"/>
      <c r="BD54" s="15"/>
      <c r="BE54" s="18"/>
    </row>
    <row r="55" spans="1:57">
      <c r="A55" s="9">
        <v>11</v>
      </c>
      <c r="B55" s="9">
        <v>2024</v>
      </c>
      <c r="C55" s="9" t="s">
        <v>46</v>
      </c>
      <c r="D55" s="9" t="s">
        <v>47</v>
      </c>
      <c r="E55" s="9" t="s">
        <v>47</v>
      </c>
      <c r="F55" s="10">
        <v>45362</v>
      </c>
      <c r="G55" s="9" t="s">
        <v>153</v>
      </c>
      <c r="H55" s="9" t="s">
        <v>56</v>
      </c>
      <c r="I55" s="9">
        <v>1</v>
      </c>
      <c r="J55" s="11">
        <f>K55/280*12</f>
        <v>1.7142857142857142</v>
      </c>
      <c r="K55" s="1">
        <v>40</v>
      </c>
      <c r="L55" s="12">
        <v>0.38</v>
      </c>
      <c r="M55" s="12">
        <v>15.2</v>
      </c>
      <c r="N55" s="13" t="s">
        <v>49</v>
      </c>
      <c r="Q55" s="9">
        <f>IF(Auction_Sales[[#This Row],[Payment Date]]=0,"",-1+WEEKNUM(Auction_Sales[[#This Row],[Payment Date]]))</f>
        <v>10</v>
      </c>
      <c r="R55" s="9">
        <f t="shared" si="60"/>
        <v>40</v>
      </c>
      <c r="S55" s="1" t="str">
        <f t="shared" si="61"/>
        <v>Grandiflora Roses</v>
      </c>
      <c r="T55" s="1" t="str">
        <f t="shared" si="61"/>
        <v>90CM</v>
      </c>
      <c r="W55" s="13">
        <f t="shared" si="0"/>
        <v>0</v>
      </c>
      <c r="X55" s="14">
        <f t="shared" si="49"/>
        <v>0</v>
      </c>
      <c r="Y55" s="13">
        <f t="shared" si="41"/>
        <v>0</v>
      </c>
      <c r="Z55" s="10">
        <v>45364</v>
      </c>
      <c r="AA55" s="9">
        <f t="shared" si="42"/>
        <v>-40</v>
      </c>
      <c r="AC55" s="9" t="s">
        <v>69</v>
      </c>
      <c r="AD55" s="14">
        <f t="shared" si="50"/>
        <v>6.2435238095238095</v>
      </c>
      <c r="AF55" s="14">
        <f t="shared" si="12"/>
        <v>0</v>
      </c>
      <c r="AH55" s="14">
        <f t="shared" si="58"/>
        <v>6.2435238095238095</v>
      </c>
      <c r="AI55" s="13">
        <f t="shared" si="14"/>
        <v>-6.2435238095238095</v>
      </c>
      <c r="AK55" s="9">
        <f t="shared" si="45"/>
        <v>0</v>
      </c>
      <c r="AO55" s="1"/>
      <c r="AX55" s="1"/>
      <c r="BA55" s="13"/>
      <c r="BB55" s="13"/>
      <c r="BC55" s="15"/>
      <c r="BD55" s="15"/>
      <c r="BE55" s="18"/>
    </row>
    <row r="56" spans="1:57">
      <c r="A56" s="9">
        <v>11</v>
      </c>
      <c r="B56" s="9">
        <v>2024</v>
      </c>
      <c r="C56" s="9" t="s">
        <v>46</v>
      </c>
      <c r="D56" s="9" t="s">
        <v>47</v>
      </c>
      <c r="E56" s="9" t="s">
        <v>47</v>
      </c>
      <c r="F56" s="10">
        <v>45362</v>
      </c>
      <c r="G56" s="9" t="s">
        <v>153</v>
      </c>
      <c r="H56" s="9" t="s">
        <v>57</v>
      </c>
      <c r="J56" s="11">
        <f>K56/280*12</f>
        <v>10.285714285714285</v>
      </c>
      <c r="K56" s="1">
        <v>240</v>
      </c>
      <c r="L56" s="12">
        <v>0.47</v>
      </c>
      <c r="M56" s="12">
        <v>112.8</v>
      </c>
      <c r="N56" s="13" t="s">
        <v>49</v>
      </c>
      <c r="Q56" s="9">
        <f>IF(Auction_Sales[[#This Row],[Payment Date]]=0,"",-1+WEEKNUM(Auction_Sales[[#This Row],[Payment Date]]))</f>
        <v>10</v>
      </c>
      <c r="R56" s="9">
        <f t="shared" si="60"/>
        <v>0</v>
      </c>
      <c r="S56" s="1" t="str">
        <f t="shared" si="61"/>
        <v>Grandiflora Roses</v>
      </c>
      <c r="T56" s="1" t="str">
        <f t="shared" si="61"/>
        <v>100CM</v>
      </c>
      <c r="U56" s="9">
        <v>240</v>
      </c>
      <c r="V56" s="13">
        <f>184.8/U56</f>
        <v>0.77</v>
      </c>
      <c r="W56" s="13">
        <f t="shared" si="0"/>
        <v>184.8</v>
      </c>
      <c r="X56" s="14">
        <f t="shared" si="49"/>
        <v>-9.4428482972136258</v>
      </c>
      <c r="Y56" s="13">
        <f t="shared" si="41"/>
        <v>175.35715170278638</v>
      </c>
      <c r="Z56" s="10">
        <v>45364</v>
      </c>
      <c r="AA56" s="9">
        <f t="shared" si="42"/>
        <v>0</v>
      </c>
      <c r="AC56" s="9" t="s">
        <v>69</v>
      </c>
      <c r="AD56" s="14">
        <f t="shared" si="50"/>
        <v>37.461142857142853</v>
      </c>
      <c r="AF56" s="14">
        <f t="shared" si="12"/>
        <v>4.8</v>
      </c>
      <c r="AH56" s="14">
        <f t="shared" si="58"/>
        <v>42.26114285714285</v>
      </c>
      <c r="AI56" s="13">
        <f t="shared" si="14"/>
        <v>133.09600884564352</v>
      </c>
      <c r="AK56" s="9">
        <f t="shared" si="45"/>
        <v>240</v>
      </c>
      <c r="AO56" s="1"/>
    </row>
    <row r="57" spans="1:57">
      <c r="A57" s="9">
        <v>11</v>
      </c>
      <c r="B57" s="9">
        <v>2024</v>
      </c>
      <c r="C57" s="9" t="s">
        <v>46</v>
      </c>
      <c r="D57" s="9" t="s">
        <v>47</v>
      </c>
      <c r="E57" s="9" t="s">
        <v>47</v>
      </c>
      <c r="F57" s="10">
        <v>45362</v>
      </c>
      <c r="G57" s="9" t="s">
        <v>155</v>
      </c>
      <c r="H57" s="9" t="s">
        <v>48</v>
      </c>
      <c r="I57" s="9">
        <v>1</v>
      </c>
      <c r="J57" s="11">
        <f>K57/640*12</f>
        <v>7.5</v>
      </c>
      <c r="K57" s="1">
        <v>400</v>
      </c>
      <c r="L57" s="12">
        <v>0.47</v>
      </c>
      <c r="M57" s="12">
        <v>188</v>
      </c>
      <c r="N57" s="13" t="s">
        <v>49</v>
      </c>
      <c r="Q57" s="9">
        <f>IF(Auction_Sales[[#This Row],[Payment Date]]=0,"",-1+WEEKNUM(Auction_Sales[[#This Row],[Payment Date]]))</f>
        <v>10</v>
      </c>
      <c r="R57" s="9">
        <f t="shared" si="60"/>
        <v>400</v>
      </c>
      <c r="S57" s="1" t="str">
        <f t="shared" si="61"/>
        <v>Floribunda Roses</v>
      </c>
      <c r="T57" s="1" t="str">
        <f t="shared" si="61"/>
        <v>60CM</v>
      </c>
      <c r="W57" s="13">
        <f t="shared" si="0"/>
        <v>0</v>
      </c>
      <c r="X57" s="14">
        <f t="shared" si="49"/>
        <v>0</v>
      </c>
      <c r="Y57" s="13">
        <f t="shared" si="41"/>
        <v>0</v>
      </c>
      <c r="Z57" s="10">
        <v>45364</v>
      </c>
      <c r="AA57" s="9">
        <f t="shared" si="42"/>
        <v>-400</v>
      </c>
      <c r="AC57" s="9" t="s">
        <v>69</v>
      </c>
      <c r="AD57" s="14">
        <f t="shared" si="50"/>
        <v>27.315416666666668</v>
      </c>
      <c r="AF57" s="14">
        <f t="shared" si="12"/>
        <v>0</v>
      </c>
      <c r="AH57" s="14">
        <f t="shared" si="58"/>
        <v>27.315416666666668</v>
      </c>
      <c r="AI57" s="13">
        <f t="shared" si="14"/>
        <v>-27.315416666666668</v>
      </c>
      <c r="AK57" s="9">
        <f t="shared" si="45"/>
        <v>0</v>
      </c>
      <c r="AO57" s="1"/>
    </row>
    <row r="58" spans="1:57" ht="16.8">
      <c r="A58" s="9">
        <v>11</v>
      </c>
      <c r="B58" s="9">
        <v>2024</v>
      </c>
      <c r="C58" s="9" t="s">
        <v>46</v>
      </c>
      <c r="D58" s="9" t="s">
        <v>47</v>
      </c>
      <c r="E58" s="9" t="s">
        <v>47</v>
      </c>
      <c r="F58" s="10">
        <v>45362</v>
      </c>
      <c r="G58" s="9" t="s">
        <v>155</v>
      </c>
      <c r="H58" s="9" t="s">
        <v>51</v>
      </c>
      <c r="J58" s="11">
        <f>K58/640*12</f>
        <v>4.5</v>
      </c>
      <c r="K58" s="1">
        <v>240</v>
      </c>
      <c r="L58" s="12">
        <v>0.38</v>
      </c>
      <c r="M58" s="12">
        <v>91.2</v>
      </c>
      <c r="N58" s="13" t="s">
        <v>49</v>
      </c>
      <c r="Q58" s="9">
        <f>IF(Auction_Sales[[#This Row],[Payment Date]]=0,"",-1+WEEKNUM(Auction_Sales[[#This Row],[Payment Date]]))</f>
        <v>10</v>
      </c>
      <c r="R58" s="9">
        <f t="shared" si="60"/>
        <v>240</v>
      </c>
      <c r="S58" s="1" t="str">
        <f t="shared" si="61"/>
        <v>Floribunda Roses</v>
      </c>
      <c r="T58" s="1" t="str">
        <f t="shared" si="61"/>
        <v>50CM</v>
      </c>
      <c r="W58" s="13">
        <f t="shared" si="0"/>
        <v>0</v>
      </c>
      <c r="X58" s="14">
        <f t="shared" si="49"/>
        <v>0</v>
      </c>
      <c r="Y58" s="13">
        <f t="shared" si="41"/>
        <v>0</v>
      </c>
      <c r="Z58" s="10">
        <v>45364</v>
      </c>
      <c r="AA58" s="9">
        <f t="shared" si="42"/>
        <v>-240</v>
      </c>
      <c r="AC58" s="9" t="s">
        <v>69</v>
      </c>
      <c r="AD58" s="14">
        <f t="shared" si="50"/>
        <v>16.389250000000001</v>
      </c>
      <c r="AF58" s="14">
        <f t="shared" si="12"/>
        <v>0</v>
      </c>
      <c r="AH58" s="14">
        <f t="shared" si="58"/>
        <v>16.389250000000001</v>
      </c>
      <c r="AI58" s="13">
        <f t="shared" si="14"/>
        <v>-16.389250000000001</v>
      </c>
      <c r="AK58" s="9">
        <f t="shared" si="45"/>
        <v>0</v>
      </c>
      <c r="AO58" s="1"/>
      <c r="AX58" s="20" t="s">
        <v>66</v>
      </c>
      <c r="AY58" s="21"/>
      <c r="AZ58" s="21">
        <f>SUM(AZ2:AZ57)</f>
        <v>0</v>
      </c>
      <c r="BA58" s="22">
        <f>SUM(BA2:BA57)</f>
        <v>0</v>
      </c>
      <c r="BB58" s="22">
        <f>SUM(BB2:BB57)</f>
        <v>0</v>
      </c>
      <c r="BC58" s="22" t="str">
        <f>IFERROR(BA$58/$AZ$58,"")</f>
        <v/>
      </c>
      <c r="BD58" s="22" t="str">
        <f>IFERROR(BB$58/$AZ$58,"")</f>
        <v/>
      </c>
      <c r="BE58" s="26" t="str">
        <f t="shared" ref="BE58" si="66">IFERROR(BD58/BC58,"")</f>
        <v/>
      </c>
    </row>
    <row r="59" spans="1:57" ht="16.8">
      <c r="A59" s="9">
        <v>11</v>
      </c>
      <c r="B59" s="9">
        <v>2024</v>
      </c>
      <c r="C59" s="9" t="s">
        <v>46</v>
      </c>
      <c r="D59" s="9" t="s">
        <v>47</v>
      </c>
      <c r="E59" s="9" t="s">
        <v>47</v>
      </c>
      <c r="F59" s="10">
        <v>45362</v>
      </c>
      <c r="G59" s="9" t="s">
        <v>154</v>
      </c>
      <c r="H59" s="9" t="s">
        <v>52</v>
      </c>
      <c r="I59" s="9">
        <v>1</v>
      </c>
      <c r="J59" s="11">
        <f>K59/280*12</f>
        <v>6.8571428571428568</v>
      </c>
      <c r="K59" s="1">
        <v>160</v>
      </c>
      <c r="L59" s="12">
        <v>0.52</v>
      </c>
      <c r="M59" s="12">
        <v>83.2</v>
      </c>
      <c r="N59" s="13" t="s">
        <v>49</v>
      </c>
      <c r="Q59" s="9">
        <f>IF(Auction_Sales[[#This Row],[Payment Date]]=0,"",-1+WEEKNUM(Auction_Sales[[#This Row],[Payment Date]]))</f>
        <v>10</v>
      </c>
      <c r="R59" s="9">
        <f t="shared" si="60"/>
        <v>160</v>
      </c>
      <c r="S59" s="1" t="str">
        <f t="shared" si="61"/>
        <v>English Roses</v>
      </c>
      <c r="T59" s="1" t="str">
        <f t="shared" si="61"/>
        <v>70CM</v>
      </c>
      <c r="W59" s="13">
        <f t="shared" si="0"/>
        <v>0</v>
      </c>
      <c r="X59" s="14">
        <f t="shared" si="49"/>
        <v>0</v>
      </c>
      <c r="Y59" s="13">
        <f t="shared" si="41"/>
        <v>0</v>
      </c>
      <c r="Z59" s="10">
        <v>45364</v>
      </c>
      <c r="AA59" s="9">
        <f t="shared" si="42"/>
        <v>-160</v>
      </c>
      <c r="AC59" s="9" t="s">
        <v>69</v>
      </c>
      <c r="AD59" s="14">
        <f t="shared" si="50"/>
        <v>24.974095238095238</v>
      </c>
      <c r="AF59" s="14">
        <f t="shared" si="12"/>
        <v>0</v>
      </c>
      <c r="AH59" s="14">
        <f t="shared" si="58"/>
        <v>24.974095238095238</v>
      </c>
      <c r="AI59" s="13">
        <f t="shared" si="14"/>
        <v>-24.974095238095238</v>
      </c>
      <c r="AK59" s="9">
        <f t="shared" si="45"/>
        <v>0</v>
      </c>
      <c r="AO59" s="1"/>
      <c r="AP59" s="23"/>
    </row>
    <row r="60" spans="1:57" ht="16.8">
      <c r="A60" s="9">
        <v>11</v>
      </c>
      <c r="B60" s="9">
        <v>2024</v>
      </c>
      <c r="C60" s="9" t="s">
        <v>46</v>
      </c>
      <c r="D60" s="9" t="s">
        <v>47</v>
      </c>
      <c r="E60" s="9" t="s">
        <v>47</v>
      </c>
      <c r="F60" s="10">
        <v>45362</v>
      </c>
      <c r="G60" s="9" t="s">
        <v>154</v>
      </c>
      <c r="H60" s="9" t="s">
        <v>57</v>
      </c>
      <c r="J60" s="11">
        <f>K60/280*12</f>
        <v>5.1428571428571423</v>
      </c>
      <c r="K60" s="1">
        <v>120</v>
      </c>
      <c r="L60" s="12">
        <v>0.94</v>
      </c>
      <c r="M60" s="12">
        <v>112.8</v>
      </c>
      <c r="N60" s="13" t="s">
        <v>49</v>
      </c>
      <c r="Q60" s="9">
        <f>IF(Auction_Sales[[#This Row],[Payment Date]]=0,"",-1+WEEKNUM(Auction_Sales[[#This Row],[Payment Date]]))</f>
        <v>10</v>
      </c>
      <c r="R60" s="9">
        <f t="shared" si="60"/>
        <v>120</v>
      </c>
      <c r="S60" s="1" t="str">
        <f t="shared" si="61"/>
        <v>English Roses</v>
      </c>
      <c r="T60" s="1" t="str">
        <f t="shared" si="61"/>
        <v>100CM</v>
      </c>
      <c r="W60" s="13">
        <f t="shared" si="0"/>
        <v>0</v>
      </c>
      <c r="X60" s="14">
        <f t="shared" si="49"/>
        <v>0</v>
      </c>
      <c r="Y60" s="13">
        <f t="shared" si="41"/>
        <v>0</v>
      </c>
      <c r="Z60" s="10">
        <v>45364</v>
      </c>
      <c r="AA60" s="9">
        <f t="shared" si="42"/>
        <v>-120</v>
      </c>
      <c r="AC60" s="9" t="s">
        <v>69</v>
      </c>
      <c r="AD60" s="14">
        <f t="shared" si="50"/>
        <v>18.730571428571427</v>
      </c>
      <c r="AF60" s="14">
        <f t="shared" si="12"/>
        <v>0</v>
      </c>
      <c r="AH60" s="14">
        <f t="shared" si="58"/>
        <v>18.730571428571427</v>
      </c>
      <c r="AI60" s="13">
        <f t="shared" si="14"/>
        <v>-18.730571428571427</v>
      </c>
      <c r="AK60" s="9">
        <f t="shared" si="45"/>
        <v>0</v>
      </c>
      <c r="AO60" s="1"/>
      <c r="AP60" s="23"/>
    </row>
    <row r="61" spans="1:57">
      <c r="A61" s="9">
        <v>11</v>
      </c>
      <c r="B61" s="9">
        <v>2024</v>
      </c>
      <c r="C61" s="9" t="s">
        <v>46</v>
      </c>
      <c r="D61" s="9" t="s">
        <v>47</v>
      </c>
      <c r="E61" s="9" t="s">
        <v>47</v>
      </c>
      <c r="F61" s="10">
        <v>45362</v>
      </c>
      <c r="G61" s="9" t="s">
        <v>154</v>
      </c>
      <c r="H61" s="9" t="s">
        <v>48</v>
      </c>
      <c r="I61" s="9">
        <v>1</v>
      </c>
      <c r="J61" s="11">
        <f>K61/480*12</f>
        <v>10</v>
      </c>
      <c r="K61" s="1">
        <v>400</v>
      </c>
      <c r="L61" s="12">
        <v>0.47</v>
      </c>
      <c r="M61" s="12">
        <v>188</v>
      </c>
      <c r="N61" s="13" t="s">
        <v>49</v>
      </c>
      <c r="Q61" s="9">
        <f>IF(Auction_Sales[[#This Row],[Payment Date]]=0,"",-1+WEEKNUM(Auction_Sales[[#This Row],[Payment Date]]))</f>
        <v>10</v>
      </c>
      <c r="R61" s="9">
        <f t="shared" si="60"/>
        <v>400</v>
      </c>
      <c r="S61" s="1" t="str">
        <f t="shared" si="61"/>
        <v>English Roses</v>
      </c>
      <c r="T61" s="1" t="str">
        <f t="shared" si="61"/>
        <v>60CM</v>
      </c>
      <c r="W61" s="13">
        <f t="shared" si="0"/>
        <v>0</v>
      </c>
      <c r="X61" s="14">
        <f t="shared" si="49"/>
        <v>0</v>
      </c>
      <c r="Y61" s="13">
        <f t="shared" si="41"/>
        <v>0</v>
      </c>
      <c r="Z61" s="10">
        <v>45364</v>
      </c>
      <c r="AA61" s="9">
        <f t="shared" si="42"/>
        <v>-400</v>
      </c>
      <c r="AC61" s="9" t="s">
        <v>69</v>
      </c>
      <c r="AD61" s="14">
        <f t="shared" si="50"/>
        <v>36.420555555555559</v>
      </c>
      <c r="AF61" s="14">
        <f t="shared" si="12"/>
        <v>0</v>
      </c>
      <c r="AH61" s="14">
        <f t="shared" si="58"/>
        <v>36.420555555555559</v>
      </c>
      <c r="AI61" s="13">
        <f t="shared" si="14"/>
        <v>-36.420555555555559</v>
      </c>
      <c r="AK61" s="9">
        <f t="shared" si="45"/>
        <v>0</v>
      </c>
      <c r="AO61" s="1"/>
      <c r="AX61" s="9" t="s">
        <v>67</v>
      </c>
      <c r="AZ61" s="9" t="str">
        <f>IF(AZ58=AP16,"MATCH","FALSE")</f>
        <v>MATCH</v>
      </c>
      <c r="BA61" s="9" t="str">
        <f>IF(BA58=AQ16,"MATCH","FALSE")</f>
        <v>MATCH</v>
      </c>
      <c r="BB61" s="9" t="str">
        <f>IF(BB58=AR16,"MATCH","FALSE")</f>
        <v>MATCH</v>
      </c>
    </row>
    <row r="62" spans="1:57">
      <c r="A62" s="9">
        <v>11</v>
      </c>
      <c r="B62" s="9">
        <v>2024</v>
      </c>
      <c r="C62" s="9" t="s">
        <v>46</v>
      </c>
      <c r="D62" s="9" t="s">
        <v>47</v>
      </c>
      <c r="E62" s="9" t="s">
        <v>47</v>
      </c>
      <c r="F62" s="10">
        <v>45362</v>
      </c>
      <c r="G62" s="9" t="s">
        <v>154</v>
      </c>
      <c r="H62" s="9" t="s">
        <v>51</v>
      </c>
      <c r="J62" s="11">
        <f>K62/480*12</f>
        <v>2</v>
      </c>
      <c r="K62" s="1">
        <v>80</v>
      </c>
      <c r="L62" s="12">
        <v>0.38</v>
      </c>
      <c r="M62" s="12">
        <v>30.4</v>
      </c>
      <c r="N62" s="13" t="s">
        <v>49</v>
      </c>
      <c r="Q62" s="9">
        <f>IF(Auction_Sales[[#This Row],[Payment Date]]=0,"",-1+WEEKNUM(Auction_Sales[[#This Row],[Payment Date]]))</f>
        <v>10</v>
      </c>
      <c r="R62" s="9">
        <f t="shared" si="60"/>
        <v>80</v>
      </c>
      <c r="S62" s="1" t="str">
        <f t="shared" si="61"/>
        <v>English Roses</v>
      </c>
      <c r="T62" s="1" t="str">
        <f t="shared" si="61"/>
        <v>50CM</v>
      </c>
      <c r="W62" s="13">
        <f t="shared" ref="W62" si="67">U62*V62</f>
        <v>0</v>
      </c>
      <c r="X62" s="14">
        <f t="shared" si="49"/>
        <v>0</v>
      </c>
      <c r="Y62" s="13">
        <f t="shared" si="41"/>
        <v>0</v>
      </c>
      <c r="Z62" s="10">
        <v>45364</v>
      </c>
      <c r="AA62" s="9">
        <f t="shared" si="42"/>
        <v>-80</v>
      </c>
      <c r="AC62" s="9" t="s">
        <v>69</v>
      </c>
      <c r="AD62" s="14">
        <f t="shared" si="50"/>
        <v>7.2841111111111116</v>
      </c>
      <c r="AF62" s="14">
        <f t="shared" si="12"/>
        <v>0</v>
      </c>
      <c r="AH62" s="14">
        <f t="shared" si="58"/>
        <v>7.2841111111111116</v>
      </c>
      <c r="AI62" s="13">
        <f t="shared" si="14"/>
        <v>-7.2841111111111116</v>
      </c>
      <c r="AK62" s="9">
        <f t="shared" si="45"/>
        <v>0</v>
      </c>
      <c r="AO62" s="1"/>
    </row>
    <row r="63" spans="1:57">
      <c r="A63" s="9">
        <v>11</v>
      </c>
      <c r="B63" s="9">
        <v>2024</v>
      </c>
      <c r="C63" s="9" t="s">
        <v>46</v>
      </c>
      <c r="D63" s="9" t="s">
        <v>47</v>
      </c>
      <c r="E63" s="9" t="s">
        <v>47</v>
      </c>
      <c r="F63" s="10">
        <v>45363</v>
      </c>
      <c r="G63" s="9" t="s">
        <v>153</v>
      </c>
      <c r="H63" s="9" t="s">
        <v>48</v>
      </c>
      <c r="I63" s="9">
        <v>1</v>
      </c>
      <c r="J63" s="11">
        <f t="shared" ref="J63:J73" si="68">12*I63</f>
        <v>12</v>
      </c>
      <c r="K63" s="1">
        <v>600</v>
      </c>
      <c r="L63" s="12">
        <v>0.24</v>
      </c>
      <c r="M63" s="12">
        <v>144</v>
      </c>
      <c r="N63" s="13" t="s">
        <v>49</v>
      </c>
      <c r="Q63" s="9">
        <f>IF(Auction_Sales[[#This Row],[Payment Date]]=0,"",-1+WEEKNUM(Auction_Sales[[#This Row],[Payment Date]]))</f>
        <v>10</v>
      </c>
      <c r="R63" s="9">
        <f t="shared" ref="R63:R67" si="69">K63-U63</f>
        <v>0</v>
      </c>
      <c r="S63" s="1" t="str">
        <f t="shared" ref="S63:T82" si="70">IF(G63=0,"",G63)</f>
        <v>Grandiflora Roses</v>
      </c>
      <c r="T63" s="1" t="str">
        <f t="shared" si="70"/>
        <v>60CM</v>
      </c>
      <c r="U63" s="9">
        <v>600</v>
      </c>
      <c r="V63" s="13">
        <f>267.6/U63</f>
        <v>0.44600000000000006</v>
      </c>
      <c r="W63" s="13">
        <f t="shared" ref="W63:W118" si="71">U63*V63</f>
        <v>267.60000000000002</v>
      </c>
      <c r="X63" s="14">
        <f>-(4845.2-4439.67)*U63/(2360+4640+1760)</f>
        <v>-27.776027397260258</v>
      </c>
      <c r="Y63" s="13">
        <f t="shared" ref="Y63:Y118" si="72">W63+X63</f>
        <v>239.82397260273976</v>
      </c>
      <c r="Z63" s="10">
        <v>45364</v>
      </c>
      <c r="AA63" s="9">
        <f t="shared" si="42"/>
        <v>0</v>
      </c>
      <c r="AC63" s="9" t="s">
        <v>70</v>
      </c>
      <c r="AD63" s="14">
        <f>J63/(21*12)*593.65</f>
        <v>28.269047619047615</v>
      </c>
      <c r="AF63" s="14">
        <f t="shared" ref="AF63:AF118" si="73">U63*0.02</f>
        <v>12</v>
      </c>
      <c r="AH63" s="14">
        <f t="shared" si="58"/>
        <v>40.269047619047612</v>
      </c>
      <c r="AI63" s="13">
        <f t="shared" ref="AI63:AI118" si="74">Y63-AH63</f>
        <v>199.55492498369216</v>
      </c>
      <c r="AK63" s="9">
        <f t="shared" si="45"/>
        <v>600</v>
      </c>
    </row>
    <row r="64" spans="1:57">
      <c r="A64" s="9">
        <v>11</v>
      </c>
      <c r="B64" s="9">
        <v>2024</v>
      </c>
      <c r="C64" s="9" t="s">
        <v>46</v>
      </c>
      <c r="D64" s="9" t="s">
        <v>47</v>
      </c>
      <c r="E64" s="9" t="s">
        <v>47</v>
      </c>
      <c r="F64" s="10">
        <v>45363</v>
      </c>
      <c r="G64" s="9" t="s">
        <v>153</v>
      </c>
      <c r="H64" s="9" t="s">
        <v>52</v>
      </c>
      <c r="I64" s="9">
        <v>1</v>
      </c>
      <c r="J64" s="11">
        <f t="shared" si="68"/>
        <v>12</v>
      </c>
      <c r="K64" s="1">
        <v>400</v>
      </c>
      <c r="L64" s="12">
        <v>0.28000000000000003</v>
      </c>
      <c r="M64" s="12">
        <v>112</v>
      </c>
      <c r="N64" s="13" t="s">
        <v>49</v>
      </c>
      <c r="Q64" s="9">
        <f>IF(Auction_Sales[[#This Row],[Payment Date]]=0,"",-1+WEEKNUM(Auction_Sales[[#This Row],[Payment Date]]))</f>
        <v>10</v>
      </c>
      <c r="R64" s="9">
        <f t="shared" si="69"/>
        <v>0</v>
      </c>
      <c r="S64" s="1" t="str">
        <f t="shared" si="70"/>
        <v>Grandiflora Roses</v>
      </c>
      <c r="T64" s="1" t="str">
        <f t="shared" si="70"/>
        <v>70CM</v>
      </c>
      <c r="U64" s="9">
        <v>400</v>
      </c>
      <c r="V64" s="13">
        <f>180/U64</f>
        <v>0.45</v>
      </c>
      <c r="W64" s="13">
        <f t="shared" si="71"/>
        <v>180</v>
      </c>
      <c r="X64" s="14">
        <f t="shared" ref="X64:X90" si="75">-(4845.2-4439.67)*U64/(2360+4640+1760)</f>
        <v>-18.517351598173502</v>
      </c>
      <c r="Y64" s="13">
        <f t="shared" si="72"/>
        <v>161.48264840182651</v>
      </c>
      <c r="Z64" s="10">
        <v>45364</v>
      </c>
      <c r="AA64" s="9">
        <f t="shared" si="42"/>
        <v>0</v>
      </c>
      <c r="AC64" s="9" t="s">
        <v>70</v>
      </c>
      <c r="AD64" s="14">
        <f t="shared" ref="AD64:AD90" si="76">J64/(21*12)*593.65</f>
        <v>28.269047619047615</v>
      </c>
      <c r="AF64" s="14">
        <f t="shared" si="73"/>
        <v>8</v>
      </c>
      <c r="AH64" s="14">
        <f t="shared" si="58"/>
        <v>36.269047619047612</v>
      </c>
      <c r="AI64" s="13">
        <f t="shared" si="74"/>
        <v>125.2136007827789</v>
      </c>
      <c r="AK64" s="9">
        <f t="shared" si="45"/>
        <v>400</v>
      </c>
    </row>
    <row r="65" spans="1:42">
      <c r="A65" s="9">
        <v>11</v>
      </c>
      <c r="B65" s="9">
        <v>2024</v>
      </c>
      <c r="C65" s="9" t="s">
        <v>46</v>
      </c>
      <c r="D65" s="9" t="s">
        <v>47</v>
      </c>
      <c r="E65" s="9" t="s">
        <v>47</v>
      </c>
      <c r="F65" s="10">
        <v>45363</v>
      </c>
      <c r="G65" s="9" t="s">
        <v>153</v>
      </c>
      <c r="H65" s="9" t="s">
        <v>54</v>
      </c>
      <c r="I65" s="9">
        <v>1</v>
      </c>
      <c r="J65" s="11">
        <f t="shared" si="68"/>
        <v>12</v>
      </c>
      <c r="K65" s="9">
        <v>440</v>
      </c>
      <c r="L65" s="12">
        <v>0.33</v>
      </c>
      <c r="M65" s="12">
        <v>145.19999999999999</v>
      </c>
      <c r="N65" s="13" t="s">
        <v>49</v>
      </c>
      <c r="Q65" s="9">
        <f>IF(Auction_Sales[[#This Row],[Payment Date]]=0,"",-1+WEEKNUM(Auction_Sales[[#This Row],[Payment Date]]))</f>
        <v>10</v>
      </c>
      <c r="R65" s="9">
        <f t="shared" si="69"/>
        <v>0</v>
      </c>
      <c r="S65" s="1" t="str">
        <f t="shared" si="70"/>
        <v>Grandiflora Roses</v>
      </c>
      <c r="T65" s="1" t="str">
        <f t="shared" si="70"/>
        <v>80CM</v>
      </c>
      <c r="U65" s="9">
        <v>440</v>
      </c>
      <c r="V65" s="13">
        <f>260/U65</f>
        <v>0.59090909090909094</v>
      </c>
      <c r="W65" s="13">
        <f t="shared" si="71"/>
        <v>260</v>
      </c>
      <c r="X65" s="14">
        <f t="shared" si="75"/>
        <v>-20.369086757990857</v>
      </c>
      <c r="Y65" s="13">
        <f t="shared" si="72"/>
        <v>239.63091324200914</v>
      </c>
      <c r="Z65" s="10">
        <v>45364</v>
      </c>
      <c r="AA65" s="9">
        <f t="shared" si="42"/>
        <v>0</v>
      </c>
      <c r="AC65" s="9" t="s">
        <v>70</v>
      </c>
      <c r="AD65" s="14">
        <f t="shared" si="76"/>
        <v>28.269047619047615</v>
      </c>
      <c r="AF65" s="14">
        <f t="shared" si="73"/>
        <v>8.8000000000000007</v>
      </c>
      <c r="AH65" s="14">
        <f t="shared" si="58"/>
        <v>37.069047619047616</v>
      </c>
      <c r="AI65" s="13">
        <f t="shared" si="74"/>
        <v>202.56186562296153</v>
      </c>
      <c r="AK65" s="9">
        <f t="shared" si="45"/>
        <v>440</v>
      </c>
    </row>
    <row r="66" spans="1:42" ht="16.8">
      <c r="A66" s="9">
        <v>11</v>
      </c>
      <c r="B66" s="9">
        <v>2024</v>
      </c>
      <c r="C66" s="9" t="s">
        <v>46</v>
      </c>
      <c r="D66" s="9" t="s">
        <v>47</v>
      </c>
      <c r="E66" s="9" t="s">
        <v>47</v>
      </c>
      <c r="F66" s="10">
        <v>45363</v>
      </c>
      <c r="G66" s="9" t="s">
        <v>154</v>
      </c>
      <c r="H66" s="9" t="s">
        <v>48</v>
      </c>
      <c r="I66" s="9">
        <v>1</v>
      </c>
      <c r="J66" s="11">
        <f t="shared" si="68"/>
        <v>12</v>
      </c>
      <c r="K66" s="9">
        <v>440</v>
      </c>
      <c r="L66" s="12">
        <v>0.47</v>
      </c>
      <c r="M66" s="12">
        <v>206.8</v>
      </c>
      <c r="N66" s="13" t="s">
        <v>49</v>
      </c>
      <c r="Q66" s="9">
        <f>IF(Auction_Sales[[#This Row],[Payment Date]]=0,"",-1+WEEKNUM(Auction_Sales[[#This Row],[Payment Date]]))</f>
        <v>10</v>
      </c>
      <c r="R66" s="9">
        <f t="shared" si="69"/>
        <v>0</v>
      </c>
      <c r="S66" s="1" t="str">
        <f t="shared" si="70"/>
        <v>English Roses</v>
      </c>
      <c r="T66" s="1" t="str">
        <f t="shared" si="70"/>
        <v>60CM</v>
      </c>
      <c r="U66" s="9">
        <v>440</v>
      </c>
      <c r="V66" s="13">
        <f>228.4/U66</f>
        <v>0.51909090909090916</v>
      </c>
      <c r="W66" s="13">
        <f t="shared" si="71"/>
        <v>228.40000000000003</v>
      </c>
      <c r="X66" s="14">
        <f t="shared" si="75"/>
        <v>-20.369086757990857</v>
      </c>
      <c r="Y66" s="13">
        <f t="shared" si="72"/>
        <v>208.03091324200918</v>
      </c>
      <c r="Z66" s="10">
        <v>45364</v>
      </c>
      <c r="AA66" s="9">
        <f t="shared" si="42"/>
        <v>0</v>
      </c>
      <c r="AC66" s="9" t="s">
        <v>70</v>
      </c>
      <c r="AD66" s="14">
        <f t="shared" si="76"/>
        <v>28.269047619047615</v>
      </c>
      <c r="AF66" s="14">
        <f t="shared" si="73"/>
        <v>8.8000000000000007</v>
      </c>
      <c r="AH66" s="14">
        <f t="shared" ref="AH66:AH67" si="77">SUM(AD66:AG66)</f>
        <v>37.069047619047616</v>
      </c>
      <c r="AI66" s="13">
        <f t="shared" si="74"/>
        <v>170.96186562296157</v>
      </c>
      <c r="AK66" s="9">
        <f t="shared" si="45"/>
        <v>440</v>
      </c>
      <c r="AP66" s="23"/>
    </row>
    <row r="67" spans="1:42" ht="16.8">
      <c r="A67" s="9">
        <v>11</v>
      </c>
      <c r="B67" s="9">
        <v>2024</v>
      </c>
      <c r="C67" s="9" t="s">
        <v>46</v>
      </c>
      <c r="D67" s="9" t="s">
        <v>47</v>
      </c>
      <c r="E67" s="9" t="s">
        <v>47</v>
      </c>
      <c r="F67" s="10">
        <v>45363</v>
      </c>
      <c r="G67" s="9" t="s">
        <v>154</v>
      </c>
      <c r="H67" s="9" t="s">
        <v>52</v>
      </c>
      <c r="I67" s="9">
        <v>1</v>
      </c>
      <c r="J67" s="11">
        <f t="shared" si="68"/>
        <v>12</v>
      </c>
      <c r="K67" s="9">
        <v>400</v>
      </c>
      <c r="L67" s="12">
        <v>0.52</v>
      </c>
      <c r="M67" s="12">
        <v>208</v>
      </c>
      <c r="N67" s="13" t="s">
        <v>49</v>
      </c>
      <c r="Q67" s="9">
        <f>IF(Auction_Sales[[#This Row],[Payment Date]]=0,"",-1+WEEKNUM(Auction_Sales[[#This Row],[Payment Date]]))</f>
        <v>10</v>
      </c>
      <c r="R67" s="9">
        <f t="shared" si="69"/>
        <v>-80</v>
      </c>
      <c r="S67" s="1" t="str">
        <f t="shared" si="70"/>
        <v>English Roses</v>
      </c>
      <c r="T67" s="1" t="str">
        <f t="shared" si="70"/>
        <v>70CM</v>
      </c>
      <c r="U67" s="9">
        <v>480</v>
      </c>
      <c r="V67" s="13">
        <f>333.6/U67</f>
        <v>0.69500000000000006</v>
      </c>
      <c r="W67" s="13">
        <f t="shared" si="71"/>
        <v>333.6</v>
      </c>
      <c r="X67" s="14">
        <f t="shared" si="75"/>
        <v>-22.220821917808205</v>
      </c>
      <c r="Y67" s="13">
        <f t="shared" si="72"/>
        <v>311.3791780821918</v>
      </c>
      <c r="Z67" s="10">
        <v>45364</v>
      </c>
      <c r="AA67" s="9">
        <f t="shared" si="42"/>
        <v>80</v>
      </c>
      <c r="AC67" s="9" t="s">
        <v>70</v>
      </c>
      <c r="AD67" s="14">
        <f t="shared" si="76"/>
        <v>28.269047619047615</v>
      </c>
      <c r="AF67" s="14">
        <f t="shared" si="73"/>
        <v>9.6</v>
      </c>
      <c r="AH67" s="14">
        <f t="shared" si="77"/>
        <v>37.869047619047613</v>
      </c>
      <c r="AI67" s="13">
        <f t="shared" si="74"/>
        <v>273.51013046314421</v>
      </c>
      <c r="AK67" s="9">
        <f t="shared" si="45"/>
        <v>480</v>
      </c>
      <c r="AP67" s="23"/>
    </row>
    <row r="68" spans="1:42">
      <c r="A68" s="9">
        <v>11</v>
      </c>
      <c r="B68" s="9">
        <v>2024</v>
      </c>
      <c r="C68" s="9" t="s">
        <v>46</v>
      </c>
      <c r="D68" s="9" t="s">
        <v>47</v>
      </c>
      <c r="E68" s="9" t="s">
        <v>47</v>
      </c>
      <c r="F68" s="10">
        <v>45363</v>
      </c>
      <c r="G68" s="9" t="s">
        <v>154</v>
      </c>
      <c r="H68" s="9" t="s">
        <v>54</v>
      </c>
      <c r="I68" s="9">
        <v>1</v>
      </c>
      <c r="J68" s="11">
        <f t="shared" si="68"/>
        <v>12</v>
      </c>
      <c r="K68" s="9">
        <v>280</v>
      </c>
      <c r="L68" s="12">
        <v>0.56999999999999995</v>
      </c>
      <c r="M68" s="12">
        <v>159.6</v>
      </c>
      <c r="N68" s="13" t="s">
        <v>49</v>
      </c>
      <c r="Q68" s="9">
        <f>IF(Auction_Sales[[#This Row],[Payment Date]]=0,"",-1+WEEKNUM(Auction_Sales[[#This Row],[Payment Date]]))</f>
        <v>10</v>
      </c>
      <c r="R68" s="9">
        <f t="shared" si="6"/>
        <v>0</v>
      </c>
      <c r="S68" s="1" t="str">
        <f t="shared" si="70"/>
        <v>English Roses</v>
      </c>
      <c r="T68" s="1" t="str">
        <f t="shared" si="70"/>
        <v>80CM</v>
      </c>
      <c r="U68" s="9">
        <v>280</v>
      </c>
      <c r="V68" s="13">
        <f>170/U68</f>
        <v>0.6071428571428571</v>
      </c>
      <c r="W68" s="13">
        <f t="shared" si="71"/>
        <v>170</v>
      </c>
      <c r="X68" s="14">
        <f t="shared" si="75"/>
        <v>-12.962146118721455</v>
      </c>
      <c r="Y68" s="13">
        <f t="shared" si="72"/>
        <v>157.03785388127855</v>
      </c>
      <c r="Z68" s="10">
        <v>45364</v>
      </c>
      <c r="AA68" s="9">
        <f t="shared" si="42"/>
        <v>0</v>
      </c>
      <c r="AC68" s="9" t="s">
        <v>70</v>
      </c>
      <c r="AD68" s="14">
        <f t="shared" si="76"/>
        <v>28.269047619047615</v>
      </c>
      <c r="AF68" s="14">
        <f t="shared" si="73"/>
        <v>5.6000000000000005</v>
      </c>
      <c r="AH68" s="14">
        <f t="shared" si="58"/>
        <v>33.869047619047613</v>
      </c>
      <c r="AI68" s="13">
        <f t="shared" si="74"/>
        <v>123.16880626223093</v>
      </c>
      <c r="AK68" s="9">
        <f t="shared" si="45"/>
        <v>280</v>
      </c>
    </row>
    <row r="69" spans="1:42">
      <c r="A69" s="9">
        <v>11</v>
      </c>
      <c r="B69" s="9">
        <v>2024</v>
      </c>
      <c r="C69" s="9" t="s">
        <v>46</v>
      </c>
      <c r="D69" s="9" t="s">
        <v>47</v>
      </c>
      <c r="E69" s="9" t="s">
        <v>47</v>
      </c>
      <c r="F69" s="10">
        <v>45363</v>
      </c>
      <c r="G69" s="9" t="s">
        <v>155</v>
      </c>
      <c r="H69" s="9" t="s">
        <v>51</v>
      </c>
      <c r="I69" s="9">
        <v>2</v>
      </c>
      <c r="J69" s="11">
        <f t="shared" si="68"/>
        <v>24</v>
      </c>
      <c r="K69" s="9">
        <v>1200</v>
      </c>
      <c r="L69" s="12">
        <v>0.38</v>
      </c>
      <c r="M69" s="12">
        <v>456</v>
      </c>
      <c r="N69" s="13" t="s">
        <v>49</v>
      </c>
      <c r="Q69" s="9">
        <f>IF(Auction_Sales[[#This Row],[Payment Date]]=0,"",-1+WEEKNUM(Auction_Sales[[#This Row],[Payment Date]]))</f>
        <v>10</v>
      </c>
      <c r="R69" s="9">
        <f t="shared" si="6"/>
        <v>-240</v>
      </c>
      <c r="S69" s="1" t="str">
        <f t="shared" si="70"/>
        <v>Floribunda Roses</v>
      </c>
      <c r="T69" s="1" t="str">
        <f t="shared" si="70"/>
        <v>50CM</v>
      </c>
      <c r="U69" s="9">
        <v>1440</v>
      </c>
      <c r="V69" s="13">
        <f>451.6/U69</f>
        <v>0.31361111111111112</v>
      </c>
      <c r="W69" s="13">
        <f t="shared" si="71"/>
        <v>451.6</v>
      </c>
      <c r="X69" s="14">
        <f t="shared" si="75"/>
        <v>-66.662465753424613</v>
      </c>
      <c r="Y69" s="13">
        <f t="shared" si="72"/>
        <v>384.93753424657541</v>
      </c>
      <c r="Z69" s="10">
        <v>45364</v>
      </c>
      <c r="AA69" s="9">
        <f t="shared" si="42"/>
        <v>240</v>
      </c>
      <c r="AC69" s="9" t="s">
        <v>70</v>
      </c>
      <c r="AD69" s="14">
        <f t="shared" si="76"/>
        <v>56.538095238095231</v>
      </c>
      <c r="AF69" s="14">
        <f t="shared" si="73"/>
        <v>28.8</v>
      </c>
      <c r="AH69" s="14">
        <f t="shared" si="58"/>
        <v>85.338095238095235</v>
      </c>
      <c r="AI69" s="13">
        <f t="shared" si="74"/>
        <v>299.5994390084802</v>
      </c>
      <c r="AK69" s="9">
        <f t="shared" si="45"/>
        <v>1440</v>
      </c>
    </row>
    <row r="70" spans="1:42">
      <c r="A70" s="9">
        <v>11</v>
      </c>
      <c r="B70" s="9">
        <v>2024</v>
      </c>
      <c r="C70" s="9" t="s">
        <v>46</v>
      </c>
      <c r="D70" s="9" t="s">
        <v>47</v>
      </c>
      <c r="E70" s="9" t="s">
        <v>47</v>
      </c>
      <c r="F70" s="10">
        <v>45363</v>
      </c>
      <c r="G70" s="9" t="s">
        <v>155</v>
      </c>
      <c r="H70" s="9" t="s">
        <v>48</v>
      </c>
      <c r="I70" s="9">
        <v>2</v>
      </c>
      <c r="J70" s="11">
        <f t="shared" si="68"/>
        <v>24</v>
      </c>
      <c r="K70" s="9">
        <v>1040</v>
      </c>
      <c r="L70" s="12">
        <v>0.47</v>
      </c>
      <c r="M70" s="12">
        <v>488.8</v>
      </c>
      <c r="N70" s="13" t="s">
        <v>49</v>
      </c>
      <c r="Q70" s="9">
        <f>IF(Auction_Sales[[#This Row],[Payment Date]]=0,"",-1+WEEKNUM(Auction_Sales[[#This Row],[Payment Date]]))</f>
        <v>10</v>
      </c>
      <c r="R70" s="9">
        <f t="shared" si="6"/>
        <v>1040</v>
      </c>
      <c r="S70" s="1" t="str">
        <f t="shared" si="70"/>
        <v>Floribunda Roses</v>
      </c>
      <c r="T70" s="1" t="str">
        <f t="shared" si="70"/>
        <v>60CM</v>
      </c>
      <c r="W70" s="13">
        <f t="shared" si="71"/>
        <v>0</v>
      </c>
      <c r="X70" s="14">
        <f t="shared" si="75"/>
        <v>0</v>
      </c>
      <c r="Y70" s="13">
        <f t="shared" si="72"/>
        <v>0</v>
      </c>
      <c r="Z70" s="10">
        <v>45364</v>
      </c>
      <c r="AA70" s="9">
        <f t="shared" si="42"/>
        <v>-1040</v>
      </c>
      <c r="AC70" s="9" t="s">
        <v>70</v>
      </c>
      <c r="AD70" s="14">
        <f t="shared" si="76"/>
        <v>56.538095238095231</v>
      </c>
      <c r="AF70" s="14">
        <f t="shared" si="73"/>
        <v>0</v>
      </c>
      <c r="AH70" s="14">
        <f t="shared" si="58"/>
        <v>56.538095238095231</v>
      </c>
      <c r="AI70" s="13">
        <f t="shared" si="74"/>
        <v>-56.538095238095231</v>
      </c>
      <c r="AK70" s="9">
        <f t="shared" si="45"/>
        <v>0</v>
      </c>
    </row>
    <row r="71" spans="1:42">
      <c r="A71" s="9">
        <v>11</v>
      </c>
      <c r="B71" s="9">
        <v>2024</v>
      </c>
      <c r="C71" s="9" t="s">
        <v>46</v>
      </c>
      <c r="D71" s="9" t="s">
        <v>47</v>
      </c>
      <c r="E71" s="9" t="s">
        <v>47</v>
      </c>
      <c r="F71" s="10">
        <v>45363</v>
      </c>
      <c r="G71" s="9" t="s">
        <v>155</v>
      </c>
      <c r="H71" s="9" t="s">
        <v>52</v>
      </c>
      <c r="I71" s="9">
        <v>2</v>
      </c>
      <c r="J71" s="11">
        <f t="shared" si="68"/>
        <v>24</v>
      </c>
      <c r="K71" s="9">
        <v>800</v>
      </c>
      <c r="L71" s="12">
        <v>0.52</v>
      </c>
      <c r="M71" s="12">
        <v>416</v>
      </c>
      <c r="N71" s="13" t="s">
        <v>49</v>
      </c>
      <c r="Q71" s="9">
        <f>IF(Auction_Sales[[#This Row],[Payment Date]]=0,"",-1+WEEKNUM(Auction_Sales[[#This Row],[Payment Date]]))</f>
        <v>10</v>
      </c>
      <c r="R71" s="9">
        <f>K71-U71</f>
        <v>800</v>
      </c>
      <c r="S71" s="1" t="str">
        <f t="shared" si="70"/>
        <v>Floribunda Roses</v>
      </c>
      <c r="T71" s="1" t="str">
        <f t="shared" si="70"/>
        <v>70CM</v>
      </c>
      <c r="W71" s="13">
        <f t="shared" si="71"/>
        <v>0</v>
      </c>
      <c r="X71" s="14">
        <f t="shared" si="75"/>
        <v>0</v>
      </c>
      <c r="Y71" s="13">
        <f t="shared" si="72"/>
        <v>0</v>
      </c>
      <c r="Z71" s="10">
        <v>45364</v>
      </c>
      <c r="AA71" s="9">
        <f t="shared" si="42"/>
        <v>-800</v>
      </c>
      <c r="AC71" s="9" t="s">
        <v>70</v>
      </c>
      <c r="AD71" s="14">
        <f t="shared" si="76"/>
        <v>56.538095238095231</v>
      </c>
      <c r="AF71" s="14">
        <f t="shared" si="73"/>
        <v>0</v>
      </c>
      <c r="AH71" s="14">
        <f t="shared" si="58"/>
        <v>56.538095238095231</v>
      </c>
      <c r="AI71" s="13">
        <f t="shared" si="74"/>
        <v>-56.538095238095231</v>
      </c>
      <c r="AK71" s="9">
        <f t="shared" si="45"/>
        <v>0</v>
      </c>
    </row>
    <row r="72" spans="1:42">
      <c r="A72" s="9">
        <v>11</v>
      </c>
      <c r="B72" s="9">
        <v>2024</v>
      </c>
      <c r="C72" s="9" t="s">
        <v>46</v>
      </c>
      <c r="D72" s="9" t="s">
        <v>47</v>
      </c>
      <c r="E72" s="9" t="s">
        <v>47</v>
      </c>
      <c r="F72" s="10">
        <v>45363</v>
      </c>
      <c r="G72" s="9" t="s">
        <v>155</v>
      </c>
      <c r="H72" s="9" t="s">
        <v>56</v>
      </c>
      <c r="I72" s="9">
        <v>1</v>
      </c>
      <c r="J72" s="11">
        <f t="shared" si="68"/>
        <v>12</v>
      </c>
      <c r="K72" s="9">
        <v>200</v>
      </c>
      <c r="L72" s="12">
        <v>0.75</v>
      </c>
      <c r="M72" s="12">
        <v>150</v>
      </c>
      <c r="N72" s="13" t="s">
        <v>49</v>
      </c>
      <c r="Q72" s="9">
        <f>IF(Auction_Sales[[#This Row],[Payment Date]]=0,"",-1+WEEKNUM(Auction_Sales[[#This Row],[Payment Date]]))</f>
        <v>10</v>
      </c>
      <c r="R72" s="9">
        <f t="shared" ref="R72:R74" si="78">K72-U72</f>
        <v>0</v>
      </c>
      <c r="S72" s="1" t="str">
        <f t="shared" si="70"/>
        <v>Floribunda Roses</v>
      </c>
      <c r="T72" s="1" t="str">
        <f t="shared" si="70"/>
        <v>90CM</v>
      </c>
      <c r="U72" s="9">
        <v>200</v>
      </c>
      <c r="V72" s="13">
        <f>161.2/U72</f>
        <v>0.80599999999999994</v>
      </c>
      <c r="W72" s="13">
        <f t="shared" si="71"/>
        <v>161.19999999999999</v>
      </c>
      <c r="X72" s="14">
        <f t="shared" si="75"/>
        <v>-9.2586757990867508</v>
      </c>
      <c r="Y72" s="13">
        <f t="shared" si="72"/>
        <v>151.94132420091324</v>
      </c>
      <c r="Z72" s="10">
        <v>45364</v>
      </c>
      <c r="AA72" s="9">
        <f t="shared" si="42"/>
        <v>0</v>
      </c>
      <c r="AC72" s="9" t="s">
        <v>70</v>
      </c>
      <c r="AD72" s="14">
        <f t="shared" si="76"/>
        <v>28.269047619047615</v>
      </c>
      <c r="AF72" s="14">
        <f t="shared" si="73"/>
        <v>4</v>
      </c>
      <c r="AH72" s="14">
        <f t="shared" ref="AH72:AH76" si="79">SUM(AD72:AG72)</f>
        <v>32.269047619047612</v>
      </c>
      <c r="AI72" s="13">
        <f t="shared" si="74"/>
        <v>119.67227658186563</v>
      </c>
      <c r="AK72" s="9">
        <f t="shared" si="45"/>
        <v>200</v>
      </c>
    </row>
    <row r="73" spans="1:42" ht="16.8">
      <c r="A73" s="9">
        <v>11</v>
      </c>
      <c r="B73" s="9">
        <v>2024</v>
      </c>
      <c r="C73" s="9" t="s">
        <v>46</v>
      </c>
      <c r="D73" s="9" t="s">
        <v>47</v>
      </c>
      <c r="E73" s="9" t="s">
        <v>47</v>
      </c>
      <c r="F73" s="10">
        <v>45363</v>
      </c>
      <c r="G73" s="9" t="s">
        <v>155</v>
      </c>
      <c r="H73" s="9" t="s">
        <v>57</v>
      </c>
      <c r="I73" s="9">
        <v>1</v>
      </c>
      <c r="J73" s="11">
        <f t="shared" si="68"/>
        <v>12</v>
      </c>
      <c r="K73" s="9">
        <v>200</v>
      </c>
      <c r="L73" s="12">
        <v>0.94</v>
      </c>
      <c r="M73" s="12">
        <v>188</v>
      </c>
      <c r="N73" s="13" t="s">
        <v>49</v>
      </c>
      <c r="Q73" s="9">
        <f>IF(Auction_Sales[[#This Row],[Payment Date]]=0,"",-1+WEEKNUM(Auction_Sales[[#This Row],[Payment Date]]))</f>
        <v>10</v>
      </c>
      <c r="R73" s="9">
        <f t="shared" si="78"/>
        <v>0</v>
      </c>
      <c r="S73" s="1" t="str">
        <f t="shared" si="70"/>
        <v>Floribunda Roses</v>
      </c>
      <c r="T73" s="1" t="str">
        <f t="shared" si="70"/>
        <v>100CM</v>
      </c>
      <c r="U73" s="9">
        <v>200</v>
      </c>
      <c r="V73" s="13">
        <f>150/U73</f>
        <v>0.75</v>
      </c>
      <c r="W73" s="13">
        <f t="shared" si="71"/>
        <v>150</v>
      </c>
      <c r="X73" s="14">
        <f t="shared" si="75"/>
        <v>-9.2586757990867508</v>
      </c>
      <c r="Y73" s="13">
        <f t="shared" si="72"/>
        <v>140.74132420091325</v>
      </c>
      <c r="Z73" s="10">
        <v>45364</v>
      </c>
      <c r="AA73" s="9">
        <f t="shared" si="42"/>
        <v>0</v>
      </c>
      <c r="AC73" s="9" t="s">
        <v>70</v>
      </c>
      <c r="AD73" s="14">
        <f t="shared" si="76"/>
        <v>28.269047619047615</v>
      </c>
      <c r="AF73" s="14">
        <f t="shared" si="73"/>
        <v>4</v>
      </c>
      <c r="AH73" s="14">
        <f t="shared" si="79"/>
        <v>32.269047619047612</v>
      </c>
      <c r="AI73" s="13">
        <f t="shared" si="74"/>
        <v>108.47227658186564</v>
      </c>
      <c r="AK73" s="9">
        <f t="shared" si="45"/>
        <v>200</v>
      </c>
      <c r="AP73" s="23"/>
    </row>
    <row r="74" spans="1:42" ht="16.8">
      <c r="A74" s="9">
        <v>11</v>
      </c>
      <c r="B74" s="9">
        <v>2024</v>
      </c>
      <c r="C74" s="9" t="s">
        <v>46</v>
      </c>
      <c r="D74" s="9" t="s">
        <v>47</v>
      </c>
      <c r="E74" s="9" t="s">
        <v>47</v>
      </c>
      <c r="F74" s="10">
        <v>45363</v>
      </c>
      <c r="G74" s="9" t="s">
        <v>157</v>
      </c>
      <c r="H74" s="9" t="s">
        <v>51</v>
      </c>
      <c r="I74" s="9">
        <v>1</v>
      </c>
      <c r="J74" s="11">
        <f>K74/360*12</f>
        <v>2.6666666666666665</v>
      </c>
      <c r="K74" s="9">
        <v>80</v>
      </c>
      <c r="L74" s="12">
        <v>0.14000000000000001</v>
      </c>
      <c r="M74" s="12">
        <v>11.2</v>
      </c>
      <c r="N74" s="13" t="s">
        <v>49</v>
      </c>
      <c r="Q74" s="9">
        <f>IF(Auction_Sales[[#This Row],[Payment Date]]=0,"",-1+WEEKNUM(Auction_Sales[[#This Row],[Payment Date]]))</f>
        <v>10</v>
      </c>
      <c r="R74" s="9">
        <f t="shared" si="78"/>
        <v>0</v>
      </c>
      <c r="S74" s="1" t="str">
        <f t="shared" si="70"/>
        <v>Moss Roses</v>
      </c>
      <c r="T74" s="1" t="str">
        <f t="shared" si="70"/>
        <v>50CM</v>
      </c>
      <c r="U74" s="9">
        <v>80</v>
      </c>
      <c r="V74" s="13">
        <f>33.6/U74</f>
        <v>0.42000000000000004</v>
      </c>
      <c r="W74" s="13">
        <f t="shared" si="71"/>
        <v>33.6</v>
      </c>
      <c r="X74" s="14">
        <f t="shared" si="75"/>
        <v>-3.7034703196347007</v>
      </c>
      <c r="Y74" s="13">
        <f t="shared" si="72"/>
        <v>29.896529680365301</v>
      </c>
      <c r="Z74" s="10">
        <v>45364</v>
      </c>
      <c r="AA74" s="9">
        <f t="shared" si="42"/>
        <v>0</v>
      </c>
      <c r="AC74" s="9" t="s">
        <v>70</v>
      </c>
      <c r="AD74" s="14">
        <f t="shared" si="76"/>
        <v>6.2820105820105816</v>
      </c>
      <c r="AF74" s="14">
        <f t="shared" si="73"/>
        <v>1.6</v>
      </c>
      <c r="AH74" s="14">
        <f t="shared" si="79"/>
        <v>7.8820105820105812</v>
      </c>
      <c r="AI74" s="13">
        <f t="shared" si="74"/>
        <v>22.014519098354718</v>
      </c>
      <c r="AK74" s="9">
        <f t="shared" si="45"/>
        <v>80</v>
      </c>
      <c r="AP74" s="23"/>
    </row>
    <row r="75" spans="1:42">
      <c r="A75" s="9">
        <v>11</v>
      </c>
      <c r="B75" s="9">
        <v>2024</v>
      </c>
      <c r="C75" s="9" t="s">
        <v>46</v>
      </c>
      <c r="D75" s="9" t="s">
        <v>47</v>
      </c>
      <c r="E75" s="9" t="s">
        <v>47</v>
      </c>
      <c r="F75" s="10">
        <v>45363</v>
      </c>
      <c r="G75" s="9" t="s">
        <v>157</v>
      </c>
      <c r="H75" s="9" t="s">
        <v>48</v>
      </c>
      <c r="J75" s="11">
        <f t="shared" ref="J75:J77" si="80">K75/360*12</f>
        <v>5.333333333333333</v>
      </c>
      <c r="K75" s="9">
        <v>160</v>
      </c>
      <c r="L75" s="12">
        <v>0.24</v>
      </c>
      <c r="M75" s="12">
        <v>38.4</v>
      </c>
      <c r="N75" s="13" t="s">
        <v>49</v>
      </c>
      <c r="Q75" s="9">
        <f>IF(Auction_Sales[[#This Row],[Payment Date]]=0,"",-1+WEEKNUM(Auction_Sales[[#This Row],[Payment Date]]))</f>
        <v>10</v>
      </c>
      <c r="R75" s="9">
        <f t="shared" si="6"/>
        <v>0</v>
      </c>
      <c r="S75" s="1" t="str">
        <f t="shared" si="70"/>
        <v>Moss Roses</v>
      </c>
      <c r="T75" s="1" t="str">
        <f t="shared" si="70"/>
        <v>60CM</v>
      </c>
      <c r="U75" s="9">
        <v>160</v>
      </c>
      <c r="V75" s="13">
        <f>117.6/U75</f>
        <v>0.73499999999999999</v>
      </c>
      <c r="W75" s="13">
        <f t="shared" si="71"/>
        <v>117.6</v>
      </c>
      <c r="X75" s="14">
        <f t="shared" si="75"/>
        <v>-7.4069406392694015</v>
      </c>
      <c r="Y75" s="13">
        <f t="shared" si="72"/>
        <v>110.19305936073059</v>
      </c>
      <c r="Z75" s="10">
        <v>45364</v>
      </c>
      <c r="AA75" s="9">
        <f t="shared" si="42"/>
        <v>0</v>
      </c>
      <c r="AC75" s="9" t="s">
        <v>70</v>
      </c>
      <c r="AD75" s="14">
        <f t="shared" si="76"/>
        <v>12.564021164021163</v>
      </c>
      <c r="AF75" s="14">
        <f t="shared" si="73"/>
        <v>3.2</v>
      </c>
      <c r="AH75" s="14">
        <f t="shared" si="79"/>
        <v>15.764021164021162</v>
      </c>
      <c r="AI75" s="13">
        <f t="shared" si="74"/>
        <v>94.429038196709428</v>
      </c>
      <c r="AK75" s="9">
        <f t="shared" si="45"/>
        <v>160</v>
      </c>
    </row>
    <row r="76" spans="1:42">
      <c r="A76" s="9">
        <v>11</v>
      </c>
      <c r="B76" s="9">
        <v>2024</v>
      </c>
      <c r="C76" s="9" t="s">
        <v>46</v>
      </c>
      <c r="D76" s="9" t="s">
        <v>47</v>
      </c>
      <c r="E76" s="9" t="s">
        <v>47</v>
      </c>
      <c r="F76" s="10">
        <v>45363</v>
      </c>
      <c r="G76" s="9" t="s">
        <v>157</v>
      </c>
      <c r="H76" s="9" t="s">
        <v>54</v>
      </c>
      <c r="J76" s="11">
        <f t="shared" si="80"/>
        <v>1.3333333333333333</v>
      </c>
      <c r="K76" s="9">
        <v>40</v>
      </c>
      <c r="L76" s="12">
        <v>0.33</v>
      </c>
      <c r="M76" s="12">
        <v>13.2</v>
      </c>
      <c r="N76" s="13" t="s">
        <v>49</v>
      </c>
      <c r="Q76" s="9">
        <f>IF(Auction_Sales[[#This Row],[Payment Date]]=0,"",-1+WEEKNUM(Auction_Sales[[#This Row],[Payment Date]]))</f>
        <v>10</v>
      </c>
      <c r="R76" s="9">
        <f t="shared" si="6"/>
        <v>0</v>
      </c>
      <c r="S76" s="1" t="str">
        <f t="shared" si="70"/>
        <v>Moss Roses</v>
      </c>
      <c r="T76" s="1" t="str">
        <f t="shared" si="70"/>
        <v>80CM</v>
      </c>
      <c r="U76" s="9">
        <v>40</v>
      </c>
      <c r="V76" s="13">
        <f>31.2/U76</f>
        <v>0.78</v>
      </c>
      <c r="W76" s="13">
        <f t="shared" si="71"/>
        <v>31.200000000000003</v>
      </c>
      <c r="X76" s="14">
        <f t="shared" si="75"/>
        <v>-1.8517351598173504</v>
      </c>
      <c r="Y76" s="13">
        <f t="shared" si="72"/>
        <v>29.348264840182651</v>
      </c>
      <c r="Z76" s="10">
        <v>45364</v>
      </c>
      <c r="AA76" s="9">
        <f t="shared" si="42"/>
        <v>0</v>
      </c>
      <c r="AC76" s="9" t="s">
        <v>70</v>
      </c>
      <c r="AD76" s="14">
        <f t="shared" si="76"/>
        <v>3.1410052910052908</v>
      </c>
      <c r="AF76" s="14">
        <f t="shared" si="73"/>
        <v>0.8</v>
      </c>
      <c r="AH76" s="14">
        <f t="shared" si="79"/>
        <v>3.9410052910052906</v>
      </c>
      <c r="AI76" s="13">
        <f t="shared" si="74"/>
        <v>25.407259549177361</v>
      </c>
      <c r="AK76" s="9">
        <f t="shared" si="45"/>
        <v>40</v>
      </c>
    </row>
    <row r="77" spans="1:42">
      <c r="A77" s="9">
        <v>11</v>
      </c>
      <c r="B77" s="9">
        <v>2024</v>
      </c>
      <c r="C77" s="9" t="s">
        <v>46</v>
      </c>
      <c r="D77" s="9" t="s">
        <v>47</v>
      </c>
      <c r="E77" s="9" t="s">
        <v>47</v>
      </c>
      <c r="F77" s="10">
        <v>45363</v>
      </c>
      <c r="G77" s="9" t="s">
        <v>157</v>
      </c>
      <c r="H77" s="9" t="s">
        <v>52</v>
      </c>
      <c r="J77" s="11">
        <f t="shared" si="80"/>
        <v>2.6666666666666665</v>
      </c>
      <c r="K77" s="9">
        <v>80</v>
      </c>
      <c r="L77" s="12">
        <v>0.28000000000000003</v>
      </c>
      <c r="M77" s="12">
        <v>22.4</v>
      </c>
      <c r="N77" s="13" t="s">
        <v>49</v>
      </c>
      <c r="Q77" s="9">
        <f>IF(Auction_Sales[[#This Row],[Payment Date]]=0,"",-1+WEEKNUM(Auction_Sales[[#This Row],[Payment Date]]))</f>
        <v>10</v>
      </c>
      <c r="R77" s="9">
        <f t="shared" si="6"/>
        <v>0</v>
      </c>
      <c r="S77" s="1" t="str">
        <f t="shared" si="70"/>
        <v>Moss Roses</v>
      </c>
      <c r="T77" s="1" t="str">
        <f t="shared" si="70"/>
        <v>70CM</v>
      </c>
      <c r="U77" s="9">
        <v>80</v>
      </c>
      <c r="V77" s="13">
        <f>64/U77</f>
        <v>0.8</v>
      </c>
      <c r="W77" s="13">
        <f t="shared" si="71"/>
        <v>64</v>
      </c>
      <c r="X77" s="14">
        <f t="shared" si="75"/>
        <v>-3.7034703196347007</v>
      </c>
      <c r="Y77" s="13">
        <f t="shared" si="72"/>
        <v>60.296529680365296</v>
      </c>
      <c r="Z77" s="10">
        <v>45364</v>
      </c>
      <c r="AA77" s="9">
        <f t="shared" si="42"/>
        <v>0</v>
      </c>
      <c r="AC77" s="9" t="s">
        <v>70</v>
      </c>
      <c r="AD77" s="14">
        <f t="shared" si="76"/>
        <v>6.2820105820105816</v>
      </c>
      <c r="AF77" s="14">
        <f t="shared" si="73"/>
        <v>1.6</v>
      </c>
      <c r="AH77" s="14">
        <f t="shared" si="58"/>
        <v>7.8820105820105812</v>
      </c>
      <c r="AI77" s="13">
        <f t="shared" si="74"/>
        <v>52.414519098354717</v>
      </c>
      <c r="AK77" s="9">
        <f t="shared" si="45"/>
        <v>80</v>
      </c>
    </row>
    <row r="78" spans="1:42">
      <c r="A78" s="9">
        <v>11</v>
      </c>
      <c r="B78" s="9">
        <v>2024</v>
      </c>
      <c r="C78" s="9" t="s">
        <v>46</v>
      </c>
      <c r="D78" s="9" t="s">
        <v>47</v>
      </c>
      <c r="E78" s="9" t="s">
        <v>47</v>
      </c>
      <c r="F78" s="10">
        <v>45363</v>
      </c>
      <c r="G78" s="9" t="s">
        <v>155</v>
      </c>
      <c r="H78" s="9" t="s">
        <v>51</v>
      </c>
      <c r="I78" s="9">
        <v>1</v>
      </c>
      <c r="J78" s="11">
        <f>K78/640*12</f>
        <v>4.5</v>
      </c>
      <c r="K78" s="9">
        <v>240</v>
      </c>
      <c r="L78" s="12">
        <v>0.38</v>
      </c>
      <c r="M78" s="12">
        <v>91.2</v>
      </c>
      <c r="N78" s="13" t="s">
        <v>49</v>
      </c>
      <c r="Q78" s="9">
        <f>IF(Auction_Sales[[#This Row],[Payment Date]]=0,"",-1+WEEKNUM(Auction_Sales[[#This Row],[Payment Date]]))</f>
        <v>10</v>
      </c>
      <c r="R78" s="9">
        <f t="shared" si="6"/>
        <v>240</v>
      </c>
      <c r="S78" s="1" t="str">
        <f t="shared" si="70"/>
        <v>Floribunda Roses</v>
      </c>
      <c r="T78" s="1" t="str">
        <f t="shared" si="70"/>
        <v>50CM</v>
      </c>
      <c r="W78" s="13">
        <f t="shared" si="71"/>
        <v>0</v>
      </c>
      <c r="X78" s="14">
        <f t="shared" si="75"/>
        <v>0</v>
      </c>
      <c r="Y78" s="13">
        <f t="shared" si="72"/>
        <v>0</v>
      </c>
      <c r="Z78" s="10">
        <v>45364</v>
      </c>
      <c r="AA78" s="9">
        <f t="shared" si="42"/>
        <v>-240</v>
      </c>
      <c r="AC78" s="9" t="s">
        <v>70</v>
      </c>
      <c r="AD78" s="14">
        <f t="shared" si="76"/>
        <v>10.600892857142856</v>
      </c>
      <c r="AF78" s="14">
        <f t="shared" si="73"/>
        <v>0</v>
      </c>
      <c r="AH78" s="14">
        <f t="shared" si="58"/>
        <v>10.600892857142856</v>
      </c>
      <c r="AI78" s="13">
        <f t="shared" si="74"/>
        <v>-10.600892857142856</v>
      </c>
      <c r="AK78" s="9">
        <f t="shared" si="45"/>
        <v>0</v>
      </c>
    </row>
    <row r="79" spans="1:42">
      <c r="A79" s="9">
        <v>11</v>
      </c>
      <c r="B79" s="9">
        <v>2024</v>
      </c>
      <c r="C79" s="9" t="s">
        <v>46</v>
      </c>
      <c r="D79" s="9" t="s">
        <v>47</v>
      </c>
      <c r="E79" s="9" t="s">
        <v>47</v>
      </c>
      <c r="F79" s="10">
        <v>45363</v>
      </c>
      <c r="G79" s="9" t="s">
        <v>155</v>
      </c>
      <c r="H79" s="9" t="s">
        <v>48</v>
      </c>
      <c r="J79" s="11">
        <f>K79/640*12</f>
        <v>7.5</v>
      </c>
      <c r="K79" s="9">
        <v>400</v>
      </c>
      <c r="L79" s="12">
        <v>0.47</v>
      </c>
      <c r="M79" s="12">
        <v>188</v>
      </c>
      <c r="N79" s="13" t="s">
        <v>49</v>
      </c>
      <c r="Q79" s="9">
        <f>IF(Auction_Sales[[#This Row],[Payment Date]]=0,"",-1+WEEKNUM(Auction_Sales[[#This Row],[Payment Date]]))</f>
        <v>10</v>
      </c>
      <c r="R79" s="9">
        <f t="shared" si="6"/>
        <v>-1040</v>
      </c>
      <c r="S79" s="1" t="str">
        <f t="shared" si="70"/>
        <v>Floribunda Roses</v>
      </c>
      <c r="T79" s="1" t="str">
        <f t="shared" si="70"/>
        <v>60CM</v>
      </c>
      <c r="U79" s="9">
        <v>1440</v>
      </c>
      <c r="V79" s="13">
        <f>571.2/U79</f>
        <v>0.39666666666666672</v>
      </c>
      <c r="W79" s="13">
        <f t="shared" si="71"/>
        <v>571.20000000000005</v>
      </c>
      <c r="X79" s="14">
        <f t="shared" si="75"/>
        <v>-66.662465753424613</v>
      </c>
      <c r="Y79" s="13">
        <f t="shared" si="72"/>
        <v>504.53753424657543</v>
      </c>
      <c r="Z79" s="10">
        <v>45364</v>
      </c>
      <c r="AA79" s="9">
        <f t="shared" si="42"/>
        <v>1040</v>
      </c>
      <c r="AC79" s="9" t="s">
        <v>70</v>
      </c>
      <c r="AD79" s="14">
        <f t="shared" si="76"/>
        <v>17.668154761904759</v>
      </c>
      <c r="AF79" s="14">
        <f t="shared" si="73"/>
        <v>28.8</v>
      </c>
      <c r="AH79" s="14">
        <f t="shared" ref="AH79" si="81">SUM(AD79:AG79)</f>
        <v>46.468154761904756</v>
      </c>
      <c r="AI79" s="13">
        <f t="shared" si="74"/>
        <v>458.06937948467066</v>
      </c>
      <c r="AK79" s="9">
        <f t="shared" si="45"/>
        <v>1440</v>
      </c>
    </row>
    <row r="80" spans="1:42" ht="16.8">
      <c r="A80" s="9">
        <v>11</v>
      </c>
      <c r="B80" s="9">
        <v>2024</v>
      </c>
      <c r="C80" s="9" t="s">
        <v>46</v>
      </c>
      <c r="D80" s="9" t="s">
        <v>47</v>
      </c>
      <c r="E80" s="9" t="s">
        <v>47</v>
      </c>
      <c r="F80" s="10">
        <v>45363</v>
      </c>
      <c r="G80" s="9" t="s">
        <v>155</v>
      </c>
      <c r="H80" s="9" t="s">
        <v>52</v>
      </c>
      <c r="I80" s="9">
        <v>1</v>
      </c>
      <c r="J80" s="11">
        <f>K80/480*12</f>
        <v>8</v>
      </c>
      <c r="K80" s="9">
        <v>320</v>
      </c>
      <c r="L80" s="12">
        <v>0.52</v>
      </c>
      <c r="M80" s="12">
        <v>166.4</v>
      </c>
      <c r="N80" s="13" t="s">
        <v>49</v>
      </c>
      <c r="Q80" s="9">
        <f>IF(Auction_Sales[[#This Row],[Payment Date]]=0,"",-1+WEEKNUM(Auction_Sales[[#This Row],[Payment Date]]))</f>
        <v>10</v>
      </c>
      <c r="R80" s="9">
        <f t="shared" si="6"/>
        <v>-800</v>
      </c>
      <c r="S80" s="1" t="str">
        <f t="shared" si="70"/>
        <v>Floribunda Roses</v>
      </c>
      <c r="T80" s="1" t="str">
        <f t="shared" si="70"/>
        <v>70CM</v>
      </c>
      <c r="U80" s="9">
        <v>1120</v>
      </c>
      <c r="V80" s="13">
        <f>868.8/U80</f>
        <v>0.77571428571428569</v>
      </c>
      <c r="W80" s="13">
        <f t="shared" si="71"/>
        <v>868.8</v>
      </c>
      <c r="X80" s="14">
        <f t="shared" si="75"/>
        <v>-51.848584474885818</v>
      </c>
      <c r="Y80" s="13">
        <f t="shared" si="72"/>
        <v>816.95141552511416</v>
      </c>
      <c r="Z80" s="10">
        <v>45364</v>
      </c>
      <c r="AA80" s="9">
        <f t="shared" si="42"/>
        <v>800</v>
      </c>
      <c r="AC80" s="9" t="s">
        <v>70</v>
      </c>
      <c r="AD80" s="14">
        <f t="shared" si="76"/>
        <v>18.846031746031745</v>
      </c>
      <c r="AF80" s="14">
        <f t="shared" si="73"/>
        <v>22.400000000000002</v>
      </c>
      <c r="AH80" s="14">
        <f t="shared" si="58"/>
        <v>41.246031746031747</v>
      </c>
      <c r="AI80" s="13">
        <f t="shared" si="74"/>
        <v>775.70538377908247</v>
      </c>
      <c r="AK80" s="9">
        <f t="shared" si="45"/>
        <v>1120</v>
      </c>
      <c r="AP80" s="23"/>
    </row>
    <row r="81" spans="1:42" ht="16.8">
      <c r="A81" s="9">
        <v>11</v>
      </c>
      <c r="B81" s="9">
        <v>2024</v>
      </c>
      <c r="C81" s="9" t="s">
        <v>46</v>
      </c>
      <c r="D81" s="9" t="s">
        <v>47</v>
      </c>
      <c r="E81" s="9" t="s">
        <v>47</v>
      </c>
      <c r="F81" s="10">
        <v>45363</v>
      </c>
      <c r="G81" s="9" t="s">
        <v>155</v>
      </c>
      <c r="H81" s="9" t="s">
        <v>54</v>
      </c>
      <c r="J81" s="11">
        <f>K81/480*12</f>
        <v>4</v>
      </c>
      <c r="K81" s="9">
        <v>160</v>
      </c>
      <c r="L81" s="12">
        <v>0.56999999999999995</v>
      </c>
      <c r="M81" s="12">
        <v>91.2</v>
      </c>
      <c r="N81" s="13" t="s">
        <v>49</v>
      </c>
      <c r="Q81" s="9">
        <f>IF(Auction_Sales[[#This Row],[Payment Date]]=0,"",-1+WEEKNUM(Auction_Sales[[#This Row],[Payment Date]]))</f>
        <v>10</v>
      </c>
      <c r="R81" s="9">
        <f t="shared" si="6"/>
        <v>0</v>
      </c>
      <c r="S81" s="1" t="str">
        <f t="shared" si="70"/>
        <v>Floribunda Roses</v>
      </c>
      <c r="T81" s="1" t="str">
        <f t="shared" si="70"/>
        <v>80CM</v>
      </c>
      <c r="U81" s="9">
        <v>160</v>
      </c>
      <c r="V81" s="13">
        <f>160.8/U81</f>
        <v>1.0050000000000001</v>
      </c>
      <c r="W81" s="13">
        <f t="shared" si="71"/>
        <v>160.80000000000001</v>
      </c>
      <c r="X81" s="14">
        <f t="shared" si="75"/>
        <v>-7.4069406392694015</v>
      </c>
      <c r="Y81" s="13">
        <f t="shared" si="72"/>
        <v>153.3930593607306</v>
      </c>
      <c r="Z81" s="10">
        <v>45364</v>
      </c>
      <c r="AA81" s="9">
        <f t="shared" si="42"/>
        <v>0</v>
      </c>
      <c r="AC81" s="9" t="s">
        <v>70</v>
      </c>
      <c r="AD81" s="14">
        <f t="shared" si="76"/>
        <v>9.4230158730158724</v>
      </c>
      <c r="AF81" s="14">
        <f t="shared" si="73"/>
        <v>3.2</v>
      </c>
      <c r="AH81" s="14">
        <f t="shared" si="58"/>
        <v>12.623015873015873</v>
      </c>
      <c r="AI81" s="13">
        <f t="shared" si="74"/>
        <v>140.77004348771473</v>
      </c>
      <c r="AK81" s="9">
        <f t="shared" si="45"/>
        <v>160</v>
      </c>
      <c r="AP81" s="23"/>
    </row>
    <row r="82" spans="1:42">
      <c r="A82" s="9">
        <v>11</v>
      </c>
      <c r="B82" s="9">
        <v>2024</v>
      </c>
      <c r="C82" s="9" t="s">
        <v>46</v>
      </c>
      <c r="D82" s="9" t="s">
        <v>47</v>
      </c>
      <c r="E82" s="9" t="s">
        <v>47</v>
      </c>
      <c r="F82" s="10">
        <v>45363</v>
      </c>
      <c r="G82" s="9" t="s">
        <v>154</v>
      </c>
      <c r="H82" s="9" t="s">
        <v>51</v>
      </c>
      <c r="I82" s="9">
        <v>1</v>
      </c>
      <c r="J82" s="11">
        <f>K82/400*12</f>
        <v>9.6000000000000014</v>
      </c>
      <c r="K82" s="11">
        <v>320</v>
      </c>
      <c r="L82" s="12">
        <v>0.38</v>
      </c>
      <c r="M82" s="12">
        <v>121.6</v>
      </c>
      <c r="N82" s="13" t="s">
        <v>49</v>
      </c>
      <c r="Q82" s="9">
        <f>IF(Auction_Sales[[#This Row],[Payment Date]]=0,"",-1+WEEKNUM(Auction_Sales[[#This Row],[Payment Date]]))</f>
        <v>10</v>
      </c>
      <c r="R82" s="9">
        <f>K82-U82</f>
        <v>0</v>
      </c>
      <c r="S82" s="1" t="str">
        <f t="shared" si="70"/>
        <v>English Roses</v>
      </c>
      <c r="T82" s="1" t="str">
        <f t="shared" si="70"/>
        <v>50CM</v>
      </c>
      <c r="U82" s="9">
        <v>320</v>
      </c>
      <c r="V82" s="13">
        <f>118/U82</f>
        <v>0.36875000000000002</v>
      </c>
      <c r="W82" s="13">
        <f t="shared" si="71"/>
        <v>118</v>
      </c>
      <c r="X82" s="14">
        <f t="shared" si="75"/>
        <v>-14.813881278538803</v>
      </c>
      <c r="Y82" s="13">
        <f t="shared" si="72"/>
        <v>103.1861187214612</v>
      </c>
      <c r="Z82" s="10">
        <v>45364</v>
      </c>
      <c r="AA82" s="9">
        <f t="shared" si="42"/>
        <v>0</v>
      </c>
      <c r="AC82" s="9" t="s">
        <v>70</v>
      </c>
      <c r="AD82" s="14">
        <f t="shared" si="76"/>
        <v>22.615238095238098</v>
      </c>
      <c r="AF82" s="14">
        <f t="shared" si="73"/>
        <v>6.4</v>
      </c>
      <c r="AH82" s="14">
        <f t="shared" si="58"/>
        <v>29.015238095238097</v>
      </c>
      <c r="AI82" s="13">
        <f t="shared" si="74"/>
        <v>74.170880626223095</v>
      </c>
      <c r="AK82" s="9">
        <f t="shared" si="45"/>
        <v>320</v>
      </c>
    </row>
    <row r="83" spans="1:42">
      <c r="A83" s="9">
        <v>11</v>
      </c>
      <c r="B83" s="9">
        <v>2024</v>
      </c>
      <c r="C83" s="9" t="s">
        <v>46</v>
      </c>
      <c r="D83" s="9" t="s">
        <v>47</v>
      </c>
      <c r="E83" s="9" t="s">
        <v>47</v>
      </c>
      <c r="F83" s="10">
        <v>45363</v>
      </c>
      <c r="G83" s="9" t="s">
        <v>154</v>
      </c>
      <c r="H83" s="9" t="s">
        <v>52</v>
      </c>
      <c r="J83" s="11">
        <f>K83/400*12</f>
        <v>2.4000000000000004</v>
      </c>
      <c r="K83" s="11">
        <v>80</v>
      </c>
      <c r="L83" s="12">
        <v>0.52</v>
      </c>
      <c r="M83" s="12">
        <v>41.6</v>
      </c>
      <c r="N83" s="13" t="s">
        <v>49</v>
      </c>
      <c r="Q83" s="9">
        <f>IF(Auction_Sales[[#This Row],[Payment Date]]=0,"",-1+WEEKNUM(Auction_Sales[[#This Row],[Payment Date]]))</f>
        <v>10</v>
      </c>
      <c r="R83" s="9">
        <f t="shared" ref="R83:R90" si="82">K83-U83</f>
        <v>80</v>
      </c>
      <c r="S83" s="1" t="str">
        <f t="shared" ref="S83:T90" si="83">IF(G83=0,"",G83)</f>
        <v>English Roses</v>
      </c>
      <c r="T83" s="1" t="str">
        <f t="shared" si="83"/>
        <v>70CM</v>
      </c>
      <c r="W83" s="13">
        <f t="shared" si="71"/>
        <v>0</v>
      </c>
      <c r="X83" s="14">
        <f t="shared" si="75"/>
        <v>0</v>
      </c>
      <c r="Y83" s="13">
        <f t="shared" si="72"/>
        <v>0</v>
      </c>
      <c r="Z83" s="10">
        <v>45364</v>
      </c>
      <c r="AA83" s="9">
        <f t="shared" si="42"/>
        <v>-80</v>
      </c>
      <c r="AC83" s="9" t="s">
        <v>70</v>
      </c>
      <c r="AD83" s="14">
        <f t="shared" si="76"/>
        <v>5.6538095238095245</v>
      </c>
      <c r="AF83" s="14">
        <f t="shared" si="73"/>
        <v>0</v>
      </c>
      <c r="AH83" s="14">
        <f t="shared" si="58"/>
        <v>5.6538095238095245</v>
      </c>
      <c r="AI83" s="13">
        <f t="shared" si="74"/>
        <v>-5.6538095238095245</v>
      </c>
      <c r="AK83" s="9">
        <f t="shared" si="45"/>
        <v>0</v>
      </c>
    </row>
    <row r="84" spans="1:42">
      <c r="A84" s="9">
        <v>11</v>
      </c>
      <c r="B84" s="9">
        <v>2024</v>
      </c>
      <c r="C84" s="9" t="s">
        <v>46</v>
      </c>
      <c r="D84" s="9" t="s">
        <v>47</v>
      </c>
      <c r="E84" s="9" t="s">
        <v>47</v>
      </c>
      <c r="F84" s="10">
        <v>45363</v>
      </c>
      <c r="G84" s="9" t="s">
        <v>156</v>
      </c>
      <c r="H84" s="9" t="s">
        <v>48</v>
      </c>
      <c r="I84" s="9">
        <v>1</v>
      </c>
      <c r="J84" s="11">
        <f>K84/440*12</f>
        <v>4.3636363636363633</v>
      </c>
      <c r="K84" s="11">
        <v>160</v>
      </c>
      <c r="L84" s="12">
        <v>0.52</v>
      </c>
      <c r="M84" s="12">
        <v>83.2</v>
      </c>
      <c r="N84" s="13" t="s">
        <v>49</v>
      </c>
      <c r="Q84" s="9">
        <f>IF(Auction_Sales[[#This Row],[Payment Date]]=0,"",-1+WEEKNUM(Auction_Sales[[#This Row],[Payment Date]]))</f>
        <v>10</v>
      </c>
      <c r="R84" s="9">
        <f t="shared" si="82"/>
        <v>0</v>
      </c>
      <c r="S84" s="1" t="str">
        <f t="shared" si="83"/>
        <v>Polyantha Roses</v>
      </c>
      <c r="T84" s="1" t="str">
        <f t="shared" si="83"/>
        <v>60CM</v>
      </c>
      <c r="U84" s="9">
        <v>160</v>
      </c>
      <c r="V84" s="13">
        <f>97.6/U84</f>
        <v>0.61</v>
      </c>
      <c r="W84" s="13">
        <f t="shared" si="71"/>
        <v>97.6</v>
      </c>
      <c r="X84" s="14">
        <f t="shared" si="75"/>
        <v>-7.4069406392694015</v>
      </c>
      <c r="Y84" s="13">
        <f t="shared" si="72"/>
        <v>90.193059360730587</v>
      </c>
      <c r="Z84" s="10">
        <v>45364</v>
      </c>
      <c r="AA84" s="9">
        <f t="shared" si="42"/>
        <v>0</v>
      </c>
      <c r="AC84" s="9" t="s">
        <v>70</v>
      </c>
      <c r="AD84" s="14">
        <f t="shared" si="76"/>
        <v>10.279653679653679</v>
      </c>
      <c r="AF84" s="14">
        <f t="shared" si="73"/>
        <v>3.2</v>
      </c>
      <c r="AH84" s="14">
        <f t="shared" si="58"/>
        <v>13.47965367965368</v>
      </c>
      <c r="AI84" s="13">
        <f t="shared" si="74"/>
        <v>76.713405681076907</v>
      </c>
      <c r="AK84" s="9">
        <f t="shared" si="45"/>
        <v>160</v>
      </c>
    </row>
    <row r="85" spans="1:42">
      <c r="A85" s="9">
        <v>11</v>
      </c>
      <c r="B85" s="9">
        <v>2024</v>
      </c>
      <c r="C85" s="9" t="s">
        <v>46</v>
      </c>
      <c r="D85" s="9" t="s">
        <v>47</v>
      </c>
      <c r="E85" s="9" t="s">
        <v>47</v>
      </c>
      <c r="F85" s="10">
        <v>45363</v>
      </c>
      <c r="G85" s="9" t="s">
        <v>156</v>
      </c>
      <c r="H85" s="9" t="s">
        <v>52</v>
      </c>
      <c r="J85" s="11">
        <f t="shared" ref="J85:J86" si="84">K85/440*12</f>
        <v>6.545454545454545</v>
      </c>
      <c r="K85" s="11">
        <v>240</v>
      </c>
      <c r="L85" s="12">
        <v>0.61</v>
      </c>
      <c r="M85" s="12">
        <v>146.4</v>
      </c>
      <c r="N85" s="13" t="s">
        <v>49</v>
      </c>
      <c r="Q85" s="9">
        <f>IF(Auction_Sales[[#This Row],[Payment Date]]=0,"",-1+WEEKNUM(Auction_Sales[[#This Row],[Payment Date]]))</f>
        <v>10</v>
      </c>
      <c r="R85" s="9">
        <f t="shared" si="82"/>
        <v>0</v>
      </c>
      <c r="S85" s="1" t="str">
        <f t="shared" si="83"/>
        <v>Polyantha Roses</v>
      </c>
      <c r="T85" s="1" t="str">
        <f t="shared" si="83"/>
        <v>70CM</v>
      </c>
      <c r="U85" s="9">
        <v>240</v>
      </c>
      <c r="V85" s="13">
        <f>174.4/U85</f>
        <v>0.72666666666666668</v>
      </c>
      <c r="W85" s="13">
        <f t="shared" si="71"/>
        <v>174.4</v>
      </c>
      <c r="X85" s="14">
        <f t="shared" si="75"/>
        <v>-11.110410958904103</v>
      </c>
      <c r="Y85" s="13">
        <f t="shared" si="72"/>
        <v>163.28958904109589</v>
      </c>
      <c r="Z85" s="10">
        <v>45364</v>
      </c>
      <c r="AA85" s="9">
        <f t="shared" si="42"/>
        <v>0</v>
      </c>
      <c r="AC85" s="9" t="s">
        <v>70</v>
      </c>
      <c r="AD85" s="14">
        <f t="shared" si="76"/>
        <v>15.419480519480517</v>
      </c>
      <c r="AF85" s="14">
        <f t="shared" si="73"/>
        <v>4.8</v>
      </c>
      <c r="AH85" s="14">
        <f t="shared" si="58"/>
        <v>20.219480519480516</v>
      </c>
      <c r="AI85" s="13">
        <f t="shared" si="74"/>
        <v>143.07010852161537</v>
      </c>
      <c r="AK85" s="9">
        <f t="shared" si="45"/>
        <v>240</v>
      </c>
    </row>
    <row r="86" spans="1:42">
      <c r="A86" s="9">
        <v>11</v>
      </c>
      <c r="B86" s="9">
        <v>2024</v>
      </c>
      <c r="C86" s="9" t="s">
        <v>46</v>
      </c>
      <c r="D86" s="9" t="s">
        <v>47</v>
      </c>
      <c r="E86" s="9" t="s">
        <v>47</v>
      </c>
      <c r="F86" s="10">
        <v>45363</v>
      </c>
      <c r="G86" s="9" t="s">
        <v>156</v>
      </c>
      <c r="H86" s="9" t="s">
        <v>51</v>
      </c>
      <c r="J86" s="11">
        <f t="shared" si="84"/>
        <v>1.0909090909090908</v>
      </c>
      <c r="K86" s="11">
        <v>40</v>
      </c>
      <c r="L86" s="12">
        <v>0.42</v>
      </c>
      <c r="M86" s="12">
        <v>16.8</v>
      </c>
      <c r="N86" s="13" t="s">
        <v>49</v>
      </c>
      <c r="Q86" s="9">
        <f>IF(Auction_Sales[[#This Row],[Payment Date]]=0,"",-1+WEEKNUM(Auction_Sales[[#This Row],[Payment Date]]))</f>
        <v>10</v>
      </c>
      <c r="R86" s="9">
        <f t="shared" si="82"/>
        <v>0</v>
      </c>
      <c r="S86" s="1" t="str">
        <f t="shared" si="83"/>
        <v>Polyantha Roses</v>
      </c>
      <c r="T86" s="1" t="str">
        <f t="shared" si="83"/>
        <v>50CM</v>
      </c>
      <c r="U86" s="9">
        <v>40</v>
      </c>
      <c r="V86" s="13">
        <f>12.8/U86</f>
        <v>0.32</v>
      </c>
      <c r="W86" s="13">
        <f t="shared" si="71"/>
        <v>12.8</v>
      </c>
      <c r="X86" s="14">
        <f t="shared" si="75"/>
        <v>-1.8517351598173504</v>
      </c>
      <c r="Y86" s="13">
        <f t="shared" si="72"/>
        <v>10.948264840182651</v>
      </c>
      <c r="Z86" s="10">
        <v>45364</v>
      </c>
      <c r="AA86" s="9">
        <f t="shared" si="42"/>
        <v>0</v>
      </c>
      <c r="AC86" s="9" t="s">
        <v>70</v>
      </c>
      <c r="AD86" s="14">
        <f t="shared" si="76"/>
        <v>2.5699134199134197</v>
      </c>
      <c r="AF86" s="14">
        <f t="shared" si="73"/>
        <v>0.8</v>
      </c>
      <c r="AH86" s="14">
        <f t="shared" si="58"/>
        <v>3.36991341991342</v>
      </c>
      <c r="AI86" s="13">
        <f t="shared" si="74"/>
        <v>7.5783514202692306</v>
      </c>
      <c r="AK86" s="9">
        <f t="shared" si="45"/>
        <v>40</v>
      </c>
    </row>
    <row r="87" spans="1:42" ht="16.8">
      <c r="A87" s="9">
        <v>11</v>
      </c>
      <c r="B87" s="9">
        <v>2024</v>
      </c>
      <c r="C87" s="9" t="s">
        <v>46</v>
      </c>
      <c r="D87" s="9" t="s">
        <v>47</v>
      </c>
      <c r="E87" s="9" t="s">
        <v>47</v>
      </c>
      <c r="F87" s="10">
        <v>45363</v>
      </c>
      <c r="G87" s="9" t="s">
        <v>156</v>
      </c>
      <c r="H87" s="9" t="s">
        <v>56</v>
      </c>
      <c r="I87" s="9">
        <v>1</v>
      </c>
      <c r="J87" s="11">
        <f>K87/280*12</f>
        <v>5.1428571428571423</v>
      </c>
      <c r="K87" s="11">
        <v>120</v>
      </c>
      <c r="L87" s="12">
        <v>0.85</v>
      </c>
      <c r="M87" s="12">
        <v>102</v>
      </c>
      <c r="N87" s="13" t="s">
        <v>49</v>
      </c>
      <c r="Q87" s="9">
        <f>IF(Auction_Sales[[#This Row],[Payment Date]]=0,"",-1+WEEKNUM(Auction_Sales[[#This Row],[Payment Date]]))</f>
        <v>10</v>
      </c>
      <c r="R87" s="9">
        <f t="shared" si="82"/>
        <v>120</v>
      </c>
      <c r="S87" s="1" t="str">
        <f t="shared" si="83"/>
        <v>Polyantha Roses</v>
      </c>
      <c r="T87" s="1" t="str">
        <f t="shared" si="83"/>
        <v>90CM</v>
      </c>
      <c r="W87" s="13">
        <f t="shared" si="71"/>
        <v>0</v>
      </c>
      <c r="X87" s="14">
        <f t="shared" si="75"/>
        <v>0</v>
      </c>
      <c r="Y87" s="13">
        <f t="shared" si="72"/>
        <v>0</v>
      </c>
      <c r="Z87" s="10">
        <v>45364</v>
      </c>
      <c r="AA87" s="9">
        <f t="shared" si="42"/>
        <v>-120</v>
      </c>
      <c r="AC87" s="9" t="s">
        <v>70</v>
      </c>
      <c r="AD87" s="14">
        <f t="shared" si="76"/>
        <v>12.115306122448978</v>
      </c>
      <c r="AF87" s="14">
        <f t="shared" si="73"/>
        <v>0</v>
      </c>
      <c r="AH87" s="14">
        <f t="shared" si="58"/>
        <v>12.115306122448978</v>
      </c>
      <c r="AI87" s="13">
        <f t="shared" si="74"/>
        <v>-12.115306122448978</v>
      </c>
      <c r="AK87" s="9">
        <f t="shared" si="45"/>
        <v>0</v>
      </c>
      <c r="AP87" s="23"/>
    </row>
    <row r="88" spans="1:42" ht="16.8">
      <c r="A88" s="9">
        <v>11</v>
      </c>
      <c r="B88" s="9">
        <v>2024</v>
      </c>
      <c r="C88" s="9" t="s">
        <v>46</v>
      </c>
      <c r="D88" s="9" t="s">
        <v>47</v>
      </c>
      <c r="E88" s="9" t="s">
        <v>47</v>
      </c>
      <c r="F88" s="10">
        <v>45363</v>
      </c>
      <c r="G88" s="9" t="s">
        <v>156</v>
      </c>
      <c r="H88" s="9" t="s">
        <v>54</v>
      </c>
      <c r="J88" s="11">
        <f>K88/280*12</f>
        <v>6.8571428571428568</v>
      </c>
      <c r="K88" s="11">
        <v>160</v>
      </c>
      <c r="L88" s="12">
        <v>0.66</v>
      </c>
      <c r="M88" s="12">
        <v>105.6</v>
      </c>
      <c r="N88" s="13" t="s">
        <v>49</v>
      </c>
      <c r="Q88" s="9">
        <f>IF(Auction_Sales[[#This Row],[Payment Date]]=0,"",-1+WEEKNUM(Auction_Sales[[#This Row],[Payment Date]]))</f>
        <v>10</v>
      </c>
      <c r="R88" s="9">
        <f t="shared" si="82"/>
        <v>0</v>
      </c>
      <c r="S88" s="1" t="str">
        <f t="shared" si="83"/>
        <v>Polyantha Roses</v>
      </c>
      <c r="T88" s="1" t="str">
        <f t="shared" si="83"/>
        <v>80CM</v>
      </c>
      <c r="U88" s="9">
        <v>160</v>
      </c>
      <c r="V88" s="13">
        <f>134.4/U88</f>
        <v>0.84000000000000008</v>
      </c>
      <c r="W88" s="13">
        <f t="shared" si="71"/>
        <v>134.4</v>
      </c>
      <c r="X88" s="14">
        <f t="shared" si="75"/>
        <v>-7.4069406392694015</v>
      </c>
      <c r="Y88" s="13">
        <f t="shared" si="72"/>
        <v>126.9930593607306</v>
      </c>
      <c r="Z88" s="10">
        <v>45364</v>
      </c>
      <c r="AA88" s="9">
        <f t="shared" si="42"/>
        <v>0</v>
      </c>
      <c r="AC88" s="9" t="s">
        <v>70</v>
      </c>
      <c r="AD88" s="14">
        <f t="shared" si="76"/>
        <v>16.153741496598638</v>
      </c>
      <c r="AF88" s="14"/>
      <c r="AH88" s="14"/>
      <c r="AI88" s="13">
        <f t="shared" si="74"/>
        <v>126.9930593607306</v>
      </c>
      <c r="AP88" s="23"/>
    </row>
    <row r="89" spans="1:42">
      <c r="A89" s="9">
        <v>11</v>
      </c>
      <c r="B89" s="9">
        <v>2024</v>
      </c>
      <c r="C89" s="9" t="s">
        <v>46</v>
      </c>
      <c r="D89" s="9" t="s">
        <v>47</v>
      </c>
      <c r="E89" s="9" t="s">
        <v>47</v>
      </c>
      <c r="F89" s="10">
        <v>45363</v>
      </c>
      <c r="G89" s="9" t="s">
        <v>156</v>
      </c>
      <c r="H89" s="9" t="s">
        <v>56</v>
      </c>
      <c r="I89" s="9">
        <v>1</v>
      </c>
      <c r="J89" s="11">
        <f>K89/160*12</f>
        <v>3</v>
      </c>
      <c r="K89" s="11">
        <v>40</v>
      </c>
      <c r="L89" s="12">
        <v>0.85</v>
      </c>
      <c r="M89" s="12">
        <v>34</v>
      </c>
      <c r="N89" s="13" t="s">
        <v>49</v>
      </c>
      <c r="Q89" s="9">
        <f>IF(Auction_Sales[[#This Row],[Payment Date]]=0,"",-1+WEEKNUM(Auction_Sales[[#This Row],[Payment Date]]))</f>
        <v>10</v>
      </c>
      <c r="R89" s="9">
        <f t="shared" si="82"/>
        <v>-120</v>
      </c>
      <c r="S89" s="1" t="str">
        <f t="shared" si="83"/>
        <v>Polyantha Roses</v>
      </c>
      <c r="T89" s="1" t="str">
        <f t="shared" si="83"/>
        <v>90CM</v>
      </c>
      <c r="U89" s="9">
        <v>160</v>
      </c>
      <c r="V89" s="13">
        <f>137.6/U89</f>
        <v>0.86</v>
      </c>
      <c r="W89" s="13">
        <f t="shared" si="71"/>
        <v>137.6</v>
      </c>
      <c r="X89" s="14">
        <f t="shared" si="75"/>
        <v>-7.4069406392694015</v>
      </c>
      <c r="Y89" s="13">
        <f t="shared" si="72"/>
        <v>130.19305936073059</v>
      </c>
      <c r="Z89" s="10">
        <v>45364</v>
      </c>
      <c r="AA89" s="9">
        <f t="shared" si="42"/>
        <v>120</v>
      </c>
      <c r="AC89" s="9" t="s">
        <v>70</v>
      </c>
      <c r="AD89" s="14">
        <f t="shared" si="76"/>
        <v>7.0672619047619039</v>
      </c>
      <c r="AF89" s="14"/>
      <c r="AH89" s="14"/>
      <c r="AI89" s="13">
        <f t="shared" si="74"/>
        <v>130.19305936073059</v>
      </c>
    </row>
    <row r="90" spans="1:42">
      <c r="A90" s="9">
        <v>11</v>
      </c>
      <c r="B90" s="9">
        <v>2024</v>
      </c>
      <c r="C90" s="9" t="s">
        <v>46</v>
      </c>
      <c r="D90" s="9" t="s">
        <v>47</v>
      </c>
      <c r="E90" s="9" t="s">
        <v>47</v>
      </c>
      <c r="F90" s="10">
        <v>45363</v>
      </c>
      <c r="G90" s="9" t="s">
        <v>156</v>
      </c>
      <c r="H90" s="9" t="s">
        <v>57</v>
      </c>
      <c r="J90" s="11">
        <f>K90/160*12</f>
        <v>9</v>
      </c>
      <c r="K90" s="11">
        <v>120</v>
      </c>
      <c r="L90" s="12">
        <v>1.04</v>
      </c>
      <c r="M90" s="12">
        <v>124.8</v>
      </c>
      <c r="N90" s="13" t="s">
        <v>49</v>
      </c>
      <c r="Q90" s="9">
        <f>IF(Auction_Sales[[#This Row],[Payment Date]]=0,"",-1+WEEKNUM(Auction_Sales[[#This Row],[Payment Date]]))</f>
        <v>10</v>
      </c>
      <c r="R90" s="9">
        <f t="shared" si="82"/>
        <v>0</v>
      </c>
      <c r="S90" s="1" t="str">
        <f t="shared" si="83"/>
        <v>Polyantha Roses</v>
      </c>
      <c r="T90" s="1" t="str">
        <f t="shared" si="83"/>
        <v>100CM</v>
      </c>
      <c r="U90" s="9">
        <v>120</v>
      </c>
      <c r="V90" s="13">
        <f>120.8/U90</f>
        <v>1.0066666666666666</v>
      </c>
      <c r="W90" s="13">
        <f t="shared" si="71"/>
        <v>120.8</v>
      </c>
      <c r="X90" s="14">
        <f t="shared" si="75"/>
        <v>-5.5552054794520513</v>
      </c>
      <c r="Y90" s="13">
        <f t="shared" si="72"/>
        <v>115.24479452054794</v>
      </c>
      <c r="Z90" s="10">
        <v>45364</v>
      </c>
      <c r="AA90" s="9">
        <f t="shared" si="42"/>
        <v>0</v>
      </c>
      <c r="AC90" s="9" t="s">
        <v>70</v>
      </c>
      <c r="AD90" s="14">
        <f t="shared" si="76"/>
        <v>21.201785714285712</v>
      </c>
      <c r="AF90" s="14"/>
      <c r="AH90" s="14"/>
      <c r="AI90" s="13">
        <f t="shared" si="74"/>
        <v>115.24479452054794</v>
      </c>
    </row>
    <row r="91" spans="1:42">
      <c r="A91" s="9">
        <v>11</v>
      </c>
      <c r="B91" s="9">
        <v>2024</v>
      </c>
      <c r="C91" s="9" t="s">
        <v>46</v>
      </c>
      <c r="D91" s="9" t="s">
        <v>47</v>
      </c>
      <c r="E91" s="9" t="s">
        <v>47</v>
      </c>
      <c r="F91" s="10">
        <v>45365</v>
      </c>
      <c r="G91" s="9" t="s">
        <v>155</v>
      </c>
      <c r="H91" s="9" t="s">
        <v>51</v>
      </c>
      <c r="I91" s="9">
        <v>4</v>
      </c>
      <c r="J91" s="11">
        <f t="shared" ref="J91:J108" si="85">I91*12</f>
        <v>48</v>
      </c>
      <c r="K91" s="11">
        <v>2400</v>
      </c>
      <c r="L91" s="12">
        <v>0.38</v>
      </c>
      <c r="M91" s="12">
        <v>912</v>
      </c>
      <c r="N91" s="13" t="s">
        <v>49</v>
      </c>
      <c r="Q91" s="9">
        <f>IF(Auction_Sales[[#This Row],[Payment Date]]=0,"",-1+WEEKNUM(Auction_Sales[[#This Row],[Payment Date]]))</f>
        <v>11</v>
      </c>
      <c r="R91" s="9">
        <f t="shared" ref="R91:R118" si="86">K91-U91</f>
        <v>-240</v>
      </c>
      <c r="S91" s="1" t="str">
        <f t="shared" ref="S91:T106" si="87">IF(G91=0,"",G91)</f>
        <v>Floribunda Roses</v>
      </c>
      <c r="T91" s="1" t="str">
        <f t="shared" si="87"/>
        <v>50CM</v>
      </c>
      <c r="U91" s="9">
        <v>2640</v>
      </c>
      <c r="V91" s="13">
        <f>717.2/U91</f>
        <v>0.27166666666666667</v>
      </c>
      <c r="W91" s="13">
        <f t="shared" si="71"/>
        <v>717.2</v>
      </c>
      <c r="X91" s="14">
        <f>-(6737.2-6162.16)*U91/(4320+6080+3800)</f>
        <v>-106.90884507042253</v>
      </c>
      <c r="Y91" s="13">
        <f t="shared" si="72"/>
        <v>610.29115492957749</v>
      </c>
      <c r="Z91" s="10">
        <v>45371</v>
      </c>
      <c r="AA91" s="9">
        <f t="shared" ref="AA91:AA106" si="88">U91-K91</f>
        <v>240</v>
      </c>
      <c r="AC91" s="9">
        <v>433193</v>
      </c>
      <c r="AD91" s="14">
        <f>J91/(34*12)*1394.86</f>
        <v>164.10117647058823</v>
      </c>
      <c r="AF91" s="14">
        <f t="shared" si="73"/>
        <v>52.800000000000004</v>
      </c>
      <c r="AH91" s="14">
        <f t="shared" si="58"/>
        <v>216.90117647058824</v>
      </c>
      <c r="AI91" s="13">
        <f t="shared" si="74"/>
        <v>393.38997845898928</v>
      </c>
      <c r="AK91" s="9">
        <f t="shared" ref="AK91:AK106" si="89">U91</f>
        <v>2640</v>
      </c>
    </row>
    <row r="92" spans="1:42" ht="16.8">
      <c r="A92" s="9">
        <v>11</v>
      </c>
      <c r="B92" s="9">
        <v>2024</v>
      </c>
      <c r="C92" s="9" t="s">
        <v>46</v>
      </c>
      <c r="D92" s="9" t="s">
        <v>47</v>
      </c>
      <c r="E92" s="9" t="s">
        <v>47</v>
      </c>
      <c r="F92" s="10">
        <v>45365</v>
      </c>
      <c r="G92" s="9" t="s">
        <v>155</v>
      </c>
      <c r="H92" s="9" t="s">
        <v>48</v>
      </c>
      <c r="I92" s="9">
        <v>5</v>
      </c>
      <c r="J92" s="11">
        <f t="shared" si="85"/>
        <v>60</v>
      </c>
      <c r="K92" s="11">
        <v>2600</v>
      </c>
      <c r="L92" s="12">
        <v>0.47</v>
      </c>
      <c r="M92" s="12">
        <v>1222</v>
      </c>
      <c r="N92" s="13" t="s">
        <v>49</v>
      </c>
      <c r="Q92" s="9">
        <f>IF(Auction_Sales[[#This Row],[Payment Date]]=0,"",-1+WEEKNUM(Auction_Sales[[#This Row],[Payment Date]]))</f>
        <v>11</v>
      </c>
      <c r="R92" s="9">
        <f t="shared" si="86"/>
        <v>40</v>
      </c>
      <c r="S92" s="1" t="str">
        <f t="shared" si="87"/>
        <v>Floribunda Roses</v>
      </c>
      <c r="T92" s="1" t="str">
        <f t="shared" si="87"/>
        <v>60CM</v>
      </c>
      <c r="U92" s="9">
        <v>2560</v>
      </c>
      <c r="V92" s="13">
        <f>1298.4/U92</f>
        <v>0.50718750000000001</v>
      </c>
      <c r="W92" s="13">
        <f t="shared" si="71"/>
        <v>1298.4000000000001</v>
      </c>
      <c r="X92" s="14">
        <f t="shared" ref="X92:X118" si="90">-(6737.2-6162.16)*U92/(4320+6080+3800)</f>
        <v>-103.66918309859155</v>
      </c>
      <c r="Y92" s="13">
        <f t="shared" si="72"/>
        <v>1194.7308169014086</v>
      </c>
      <c r="Z92" s="10">
        <v>45371</v>
      </c>
      <c r="AA92" s="9">
        <f t="shared" si="88"/>
        <v>-40</v>
      </c>
      <c r="AC92" s="9">
        <v>433193</v>
      </c>
      <c r="AD92" s="14">
        <f t="shared" ref="AD92:AD118" si="91">J92/(34*12)*1394.86</f>
        <v>205.12647058823529</v>
      </c>
      <c r="AF92" s="14">
        <f t="shared" si="73"/>
        <v>51.2</v>
      </c>
      <c r="AH92" s="14">
        <f t="shared" ref="AH92:AH96" si="92">SUM(AD92:AG92)</f>
        <v>256.32647058823528</v>
      </c>
      <c r="AI92" s="13">
        <f t="shared" si="74"/>
        <v>938.40434631317339</v>
      </c>
      <c r="AK92" s="9">
        <f t="shared" si="89"/>
        <v>2560</v>
      </c>
      <c r="AP92" s="23"/>
    </row>
    <row r="93" spans="1:42" ht="16.8">
      <c r="A93" s="9">
        <v>11</v>
      </c>
      <c r="B93" s="9">
        <v>2024</v>
      </c>
      <c r="C93" s="9" t="s">
        <v>46</v>
      </c>
      <c r="D93" s="9" t="s">
        <v>47</v>
      </c>
      <c r="E93" s="9" t="s">
        <v>47</v>
      </c>
      <c r="F93" s="10">
        <v>45365</v>
      </c>
      <c r="G93" s="9" t="s">
        <v>155</v>
      </c>
      <c r="H93" s="9" t="s">
        <v>52</v>
      </c>
      <c r="I93" s="9">
        <v>3</v>
      </c>
      <c r="J93" s="11">
        <f t="shared" si="85"/>
        <v>36</v>
      </c>
      <c r="K93" s="11">
        <v>1200</v>
      </c>
      <c r="L93" s="12">
        <v>0.52</v>
      </c>
      <c r="M93" s="12">
        <v>624</v>
      </c>
      <c r="N93" s="13" t="s">
        <v>49</v>
      </c>
      <c r="Q93" s="9">
        <f>IF(Auction_Sales[[#This Row],[Payment Date]]=0,"",-1+WEEKNUM(Auction_Sales[[#This Row],[Payment Date]]))</f>
        <v>11</v>
      </c>
      <c r="R93" s="9">
        <f t="shared" si="86"/>
        <v>0</v>
      </c>
      <c r="S93" s="1" t="str">
        <f t="shared" si="87"/>
        <v>Floribunda Roses</v>
      </c>
      <c r="T93" s="1" t="str">
        <f t="shared" si="87"/>
        <v>70CM</v>
      </c>
      <c r="U93" s="9">
        <v>1200</v>
      </c>
      <c r="V93" s="13">
        <f>787.2/U93</f>
        <v>0.65600000000000003</v>
      </c>
      <c r="W93" s="13">
        <f t="shared" si="71"/>
        <v>787.2</v>
      </c>
      <c r="X93" s="14">
        <f t="shared" si="90"/>
        <v>-48.594929577464789</v>
      </c>
      <c r="Y93" s="13">
        <f t="shared" si="72"/>
        <v>738.60507042253528</v>
      </c>
      <c r="Z93" s="10">
        <v>45371</v>
      </c>
      <c r="AA93" s="9">
        <f t="shared" si="88"/>
        <v>0</v>
      </c>
      <c r="AC93" s="9">
        <v>433193</v>
      </c>
      <c r="AD93" s="14">
        <f t="shared" si="91"/>
        <v>123.07588235294118</v>
      </c>
      <c r="AF93" s="14">
        <f t="shared" si="73"/>
        <v>24</v>
      </c>
      <c r="AH93" s="14">
        <f t="shared" si="92"/>
        <v>147.07588235294116</v>
      </c>
      <c r="AI93" s="13">
        <f t="shared" si="74"/>
        <v>591.52918806959406</v>
      </c>
      <c r="AK93" s="9">
        <f t="shared" si="89"/>
        <v>1200</v>
      </c>
      <c r="AP93" s="23"/>
    </row>
    <row r="94" spans="1:42">
      <c r="A94" s="9">
        <v>11</v>
      </c>
      <c r="B94" s="9">
        <v>2024</v>
      </c>
      <c r="C94" s="9" t="s">
        <v>46</v>
      </c>
      <c r="D94" s="9" t="s">
        <v>47</v>
      </c>
      <c r="E94" s="9" t="s">
        <v>47</v>
      </c>
      <c r="F94" s="10">
        <v>45365</v>
      </c>
      <c r="G94" s="9" t="s">
        <v>155</v>
      </c>
      <c r="H94" s="9" t="s">
        <v>54</v>
      </c>
      <c r="I94" s="9">
        <v>2</v>
      </c>
      <c r="J94" s="11">
        <f t="shared" si="85"/>
        <v>24</v>
      </c>
      <c r="K94" s="11">
        <v>640</v>
      </c>
      <c r="L94" s="12">
        <v>0.56999999999999995</v>
      </c>
      <c r="M94" s="12">
        <v>364.8</v>
      </c>
      <c r="N94" s="13" t="s">
        <v>49</v>
      </c>
      <c r="Q94" s="9">
        <f>IF(Auction_Sales[[#This Row],[Payment Date]]=0,"",-1+WEEKNUM(Auction_Sales[[#This Row],[Payment Date]]))</f>
        <v>11</v>
      </c>
      <c r="R94" s="9">
        <f t="shared" si="86"/>
        <v>-200</v>
      </c>
      <c r="S94" s="1" t="str">
        <f t="shared" si="87"/>
        <v>Floribunda Roses</v>
      </c>
      <c r="T94" s="1" t="str">
        <f t="shared" si="87"/>
        <v>80CM</v>
      </c>
      <c r="U94" s="9">
        <v>840</v>
      </c>
      <c r="V94" s="13">
        <f>325.2/U94</f>
        <v>0.38714285714285712</v>
      </c>
      <c r="W94" s="13">
        <f t="shared" si="71"/>
        <v>325.2</v>
      </c>
      <c r="X94" s="14">
        <f t="shared" si="90"/>
        <v>-34.016450704225349</v>
      </c>
      <c r="Y94" s="13">
        <f t="shared" si="72"/>
        <v>291.18354929577464</v>
      </c>
      <c r="Z94" s="10">
        <v>45371</v>
      </c>
      <c r="AA94" s="9">
        <f t="shared" si="88"/>
        <v>200</v>
      </c>
      <c r="AC94" s="9">
        <v>433193</v>
      </c>
      <c r="AD94" s="14">
        <f t="shared" si="91"/>
        <v>82.050588235294114</v>
      </c>
      <c r="AF94" s="14">
        <f t="shared" si="73"/>
        <v>16.8</v>
      </c>
      <c r="AH94" s="14">
        <f t="shared" si="92"/>
        <v>98.850588235294111</v>
      </c>
      <c r="AI94" s="13">
        <f t="shared" si="74"/>
        <v>192.33296106048053</v>
      </c>
      <c r="AK94" s="9">
        <f t="shared" si="89"/>
        <v>840</v>
      </c>
    </row>
    <row r="95" spans="1:42">
      <c r="A95" s="9">
        <v>11</v>
      </c>
      <c r="B95" s="9">
        <v>2024</v>
      </c>
      <c r="C95" s="9" t="s">
        <v>46</v>
      </c>
      <c r="D95" s="9" t="s">
        <v>47</v>
      </c>
      <c r="E95" s="9" t="s">
        <v>47</v>
      </c>
      <c r="F95" s="10">
        <v>45365</v>
      </c>
      <c r="G95" s="9" t="s">
        <v>155</v>
      </c>
      <c r="H95" s="9" t="s">
        <v>54</v>
      </c>
      <c r="I95" s="9">
        <v>1</v>
      </c>
      <c r="J95" s="11">
        <f t="shared" si="85"/>
        <v>12</v>
      </c>
      <c r="K95" s="11">
        <v>200</v>
      </c>
      <c r="L95" s="12">
        <v>0.56999999999999995</v>
      </c>
      <c r="M95" s="12">
        <v>114</v>
      </c>
      <c r="N95" s="13" t="s">
        <v>49</v>
      </c>
      <c r="Q95" s="9">
        <f>IF(Auction_Sales[[#This Row],[Payment Date]]=0,"",-1+WEEKNUM(Auction_Sales[[#This Row],[Payment Date]]))</f>
        <v>11</v>
      </c>
      <c r="R95" s="9">
        <f t="shared" si="86"/>
        <v>200</v>
      </c>
      <c r="S95" s="1" t="str">
        <f t="shared" si="87"/>
        <v>Floribunda Roses</v>
      </c>
      <c r="T95" s="1" t="str">
        <f t="shared" si="87"/>
        <v>80CM</v>
      </c>
      <c r="W95" s="13">
        <f t="shared" si="71"/>
        <v>0</v>
      </c>
      <c r="X95" s="14">
        <f t="shared" si="90"/>
        <v>0</v>
      </c>
      <c r="Y95" s="13">
        <f t="shared" si="72"/>
        <v>0</v>
      </c>
      <c r="Z95" s="10">
        <v>45371</v>
      </c>
      <c r="AA95" s="9">
        <f t="shared" si="88"/>
        <v>-200</v>
      </c>
      <c r="AC95" s="9">
        <v>433193</v>
      </c>
      <c r="AD95" s="14">
        <f t="shared" si="91"/>
        <v>41.025294117647057</v>
      </c>
      <c r="AF95" s="14">
        <f t="shared" si="73"/>
        <v>0</v>
      </c>
      <c r="AH95" s="14">
        <f t="shared" si="92"/>
        <v>41.025294117647057</v>
      </c>
      <c r="AI95" s="13">
        <f t="shared" si="74"/>
        <v>-41.025294117647057</v>
      </c>
      <c r="AK95" s="9">
        <f t="shared" si="89"/>
        <v>0</v>
      </c>
    </row>
    <row r="96" spans="1:42">
      <c r="A96" s="9">
        <v>11</v>
      </c>
      <c r="B96" s="9">
        <v>2024</v>
      </c>
      <c r="C96" s="9" t="s">
        <v>46</v>
      </c>
      <c r="D96" s="9" t="s">
        <v>47</v>
      </c>
      <c r="E96" s="9" t="s">
        <v>47</v>
      </c>
      <c r="F96" s="10">
        <v>45365</v>
      </c>
      <c r="G96" s="9" t="s">
        <v>155</v>
      </c>
      <c r="H96" s="9" t="s">
        <v>56</v>
      </c>
      <c r="I96" s="9">
        <v>2</v>
      </c>
      <c r="J96" s="11">
        <f t="shared" si="85"/>
        <v>24</v>
      </c>
      <c r="K96" s="11">
        <v>480</v>
      </c>
      <c r="L96" s="12">
        <v>0.75</v>
      </c>
      <c r="M96" s="12">
        <v>360</v>
      </c>
      <c r="N96" s="13" t="s">
        <v>49</v>
      </c>
      <c r="Q96" s="9">
        <f>IF(Auction_Sales[[#This Row],[Payment Date]]=0,"",-1+WEEKNUM(Auction_Sales[[#This Row],[Payment Date]]))</f>
        <v>11</v>
      </c>
      <c r="R96" s="9">
        <f t="shared" si="86"/>
        <v>0</v>
      </c>
      <c r="S96" s="1" t="str">
        <f t="shared" si="87"/>
        <v>Floribunda Roses</v>
      </c>
      <c r="T96" s="1" t="str">
        <f t="shared" si="87"/>
        <v>90CM</v>
      </c>
      <c r="U96" s="9">
        <v>480</v>
      </c>
      <c r="V96" s="13">
        <f>249.2/U96</f>
        <v>0.51916666666666667</v>
      </c>
      <c r="W96" s="13">
        <f t="shared" si="71"/>
        <v>249.2</v>
      </c>
      <c r="X96" s="14">
        <f t="shared" si="90"/>
        <v>-19.437971830985912</v>
      </c>
      <c r="Y96" s="13">
        <f t="shared" si="72"/>
        <v>229.76202816901409</v>
      </c>
      <c r="Z96" s="10">
        <v>45371</v>
      </c>
      <c r="AA96" s="9">
        <f t="shared" si="88"/>
        <v>0</v>
      </c>
      <c r="AC96" s="9">
        <v>433193</v>
      </c>
      <c r="AD96" s="14">
        <f t="shared" si="91"/>
        <v>82.050588235294114</v>
      </c>
      <c r="AF96" s="14">
        <f t="shared" si="73"/>
        <v>9.6</v>
      </c>
      <c r="AH96" s="14">
        <f t="shared" si="92"/>
        <v>91.650588235294109</v>
      </c>
      <c r="AI96" s="13">
        <f t="shared" si="74"/>
        <v>138.11143993371996</v>
      </c>
      <c r="AK96" s="9">
        <f t="shared" si="89"/>
        <v>480</v>
      </c>
    </row>
    <row r="97" spans="1:37">
      <c r="A97" s="9">
        <v>11</v>
      </c>
      <c r="B97" s="9">
        <v>2024</v>
      </c>
      <c r="C97" s="9" t="s">
        <v>46</v>
      </c>
      <c r="D97" s="9" t="s">
        <v>47</v>
      </c>
      <c r="E97" s="9" t="s">
        <v>47</v>
      </c>
      <c r="F97" s="10">
        <v>45365</v>
      </c>
      <c r="G97" s="9" t="s">
        <v>155</v>
      </c>
      <c r="H97" s="9" t="s">
        <v>57</v>
      </c>
      <c r="I97" s="9">
        <v>2</v>
      </c>
      <c r="J97" s="11">
        <f t="shared" si="85"/>
        <v>24</v>
      </c>
      <c r="K97" s="11">
        <v>400</v>
      </c>
      <c r="L97" s="12">
        <v>0.94</v>
      </c>
      <c r="M97" s="12">
        <v>376</v>
      </c>
      <c r="N97" s="13" t="s">
        <v>49</v>
      </c>
      <c r="Q97" s="9">
        <f>IF(Auction_Sales[[#This Row],[Payment Date]]=0,"",-1+WEEKNUM(Auction_Sales[[#This Row],[Payment Date]]))</f>
        <v>11</v>
      </c>
      <c r="R97" s="9">
        <f t="shared" si="86"/>
        <v>-160</v>
      </c>
      <c r="S97" s="1" t="str">
        <f t="shared" si="87"/>
        <v>Floribunda Roses</v>
      </c>
      <c r="T97" s="1" t="str">
        <f t="shared" si="87"/>
        <v>100CM</v>
      </c>
      <c r="U97" s="9">
        <v>560</v>
      </c>
      <c r="V97" s="13">
        <f>336/U97</f>
        <v>0.6</v>
      </c>
      <c r="W97" s="13">
        <f t="shared" si="71"/>
        <v>336</v>
      </c>
      <c r="X97" s="14">
        <f t="shared" si="90"/>
        <v>-22.677633802816899</v>
      </c>
      <c r="Y97" s="13">
        <f t="shared" si="72"/>
        <v>313.3223661971831</v>
      </c>
      <c r="Z97" s="10">
        <v>45371</v>
      </c>
      <c r="AA97" s="9">
        <f t="shared" si="88"/>
        <v>160</v>
      </c>
      <c r="AC97" s="9">
        <v>433193</v>
      </c>
      <c r="AD97" s="14">
        <f t="shared" si="91"/>
        <v>82.050588235294114</v>
      </c>
      <c r="AF97" s="14">
        <f t="shared" si="73"/>
        <v>11.200000000000001</v>
      </c>
      <c r="AH97" s="14">
        <f t="shared" ref="AH97:AH100" si="93">SUM(AD97:AG97)</f>
        <v>93.250588235294117</v>
      </c>
      <c r="AI97" s="13">
        <f t="shared" si="74"/>
        <v>220.07177796188898</v>
      </c>
      <c r="AK97" s="9">
        <f t="shared" si="89"/>
        <v>560</v>
      </c>
    </row>
    <row r="98" spans="1:37">
      <c r="A98" s="9">
        <v>11</v>
      </c>
      <c r="B98" s="9">
        <v>2024</v>
      </c>
      <c r="C98" s="9" t="s">
        <v>46</v>
      </c>
      <c r="D98" s="9" t="s">
        <v>47</v>
      </c>
      <c r="E98" s="9" t="s">
        <v>47</v>
      </c>
      <c r="F98" s="10">
        <v>45365</v>
      </c>
      <c r="G98" s="9" t="s">
        <v>154</v>
      </c>
      <c r="H98" s="9" t="s">
        <v>51</v>
      </c>
      <c r="I98" s="9">
        <v>1</v>
      </c>
      <c r="J98" s="11">
        <f t="shared" si="85"/>
        <v>12</v>
      </c>
      <c r="K98" s="11">
        <v>400</v>
      </c>
      <c r="L98" s="12">
        <v>0.38</v>
      </c>
      <c r="M98" s="12">
        <v>152</v>
      </c>
      <c r="N98" s="13" t="s">
        <v>49</v>
      </c>
      <c r="Q98" s="9">
        <f>IF(Auction_Sales[[#This Row],[Payment Date]]=0,"",-1+WEEKNUM(Auction_Sales[[#This Row],[Payment Date]]))</f>
        <v>11</v>
      </c>
      <c r="R98" s="9">
        <f t="shared" si="86"/>
        <v>0</v>
      </c>
      <c r="S98" s="1" t="str">
        <f t="shared" si="87"/>
        <v>English Roses</v>
      </c>
      <c r="T98" s="1" t="str">
        <f t="shared" si="87"/>
        <v>50CM</v>
      </c>
      <c r="U98" s="9">
        <v>400</v>
      </c>
      <c r="V98" s="13">
        <f>108/U98</f>
        <v>0.27</v>
      </c>
      <c r="W98" s="13">
        <f t="shared" si="71"/>
        <v>108</v>
      </c>
      <c r="X98" s="14">
        <f t="shared" si="90"/>
        <v>-16.198309859154929</v>
      </c>
      <c r="Y98" s="13">
        <f t="shared" si="72"/>
        <v>91.801690140845068</v>
      </c>
      <c r="Z98" s="10">
        <v>45371</v>
      </c>
      <c r="AA98" s="9">
        <f t="shared" si="88"/>
        <v>0</v>
      </c>
      <c r="AC98" s="9">
        <v>433193</v>
      </c>
      <c r="AD98" s="14">
        <f t="shared" si="91"/>
        <v>41.025294117647057</v>
      </c>
      <c r="AF98" s="14">
        <f t="shared" si="73"/>
        <v>8</v>
      </c>
      <c r="AH98" s="14">
        <f t="shared" si="93"/>
        <v>49.025294117647057</v>
      </c>
      <c r="AI98" s="13">
        <f t="shared" si="74"/>
        <v>42.776396023198011</v>
      </c>
      <c r="AK98" s="9">
        <f t="shared" si="89"/>
        <v>400</v>
      </c>
    </row>
    <row r="99" spans="1:37">
      <c r="A99" s="9">
        <v>11</v>
      </c>
      <c r="B99" s="9">
        <v>2024</v>
      </c>
      <c r="C99" s="9" t="s">
        <v>46</v>
      </c>
      <c r="D99" s="9" t="s">
        <v>47</v>
      </c>
      <c r="E99" s="9" t="s">
        <v>47</v>
      </c>
      <c r="F99" s="10">
        <v>45365</v>
      </c>
      <c r="G99" s="9" t="s">
        <v>154</v>
      </c>
      <c r="H99" s="9" t="s">
        <v>48</v>
      </c>
      <c r="I99" s="9">
        <v>1</v>
      </c>
      <c r="J99" s="11">
        <f t="shared" si="85"/>
        <v>12</v>
      </c>
      <c r="K99" s="11">
        <v>400</v>
      </c>
      <c r="L99" s="12">
        <v>0.47</v>
      </c>
      <c r="M99" s="12">
        <v>188</v>
      </c>
      <c r="N99" s="13" t="s">
        <v>49</v>
      </c>
      <c r="Q99" s="9">
        <f>IF(Auction_Sales[[#This Row],[Payment Date]]=0,"",-1+WEEKNUM(Auction_Sales[[#This Row],[Payment Date]]))</f>
        <v>11</v>
      </c>
      <c r="R99" s="9">
        <f t="shared" si="86"/>
        <v>0</v>
      </c>
      <c r="S99" s="1" t="str">
        <f t="shared" si="87"/>
        <v>English Roses</v>
      </c>
      <c r="T99" s="1" t="str">
        <f t="shared" si="87"/>
        <v>60CM</v>
      </c>
      <c r="U99" s="9">
        <v>400</v>
      </c>
      <c r="V99" s="13">
        <f>182.4/U99</f>
        <v>0.45600000000000002</v>
      </c>
      <c r="W99" s="13">
        <f t="shared" si="71"/>
        <v>182.4</v>
      </c>
      <c r="X99" s="14">
        <f t="shared" si="90"/>
        <v>-16.198309859154929</v>
      </c>
      <c r="Y99" s="13">
        <f t="shared" si="72"/>
        <v>166.20169014084507</v>
      </c>
      <c r="Z99" s="10">
        <v>45371</v>
      </c>
      <c r="AA99" s="9">
        <f t="shared" si="88"/>
        <v>0</v>
      </c>
      <c r="AC99" s="9">
        <v>433193</v>
      </c>
      <c r="AD99" s="14">
        <f t="shared" si="91"/>
        <v>41.025294117647057</v>
      </c>
      <c r="AF99" s="14">
        <f t="shared" si="73"/>
        <v>8</v>
      </c>
      <c r="AH99" s="14">
        <f t="shared" si="93"/>
        <v>49.025294117647057</v>
      </c>
      <c r="AI99" s="13">
        <f t="shared" si="74"/>
        <v>117.17639602319801</v>
      </c>
      <c r="AK99" s="9">
        <f t="shared" si="89"/>
        <v>400</v>
      </c>
    </row>
    <row r="100" spans="1:37">
      <c r="A100" s="9">
        <v>11</v>
      </c>
      <c r="B100" s="9">
        <v>2024</v>
      </c>
      <c r="C100" s="9" t="s">
        <v>46</v>
      </c>
      <c r="D100" s="9" t="s">
        <v>47</v>
      </c>
      <c r="E100" s="9" t="s">
        <v>47</v>
      </c>
      <c r="F100" s="10">
        <v>45365</v>
      </c>
      <c r="G100" s="9" t="s">
        <v>154</v>
      </c>
      <c r="H100" s="9" t="s">
        <v>52</v>
      </c>
      <c r="I100" s="9">
        <v>1</v>
      </c>
      <c r="J100" s="11">
        <f t="shared" si="85"/>
        <v>12</v>
      </c>
      <c r="K100" s="11">
        <v>400</v>
      </c>
      <c r="L100" s="12">
        <v>0.52</v>
      </c>
      <c r="M100" s="12">
        <v>208</v>
      </c>
      <c r="N100" s="13" t="s">
        <v>49</v>
      </c>
      <c r="Q100" s="9">
        <f>IF(Auction_Sales[[#This Row],[Payment Date]]=0,"",-1+WEEKNUM(Auction_Sales[[#This Row],[Payment Date]]))</f>
        <v>11</v>
      </c>
      <c r="R100" s="9">
        <f t="shared" si="86"/>
        <v>0</v>
      </c>
      <c r="S100" s="1" t="str">
        <f t="shared" si="87"/>
        <v>English Roses</v>
      </c>
      <c r="T100" s="1" t="str">
        <f t="shared" si="87"/>
        <v>70CM</v>
      </c>
      <c r="U100" s="9">
        <v>400</v>
      </c>
      <c r="V100" s="13">
        <f>262/U100</f>
        <v>0.65500000000000003</v>
      </c>
      <c r="W100" s="13">
        <f t="shared" si="71"/>
        <v>262</v>
      </c>
      <c r="X100" s="14">
        <f t="shared" si="90"/>
        <v>-16.198309859154929</v>
      </c>
      <c r="Y100" s="13">
        <f t="shared" si="72"/>
        <v>245.80169014084507</v>
      </c>
      <c r="Z100" s="10">
        <v>45371</v>
      </c>
      <c r="AA100" s="9">
        <f t="shared" si="88"/>
        <v>0</v>
      </c>
      <c r="AC100" s="9">
        <v>433193</v>
      </c>
      <c r="AD100" s="14">
        <f t="shared" si="91"/>
        <v>41.025294117647057</v>
      </c>
      <c r="AF100" s="14">
        <f t="shared" si="73"/>
        <v>8</v>
      </c>
      <c r="AH100" s="14">
        <f t="shared" si="93"/>
        <v>49.025294117647057</v>
      </c>
      <c r="AI100" s="13">
        <f t="shared" si="74"/>
        <v>196.776396023198</v>
      </c>
      <c r="AK100" s="9">
        <f t="shared" si="89"/>
        <v>400</v>
      </c>
    </row>
    <row r="101" spans="1:37">
      <c r="A101" s="9">
        <v>11</v>
      </c>
      <c r="B101" s="9">
        <v>2024</v>
      </c>
      <c r="C101" s="9" t="s">
        <v>46</v>
      </c>
      <c r="D101" s="9" t="s">
        <v>47</v>
      </c>
      <c r="E101" s="9" t="s">
        <v>47</v>
      </c>
      <c r="F101" s="10">
        <v>45365</v>
      </c>
      <c r="G101" s="9" t="s">
        <v>154</v>
      </c>
      <c r="H101" s="9" t="s">
        <v>54</v>
      </c>
      <c r="I101" s="9">
        <v>1</v>
      </c>
      <c r="J101" s="11">
        <f t="shared" si="85"/>
        <v>12</v>
      </c>
      <c r="K101" s="11">
        <v>320</v>
      </c>
      <c r="L101" s="12">
        <v>0.56999999999999995</v>
      </c>
      <c r="M101" s="12">
        <v>182.4</v>
      </c>
      <c r="N101" s="13" t="s">
        <v>49</v>
      </c>
      <c r="Q101" s="9">
        <f>IF(Auction_Sales[[#This Row],[Payment Date]]=0,"",-1+WEEKNUM(Auction_Sales[[#This Row],[Payment Date]]))</f>
        <v>11</v>
      </c>
      <c r="R101" s="9">
        <f t="shared" si="86"/>
        <v>-160</v>
      </c>
      <c r="S101" s="1" t="str">
        <f t="shared" si="87"/>
        <v>English Roses</v>
      </c>
      <c r="T101" s="1" t="str">
        <f t="shared" si="87"/>
        <v>80CM</v>
      </c>
      <c r="U101" s="9">
        <v>480</v>
      </c>
      <c r="V101" s="13">
        <f>354/U101</f>
        <v>0.73750000000000004</v>
      </c>
      <c r="W101" s="13">
        <f t="shared" si="71"/>
        <v>354</v>
      </c>
      <c r="X101" s="14">
        <f t="shared" si="90"/>
        <v>-19.437971830985912</v>
      </c>
      <c r="Y101" s="13">
        <f t="shared" si="72"/>
        <v>334.56202816901407</v>
      </c>
      <c r="Z101" s="10">
        <v>45371</v>
      </c>
      <c r="AA101" s="9">
        <f t="shared" si="88"/>
        <v>160</v>
      </c>
      <c r="AC101" s="9">
        <v>433193</v>
      </c>
      <c r="AD101" s="14">
        <f t="shared" si="91"/>
        <v>41.025294117647057</v>
      </c>
      <c r="AF101" s="14">
        <f t="shared" si="73"/>
        <v>9.6</v>
      </c>
      <c r="AH101" s="14">
        <f t="shared" ref="AH101:AH106" si="94">SUM(AD101:AG101)</f>
        <v>50.625294117647059</v>
      </c>
      <c r="AI101" s="13">
        <f t="shared" si="74"/>
        <v>283.93673405136701</v>
      </c>
      <c r="AK101" s="9">
        <f t="shared" si="89"/>
        <v>480</v>
      </c>
    </row>
    <row r="102" spans="1:37">
      <c r="A102" s="9">
        <v>11</v>
      </c>
      <c r="B102" s="9">
        <v>2024</v>
      </c>
      <c r="C102" s="9" t="s">
        <v>46</v>
      </c>
      <c r="D102" s="9" t="s">
        <v>47</v>
      </c>
      <c r="E102" s="9" t="s">
        <v>47</v>
      </c>
      <c r="F102" s="10">
        <v>45365</v>
      </c>
      <c r="G102" s="9" t="s">
        <v>154</v>
      </c>
      <c r="H102" s="9" t="s">
        <v>56</v>
      </c>
      <c r="I102" s="9">
        <v>1</v>
      </c>
      <c r="J102" s="11">
        <f t="shared" si="85"/>
        <v>12</v>
      </c>
      <c r="K102" s="11">
        <v>200</v>
      </c>
      <c r="L102" s="12">
        <v>0.75</v>
      </c>
      <c r="M102" s="12">
        <v>150</v>
      </c>
      <c r="N102" s="13" t="s">
        <v>49</v>
      </c>
      <c r="Q102" s="9">
        <f>IF(Auction_Sales[[#This Row],[Payment Date]]=0,"",-1+WEEKNUM(Auction_Sales[[#This Row],[Payment Date]]))</f>
        <v>11</v>
      </c>
      <c r="R102" s="9">
        <f t="shared" si="86"/>
        <v>-120</v>
      </c>
      <c r="S102" s="1" t="str">
        <f t="shared" si="87"/>
        <v>English Roses</v>
      </c>
      <c r="T102" s="1" t="str">
        <f t="shared" si="87"/>
        <v>90CM</v>
      </c>
      <c r="U102" s="9">
        <v>320</v>
      </c>
      <c r="V102" s="13">
        <f>214.8/U102</f>
        <v>0.67125000000000001</v>
      </c>
      <c r="W102" s="13">
        <f t="shared" si="71"/>
        <v>214.8</v>
      </c>
      <c r="X102" s="14">
        <f t="shared" si="90"/>
        <v>-12.958647887323943</v>
      </c>
      <c r="Y102" s="13">
        <f t="shared" si="72"/>
        <v>201.84135211267608</v>
      </c>
      <c r="Z102" s="10">
        <v>45371</v>
      </c>
      <c r="AA102" s="9">
        <f t="shared" si="88"/>
        <v>120</v>
      </c>
      <c r="AC102" s="9">
        <v>433193</v>
      </c>
      <c r="AD102" s="14">
        <f t="shared" si="91"/>
        <v>41.025294117647057</v>
      </c>
      <c r="AF102" s="14">
        <f t="shared" si="73"/>
        <v>6.4</v>
      </c>
      <c r="AH102" s="14">
        <f t="shared" si="94"/>
        <v>47.425294117647056</v>
      </c>
      <c r="AI102" s="13">
        <f t="shared" si="74"/>
        <v>154.41605799502901</v>
      </c>
      <c r="AK102" s="9">
        <f t="shared" si="89"/>
        <v>320</v>
      </c>
    </row>
    <row r="103" spans="1:37">
      <c r="A103" s="9">
        <v>11</v>
      </c>
      <c r="B103" s="9">
        <v>2024</v>
      </c>
      <c r="C103" s="9" t="s">
        <v>46</v>
      </c>
      <c r="D103" s="9" t="s">
        <v>47</v>
      </c>
      <c r="E103" s="9" t="s">
        <v>47</v>
      </c>
      <c r="F103" s="10">
        <v>45365</v>
      </c>
      <c r="G103" s="9" t="s">
        <v>153</v>
      </c>
      <c r="H103" s="9" t="s">
        <v>51</v>
      </c>
      <c r="I103" s="9">
        <v>1</v>
      </c>
      <c r="J103" s="11">
        <f t="shared" si="85"/>
        <v>12</v>
      </c>
      <c r="K103" s="11">
        <v>760</v>
      </c>
      <c r="L103" s="12">
        <v>0.14000000000000001</v>
      </c>
      <c r="M103" s="12">
        <v>106.4</v>
      </c>
      <c r="N103" s="13" t="s">
        <v>49</v>
      </c>
      <c r="Q103" s="9">
        <f>IF(Auction_Sales[[#This Row],[Payment Date]]=0,"",-1+WEEKNUM(Auction_Sales[[#This Row],[Payment Date]]))</f>
        <v>11</v>
      </c>
      <c r="R103" s="9">
        <f t="shared" si="86"/>
        <v>0</v>
      </c>
      <c r="S103" s="1" t="str">
        <f t="shared" si="87"/>
        <v>Grandiflora Roses</v>
      </c>
      <c r="T103" s="1" t="str">
        <f t="shared" si="87"/>
        <v>50CM</v>
      </c>
      <c r="U103" s="9">
        <v>760</v>
      </c>
      <c r="V103" s="13">
        <f>220.4/U103</f>
        <v>0.28999999999999998</v>
      </c>
      <c r="W103" s="13">
        <f t="shared" si="71"/>
        <v>220.39999999999998</v>
      </c>
      <c r="X103" s="14">
        <f t="shared" si="90"/>
        <v>-30.776788732394365</v>
      </c>
      <c r="Y103" s="13">
        <f t="shared" si="72"/>
        <v>189.6232112676056</v>
      </c>
      <c r="Z103" s="10">
        <v>45371</v>
      </c>
      <c r="AA103" s="9">
        <f t="shared" si="88"/>
        <v>0</v>
      </c>
      <c r="AC103" s="9">
        <v>433193</v>
      </c>
      <c r="AD103" s="14">
        <f t="shared" si="91"/>
        <v>41.025294117647057</v>
      </c>
      <c r="AF103" s="14">
        <f t="shared" si="73"/>
        <v>15.200000000000001</v>
      </c>
      <c r="AH103" s="14">
        <f t="shared" si="94"/>
        <v>56.22529411764706</v>
      </c>
      <c r="AI103" s="13">
        <f t="shared" si="74"/>
        <v>133.39791714995854</v>
      </c>
      <c r="AK103" s="9">
        <f t="shared" si="89"/>
        <v>760</v>
      </c>
    </row>
    <row r="104" spans="1:37">
      <c r="A104" s="9">
        <v>11</v>
      </c>
      <c r="B104" s="9">
        <v>2024</v>
      </c>
      <c r="C104" s="9" t="s">
        <v>46</v>
      </c>
      <c r="D104" s="9" t="s">
        <v>47</v>
      </c>
      <c r="E104" s="9" t="s">
        <v>47</v>
      </c>
      <c r="F104" s="10">
        <v>45365</v>
      </c>
      <c r="G104" s="9" t="s">
        <v>153</v>
      </c>
      <c r="H104" s="9" t="s">
        <v>48</v>
      </c>
      <c r="I104" s="9">
        <v>1</v>
      </c>
      <c r="J104" s="11">
        <f t="shared" si="85"/>
        <v>12</v>
      </c>
      <c r="K104" s="11">
        <v>720</v>
      </c>
      <c r="L104" s="12">
        <v>0.24</v>
      </c>
      <c r="M104" s="12">
        <v>172.8</v>
      </c>
      <c r="N104" s="13" t="s">
        <v>49</v>
      </c>
      <c r="Q104" s="9">
        <f>IF(Auction_Sales[[#This Row],[Payment Date]]=0,"",-1+WEEKNUM(Auction_Sales[[#This Row],[Payment Date]]))</f>
        <v>11</v>
      </c>
      <c r="R104" s="9">
        <f t="shared" si="86"/>
        <v>-160</v>
      </c>
      <c r="S104" s="1" t="str">
        <f t="shared" si="87"/>
        <v>Grandiflora Roses</v>
      </c>
      <c r="T104" s="1" t="str">
        <f t="shared" si="87"/>
        <v>60CM</v>
      </c>
      <c r="U104" s="9">
        <v>880</v>
      </c>
      <c r="V104" s="13">
        <f>343.2/U104</f>
        <v>0.39</v>
      </c>
      <c r="W104" s="13">
        <f t="shared" si="71"/>
        <v>343.2</v>
      </c>
      <c r="X104" s="14">
        <f t="shared" si="90"/>
        <v>-35.636281690140841</v>
      </c>
      <c r="Y104" s="13">
        <f t="shared" si="72"/>
        <v>307.56371830985915</v>
      </c>
      <c r="Z104" s="10">
        <v>45371</v>
      </c>
      <c r="AA104" s="9">
        <f t="shared" si="88"/>
        <v>160</v>
      </c>
      <c r="AC104" s="9">
        <v>433193</v>
      </c>
      <c r="AD104" s="14">
        <f t="shared" si="91"/>
        <v>41.025294117647057</v>
      </c>
      <c r="AF104" s="14">
        <f t="shared" si="73"/>
        <v>17.600000000000001</v>
      </c>
      <c r="AH104" s="14">
        <f t="shared" si="94"/>
        <v>58.625294117647059</v>
      </c>
      <c r="AI104" s="13">
        <f t="shared" si="74"/>
        <v>248.9384241922121</v>
      </c>
      <c r="AK104" s="9">
        <f t="shared" si="89"/>
        <v>880</v>
      </c>
    </row>
    <row r="105" spans="1:37">
      <c r="A105" s="9">
        <v>11</v>
      </c>
      <c r="B105" s="9">
        <v>2024</v>
      </c>
      <c r="C105" s="9" t="s">
        <v>46</v>
      </c>
      <c r="D105" s="9" t="s">
        <v>47</v>
      </c>
      <c r="E105" s="9" t="s">
        <v>47</v>
      </c>
      <c r="F105" s="10">
        <v>45365</v>
      </c>
      <c r="G105" s="9" t="s">
        <v>153</v>
      </c>
      <c r="H105" s="9" t="s">
        <v>52</v>
      </c>
      <c r="I105" s="9">
        <v>1</v>
      </c>
      <c r="J105" s="11">
        <f t="shared" si="85"/>
        <v>12</v>
      </c>
      <c r="K105" s="9">
        <v>520</v>
      </c>
      <c r="L105" s="12">
        <v>0.28000000000000003</v>
      </c>
      <c r="M105" s="27">
        <v>145.6</v>
      </c>
      <c r="N105" s="13" t="s">
        <v>49</v>
      </c>
      <c r="Q105" s="9">
        <f>IF(Auction_Sales[[#This Row],[Payment Date]]=0,"",-1+WEEKNUM(Auction_Sales[[#This Row],[Payment Date]]))</f>
        <v>11</v>
      </c>
      <c r="R105" s="9">
        <f t="shared" si="86"/>
        <v>-40</v>
      </c>
      <c r="S105" s="1" t="str">
        <f t="shared" si="87"/>
        <v>Grandiflora Roses</v>
      </c>
      <c r="T105" s="1" t="str">
        <f t="shared" si="87"/>
        <v>70CM</v>
      </c>
      <c r="U105" s="9">
        <v>560</v>
      </c>
      <c r="V105" s="13">
        <f>300.4/U105</f>
        <v>0.53642857142857137</v>
      </c>
      <c r="W105" s="13">
        <f t="shared" si="71"/>
        <v>300.39999999999998</v>
      </c>
      <c r="X105" s="14">
        <f t="shared" si="90"/>
        <v>-22.677633802816899</v>
      </c>
      <c r="Y105" s="13">
        <f t="shared" si="72"/>
        <v>277.72236619718308</v>
      </c>
      <c r="Z105" s="10">
        <v>45371</v>
      </c>
      <c r="AA105" s="9">
        <f t="shared" si="88"/>
        <v>40</v>
      </c>
      <c r="AC105" s="9">
        <v>433193</v>
      </c>
      <c r="AD105" s="14">
        <f t="shared" si="91"/>
        <v>41.025294117647057</v>
      </c>
      <c r="AF105" s="14">
        <f t="shared" si="73"/>
        <v>11.200000000000001</v>
      </c>
      <c r="AH105" s="14">
        <f t="shared" si="94"/>
        <v>52.22529411764706</v>
      </c>
      <c r="AI105" s="13">
        <f t="shared" si="74"/>
        <v>225.49707207953603</v>
      </c>
      <c r="AK105" s="9">
        <f t="shared" si="89"/>
        <v>560</v>
      </c>
    </row>
    <row r="106" spans="1:37">
      <c r="A106" s="9">
        <v>11</v>
      </c>
      <c r="B106" s="9">
        <v>2024</v>
      </c>
      <c r="C106" s="9" t="s">
        <v>46</v>
      </c>
      <c r="D106" s="9" t="s">
        <v>47</v>
      </c>
      <c r="E106" s="9" t="s">
        <v>47</v>
      </c>
      <c r="F106" s="10">
        <v>45365</v>
      </c>
      <c r="G106" s="9" t="s">
        <v>153</v>
      </c>
      <c r="H106" s="9" t="s">
        <v>54</v>
      </c>
      <c r="I106" s="9">
        <v>1</v>
      </c>
      <c r="J106" s="11">
        <f t="shared" si="85"/>
        <v>12</v>
      </c>
      <c r="K106" s="9">
        <v>480</v>
      </c>
      <c r="L106" s="12">
        <v>0.33</v>
      </c>
      <c r="M106" s="27">
        <v>158.4</v>
      </c>
      <c r="N106" s="13" t="s">
        <v>49</v>
      </c>
      <c r="Q106" s="9">
        <f>IF(Auction_Sales[[#This Row],[Payment Date]]=0,"",-1+WEEKNUM(Auction_Sales[[#This Row],[Payment Date]]))</f>
        <v>11</v>
      </c>
      <c r="R106" s="9">
        <f t="shared" si="86"/>
        <v>0</v>
      </c>
      <c r="S106" s="1" t="str">
        <f t="shared" si="87"/>
        <v>Grandiflora Roses</v>
      </c>
      <c r="T106" s="1" t="str">
        <f t="shared" si="87"/>
        <v>80CM</v>
      </c>
      <c r="U106" s="9">
        <v>480</v>
      </c>
      <c r="V106" s="13">
        <f>290.4/U106</f>
        <v>0.60499999999999998</v>
      </c>
      <c r="W106" s="13">
        <f t="shared" si="71"/>
        <v>290.39999999999998</v>
      </c>
      <c r="X106" s="14">
        <f t="shared" si="90"/>
        <v>-19.437971830985912</v>
      </c>
      <c r="Y106" s="13">
        <f t="shared" si="72"/>
        <v>270.96202816901405</v>
      </c>
      <c r="Z106" s="10">
        <v>45371</v>
      </c>
      <c r="AA106" s="9">
        <f t="shared" si="88"/>
        <v>0</v>
      </c>
      <c r="AC106" s="9">
        <v>433193</v>
      </c>
      <c r="AD106" s="14">
        <f t="shared" si="91"/>
        <v>41.025294117647057</v>
      </c>
      <c r="AF106" s="14">
        <f t="shared" si="73"/>
        <v>9.6</v>
      </c>
      <c r="AH106" s="14">
        <f t="shared" si="94"/>
        <v>50.625294117647059</v>
      </c>
      <c r="AI106" s="13">
        <f t="shared" si="74"/>
        <v>220.33673405136699</v>
      </c>
      <c r="AK106" s="9">
        <f t="shared" si="89"/>
        <v>480</v>
      </c>
    </row>
    <row r="107" spans="1:37">
      <c r="A107" s="9">
        <v>11</v>
      </c>
      <c r="B107" s="9">
        <v>2024</v>
      </c>
      <c r="C107" s="9" t="s">
        <v>46</v>
      </c>
      <c r="D107" s="9" t="s">
        <v>47</v>
      </c>
      <c r="E107" s="9" t="s">
        <v>47</v>
      </c>
      <c r="F107" s="10">
        <v>45365</v>
      </c>
      <c r="G107" s="9" t="s">
        <v>153</v>
      </c>
      <c r="H107" s="9" t="s">
        <v>56</v>
      </c>
      <c r="I107" s="9">
        <v>1</v>
      </c>
      <c r="J107" s="11">
        <f t="shared" si="85"/>
        <v>12</v>
      </c>
      <c r="K107" s="9">
        <v>320</v>
      </c>
      <c r="L107" s="12">
        <v>0.38</v>
      </c>
      <c r="M107" s="27">
        <v>121.6</v>
      </c>
      <c r="N107" s="13" t="s">
        <v>49</v>
      </c>
      <c r="Q107" s="9">
        <f>IF(Auction_Sales[[#This Row],[Payment Date]]=0,"",-1+WEEKNUM(Auction_Sales[[#This Row],[Payment Date]]))</f>
        <v>11</v>
      </c>
      <c r="R107" s="9">
        <f t="shared" si="86"/>
        <v>-360</v>
      </c>
      <c r="S107" s="1" t="str">
        <f t="shared" ref="S107:T118" si="95">IF(G107=0,"",G107)</f>
        <v>Grandiflora Roses</v>
      </c>
      <c r="T107" s="1" t="str">
        <f t="shared" si="95"/>
        <v>90CM</v>
      </c>
      <c r="U107" s="9">
        <v>680</v>
      </c>
      <c r="V107" s="13">
        <f>381.2/U107</f>
        <v>0.56058823529411761</v>
      </c>
      <c r="W107" s="13">
        <f t="shared" si="71"/>
        <v>381.2</v>
      </c>
      <c r="X107" s="14">
        <f t="shared" si="90"/>
        <v>-27.537126760563378</v>
      </c>
      <c r="Y107" s="13">
        <f t="shared" si="72"/>
        <v>353.66287323943664</v>
      </c>
      <c r="Z107" s="10">
        <v>45371</v>
      </c>
      <c r="AA107" s="9">
        <f>U107-K107</f>
        <v>360</v>
      </c>
      <c r="AC107" s="9">
        <v>433193</v>
      </c>
      <c r="AD107" s="14">
        <f t="shared" si="91"/>
        <v>41.025294117647057</v>
      </c>
      <c r="AF107" s="14">
        <f t="shared" si="73"/>
        <v>13.6</v>
      </c>
      <c r="AH107" s="14">
        <f>SUM(AD107:AG107)</f>
        <v>54.625294117647059</v>
      </c>
      <c r="AI107" s="13">
        <f t="shared" si="74"/>
        <v>299.03757912178958</v>
      </c>
      <c r="AK107" s="9">
        <f>U107</f>
        <v>680</v>
      </c>
    </row>
    <row r="108" spans="1:37">
      <c r="A108" s="9">
        <v>11</v>
      </c>
      <c r="B108" s="9">
        <v>2024</v>
      </c>
      <c r="C108" s="9" t="s">
        <v>46</v>
      </c>
      <c r="D108" s="9" t="s">
        <v>47</v>
      </c>
      <c r="E108" s="9" t="s">
        <v>47</v>
      </c>
      <c r="F108" s="10">
        <v>45365</v>
      </c>
      <c r="G108" s="9" t="s">
        <v>153</v>
      </c>
      <c r="H108" s="9" t="s">
        <v>56</v>
      </c>
      <c r="I108" s="9">
        <v>1</v>
      </c>
      <c r="J108" s="11">
        <f t="shared" si="85"/>
        <v>12</v>
      </c>
      <c r="K108" s="9">
        <v>360</v>
      </c>
      <c r="L108" s="12">
        <v>0.38</v>
      </c>
      <c r="M108" s="27">
        <v>136.80000000000001</v>
      </c>
      <c r="N108" s="13" t="s">
        <v>49</v>
      </c>
      <c r="Q108" s="9">
        <f>IF(Auction_Sales[[#This Row],[Payment Date]]=0,"",-1+WEEKNUM(Auction_Sales[[#This Row],[Payment Date]]))</f>
        <v>11</v>
      </c>
      <c r="R108" s="9">
        <f t="shared" si="86"/>
        <v>360</v>
      </c>
      <c r="S108" s="1" t="str">
        <f t="shared" si="95"/>
        <v>Grandiflora Roses</v>
      </c>
      <c r="T108" s="1" t="str">
        <f t="shared" si="95"/>
        <v>90CM</v>
      </c>
      <c r="W108" s="13">
        <f t="shared" si="71"/>
        <v>0</v>
      </c>
      <c r="X108" s="14">
        <f t="shared" si="90"/>
        <v>0</v>
      </c>
      <c r="Y108" s="13">
        <f t="shared" si="72"/>
        <v>0</v>
      </c>
      <c r="Z108" s="10">
        <v>45371</v>
      </c>
      <c r="AA108" s="9">
        <f>U108-K108</f>
        <v>-360</v>
      </c>
      <c r="AC108" s="9">
        <v>433193</v>
      </c>
      <c r="AD108" s="14">
        <f t="shared" si="91"/>
        <v>41.025294117647057</v>
      </c>
      <c r="AF108" s="14">
        <f t="shared" si="73"/>
        <v>0</v>
      </c>
      <c r="AH108" s="14">
        <f>SUM(AD108:AG108)</f>
        <v>41.025294117647057</v>
      </c>
      <c r="AI108" s="13">
        <f t="shared" si="74"/>
        <v>-41.025294117647057</v>
      </c>
      <c r="AK108" s="9">
        <f>U108</f>
        <v>0</v>
      </c>
    </row>
    <row r="109" spans="1:37">
      <c r="A109" s="9">
        <v>11</v>
      </c>
      <c r="B109" s="9">
        <v>2024</v>
      </c>
      <c r="C109" s="9" t="s">
        <v>46</v>
      </c>
      <c r="D109" s="9" t="s">
        <v>47</v>
      </c>
      <c r="E109" s="9" t="s">
        <v>47</v>
      </c>
      <c r="F109" s="10">
        <v>45365</v>
      </c>
      <c r="G109" s="9" t="s">
        <v>156</v>
      </c>
      <c r="H109" s="9" t="s">
        <v>51</v>
      </c>
      <c r="I109" s="9">
        <v>1</v>
      </c>
      <c r="J109" s="11">
        <f>K109/360*12</f>
        <v>1.3333333333333333</v>
      </c>
      <c r="K109" s="9">
        <v>40</v>
      </c>
      <c r="L109" s="12">
        <v>0.42</v>
      </c>
      <c r="M109" s="27">
        <v>16.8</v>
      </c>
      <c r="N109" s="13" t="s">
        <v>49</v>
      </c>
      <c r="Q109" s="9">
        <f>IF(Auction_Sales[[#This Row],[Payment Date]]=0,"",-1+WEEKNUM(Auction_Sales[[#This Row],[Payment Date]]))</f>
        <v>11</v>
      </c>
      <c r="R109" s="9">
        <f t="shared" si="86"/>
        <v>0</v>
      </c>
      <c r="S109" s="1" t="str">
        <f t="shared" si="95"/>
        <v>Polyantha Roses</v>
      </c>
      <c r="T109" s="1" t="str">
        <f t="shared" si="95"/>
        <v>50CM</v>
      </c>
      <c r="U109" s="9">
        <v>40</v>
      </c>
      <c r="V109" s="13">
        <f>19.2/U109</f>
        <v>0.48</v>
      </c>
      <c r="W109" s="13">
        <f t="shared" si="71"/>
        <v>19.2</v>
      </c>
      <c r="X109" s="14">
        <f t="shared" si="90"/>
        <v>-1.6198309859154929</v>
      </c>
      <c r="Y109" s="13">
        <f t="shared" si="72"/>
        <v>17.580169014084507</v>
      </c>
      <c r="Z109" s="10">
        <v>45371</v>
      </c>
      <c r="AA109" s="9">
        <f t="shared" ref="AA109:AA118" si="96">U109-K109</f>
        <v>0</v>
      </c>
      <c r="AC109" s="9">
        <v>433193</v>
      </c>
      <c r="AD109" s="14">
        <f t="shared" si="91"/>
        <v>4.558366013071895</v>
      </c>
      <c r="AF109" s="14">
        <f t="shared" si="73"/>
        <v>0.8</v>
      </c>
      <c r="AH109" s="14">
        <f t="shared" ref="AH109:AH113" si="97">SUM(AD109:AG109)</f>
        <v>5.3583660130718949</v>
      </c>
      <c r="AI109" s="13">
        <f t="shared" si="74"/>
        <v>12.221803001012614</v>
      </c>
      <c r="AK109" s="9">
        <f t="shared" ref="AK109:AK118" si="98">U109</f>
        <v>40</v>
      </c>
    </row>
    <row r="110" spans="1:37">
      <c r="A110" s="9">
        <v>11</v>
      </c>
      <c r="B110" s="9">
        <v>2024</v>
      </c>
      <c r="C110" s="9" t="s">
        <v>46</v>
      </c>
      <c r="D110" s="9" t="s">
        <v>47</v>
      </c>
      <c r="E110" s="9" t="s">
        <v>47</v>
      </c>
      <c r="F110" s="10">
        <v>45365</v>
      </c>
      <c r="G110" s="9" t="s">
        <v>156</v>
      </c>
      <c r="H110" s="9" t="s">
        <v>48</v>
      </c>
      <c r="J110" s="11">
        <f t="shared" ref="J110:J111" si="99">K110/360*12</f>
        <v>6.666666666666667</v>
      </c>
      <c r="K110" s="9">
        <v>200</v>
      </c>
      <c r="L110" s="12">
        <v>0.52</v>
      </c>
      <c r="M110" s="27">
        <v>104</v>
      </c>
      <c r="N110" s="13" t="s">
        <v>49</v>
      </c>
      <c r="Q110" s="9">
        <f>IF(Auction_Sales[[#This Row],[Payment Date]]=0,"",-1+WEEKNUM(Auction_Sales[[#This Row],[Payment Date]]))</f>
        <v>11</v>
      </c>
      <c r="R110" s="9">
        <f t="shared" si="86"/>
        <v>0</v>
      </c>
      <c r="S110" s="1" t="str">
        <f t="shared" si="95"/>
        <v>Polyantha Roses</v>
      </c>
      <c r="T110" s="1" t="str">
        <f t="shared" si="95"/>
        <v>60CM</v>
      </c>
      <c r="U110" s="9">
        <v>200</v>
      </c>
      <c r="V110" s="13">
        <f>123.2/U110</f>
        <v>0.61599999999999999</v>
      </c>
      <c r="W110" s="13">
        <f t="shared" si="71"/>
        <v>123.2</v>
      </c>
      <c r="X110" s="14">
        <f t="shared" si="90"/>
        <v>-8.0991549295774643</v>
      </c>
      <c r="Y110" s="13">
        <f t="shared" si="72"/>
        <v>115.10084507042254</v>
      </c>
      <c r="Z110" s="10">
        <v>45371</v>
      </c>
      <c r="AA110" s="9">
        <f t="shared" si="96"/>
        <v>0</v>
      </c>
      <c r="AC110" s="9">
        <v>433193</v>
      </c>
      <c r="AD110" s="14">
        <f t="shared" si="91"/>
        <v>22.791830065359477</v>
      </c>
      <c r="AF110" s="14">
        <f t="shared" si="73"/>
        <v>4</v>
      </c>
      <c r="AH110" s="14">
        <f t="shared" si="97"/>
        <v>26.791830065359477</v>
      </c>
      <c r="AI110" s="13">
        <f t="shared" si="74"/>
        <v>88.30901500506306</v>
      </c>
      <c r="AK110" s="9">
        <f t="shared" si="98"/>
        <v>200</v>
      </c>
    </row>
    <row r="111" spans="1:37">
      <c r="A111" s="9">
        <v>11</v>
      </c>
      <c r="B111" s="9">
        <v>2024</v>
      </c>
      <c r="C111" s="9" t="s">
        <v>46</v>
      </c>
      <c r="D111" s="9" t="s">
        <v>47</v>
      </c>
      <c r="E111" s="9" t="s">
        <v>47</v>
      </c>
      <c r="F111" s="10">
        <v>45365</v>
      </c>
      <c r="G111" s="9" t="s">
        <v>156</v>
      </c>
      <c r="H111" s="9" t="s">
        <v>52</v>
      </c>
      <c r="J111" s="11">
        <f t="shared" si="99"/>
        <v>4</v>
      </c>
      <c r="K111" s="11">
        <v>120</v>
      </c>
      <c r="L111" s="12">
        <v>0.61</v>
      </c>
      <c r="M111" s="12">
        <v>73.2</v>
      </c>
      <c r="N111" s="13" t="s">
        <v>49</v>
      </c>
      <c r="Q111" s="9">
        <f>IF(Auction_Sales[[#This Row],[Payment Date]]=0,"",-1+WEEKNUM(Auction_Sales[[#This Row],[Payment Date]]))</f>
        <v>11</v>
      </c>
      <c r="R111" s="9">
        <f t="shared" si="86"/>
        <v>0</v>
      </c>
      <c r="S111" s="1" t="str">
        <f t="shared" si="95"/>
        <v>Polyantha Roses</v>
      </c>
      <c r="T111" s="1" t="str">
        <f t="shared" si="95"/>
        <v>70CM</v>
      </c>
      <c r="U111" s="9">
        <v>120</v>
      </c>
      <c r="V111" s="13">
        <f>94.8/U111</f>
        <v>0.78999999999999992</v>
      </c>
      <c r="W111" s="13">
        <f t="shared" si="71"/>
        <v>94.8</v>
      </c>
      <c r="X111" s="14">
        <f t="shared" si="90"/>
        <v>-4.859492957746478</v>
      </c>
      <c r="Y111" s="13">
        <f t="shared" si="72"/>
        <v>89.940507042253515</v>
      </c>
      <c r="Z111" s="10">
        <v>45371</v>
      </c>
      <c r="AA111" s="9">
        <f t="shared" si="96"/>
        <v>0</v>
      </c>
      <c r="AC111" s="9">
        <v>433193</v>
      </c>
      <c r="AD111" s="14">
        <f t="shared" si="91"/>
        <v>13.675098039215685</v>
      </c>
      <c r="AF111" s="14">
        <f t="shared" si="73"/>
        <v>2.4</v>
      </c>
      <c r="AH111" s="14">
        <f t="shared" si="97"/>
        <v>16.075098039215685</v>
      </c>
      <c r="AI111" s="13">
        <f t="shared" si="74"/>
        <v>73.865409003037826</v>
      </c>
      <c r="AK111" s="9">
        <f t="shared" si="98"/>
        <v>120</v>
      </c>
    </row>
    <row r="112" spans="1:37">
      <c r="A112" s="9">
        <v>11</v>
      </c>
      <c r="B112" s="9">
        <v>2024</v>
      </c>
      <c r="C112" s="9" t="s">
        <v>46</v>
      </c>
      <c r="D112" s="9" t="s">
        <v>47</v>
      </c>
      <c r="E112" s="9" t="s">
        <v>47</v>
      </c>
      <c r="F112" s="10">
        <v>45365</v>
      </c>
      <c r="G112" s="9" t="s">
        <v>154</v>
      </c>
      <c r="H112" s="9" t="s">
        <v>54</v>
      </c>
      <c r="I112" s="9">
        <v>1</v>
      </c>
      <c r="J112" s="11">
        <v>6</v>
      </c>
      <c r="K112" s="11">
        <v>160</v>
      </c>
      <c r="L112" s="12">
        <v>0.56999999999999995</v>
      </c>
      <c r="M112" s="12">
        <v>91.2</v>
      </c>
      <c r="N112" s="13" t="s">
        <v>49</v>
      </c>
      <c r="Q112" s="9">
        <f>IF(Auction_Sales[[#This Row],[Payment Date]]=0,"",-1+WEEKNUM(Auction_Sales[[#This Row],[Payment Date]]))</f>
        <v>11</v>
      </c>
      <c r="R112" s="9">
        <f t="shared" si="86"/>
        <v>160</v>
      </c>
      <c r="S112" s="1" t="str">
        <f t="shared" si="95"/>
        <v>English Roses</v>
      </c>
      <c r="T112" s="1" t="str">
        <f t="shared" si="95"/>
        <v>80CM</v>
      </c>
      <c r="W112" s="13">
        <f t="shared" si="71"/>
        <v>0</v>
      </c>
      <c r="X112" s="14">
        <f t="shared" si="90"/>
        <v>0</v>
      </c>
      <c r="Y112" s="13">
        <f t="shared" si="72"/>
        <v>0</v>
      </c>
      <c r="Z112" s="10">
        <v>45371</v>
      </c>
      <c r="AA112" s="9">
        <f t="shared" si="96"/>
        <v>-160</v>
      </c>
      <c r="AC112" s="9">
        <v>433193</v>
      </c>
      <c r="AD112" s="14">
        <f t="shared" si="91"/>
        <v>20.512647058823529</v>
      </c>
      <c r="AF112" s="14">
        <f t="shared" si="73"/>
        <v>0</v>
      </c>
      <c r="AH112" s="14">
        <f t="shared" si="97"/>
        <v>20.512647058823529</v>
      </c>
      <c r="AI112" s="13">
        <f t="shared" si="74"/>
        <v>-20.512647058823529</v>
      </c>
      <c r="AK112" s="9">
        <f t="shared" si="98"/>
        <v>0</v>
      </c>
    </row>
    <row r="113" spans="1:37">
      <c r="A113" s="9">
        <v>11</v>
      </c>
      <c r="B113" s="9">
        <v>2024</v>
      </c>
      <c r="C113" s="9" t="s">
        <v>46</v>
      </c>
      <c r="D113" s="9" t="s">
        <v>47</v>
      </c>
      <c r="E113" s="9" t="s">
        <v>47</v>
      </c>
      <c r="F113" s="10">
        <v>45365</v>
      </c>
      <c r="G113" s="9" t="s">
        <v>154</v>
      </c>
      <c r="H113" s="9" t="s">
        <v>56</v>
      </c>
      <c r="J113" s="11">
        <v>6</v>
      </c>
      <c r="K113" s="11">
        <v>160</v>
      </c>
      <c r="L113" s="12">
        <v>0.75</v>
      </c>
      <c r="M113" s="12">
        <v>120</v>
      </c>
      <c r="N113" s="13" t="s">
        <v>49</v>
      </c>
      <c r="Q113" s="9">
        <f>IF(Auction_Sales[[#This Row],[Payment Date]]=0,"",-1+WEEKNUM(Auction_Sales[[#This Row],[Payment Date]]))</f>
        <v>11</v>
      </c>
      <c r="R113" s="9">
        <f t="shared" si="86"/>
        <v>160</v>
      </c>
      <c r="S113" s="1" t="str">
        <f t="shared" si="95"/>
        <v>English Roses</v>
      </c>
      <c r="T113" s="1" t="str">
        <f t="shared" si="95"/>
        <v>90CM</v>
      </c>
      <c r="W113" s="13">
        <f t="shared" si="71"/>
        <v>0</v>
      </c>
      <c r="X113" s="14">
        <f t="shared" si="90"/>
        <v>0</v>
      </c>
      <c r="Y113" s="13">
        <f t="shared" si="72"/>
        <v>0</v>
      </c>
      <c r="Z113" s="10">
        <v>45371</v>
      </c>
      <c r="AA113" s="9">
        <f t="shared" si="96"/>
        <v>-160</v>
      </c>
      <c r="AC113" s="9">
        <v>433193</v>
      </c>
      <c r="AD113" s="14">
        <f t="shared" si="91"/>
        <v>20.512647058823529</v>
      </c>
      <c r="AF113" s="14">
        <f t="shared" si="73"/>
        <v>0</v>
      </c>
      <c r="AH113" s="14">
        <f t="shared" si="97"/>
        <v>20.512647058823529</v>
      </c>
      <c r="AI113" s="13">
        <f t="shared" si="74"/>
        <v>-20.512647058823529</v>
      </c>
      <c r="AK113" s="9">
        <f t="shared" si="98"/>
        <v>0</v>
      </c>
    </row>
    <row r="114" spans="1:37">
      <c r="A114" s="9">
        <v>11</v>
      </c>
      <c r="B114" s="9">
        <v>2024</v>
      </c>
      <c r="C114" s="9" t="s">
        <v>46</v>
      </c>
      <c r="D114" s="9" t="s">
        <v>47</v>
      </c>
      <c r="E114" s="9" t="s">
        <v>47</v>
      </c>
      <c r="F114" s="10">
        <v>45365</v>
      </c>
      <c r="G114" s="9" t="s">
        <v>153</v>
      </c>
      <c r="H114" s="9" t="s">
        <v>48</v>
      </c>
      <c r="I114" s="9">
        <v>1</v>
      </c>
      <c r="J114" s="11">
        <f>K114/520*12</f>
        <v>2.7692307692307692</v>
      </c>
      <c r="K114" s="11">
        <v>120</v>
      </c>
      <c r="L114" s="12">
        <v>0.24</v>
      </c>
      <c r="M114" s="12">
        <v>28.8</v>
      </c>
      <c r="N114" s="13" t="s">
        <v>49</v>
      </c>
      <c r="Q114" s="9">
        <f>IF(Auction_Sales[[#This Row],[Payment Date]]=0,"",-1+WEEKNUM(Auction_Sales[[#This Row],[Payment Date]]))</f>
        <v>11</v>
      </c>
      <c r="R114" s="9">
        <f t="shared" si="86"/>
        <v>120</v>
      </c>
      <c r="S114" s="1" t="str">
        <f t="shared" si="95"/>
        <v>Grandiflora Roses</v>
      </c>
      <c r="T114" s="1" t="str">
        <f t="shared" si="95"/>
        <v>60CM</v>
      </c>
      <c r="W114" s="13">
        <f t="shared" si="71"/>
        <v>0</v>
      </c>
      <c r="X114" s="14">
        <f t="shared" si="90"/>
        <v>0</v>
      </c>
      <c r="Y114" s="13">
        <f t="shared" si="72"/>
        <v>0</v>
      </c>
      <c r="Z114" s="10">
        <v>45371</v>
      </c>
      <c r="AA114" s="9">
        <f t="shared" si="96"/>
        <v>-120</v>
      </c>
      <c r="AC114" s="9">
        <v>433193</v>
      </c>
      <c r="AD114" s="14">
        <f t="shared" si="91"/>
        <v>9.46737556561086</v>
      </c>
      <c r="AF114" s="14">
        <f t="shared" si="73"/>
        <v>0</v>
      </c>
      <c r="AH114" s="14">
        <f t="shared" ref="AH114:AH118" si="100">SUM(AD114:AG114)</f>
        <v>9.46737556561086</v>
      </c>
      <c r="AI114" s="13">
        <f t="shared" si="74"/>
        <v>-9.46737556561086</v>
      </c>
      <c r="AK114" s="9">
        <f t="shared" si="98"/>
        <v>0</v>
      </c>
    </row>
    <row r="115" spans="1:37">
      <c r="A115" s="9">
        <v>11</v>
      </c>
      <c r="B115" s="9">
        <v>2024</v>
      </c>
      <c r="C115" s="9" t="s">
        <v>46</v>
      </c>
      <c r="D115" s="9" t="s">
        <v>47</v>
      </c>
      <c r="E115" s="9" t="s">
        <v>47</v>
      </c>
      <c r="F115" s="10">
        <v>45365</v>
      </c>
      <c r="G115" s="9" t="s">
        <v>153</v>
      </c>
      <c r="H115" s="9" t="s">
        <v>52</v>
      </c>
      <c r="J115" s="11">
        <f t="shared" ref="J115:J116" si="101">K115/520*12</f>
        <v>5.5384615384615383</v>
      </c>
      <c r="K115" s="11">
        <v>240</v>
      </c>
      <c r="L115" s="12">
        <v>0.28000000000000003</v>
      </c>
      <c r="M115" s="27">
        <v>67.2</v>
      </c>
      <c r="N115" s="13" t="s">
        <v>49</v>
      </c>
      <c r="Q115" s="9">
        <f>IF(Auction_Sales[[#This Row],[Payment Date]]=0,"",-1+WEEKNUM(Auction_Sales[[#This Row],[Payment Date]]))</f>
        <v>11</v>
      </c>
      <c r="R115" s="9">
        <f t="shared" si="86"/>
        <v>240</v>
      </c>
      <c r="S115" s="1" t="str">
        <f t="shared" si="95"/>
        <v>Grandiflora Roses</v>
      </c>
      <c r="T115" s="1" t="str">
        <f t="shared" si="95"/>
        <v>70CM</v>
      </c>
      <c r="W115" s="13">
        <f t="shared" si="71"/>
        <v>0</v>
      </c>
      <c r="X115" s="14">
        <f t="shared" si="90"/>
        <v>0</v>
      </c>
      <c r="Y115" s="13">
        <f t="shared" si="72"/>
        <v>0</v>
      </c>
      <c r="Z115" s="10">
        <v>45371</v>
      </c>
      <c r="AA115" s="9">
        <f t="shared" si="96"/>
        <v>-240</v>
      </c>
      <c r="AC115" s="9">
        <v>433193</v>
      </c>
      <c r="AD115" s="14">
        <f t="shared" si="91"/>
        <v>18.93475113122172</v>
      </c>
      <c r="AF115" s="14">
        <f t="shared" si="73"/>
        <v>0</v>
      </c>
      <c r="AH115" s="14">
        <f t="shared" si="100"/>
        <v>18.93475113122172</v>
      </c>
      <c r="AI115" s="13">
        <f t="shared" si="74"/>
        <v>-18.93475113122172</v>
      </c>
      <c r="AK115" s="9">
        <f t="shared" si="98"/>
        <v>0</v>
      </c>
    </row>
    <row r="116" spans="1:37">
      <c r="A116" s="9">
        <v>11</v>
      </c>
      <c r="B116" s="9">
        <v>2024</v>
      </c>
      <c r="C116" s="9" t="s">
        <v>46</v>
      </c>
      <c r="D116" s="9" t="s">
        <v>47</v>
      </c>
      <c r="E116" s="9" t="s">
        <v>47</v>
      </c>
      <c r="F116" s="10">
        <v>45365</v>
      </c>
      <c r="G116" s="9" t="s">
        <v>153</v>
      </c>
      <c r="H116" s="9" t="s">
        <v>57</v>
      </c>
      <c r="J116" s="11">
        <f t="shared" si="101"/>
        <v>3.6923076923076925</v>
      </c>
      <c r="K116" s="9">
        <v>160</v>
      </c>
      <c r="L116" s="12">
        <v>0.47</v>
      </c>
      <c r="M116" s="27">
        <v>75.2</v>
      </c>
      <c r="N116" s="13" t="s">
        <v>49</v>
      </c>
      <c r="Q116" s="9">
        <f>IF(Auction_Sales[[#This Row],[Payment Date]]=0,"",-1+WEEKNUM(Auction_Sales[[#This Row],[Payment Date]]))</f>
        <v>11</v>
      </c>
      <c r="R116" s="9">
        <f t="shared" si="86"/>
        <v>-40</v>
      </c>
      <c r="S116" s="1" t="str">
        <f t="shared" si="95"/>
        <v>Grandiflora Roses</v>
      </c>
      <c r="T116" s="1" t="str">
        <f t="shared" si="95"/>
        <v>100CM</v>
      </c>
      <c r="U116" s="9">
        <v>200</v>
      </c>
      <c r="V116" s="13">
        <f>130/U116</f>
        <v>0.65</v>
      </c>
      <c r="W116" s="13">
        <f t="shared" si="71"/>
        <v>130</v>
      </c>
      <c r="X116" s="14">
        <f t="shared" si="90"/>
        <v>-8.0991549295774643</v>
      </c>
      <c r="Y116" s="13">
        <f t="shared" si="72"/>
        <v>121.90084507042253</v>
      </c>
      <c r="Z116" s="10">
        <v>45371</v>
      </c>
      <c r="AA116" s="9">
        <f t="shared" si="96"/>
        <v>40</v>
      </c>
      <c r="AC116" s="9">
        <v>433193</v>
      </c>
      <c r="AD116" s="14">
        <f t="shared" si="91"/>
        <v>12.623167420814481</v>
      </c>
      <c r="AF116" s="14">
        <f t="shared" si="73"/>
        <v>4</v>
      </c>
      <c r="AH116" s="14">
        <f t="shared" si="100"/>
        <v>16.623167420814482</v>
      </c>
      <c r="AI116" s="13">
        <f t="shared" si="74"/>
        <v>105.27767764960805</v>
      </c>
      <c r="AK116" s="9">
        <f t="shared" si="98"/>
        <v>200</v>
      </c>
    </row>
    <row r="117" spans="1:37">
      <c r="A117" s="9">
        <v>11</v>
      </c>
      <c r="B117" s="9">
        <v>2024</v>
      </c>
      <c r="C117" s="9" t="s">
        <v>46</v>
      </c>
      <c r="D117" s="9" t="s">
        <v>47</v>
      </c>
      <c r="E117" s="9" t="s">
        <v>47</v>
      </c>
      <c r="F117" s="10">
        <v>45365</v>
      </c>
      <c r="G117" s="9" t="s">
        <v>155</v>
      </c>
      <c r="H117" s="9" t="s">
        <v>51</v>
      </c>
      <c r="I117" s="9">
        <v>1</v>
      </c>
      <c r="J117" s="11">
        <f>K117/240*12</f>
        <v>2</v>
      </c>
      <c r="K117" s="9">
        <v>40</v>
      </c>
      <c r="L117" s="12">
        <v>0.38</v>
      </c>
      <c r="M117" s="27">
        <v>15.2</v>
      </c>
      <c r="N117" s="13" t="s">
        <v>49</v>
      </c>
      <c r="Q117" s="9">
        <f>IF(Auction_Sales[[#This Row],[Payment Date]]=0,"",-1+WEEKNUM(Auction_Sales[[#This Row],[Payment Date]]))</f>
        <v>11</v>
      </c>
      <c r="R117" s="9">
        <f t="shared" si="86"/>
        <v>40</v>
      </c>
      <c r="S117" s="1" t="str">
        <f t="shared" si="95"/>
        <v>Floribunda Roses</v>
      </c>
      <c r="T117" s="1" t="str">
        <f t="shared" si="95"/>
        <v>50CM</v>
      </c>
      <c r="W117" s="13">
        <f t="shared" si="71"/>
        <v>0</v>
      </c>
      <c r="X117" s="14">
        <f t="shared" si="90"/>
        <v>0</v>
      </c>
      <c r="Y117" s="13">
        <f t="shared" si="72"/>
        <v>0</v>
      </c>
      <c r="Z117" s="10">
        <v>45371</v>
      </c>
      <c r="AA117" s="9">
        <f t="shared" si="96"/>
        <v>-40</v>
      </c>
      <c r="AC117" s="9">
        <v>433193</v>
      </c>
      <c r="AD117" s="14">
        <f t="shared" si="91"/>
        <v>6.8375490196078426</v>
      </c>
      <c r="AF117" s="14">
        <f t="shared" si="73"/>
        <v>0</v>
      </c>
      <c r="AH117" s="14">
        <f t="shared" si="100"/>
        <v>6.8375490196078426</v>
      </c>
      <c r="AI117" s="13">
        <f t="shared" si="74"/>
        <v>-6.8375490196078426</v>
      </c>
      <c r="AK117" s="9">
        <f t="shared" si="98"/>
        <v>0</v>
      </c>
    </row>
    <row r="118" spans="1:37">
      <c r="A118" s="9">
        <v>11</v>
      </c>
      <c r="B118" s="9">
        <v>2024</v>
      </c>
      <c r="C118" s="9" t="s">
        <v>46</v>
      </c>
      <c r="D118" s="9" t="s">
        <v>47</v>
      </c>
      <c r="E118" s="9" t="s">
        <v>47</v>
      </c>
      <c r="F118" s="10">
        <v>45365</v>
      </c>
      <c r="G118" s="9" t="s">
        <v>155</v>
      </c>
      <c r="H118" s="9" t="s">
        <v>57</v>
      </c>
      <c r="J118" s="11">
        <f>K118/240*12</f>
        <v>10</v>
      </c>
      <c r="K118" s="9">
        <v>200</v>
      </c>
      <c r="L118" s="12">
        <v>0.94</v>
      </c>
      <c r="M118" s="27">
        <v>188</v>
      </c>
      <c r="N118" s="13"/>
      <c r="Q118" s="9">
        <f>IF(Auction_Sales[[#This Row],[Payment Date]]=0,"",-1+WEEKNUM(Auction_Sales[[#This Row],[Payment Date]]))</f>
        <v>11</v>
      </c>
      <c r="R118" s="9">
        <f t="shared" si="86"/>
        <v>200</v>
      </c>
      <c r="S118" s="1" t="str">
        <f t="shared" si="95"/>
        <v>Floribunda Roses</v>
      </c>
      <c r="T118" s="1" t="str">
        <f t="shared" si="95"/>
        <v>100CM</v>
      </c>
      <c r="W118" s="13">
        <f t="shared" si="71"/>
        <v>0</v>
      </c>
      <c r="X118" s="14">
        <f t="shared" si="90"/>
        <v>0</v>
      </c>
      <c r="Y118" s="13">
        <f t="shared" si="72"/>
        <v>0</v>
      </c>
      <c r="Z118" s="10">
        <v>45371</v>
      </c>
      <c r="AA118" s="9">
        <f t="shared" si="96"/>
        <v>-200</v>
      </c>
      <c r="AC118" s="9">
        <v>433193</v>
      </c>
      <c r="AD118" s="14">
        <f t="shared" si="91"/>
        <v>34.187745098039215</v>
      </c>
      <c r="AF118" s="14">
        <f t="shared" si="73"/>
        <v>0</v>
      </c>
      <c r="AH118" s="14">
        <f t="shared" si="100"/>
        <v>34.187745098039215</v>
      </c>
      <c r="AI118" s="13">
        <f t="shared" si="74"/>
        <v>-34.187745098039215</v>
      </c>
      <c r="AK118" s="9">
        <f t="shared" si="98"/>
        <v>0</v>
      </c>
    </row>
    <row r="119" spans="1:37">
      <c r="A119" s="9">
        <v>10</v>
      </c>
      <c r="B119" s="9">
        <v>2024</v>
      </c>
      <c r="C119" s="9" t="s">
        <v>46</v>
      </c>
      <c r="D119" s="9" t="s">
        <v>47</v>
      </c>
      <c r="E119" s="9" t="s">
        <v>47</v>
      </c>
      <c r="F119" s="10">
        <v>45353</v>
      </c>
      <c r="G119" s="9" t="s">
        <v>153</v>
      </c>
      <c r="H119" s="9" t="s">
        <v>48</v>
      </c>
      <c r="I119" s="9">
        <v>1</v>
      </c>
      <c r="J119" s="11">
        <v>12</v>
      </c>
      <c r="K119" s="9">
        <v>720</v>
      </c>
      <c r="L119" s="12">
        <v>0.24</v>
      </c>
      <c r="M119" s="27">
        <v>172.8</v>
      </c>
      <c r="N119" s="13" t="s">
        <v>49</v>
      </c>
      <c r="Q119" s="9">
        <f>IF(Auction_Sales[[#This Row],[Payment Date]]=0,"",-1+WEEKNUM(Auction_Sales[[#This Row],[Payment Date]]))</f>
        <v>9</v>
      </c>
      <c r="R119" s="9">
        <v>-240</v>
      </c>
      <c r="S119" s="1" t="s">
        <v>153</v>
      </c>
      <c r="T119" s="1" t="s">
        <v>48</v>
      </c>
      <c r="U119" s="9">
        <v>960</v>
      </c>
      <c r="V119" s="13">
        <v>0.42</v>
      </c>
      <c r="W119" s="13">
        <v>403.2</v>
      </c>
      <c r="X119" s="14">
        <v>-46.236073619631895</v>
      </c>
      <c r="Y119" s="13">
        <v>356.96392638036809</v>
      </c>
      <c r="Z119" s="10">
        <v>45357</v>
      </c>
      <c r="AA119" s="9">
        <v>240</v>
      </c>
      <c r="AC119" s="9">
        <v>431437</v>
      </c>
      <c r="AD119" s="14">
        <v>40.341176470588231</v>
      </c>
      <c r="AF119" s="14">
        <v>19.2</v>
      </c>
      <c r="AH119" s="14">
        <v>59.541176470588226</v>
      </c>
      <c r="AI119" s="13">
        <v>297.4227499097799</v>
      </c>
      <c r="AK119" s="9">
        <v>960</v>
      </c>
    </row>
    <row r="120" spans="1:37">
      <c r="A120" s="9">
        <v>10</v>
      </c>
      <c r="B120" s="9">
        <v>2024</v>
      </c>
      <c r="C120" s="9" t="s">
        <v>46</v>
      </c>
      <c r="D120" s="9" t="s">
        <v>47</v>
      </c>
      <c r="E120" s="9" t="s">
        <v>47</v>
      </c>
      <c r="F120" s="10">
        <v>45353</v>
      </c>
      <c r="G120" s="9" t="s">
        <v>153</v>
      </c>
      <c r="H120" s="9" t="s">
        <v>52</v>
      </c>
      <c r="I120" s="9">
        <v>1</v>
      </c>
      <c r="J120" s="11">
        <v>12</v>
      </c>
      <c r="K120" s="9">
        <v>520</v>
      </c>
      <c r="L120" s="12">
        <v>0.28000000000000003</v>
      </c>
      <c r="M120" s="27">
        <v>145.6</v>
      </c>
      <c r="N120" s="13" t="s">
        <v>49</v>
      </c>
      <c r="Q120" s="9">
        <f>IF(Auction_Sales[[#This Row],[Payment Date]]=0,"",-1+WEEKNUM(Auction_Sales[[#This Row],[Payment Date]]))</f>
        <v>9</v>
      </c>
      <c r="R120" s="9">
        <v>520</v>
      </c>
      <c r="S120" s="1" t="s">
        <v>153</v>
      </c>
      <c r="T120" s="9" t="s">
        <v>52</v>
      </c>
      <c r="W120" s="13">
        <v>0</v>
      </c>
      <c r="X120" s="14">
        <v>0</v>
      </c>
      <c r="Y120" s="13">
        <v>0</v>
      </c>
      <c r="Z120" s="10">
        <v>45357</v>
      </c>
      <c r="AA120" s="9">
        <v>-520</v>
      </c>
      <c r="AC120" s="9">
        <v>431437</v>
      </c>
      <c r="AD120" s="14">
        <v>40.341176470588231</v>
      </c>
      <c r="AF120" s="14">
        <v>0</v>
      </c>
      <c r="AH120" s="14">
        <v>40.341176470588231</v>
      </c>
      <c r="AI120" s="13">
        <v>-40.341176470588231</v>
      </c>
      <c r="AK120" s="9">
        <v>0</v>
      </c>
    </row>
    <row r="121" spans="1:37">
      <c r="A121" s="9">
        <v>10</v>
      </c>
      <c r="B121" s="9">
        <v>2024</v>
      </c>
      <c r="C121" s="9" t="s">
        <v>46</v>
      </c>
      <c r="D121" s="9" t="s">
        <v>47</v>
      </c>
      <c r="E121" s="9" t="s">
        <v>47</v>
      </c>
      <c r="F121" s="10">
        <v>45353</v>
      </c>
      <c r="G121" s="9" t="s">
        <v>153</v>
      </c>
      <c r="H121" s="9" t="s">
        <v>54</v>
      </c>
      <c r="I121" s="9">
        <v>1</v>
      </c>
      <c r="J121" s="11">
        <v>12</v>
      </c>
      <c r="K121" s="9">
        <v>480</v>
      </c>
      <c r="L121" s="12">
        <v>0.33</v>
      </c>
      <c r="M121" s="27">
        <v>158.4</v>
      </c>
      <c r="N121" s="13" t="s">
        <v>49</v>
      </c>
      <c r="Q121" s="9">
        <f>IF(Auction_Sales[[#This Row],[Payment Date]]=0,"",-1+WEEKNUM(Auction_Sales[[#This Row],[Payment Date]]))</f>
        <v>9</v>
      </c>
      <c r="R121" s="9">
        <v>480</v>
      </c>
      <c r="S121" s="1" t="s">
        <v>153</v>
      </c>
      <c r="T121" s="9" t="s">
        <v>54</v>
      </c>
      <c r="W121" s="13">
        <v>0</v>
      </c>
      <c r="X121" s="14">
        <v>0</v>
      </c>
      <c r="Y121" s="13">
        <v>0</v>
      </c>
      <c r="Z121" s="10">
        <v>45357</v>
      </c>
      <c r="AA121" s="9">
        <v>-480</v>
      </c>
      <c r="AC121" s="9">
        <v>431437</v>
      </c>
      <c r="AD121" s="14">
        <v>40.341176470588231</v>
      </c>
      <c r="AF121" s="14">
        <v>0</v>
      </c>
      <c r="AH121" s="14">
        <v>40.341176470588231</v>
      </c>
      <c r="AI121" s="13">
        <v>-40.341176470588231</v>
      </c>
      <c r="AK121" s="9">
        <v>0</v>
      </c>
    </row>
    <row r="122" spans="1:37">
      <c r="A122" s="9">
        <v>10</v>
      </c>
      <c r="B122" s="9">
        <v>2024</v>
      </c>
      <c r="C122" s="9" t="s">
        <v>46</v>
      </c>
      <c r="D122" s="9" t="s">
        <v>47</v>
      </c>
      <c r="E122" s="9" t="s">
        <v>47</v>
      </c>
      <c r="F122" s="10">
        <v>45353</v>
      </c>
      <c r="G122" s="9" t="s">
        <v>153</v>
      </c>
      <c r="H122" s="9" t="s">
        <v>56</v>
      </c>
      <c r="I122" s="9">
        <v>1</v>
      </c>
      <c r="J122" s="11">
        <v>12</v>
      </c>
      <c r="K122" s="9">
        <v>400</v>
      </c>
      <c r="L122" s="12">
        <v>0.38</v>
      </c>
      <c r="M122" s="27">
        <v>152</v>
      </c>
      <c r="N122" s="13" t="s">
        <v>49</v>
      </c>
      <c r="Q122" s="9">
        <f>IF(Auction_Sales[[#This Row],[Payment Date]]=0,"",-1+WEEKNUM(Auction_Sales[[#This Row],[Payment Date]]))</f>
        <v>9</v>
      </c>
      <c r="R122" s="9">
        <v>0</v>
      </c>
      <c r="S122" s="1" t="s">
        <v>153</v>
      </c>
      <c r="T122" s="9" t="s">
        <v>56</v>
      </c>
      <c r="U122" s="9">
        <v>400</v>
      </c>
      <c r="V122" s="13">
        <v>0.61199999999999999</v>
      </c>
      <c r="W122" s="13">
        <v>244.79999999999998</v>
      </c>
      <c r="X122" s="14">
        <v>-19.265030674846624</v>
      </c>
      <c r="Y122" s="13">
        <v>225.53496932515336</v>
      </c>
      <c r="Z122" s="10">
        <v>45357</v>
      </c>
      <c r="AA122" s="9">
        <v>0</v>
      </c>
      <c r="AC122" s="9">
        <v>431437</v>
      </c>
      <c r="AD122" s="14">
        <v>40.341176470588231</v>
      </c>
      <c r="AF122" s="14">
        <v>8</v>
      </c>
      <c r="AH122" s="14">
        <v>48.341176470588231</v>
      </c>
      <c r="AI122" s="13">
        <v>177.19379285456512</v>
      </c>
      <c r="AK122" s="9">
        <v>400</v>
      </c>
    </row>
    <row r="123" spans="1:37">
      <c r="A123" s="9">
        <v>10</v>
      </c>
      <c r="B123" s="9">
        <v>2024</v>
      </c>
      <c r="C123" s="9" t="s">
        <v>46</v>
      </c>
      <c r="D123" s="9" t="s">
        <v>47</v>
      </c>
      <c r="E123" s="9" t="s">
        <v>47</v>
      </c>
      <c r="F123" s="10">
        <v>45353</v>
      </c>
      <c r="G123" s="9" t="s">
        <v>153</v>
      </c>
      <c r="H123" s="9" t="s">
        <v>57</v>
      </c>
      <c r="I123" s="9">
        <v>1</v>
      </c>
      <c r="J123" s="11">
        <v>12</v>
      </c>
      <c r="K123" s="9">
        <v>280</v>
      </c>
      <c r="L123" s="12">
        <v>0.47</v>
      </c>
      <c r="M123" s="27">
        <v>131.6</v>
      </c>
      <c r="N123" s="13" t="s">
        <v>49</v>
      </c>
      <c r="Q123" s="9">
        <f>IF(Auction_Sales[[#This Row],[Payment Date]]=0,"",-1+WEEKNUM(Auction_Sales[[#This Row],[Payment Date]]))</f>
        <v>9</v>
      </c>
      <c r="R123" s="9">
        <v>0</v>
      </c>
      <c r="S123" s="1" t="s">
        <v>153</v>
      </c>
      <c r="T123" s="9" t="s">
        <v>57</v>
      </c>
      <c r="U123" s="9">
        <v>280</v>
      </c>
      <c r="V123" s="13">
        <v>0.68285714285714283</v>
      </c>
      <c r="W123" s="13">
        <v>191.2</v>
      </c>
      <c r="X123" s="14">
        <v>-13.485521472392637</v>
      </c>
      <c r="Y123" s="13">
        <v>177.71447852760735</v>
      </c>
      <c r="Z123" s="10">
        <v>45357</v>
      </c>
      <c r="AA123" s="9">
        <v>0</v>
      </c>
      <c r="AC123" s="9">
        <v>431437</v>
      </c>
      <c r="AD123" s="14">
        <v>40.341176470588231</v>
      </c>
      <c r="AF123" s="14">
        <v>5.6000000000000005</v>
      </c>
      <c r="AH123" s="14">
        <v>45.941176470588232</v>
      </c>
      <c r="AI123" s="13">
        <v>131.77330205701912</v>
      </c>
      <c r="AK123" s="9">
        <v>280</v>
      </c>
    </row>
    <row r="124" spans="1:37">
      <c r="A124" s="9">
        <v>10</v>
      </c>
      <c r="B124" s="9">
        <v>2024</v>
      </c>
      <c r="C124" s="9" t="s">
        <v>46</v>
      </c>
      <c r="D124" s="9" t="s">
        <v>47</v>
      </c>
      <c r="E124" s="9" t="s">
        <v>47</v>
      </c>
      <c r="F124" s="10">
        <v>45353</v>
      </c>
      <c r="G124" s="9" t="s">
        <v>154</v>
      </c>
      <c r="H124" s="9" t="s">
        <v>48</v>
      </c>
      <c r="I124" s="9">
        <v>1</v>
      </c>
      <c r="J124" s="11">
        <v>12</v>
      </c>
      <c r="K124" s="9">
        <v>440</v>
      </c>
      <c r="L124" s="12">
        <v>0.47</v>
      </c>
      <c r="M124" s="27">
        <v>206.8</v>
      </c>
      <c r="N124" s="13" t="s">
        <v>49</v>
      </c>
      <c r="Q124" s="9">
        <f>IF(Auction_Sales[[#This Row],[Payment Date]]=0,"",-1+WEEKNUM(Auction_Sales[[#This Row],[Payment Date]]))</f>
        <v>9</v>
      </c>
      <c r="R124" s="9">
        <v>0</v>
      </c>
      <c r="S124" s="1" t="s">
        <v>154</v>
      </c>
      <c r="T124" s="9" t="s">
        <v>48</v>
      </c>
      <c r="U124" s="9">
        <v>440</v>
      </c>
      <c r="V124" s="13">
        <v>0.48</v>
      </c>
      <c r="W124" s="13">
        <v>211.2</v>
      </c>
      <c r="X124" s="14">
        <v>-21.191533742331288</v>
      </c>
      <c r="Y124" s="13">
        <v>190.00846625766872</v>
      </c>
      <c r="Z124" s="10">
        <v>45357</v>
      </c>
      <c r="AA124" s="9">
        <v>0</v>
      </c>
      <c r="AC124" s="9">
        <v>431437</v>
      </c>
      <c r="AD124" s="14">
        <v>40.341176470588231</v>
      </c>
      <c r="AF124" s="14">
        <v>8.8000000000000007</v>
      </c>
      <c r="AH124" s="14">
        <v>49.141176470588235</v>
      </c>
      <c r="AI124" s="13">
        <v>140.86728978708049</v>
      </c>
      <c r="AK124" s="9">
        <v>440</v>
      </c>
    </row>
    <row r="125" spans="1:37">
      <c r="A125" s="9">
        <v>10</v>
      </c>
      <c r="B125" s="9">
        <v>2024</v>
      </c>
      <c r="C125" s="9" t="s">
        <v>46</v>
      </c>
      <c r="D125" s="9" t="s">
        <v>47</v>
      </c>
      <c r="E125" s="9" t="s">
        <v>47</v>
      </c>
      <c r="F125" s="10">
        <v>45353</v>
      </c>
      <c r="G125" s="9" t="s">
        <v>154</v>
      </c>
      <c r="H125" s="9" t="s">
        <v>52</v>
      </c>
      <c r="I125" s="9">
        <v>1</v>
      </c>
      <c r="J125" s="11">
        <v>12</v>
      </c>
      <c r="K125" s="9">
        <v>400</v>
      </c>
      <c r="L125" s="12">
        <v>0.52</v>
      </c>
      <c r="M125" s="27">
        <v>208</v>
      </c>
      <c r="N125" s="13" t="s">
        <v>49</v>
      </c>
      <c r="Q125" s="9">
        <f>IF(Auction_Sales[[#This Row],[Payment Date]]=0,"",-1+WEEKNUM(Auction_Sales[[#This Row],[Payment Date]]))</f>
        <v>9</v>
      </c>
      <c r="R125" s="9">
        <v>-360</v>
      </c>
      <c r="S125" s="1" t="s">
        <v>154</v>
      </c>
      <c r="T125" s="9" t="s">
        <v>52</v>
      </c>
      <c r="U125" s="9">
        <v>760</v>
      </c>
      <c r="V125" s="13">
        <v>0.60421052631578942</v>
      </c>
      <c r="W125" s="13">
        <v>459.19999999999993</v>
      </c>
      <c r="X125" s="14">
        <v>-36.603558282208589</v>
      </c>
      <c r="Y125" s="13">
        <v>422.59644171779132</v>
      </c>
      <c r="Z125" s="10">
        <v>45357</v>
      </c>
      <c r="AA125" s="9">
        <v>360</v>
      </c>
      <c r="AC125" s="9">
        <v>431437</v>
      </c>
      <c r="AD125" s="14">
        <v>40.341176470588231</v>
      </c>
      <c r="AF125" s="14">
        <v>15.200000000000001</v>
      </c>
      <c r="AH125" s="14">
        <v>55.541176470588233</v>
      </c>
      <c r="AI125" s="13">
        <v>367.05526524720307</v>
      </c>
      <c r="AK125" s="9">
        <v>760</v>
      </c>
    </row>
    <row r="126" spans="1:37">
      <c r="A126" s="9">
        <v>10</v>
      </c>
      <c r="B126" s="9">
        <v>2024</v>
      </c>
      <c r="C126" s="9" t="s">
        <v>46</v>
      </c>
      <c r="D126" s="9" t="s">
        <v>47</v>
      </c>
      <c r="E126" s="9" t="s">
        <v>47</v>
      </c>
      <c r="F126" s="10">
        <v>45353</v>
      </c>
      <c r="G126" s="9" t="s">
        <v>154</v>
      </c>
      <c r="H126" s="9" t="s">
        <v>56</v>
      </c>
      <c r="I126" s="9">
        <v>1</v>
      </c>
      <c r="J126" s="11">
        <v>12</v>
      </c>
      <c r="K126" s="9">
        <v>200</v>
      </c>
      <c r="L126" s="12">
        <v>0.75</v>
      </c>
      <c r="M126" s="27">
        <v>150</v>
      </c>
      <c r="N126" s="13" t="s">
        <v>49</v>
      </c>
      <c r="Q126" s="9">
        <f>IF(Auction_Sales[[#This Row],[Payment Date]]=0,"",-1+WEEKNUM(Auction_Sales[[#This Row],[Payment Date]]))</f>
        <v>9</v>
      </c>
      <c r="R126" s="9">
        <v>0</v>
      </c>
      <c r="S126" s="1" t="s">
        <v>154</v>
      </c>
      <c r="T126" s="9" t="s">
        <v>56</v>
      </c>
      <c r="U126" s="9">
        <v>200</v>
      </c>
      <c r="V126" s="13">
        <v>0.46</v>
      </c>
      <c r="W126" s="13">
        <v>92</v>
      </c>
      <c r="X126" s="14">
        <v>-9.6325153374233121</v>
      </c>
      <c r="Y126" s="13">
        <v>82.367484662576686</v>
      </c>
      <c r="Z126" s="10">
        <v>45357</v>
      </c>
      <c r="AA126" s="9">
        <v>0</v>
      </c>
      <c r="AC126" s="9">
        <v>431437</v>
      </c>
      <c r="AD126" s="14">
        <v>40.341176470588231</v>
      </c>
      <c r="AF126" s="14">
        <v>4</v>
      </c>
      <c r="AH126" s="14">
        <v>44.341176470588231</v>
      </c>
      <c r="AI126" s="13">
        <v>38.026308191988456</v>
      </c>
      <c r="AK126" s="9">
        <v>200</v>
      </c>
    </row>
    <row r="127" spans="1:37">
      <c r="A127" s="9">
        <v>10</v>
      </c>
      <c r="B127" s="9">
        <v>2024</v>
      </c>
      <c r="C127" s="9" t="s">
        <v>46</v>
      </c>
      <c r="D127" s="9" t="s">
        <v>47</v>
      </c>
      <c r="E127" s="9" t="s">
        <v>47</v>
      </c>
      <c r="F127" s="10">
        <v>45353</v>
      </c>
      <c r="G127" s="9" t="s">
        <v>154</v>
      </c>
      <c r="H127" s="9" t="s">
        <v>57</v>
      </c>
      <c r="I127" s="9">
        <v>2</v>
      </c>
      <c r="J127" s="11">
        <v>24</v>
      </c>
      <c r="K127" s="9">
        <v>400</v>
      </c>
      <c r="L127" s="12">
        <v>0.94</v>
      </c>
      <c r="M127" s="27">
        <v>376</v>
      </c>
      <c r="N127" s="13" t="s">
        <v>49</v>
      </c>
      <c r="Q127" s="9">
        <f>IF(Auction_Sales[[#This Row],[Payment Date]]=0,"",-1+WEEKNUM(Auction_Sales[[#This Row],[Payment Date]]))</f>
        <v>9</v>
      </c>
      <c r="R127" s="9">
        <v>0</v>
      </c>
      <c r="S127" s="1" t="s">
        <v>154</v>
      </c>
      <c r="T127" s="9" t="s">
        <v>57</v>
      </c>
      <c r="U127" s="9">
        <v>400</v>
      </c>
      <c r="V127" s="13">
        <v>0.60199999999999998</v>
      </c>
      <c r="W127" s="13">
        <v>240.79999999999998</v>
      </c>
      <c r="X127" s="14">
        <v>-19.265030674846624</v>
      </c>
      <c r="Y127" s="13">
        <v>221.53496932515336</v>
      </c>
      <c r="Z127" s="10">
        <v>45357</v>
      </c>
      <c r="AA127" s="9">
        <v>0</v>
      </c>
      <c r="AC127" s="9">
        <v>431437</v>
      </c>
      <c r="AD127" s="14">
        <v>80.682352941176461</v>
      </c>
      <c r="AF127" s="14">
        <v>8</v>
      </c>
      <c r="AH127" s="14">
        <v>88.682352941176461</v>
      </c>
      <c r="AI127" s="13">
        <v>132.85261638397691</v>
      </c>
      <c r="AK127" s="9">
        <v>400</v>
      </c>
    </row>
    <row r="128" spans="1:37">
      <c r="A128" s="9">
        <v>10</v>
      </c>
      <c r="B128" s="9">
        <v>2024</v>
      </c>
      <c r="C128" s="9" t="s">
        <v>46</v>
      </c>
      <c r="D128" s="9" t="s">
        <v>47</v>
      </c>
      <c r="E128" s="9" t="s">
        <v>47</v>
      </c>
      <c r="F128" s="10">
        <v>45353</v>
      </c>
      <c r="G128" s="9" t="s">
        <v>155</v>
      </c>
      <c r="H128" s="9" t="s">
        <v>52</v>
      </c>
      <c r="I128" s="9">
        <v>1</v>
      </c>
      <c r="J128" s="11">
        <v>12</v>
      </c>
      <c r="K128" s="9">
        <v>360</v>
      </c>
      <c r="L128" s="12">
        <v>0.52</v>
      </c>
      <c r="M128" s="27">
        <v>187.2</v>
      </c>
      <c r="N128" s="13" t="s">
        <v>49</v>
      </c>
      <c r="Q128" s="9">
        <f>IF(Auction_Sales[[#This Row],[Payment Date]]=0,"",-1+WEEKNUM(Auction_Sales[[#This Row],[Payment Date]]))</f>
        <v>9</v>
      </c>
      <c r="R128" s="9">
        <v>360</v>
      </c>
      <c r="S128" s="1" t="s">
        <v>155</v>
      </c>
      <c r="T128" s="9" t="s">
        <v>52</v>
      </c>
      <c r="W128" s="13">
        <v>0</v>
      </c>
      <c r="X128" s="14">
        <v>0</v>
      </c>
      <c r="Y128" s="13">
        <v>0</v>
      </c>
      <c r="Z128" s="10">
        <v>45357</v>
      </c>
      <c r="AA128" s="9">
        <v>-360</v>
      </c>
      <c r="AC128" s="9">
        <v>431437</v>
      </c>
      <c r="AD128" s="14">
        <v>40.341176470588231</v>
      </c>
      <c r="AF128" s="14">
        <v>0</v>
      </c>
      <c r="AH128" s="14">
        <v>40.341176470588231</v>
      </c>
      <c r="AI128" s="13">
        <v>-40.341176470588231</v>
      </c>
      <c r="AK128" s="9">
        <v>0</v>
      </c>
    </row>
    <row r="129" spans="1:37">
      <c r="A129" s="9">
        <v>10</v>
      </c>
      <c r="B129" s="9">
        <v>2024</v>
      </c>
      <c r="C129" s="9" t="s">
        <v>46</v>
      </c>
      <c r="D129" s="9" t="s">
        <v>47</v>
      </c>
      <c r="E129" s="9" t="s">
        <v>47</v>
      </c>
      <c r="F129" s="10">
        <v>45353</v>
      </c>
      <c r="G129" s="9" t="s">
        <v>155</v>
      </c>
      <c r="H129" s="9" t="s">
        <v>52</v>
      </c>
      <c r="I129" s="9">
        <v>1</v>
      </c>
      <c r="J129" s="11">
        <v>12</v>
      </c>
      <c r="K129" s="9">
        <v>400</v>
      </c>
      <c r="L129" s="12">
        <v>0.52</v>
      </c>
      <c r="M129" s="27">
        <v>208</v>
      </c>
      <c r="N129" s="13" t="s">
        <v>49</v>
      </c>
      <c r="Q129" s="9">
        <f>IF(Auction_Sales[[#This Row],[Payment Date]]=0,"",-1+WEEKNUM(Auction_Sales[[#This Row],[Payment Date]]))</f>
        <v>9</v>
      </c>
      <c r="R129" s="9">
        <v>-320</v>
      </c>
      <c r="S129" s="1" t="s">
        <v>155</v>
      </c>
      <c r="T129" s="9" t="s">
        <v>52</v>
      </c>
      <c r="U129" s="9">
        <v>720</v>
      </c>
      <c r="V129" s="13">
        <v>0.41666666666666669</v>
      </c>
      <c r="W129" s="13">
        <v>300</v>
      </c>
      <c r="X129" s="14">
        <v>-34.677055214723929</v>
      </c>
      <c r="Y129" s="13">
        <v>265.32294478527609</v>
      </c>
      <c r="Z129" s="10">
        <v>45357</v>
      </c>
      <c r="AA129" s="9">
        <v>320</v>
      </c>
      <c r="AC129" s="9">
        <v>431437</v>
      </c>
      <c r="AD129" s="14">
        <v>40.341176470588231</v>
      </c>
      <c r="AF129" s="14">
        <v>14.4</v>
      </c>
      <c r="AH129" s="14">
        <v>54.741176470588229</v>
      </c>
      <c r="AI129" s="13">
        <v>210.58176831468785</v>
      </c>
      <c r="AK129" s="9">
        <v>720</v>
      </c>
    </row>
    <row r="130" spans="1:37">
      <c r="A130" s="9">
        <v>10</v>
      </c>
      <c r="B130" s="9">
        <v>2024</v>
      </c>
      <c r="C130" s="9" t="s">
        <v>46</v>
      </c>
      <c r="D130" s="9" t="s">
        <v>47</v>
      </c>
      <c r="E130" s="9" t="s">
        <v>47</v>
      </c>
      <c r="F130" s="10">
        <v>45353</v>
      </c>
      <c r="G130" s="9" t="s">
        <v>155</v>
      </c>
      <c r="H130" s="9" t="s">
        <v>54</v>
      </c>
      <c r="I130" s="9">
        <v>1</v>
      </c>
      <c r="J130" s="11">
        <v>12</v>
      </c>
      <c r="K130" s="9">
        <v>240</v>
      </c>
      <c r="L130" s="12">
        <v>0.56999999999999995</v>
      </c>
      <c r="M130" s="27">
        <v>136.80000000000001</v>
      </c>
      <c r="N130" s="13" t="s">
        <v>49</v>
      </c>
      <c r="Q130" s="9">
        <f>IF(Auction_Sales[[#This Row],[Payment Date]]=0,"",-1+WEEKNUM(Auction_Sales[[#This Row],[Payment Date]]))</f>
        <v>9</v>
      </c>
      <c r="R130" s="9">
        <v>0</v>
      </c>
      <c r="S130" s="1" t="s">
        <v>155</v>
      </c>
      <c r="T130" s="9" t="s">
        <v>54</v>
      </c>
      <c r="U130" s="9">
        <v>240</v>
      </c>
      <c r="V130" s="13">
        <v>0.99</v>
      </c>
      <c r="W130" s="13">
        <v>237.6</v>
      </c>
      <c r="X130" s="14">
        <v>-11.559018404907974</v>
      </c>
      <c r="Y130" s="13">
        <v>226.04098159509203</v>
      </c>
      <c r="Z130" s="10">
        <v>45357</v>
      </c>
      <c r="AA130" s="9">
        <v>0</v>
      </c>
      <c r="AC130" s="9">
        <v>431437</v>
      </c>
      <c r="AD130" s="14">
        <v>40.341176470588231</v>
      </c>
      <c r="AF130" s="14">
        <v>4.8</v>
      </c>
      <c r="AH130" s="14">
        <v>45.141176470588228</v>
      </c>
      <c r="AI130" s="13">
        <v>180.89980512450381</v>
      </c>
      <c r="AK130" s="9">
        <v>240</v>
      </c>
    </row>
    <row r="131" spans="1:37">
      <c r="A131" s="9">
        <v>10</v>
      </c>
      <c r="B131" s="9">
        <v>2024</v>
      </c>
      <c r="C131" s="9" t="s">
        <v>46</v>
      </c>
      <c r="D131" s="9" t="s">
        <v>47</v>
      </c>
      <c r="E131" s="9" t="s">
        <v>47</v>
      </c>
      <c r="F131" s="10">
        <v>45353</v>
      </c>
      <c r="G131" s="9" t="s">
        <v>156</v>
      </c>
      <c r="H131" s="9" t="s">
        <v>48</v>
      </c>
      <c r="I131" s="9">
        <v>1</v>
      </c>
      <c r="J131" s="11">
        <v>12</v>
      </c>
      <c r="K131" s="9">
        <v>440</v>
      </c>
      <c r="L131" s="12">
        <v>0.52</v>
      </c>
      <c r="M131" s="27">
        <v>228.8</v>
      </c>
      <c r="N131" s="13" t="s">
        <v>49</v>
      </c>
      <c r="Q131" s="9">
        <f>IF(Auction_Sales[[#This Row],[Payment Date]]=0,"",-1+WEEKNUM(Auction_Sales[[#This Row],[Payment Date]]))</f>
        <v>9</v>
      </c>
      <c r="R131" s="9">
        <v>0</v>
      </c>
      <c r="S131" s="1" t="s">
        <v>156</v>
      </c>
      <c r="T131" s="9" t="s">
        <v>48</v>
      </c>
      <c r="U131" s="9">
        <v>440</v>
      </c>
      <c r="V131" s="13">
        <v>0.67999999999999994</v>
      </c>
      <c r="W131" s="13">
        <v>299.2</v>
      </c>
      <c r="X131" s="14">
        <v>-21.191533742331288</v>
      </c>
      <c r="Y131" s="13">
        <v>278.00846625766872</v>
      </c>
      <c r="Z131" s="10">
        <v>45357</v>
      </c>
      <c r="AA131" s="9">
        <v>0</v>
      </c>
      <c r="AC131" s="9">
        <v>431437</v>
      </c>
      <c r="AD131" s="14">
        <v>40.341176470588231</v>
      </c>
      <c r="AF131" s="14">
        <v>8.8000000000000007</v>
      </c>
      <c r="AH131" s="14">
        <v>49.141176470588235</v>
      </c>
      <c r="AI131" s="13">
        <v>228.86728978708049</v>
      </c>
      <c r="AK131" s="9">
        <v>440</v>
      </c>
    </row>
    <row r="132" spans="1:37">
      <c r="A132" s="9">
        <v>10</v>
      </c>
      <c r="B132" s="9">
        <v>2024</v>
      </c>
      <c r="C132" s="9" t="s">
        <v>46</v>
      </c>
      <c r="D132" s="9" t="s">
        <v>47</v>
      </c>
      <c r="E132" s="9" t="s">
        <v>47</v>
      </c>
      <c r="F132" s="10">
        <v>45353</v>
      </c>
      <c r="G132" s="9" t="s">
        <v>156</v>
      </c>
      <c r="H132" s="9" t="s">
        <v>52</v>
      </c>
      <c r="I132" s="9">
        <v>1</v>
      </c>
      <c r="J132" s="11">
        <v>12</v>
      </c>
      <c r="K132" s="9">
        <v>360</v>
      </c>
      <c r="L132" s="12">
        <v>0.61</v>
      </c>
      <c r="M132" s="27">
        <v>219.6</v>
      </c>
      <c r="N132" s="13" t="s">
        <v>49</v>
      </c>
      <c r="Q132" s="9">
        <f>IF(Auction_Sales[[#This Row],[Payment Date]]=0,"",-1+WEEKNUM(Auction_Sales[[#This Row],[Payment Date]]))</f>
        <v>9</v>
      </c>
      <c r="R132" s="9">
        <v>0</v>
      </c>
      <c r="S132" s="1" t="s">
        <v>156</v>
      </c>
      <c r="T132" s="9" t="s">
        <v>52</v>
      </c>
      <c r="U132" s="9">
        <v>360</v>
      </c>
      <c r="V132" s="13">
        <v>0.91111111111111109</v>
      </c>
      <c r="W132" s="13">
        <v>328</v>
      </c>
      <c r="X132" s="14">
        <v>-17.338527607361964</v>
      </c>
      <c r="Y132" s="13">
        <v>310.66147239263802</v>
      </c>
      <c r="Z132" s="10">
        <v>45357</v>
      </c>
      <c r="AA132" s="9">
        <v>0</v>
      </c>
      <c r="AC132" s="9">
        <v>431437</v>
      </c>
      <c r="AD132" s="14">
        <v>40.341176470588231</v>
      </c>
      <c r="AF132" s="14">
        <v>7.2</v>
      </c>
      <c r="AH132" s="14">
        <v>47.541176470588233</v>
      </c>
      <c r="AI132" s="13">
        <v>263.12029592204976</v>
      </c>
      <c r="AK132" s="9">
        <v>360</v>
      </c>
    </row>
    <row r="133" spans="1:37">
      <c r="A133" s="9">
        <v>10</v>
      </c>
      <c r="B133" s="9">
        <v>2024</v>
      </c>
      <c r="C133" s="9" t="s">
        <v>46</v>
      </c>
      <c r="D133" s="9" t="s">
        <v>47</v>
      </c>
      <c r="E133" s="9" t="s">
        <v>47</v>
      </c>
      <c r="F133" s="10">
        <v>45353</v>
      </c>
      <c r="G133" s="9" t="s">
        <v>153</v>
      </c>
      <c r="H133" s="9" t="s">
        <v>52</v>
      </c>
      <c r="I133" s="9">
        <v>1</v>
      </c>
      <c r="J133" s="11">
        <v>3.6923076923076925</v>
      </c>
      <c r="K133" s="9">
        <v>160</v>
      </c>
      <c r="L133" s="12">
        <v>0.28000000000000003</v>
      </c>
      <c r="M133" s="27">
        <v>44.8</v>
      </c>
      <c r="N133" s="13" t="s">
        <v>49</v>
      </c>
      <c r="Q133" s="9">
        <f>IF(Auction_Sales[[#This Row],[Payment Date]]=0,"",-1+WEEKNUM(Auction_Sales[[#This Row],[Payment Date]]))</f>
        <v>9</v>
      </c>
      <c r="R133" s="9">
        <v>-480</v>
      </c>
      <c r="S133" s="1" t="s">
        <v>153</v>
      </c>
      <c r="T133" s="9" t="s">
        <v>52</v>
      </c>
      <c r="U133" s="9">
        <v>640</v>
      </c>
      <c r="V133" s="13">
        <v>0.5</v>
      </c>
      <c r="W133" s="13">
        <v>320</v>
      </c>
      <c r="X133" s="14">
        <v>-30.824049079754598</v>
      </c>
      <c r="Y133" s="13">
        <v>289.17595092024538</v>
      </c>
      <c r="Z133" s="10">
        <v>45357</v>
      </c>
      <c r="AA133" s="9">
        <v>480</v>
      </c>
      <c r="AC133" s="9">
        <v>431437</v>
      </c>
      <c r="AD133" s="14">
        <v>12.412669683257919</v>
      </c>
      <c r="AF133" s="14">
        <v>12.8</v>
      </c>
      <c r="AH133" s="14">
        <v>25.212669683257921</v>
      </c>
      <c r="AI133" s="13">
        <v>263.96328123698748</v>
      </c>
      <c r="AK133" s="9">
        <v>640</v>
      </c>
    </row>
    <row r="134" spans="1:37">
      <c r="A134" s="9">
        <v>10</v>
      </c>
      <c r="B134" s="9">
        <v>2024</v>
      </c>
      <c r="C134" s="9" t="s">
        <v>46</v>
      </c>
      <c r="D134" s="9" t="s">
        <v>47</v>
      </c>
      <c r="E134" s="9" t="s">
        <v>47</v>
      </c>
      <c r="F134" s="10">
        <v>45353</v>
      </c>
      <c r="G134" s="9" t="s">
        <v>153</v>
      </c>
      <c r="H134" s="9" t="s">
        <v>48</v>
      </c>
      <c r="J134" s="11">
        <v>4.6153846153846159</v>
      </c>
      <c r="K134" s="9">
        <v>200</v>
      </c>
      <c r="L134" s="12">
        <v>0.24</v>
      </c>
      <c r="M134" s="27">
        <v>48</v>
      </c>
      <c r="N134" s="13" t="s">
        <v>49</v>
      </c>
      <c r="Q134" s="9">
        <f>IF(Auction_Sales[[#This Row],[Payment Date]]=0,"",-1+WEEKNUM(Auction_Sales[[#This Row],[Payment Date]]))</f>
        <v>9</v>
      </c>
      <c r="R134" s="9">
        <v>200</v>
      </c>
      <c r="S134" s="1" t="s">
        <v>153</v>
      </c>
      <c r="T134" s="9" t="s">
        <v>48</v>
      </c>
      <c r="W134" s="13">
        <v>0</v>
      </c>
      <c r="X134" s="14">
        <v>0</v>
      </c>
      <c r="Y134" s="13">
        <v>0</v>
      </c>
      <c r="Z134" s="10">
        <v>45357</v>
      </c>
      <c r="AA134" s="9">
        <v>-200</v>
      </c>
      <c r="AC134" s="9">
        <v>431437</v>
      </c>
      <c r="AD134" s="14">
        <v>15.5158371040724</v>
      </c>
      <c r="AF134" s="14">
        <v>0</v>
      </c>
      <c r="AH134" s="14">
        <v>15.5158371040724</v>
      </c>
      <c r="AI134" s="13">
        <v>-15.5158371040724</v>
      </c>
      <c r="AK134" s="9">
        <v>0</v>
      </c>
    </row>
    <row r="135" spans="1:37">
      <c r="A135" s="9">
        <v>10</v>
      </c>
      <c r="B135" s="9">
        <v>2024</v>
      </c>
      <c r="C135" s="9" t="s">
        <v>46</v>
      </c>
      <c r="D135" s="9" t="s">
        <v>47</v>
      </c>
      <c r="E135" s="9" t="s">
        <v>47</v>
      </c>
      <c r="F135" s="10">
        <v>45353</v>
      </c>
      <c r="G135" s="9" t="s">
        <v>153</v>
      </c>
      <c r="H135" s="9" t="s">
        <v>54</v>
      </c>
      <c r="J135" s="11">
        <v>3.6923076923076925</v>
      </c>
      <c r="K135" s="9">
        <v>160</v>
      </c>
      <c r="L135" s="12">
        <v>0.33</v>
      </c>
      <c r="M135" s="27">
        <v>52.8</v>
      </c>
      <c r="N135" s="13" t="s">
        <v>49</v>
      </c>
      <c r="Q135" s="9">
        <f>IF(Auction_Sales[[#This Row],[Payment Date]]=0,"",-1+WEEKNUM(Auction_Sales[[#This Row],[Payment Date]]))</f>
        <v>9</v>
      </c>
      <c r="R135" s="9">
        <v>-480</v>
      </c>
      <c r="S135" s="1" t="s">
        <v>153</v>
      </c>
      <c r="T135" s="9" t="s">
        <v>54</v>
      </c>
      <c r="U135" s="9">
        <v>640</v>
      </c>
      <c r="V135" s="13">
        <v>0.56125000000000003</v>
      </c>
      <c r="W135" s="13">
        <v>359.20000000000005</v>
      </c>
      <c r="X135" s="14">
        <v>-30.824049079754598</v>
      </c>
      <c r="Y135" s="13">
        <v>328.37595092024543</v>
      </c>
      <c r="Z135" s="10">
        <v>45357</v>
      </c>
      <c r="AA135" s="9">
        <v>480</v>
      </c>
      <c r="AC135" s="9">
        <v>431437</v>
      </c>
      <c r="AD135" s="14">
        <v>12.412669683257919</v>
      </c>
      <c r="AF135" s="14">
        <v>12.8</v>
      </c>
      <c r="AH135" s="14">
        <v>25.212669683257921</v>
      </c>
      <c r="AI135" s="13">
        <v>303.16328123698753</v>
      </c>
      <c r="AK135" s="9">
        <v>640</v>
      </c>
    </row>
    <row r="136" spans="1:37">
      <c r="A136" s="9">
        <v>10</v>
      </c>
      <c r="B136" s="9">
        <v>2024</v>
      </c>
      <c r="C136" s="9" t="s">
        <v>46</v>
      </c>
      <c r="D136" s="9" t="s">
        <v>47</v>
      </c>
      <c r="E136" s="9" t="s">
        <v>47</v>
      </c>
      <c r="F136" s="10">
        <v>45353</v>
      </c>
      <c r="G136" s="9" t="s">
        <v>154</v>
      </c>
      <c r="H136" s="9" t="s">
        <v>52</v>
      </c>
      <c r="I136" s="9">
        <v>1</v>
      </c>
      <c r="J136" s="11">
        <v>10.8</v>
      </c>
      <c r="K136" s="9">
        <v>360</v>
      </c>
      <c r="L136" s="12">
        <v>0.52</v>
      </c>
      <c r="M136" s="27">
        <v>187.2</v>
      </c>
      <c r="N136" s="13" t="s">
        <v>49</v>
      </c>
      <c r="Q136" s="9">
        <f>IF(Auction_Sales[[#This Row],[Payment Date]]=0,"",-1+WEEKNUM(Auction_Sales[[#This Row],[Payment Date]]))</f>
        <v>9</v>
      </c>
      <c r="R136" s="9">
        <v>360</v>
      </c>
      <c r="S136" s="1" t="s">
        <v>154</v>
      </c>
      <c r="T136" s="9" t="s">
        <v>52</v>
      </c>
      <c r="W136" s="13">
        <v>0</v>
      </c>
      <c r="X136" s="14">
        <v>0</v>
      </c>
      <c r="Y136" s="13">
        <v>0</v>
      </c>
      <c r="Z136" s="10">
        <v>45357</v>
      </c>
      <c r="AA136" s="9">
        <v>-360</v>
      </c>
      <c r="AC136" s="9">
        <v>431437</v>
      </c>
      <c r="AD136" s="14">
        <v>36.307058823529417</v>
      </c>
      <c r="AF136" s="14">
        <v>0</v>
      </c>
      <c r="AH136" s="14">
        <v>36.307058823529417</v>
      </c>
      <c r="AI136" s="13">
        <v>-36.307058823529417</v>
      </c>
      <c r="AK136" s="9">
        <v>0</v>
      </c>
    </row>
    <row r="137" spans="1:37">
      <c r="A137" s="9">
        <v>10</v>
      </c>
      <c r="B137" s="9">
        <v>2024</v>
      </c>
      <c r="C137" s="9" t="s">
        <v>46</v>
      </c>
      <c r="D137" s="9" t="s">
        <v>47</v>
      </c>
      <c r="E137" s="9" t="s">
        <v>47</v>
      </c>
      <c r="F137" s="10">
        <v>45353</v>
      </c>
      <c r="G137" s="9" t="s">
        <v>154</v>
      </c>
      <c r="H137" s="9" t="s">
        <v>54</v>
      </c>
      <c r="J137" s="11">
        <v>1.2000000000000002</v>
      </c>
      <c r="K137" s="9">
        <v>40</v>
      </c>
      <c r="L137" s="12">
        <v>0.56999999999999995</v>
      </c>
      <c r="M137" s="27">
        <v>22.8</v>
      </c>
      <c r="N137" s="13" t="s">
        <v>49</v>
      </c>
      <c r="Q137" s="9">
        <f>IF(Auction_Sales[[#This Row],[Payment Date]]=0,"",-1+WEEKNUM(Auction_Sales[[#This Row],[Payment Date]]))</f>
        <v>9</v>
      </c>
      <c r="R137" s="9">
        <v>0</v>
      </c>
      <c r="S137" s="1" t="s">
        <v>154</v>
      </c>
      <c r="T137" s="9" t="s">
        <v>54</v>
      </c>
      <c r="U137" s="9">
        <v>40</v>
      </c>
      <c r="V137" s="13">
        <v>0.45</v>
      </c>
      <c r="W137" s="13">
        <v>18</v>
      </c>
      <c r="X137" s="14">
        <v>-1.9265030674846624</v>
      </c>
      <c r="Y137" s="13">
        <v>16.073496932515337</v>
      </c>
      <c r="Z137" s="10">
        <v>45357</v>
      </c>
      <c r="AA137" s="9">
        <v>0</v>
      </c>
      <c r="AC137" s="9">
        <v>431437</v>
      </c>
      <c r="AD137" s="14">
        <v>4.0341176470588236</v>
      </c>
      <c r="AF137" s="14">
        <v>0.8</v>
      </c>
      <c r="AH137" s="14">
        <v>4.8341176470588234</v>
      </c>
      <c r="AI137" s="13">
        <v>11.239379285456513</v>
      </c>
      <c r="AK137" s="9">
        <v>40</v>
      </c>
    </row>
    <row r="138" spans="1:37">
      <c r="A138" s="9">
        <v>10</v>
      </c>
      <c r="B138" s="9">
        <v>2024</v>
      </c>
      <c r="C138" s="9" t="s">
        <v>46</v>
      </c>
      <c r="D138" s="9" t="s">
        <v>47</v>
      </c>
      <c r="E138" s="9" t="s">
        <v>47</v>
      </c>
      <c r="F138" s="10">
        <v>45355</v>
      </c>
      <c r="G138" s="9" t="s">
        <v>153</v>
      </c>
      <c r="H138" s="9" t="s">
        <v>48</v>
      </c>
      <c r="I138" s="9">
        <v>1</v>
      </c>
      <c r="J138" s="11">
        <v>12</v>
      </c>
      <c r="K138" s="9">
        <v>720</v>
      </c>
      <c r="L138" s="12">
        <v>0.24</v>
      </c>
      <c r="M138" s="27">
        <v>172.8</v>
      </c>
      <c r="N138" s="13" t="s">
        <v>49</v>
      </c>
      <c r="Q138" s="9">
        <f>IF(Auction_Sales[[#This Row],[Payment Date]]=0,"",-1+WEEKNUM(Auction_Sales[[#This Row],[Payment Date]]))</f>
        <v>9</v>
      </c>
      <c r="R138" s="9">
        <v>-320</v>
      </c>
      <c r="S138" s="1" t="s">
        <v>153</v>
      </c>
      <c r="T138" s="9" t="s">
        <v>48</v>
      </c>
      <c r="U138" s="9">
        <v>1040</v>
      </c>
      <c r="V138" s="13">
        <v>0.45</v>
      </c>
      <c r="W138" s="13">
        <v>468</v>
      </c>
      <c r="X138" s="14">
        <v>-48.390044444444364</v>
      </c>
      <c r="Y138" s="13">
        <v>419.60995555555564</v>
      </c>
      <c r="Z138" s="10">
        <v>45357</v>
      </c>
      <c r="AA138" s="9">
        <v>320</v>
      </c>
      <c r="AC138" s="9" t="s">
        <v>71</v>
      </c>
      <c r="AD138" s="14">
        <v>43.740833333333327</v>
      </c>
      <c r="AF138" s="14">
        <v>20.8</v>
      </c>
      <c r="AH138" s="14">
        <v>64.540833333333325</v>
      </c>
      <c r="AI138" s="13">
        <v>355.06912222222229</v>
      </c>
      <c r="AK138" s="9">
        <v>1040</v>
      </c>
    </row>
    <row r="139" spans="1:37">
      <c r="A139" s="9">
        <v>10</v>
      </c>
      <c r="B139" s="9">
        <v>2024</v>
      </c>
      <c r="C139" s="9" t="s">
        <v>46</v>
      </c>
      <c r="D139" s="9" t="s">
        <v>47</v>
      </c>
      <c r="E139" s="9" t="s">
        <v>47</v>
      </c>
      <c r="F139" s="10">
        <v>45355</v>
      </c>
      <c r="G139" s="9" t="s">
        <v>153</v>
      </c>
      <c r="H139" s="9" t="s">
        <v>52</v>
      </c>
      <c r="I139" s="9">
        <v>1</v>
      </c>
      <c r="J139" s="11">
        <v>12</v>
      </c>
      <c r="K139" s="9">
        <v>520</v>
      </c>
      <c r="L139" s="12">
        <v>0.28000000000000003</v>
      </c>
      <c r="M139" s="27">
        <v>145.6</v>
      </c>
      <c r="N139" s="13" t="s">
        <v>49</v>
      </c>
      <c r="Q139" s="9">
        <f>IF(Auction_Sales[[#This Row],[Payment Date]]=0,"",-1+WEEKNUM(Auction_Sales[[#This Row],[Payment Date]]))</f>
        <v>9</v>
      </c>
      <c r="R139" s="9">
        <v>-240</v>
      </c>
      <c r="S139" s="1" t="s">
        <v>153</v>
      </c>
      <c r="T139" s="9" t="s">
        <v>52</v>
      </c>
      <c r="U139" s="9">
        <v>760</v>
      </c>
      <c r="V139" s="13">
        <v>0.51052631578947372</v>
      </c>
      <c r="W139" s="13">
        <v>388</v>
      </c>
      <c r="X139" s="14">
        <v>-35.361955555555497</v>
      </c>
      <c r="Y139" s="13">
        <v>352.63804444444452</v>
      </c>
      <c r="Z139" s="10">
        <v>45357</v>
      </c>
      <c r="AA139" s="9">
        <v>240</v>
      </c>
      <c r="AC139" s="9" t="s">
        <v>71</v>
      </c>
      <c r="AD139" s="14">
        <v>43.740833333333327</v>
      </c>
      <c r="AF139" s="14">
        <v>15.200000000000001</v>
      </c>
      <c r="AH139" s="14">
        <v>58.94083333333333</v>
      </c>
      <c r="AI139" s="13">
        <v>293.69721111111119</v>
      </c>
      <c r="AK139" s="9">
        <v>760</v>
      </c>
    </row>
    <row r="140" spans="1:37">
      <c r="A140" s="9">
        <v>10</v>
      </c>
      <c r="B140" s="9">
        <v>2024</v>
      </c>
      <c r="C140" s="9" t="s">
        <v>46</v>
      </c>
      <c r="D140" s="9" t="s">
        <v>47</v>
      </c>
      <c r="E140" s="9" t="s">
        <v>47</v>
      </c>
      <c r="F140" s="10">
        <v>45355</v>
      </c>
      <c r="G140" s="9" t="s">
        <v>153</v>
      </c>
      <c r="H140" s="9" t="s">
        <v>54</v>
      </c>
      <c r="I140" s="9">
        <v>1</v>
      </c>
      <c r="J140" s="11">
        <v>12</v>
      </c>
      <c r="K140" s="9">
        <v>480</v>
      </c>
      <c r="L140" s="12">
        <v>0.33</v>
      </c>
      <c r="M140" s="27">
        <v>158.4</v>
      </c>
      <c r="N140" s="13" t="s">
        <v>49</v>
      </c>
      <c r="Q140" s="9">
        <f>IF(Auction_Sales[[#This Row],[Payment Date]]=0,"",-1+WEEKNUM(Auction_Sales[[#This Row],[Payment Date]]))</f>
        <v>9</v>
      </c>
      <c r="R140" s="9">
        <v>-200</v>
      </c>
      <c r="S140" s="1" t="s">
        <v>153</v>
      </c>
      <c r="T140" s="9" t="s">
        <v>54</v>
      </c>
      <c r="U140" s="9">
        <v>680</v>
      </c>
      <c r="V140" s="13">
        <v>0.65235294117647058</v>
      </c>
      <c r="W140" s="13">
        <v>443.6</v>
      </c>
      <c r="X140" s="14">
        <v>-31.639644444444393</v>
      </c>
      <c r="Y140" s="13">
        <v>411.96035555555562</v>
      </c>
      <c r="Z140" s="10">
        <v>45357</v>
      </c>
      <c r="AA140" s="9">
        <v>200</v>
      </c>
      <c r="AC140" s="9" t="s">
        <v>71</v>
      </c>
      <c r="AD140" s="14">
        <v>43.740833333333327</v>
      </c>
      <c r="AF140" s="14">
        <v>13.6</v>
      </c>
      <c r="AH140" s="14">
        <v>57.340833333333329</v>
      </c>
      <c r="AI140" s="13">
        <v>354.61952222222232</v>
      </c>
      <c r="AK140" s="9">
        <v>680</v>
      </c>
    </row>
    <row r="141" spans="1:37">
      <c r="A141" s="9">
        <v>10</v>
      </c>
      <c r="B141" s="9">
        <v>2024</v>
      </c>
      <c r="C141" s="9" t="s">
        <v>46</v>
      </c>
      <c r="D141" s="9" t="s">
        <v>47</v>
      </c>
      <c r="E141" s="9" t="s">
        <v>47</v>
      </c>
      <c r="F141" s="10">
        <v>45355</v>
      </c>
      <c r="G141" s="9" t="s">
        <v>153</v>
      </c>
      <c r="H141" s="9" t="s">
        <v>56</v>
      </c>
      <c r="I141" s="9">
        <v>1</v>
      </c>
      <c r="J141" s="11">
        <v>12</v>
      </c>
      <c r="K141" s="9">
        <v>360</v>
      </c>
      <c r="L141" s="12">
        <v>0.38</v>
      </c>
      <c r="M141" s="27">
        <v>136.80000000000001</v>
      </c>
      <c r="N141" s="13" t="s">
        <v>49</v>
      </c>
      <c r="Q141" s="9">
        <f>IF(Auction_Sales[[#This Row],[Payment Date]]=0,"",-1+WEEKNUM(Auction_Sales[[#This Row],[Payment Date]]))</f>
        <v>9</v>
      </c>
      <c r="R141" s="9">
        <v>-160</v>
      </c>
      <c r="S141" s="1" t="s">
        <v>153</v>
      </c>
      <c r="T141" s="9" t="s">
        <v>56</v>
      </c>
      <c r="U141" s="9">
        <v>520</v>
      </c>
      <c r="V141" s="13">
        <v>0.67923076923076919</v>
      </c>
      <c r="W141" s="13">
        <v>353.2</v>
      </c>
      <c r="X141" s="14">
        <v>-24.195022222222182</v>
      </c>
      <c r="Y141" s="13">
        <v>329.00497777777781</v>
      </c>
      <c r="Z141" s="10">
        <v>45357</v>
      </c>
      <c r="AA141" s="9">
        <v>160</v>
      </c>
      <c r="AC141" s="9" t="s">
        <v>71</v>
      </c>
      <c r="AD141" s="14">
        <v>43.740833333333327</v>
      </c>
      <c r="AF141" s="14">
        <v>10.4</v>
      </c>
      <c r="AH141" s="14">
        <v>54.140833333333326</v>
      </c>
      <c r="AI141" s="13">
        <v>274.86414444444449</v>
      </c>
      <c r="AK141" s="9">
        <v>520</v>
      </c>
    </row>
    <row r="142" spans="1:37">
      <c r="A142" s="9">
        <v>10</v>
      </c>
      <c r="B142" s="9">
        <v>2024</v>
      </c>
      <c r="C142" s="9" t="s">
        <v>46</v>
      </c>
      <c r="D142" s="9" t="s">
        <v>47</v>
      </c>
      <c r="E142" s="9" t="s">
        <v>47</v>
      </c>
      <c r="F142" s="10">
        <v>45355</v>
      </c>
      <c r="G142" s="9" t="s">
        <v>153</v>
      </c>
      <c r="H142" s="9" t="s">
        <v>57</v>
      </c>
      <c r="I142" s="9">
        <v>1</v>
      </c>
      <c r="J142" s="11">
        <v>12</v>
      </c>
      <c r="K142" s="9">
        <v>320</v>
      </c>
      <c r="L142" s="12">
        <v>0.47</v>
      </c>
      <c r="M142" s="27">
        <v>150.4</v>
      </c>
      <c r="N142" s="13" t="s">
        <v>49</v>
      </c>
      <c r="Q142" s="9">
        <f>IF(Auction_Sales[[#This Row],[Payment Date]]=0,"",-1+WEEKNUM(Auction_Sales[[#This Row],[Payment Date]]))</f>
        <v>9</v>
      </c>
      <c r="R142" s="9">
        <v>-80</v>
      </c>
      <c r="S142" s="1" t="s">
        <v>153</v>
      </c>
      <c r="T142" s="9" t="s">
        <v>57</v>
      </c>
      <c r="U142" s="9">
        <v>400</v>
      </c>
      <c r="V142" s="13">
        <v>0.69400000000000006</v>
      </c>
      <c r="W142" s="13">
        <v>277.60000000000002</v>
      </c>
      <c r="X142" s="14">
        <v>-18.611555555555523</v>
      </c>
      <c r="Y142" s="13">
        <v>258.9884444444445</v>
      </c>
      <c r="Z142" s="10">
        <v>45357</v>
      </c>
      <c r="AA142" s="9">
        <v>80</v>
      </c>
      <c r="AC142" s="9" t="s">
        <v>71</v>
      </c>
      <c r="AD142" s="14">
        <v>43.740833333333327</v>
      </c>
      <c r="AF142" s="14">
        <v>8</v>
      </c>
      <c r="AH142" s="14">
        <v>51.740833333333327</v>
      </c>
      <c r="AI142" s="13">
        <v>207.24761111111115</v>
      </c>
      <c r="AK142" s="9">
        <v>400</v>
      </c>
    </row>
    <row r="143" spans="1:37">
      <c r="A143" s="9">
        <v>10</v>
      </c>
      <c r="B143" s="9">
        <v>2024</v>
      </c>
      <c r="C143" s="9" t="s">
        <v>46</v>
      </c>
      <c r="D143" s="9" t="s">
        <v>47</v>
      </c>
      <c r="E143" s="9" t="s">
        <v>47</v>
      </c>
      <c r="F143" s="10">
        <v>45355</v>
      </c>
      <c r="G143" s="9" t="s">
        <v>154</v>
      </c>
      <c r="H143" s="9" t="s">
        <v>51</v>
      </c>
      <c r="I143" s="9">
        <v>1</v>
      </c>
      <c r="J143" s="11">
        <v>12</v>
      </c>
      <c r="K143" s="9">
        <v>480</v>
      </c>
      <c r="L143" s="12">
        <v>0.38</v>
      </c>
      <c r="M143" s="27">
        <v>182.4</v>
      </c>
      <c r="N143" s="13" t="s">
        <v>49</v>
      </c>
      <c r="Q143" s="9">
        <f>IF(Auction_Sales[[#This Row],[Payment Date]]=0,"",-1+WEEKNUM(Auction_Sales[[#This Row],[Payment Date]]))</f>
        <v>9</v>
      </c>
      <c r="R143" s="9">
        <v>0</v>
      </c>
      <c r="S143" s="1" t="s">
        <v>154</v>
      </c>
      <c r="T143" s="9" t="s">
        <v>51</v>
      </c>
      <c r="U143" s="9">
        <v>480</v>
      </c>
      <c r="V143" s="13">
        <v>0.25833333333333336</v>
      </c>
      <c r="W143" s="13">
        <v>124.00000000000001</v>
      </c>
      <c r="X143" s="14">
        <v>-22.33386666666663</v>
      </c>
      <c r="Y143" s="13">
        <v>101.66613333333339</v>
      </c>
      <c r="Z143" s="10">
        <v>45357</v>
      </c>
      <c r="AA143" s="9">
        <v>0</v>
      </c>
      <c r="AC143" s="9" t="s">
        <v>71</v>
      </c>
      <c r="AD143" s="14">
        <v>43.740833333333327</v>
      </c>
      <c r="AF143" s="14">
        <v>9.6</v>
      </c>
      <c r="AH143" s="14">
        <v>53.340833333333329</v>
      </c>
      <c r="AI143" s="13">
        <v>48.325300000000063</v>
      </c>
      <c r="AK143" s="9">
        <v>480</v>
      </c>
    </row>
    <row r="144" spans="1:37">
      <c r="A144" s="9">
        <v>10</v>
      </c>
      <c r="B144" s="9">
        <v>2024</v>
      </c>
      <c r="C144" s="9" t="s">
        <v>46</v>
      </c>
      <c r="D144" s="9" t="s">
        <v>47</v>
      </c>
      <c r="E144" s="9" t="s">
        <v>47</v>
      </c>
      <c r="F144" s="10">
        <v>45355</v>
      </c>
      <c r="G144" s="9" t="s">
        <v>154</v>
      </c>
      <c r="H144" s="9" t="s">
        <v>48</v>
      </c>
      <c r="I144" s="9">
        <v>1</v>
      </c>
      <c r="J144" s="11">
        <v>12</v>
      </c>
      <c r="K144" s="9">
        <v>480</v>
      </c>
      <c r="L144" s="12">
        <v>0.47</v>
      </c>
      <c r="M144" s="27">
        <v>225.6</v>
      </c>
      <c r="N144" s="13" t="s">
        <v>49</v>
      </c>
      <c r="Q144" s="9">
        <f>IF(Auction_Sales[[#This Row],[Payment Date]]=0,"",-1+WEEKNUM(Auction_Sales[[#This Row],[Payment Date]]))</f>
        <v>9</v>
      </c>
      <c r="R144" s="9">
        <v>0</v>
      </c>
      <c r="S144" s="1" t="s">
        <v>154</v>
      </c>
      <c r="T144" s="9" t="s">
        <v>48</v>
      </c>
      <c r="U144" s="9">
        <v>480</v>
      </c>
      <c r="V144" s="13">
        <v>0.35500000000000004</v>
      </c>
      <c r="W144" s="13">
        <v>170.4</v>
      </c>
      <c r="X144" s="14">
        <v>-22.33386666666663</v>
      </c>
      <c r="Y144" s="13">
        <v>148.06613333333337</v>
      </c>
      <c r="Z144" s="10">
        <v>45357</v>
      </c>
      <c r="AA144" s="9">
        <v>0</v>
      </c>
      <c r="AC144" s="9" t="s">
        <v>71</v>
      </c>
      <c r="AD144" s="14">
        <v>43.740833333333327</v>
      </c>
      <c r="AF144" s="14">
        <v>9.6</v>
      </c>
      <c r="AH144" s="14">
        <v>53.340833333333329</v>
      </c>
      <c r="AI144" s="13">
        <v>94.725300000000033</v>
      </c>
      <c r="AK144" s="9">
        <v>480</v>
      </c>
    </row>
    <row r="145" spans="1:37">
      <c r="A145" s="9">
        <v>10</v>
      </c>
      <c r="B145" s="9">
        <v>2024</v>
      </c>
      <c r="C145" s="9" t="s">
        <v>46</v>
      </c>
      <c r="D145" s="9" t="s">
        <v>47</v>
      </c>
      <c r="E145" s="9" t="s">
        <v>47</v>
      </c>
      <c r="F145" s="10">
        <v>45355</v>
      </c>
      <c r="G145" s="9" t="s">
        <v>154</v>
      </c>
      <c r="H145" s="9" t="s">
        <v>52</v>
      </c>
      <c r="I145" s="9">
        <v>1</v>
      </c>
      <c r="J145" s="11">
        <v>12</v>
      </c>
      <c r="K145" s="9">
        <v>400</v>
      </c>
      <c r="L145" s="12">
        <v>0.52</v>
      </c>
      <c r="M145" s="27">
        <v>208</v>
      </c>
      <c r="N145" s="13" t="s">
        <v>49</v>
      </c>
      <c r="Q145" s="9">
        <f>IF(Auction_Sales[[#This Row],[Payment Date]]=0,"",-1+WEEKNUM(Auction_Sales[[#This Row],[Payment Date]]))</f>
        <v>9</v>
      </c>
      <c r="R145" s="9">
        <v>-360</v>
      </c>
      <c r="S145" s="1" t="s">
        <v>154</v>
      </c>
      <c r="T145" s="9" t="s">
        <v>52</v>
      </c>
      <c r="U145" s="9">
        <v>760</v>
      </c>
      <c r="V145" s="13">
        <v>0.53368421052631587</v>
      </c>
      <c r="W145" s="13">
        <v>405.60000000000008</v>
      </c>
      <c r="X145" s="14">
        <v>-35.361955555555497</v>
      </c>
      <c r="Y145" s="13">
        <v>370.2380444444446</v>
      </c>
      <c r="Z145" s="10">
        <v>45357</v>
      </c>
      <c r="AA145" s="9">
        <v>360</v>
      </c>
      <c r="AC145" s="9" t="s">
        <v>71</v>
      </c>
      <c r="AD145" s="14">
        <v>43.740833333333327</v>
      </c>
      <c r="AF145" s="14">
        <v>15.200000000000001</v>
      </c>
      <c r="AH145" s="14">
        <v>58.94083333333333</v>
      </c>
      <c r="AI145" s="13">
        <v>311.29721111111127</v>
      </c>
      <c r="AK145" s="9">
        <v>760</v>
      </c>
    </row>
    <row r="146" spans="1:37">
      <c r="A146" s="9">
        <v>10</v>
      </c>
      <c r="B146" s="9">
        <v>2024</v>
      </c>
      <c r="C146" s="9" t="s">
        <v>46</v>
      </c>
      <c r="D146" s="9" t="s">
        <v>47</v>
      </c>
      <c r="E146" s="9" t="s">
        <v>47</v>
      </c>
      <c r="F146" s="10">
        <v>45355</v>
      </c>
      <c r="G146" s="9" t="s">
        <v>154</v>
      </c>
      <c r="H146" s="9" t="s">
        <v>52</v>
      </c>
      <c r="I146" s="9">
        <v>1</v>
      </c>
      <c r="J146" s="11">
        <v>12</v>
      </c>
      <c r="K146" s="9">
        <v>360</v>
      </c>
      <c r="L146" s="12">
        <v>0.52</v>
      </c>
      <c r="M146" s="27">
        <v>187.2</v>
      </c>
      <c r="N146" s="13" t="s">
        <v>49</v>
      </c>
      <c r="Q146" s="9">
        <f>IF(Auction_Sales[[#This Row],[Payment Date]]=0,"",-1+WEEKNUM(Auction_Sales[[#This Row],[Payment Date]]))</f>
        <v>9</v>
      </c>
      <c r="R146" s="9">
        <v>360</v>
      </c>
      <c r="S146" s="9" t="s">
        <v>154</v>
      </c>
      <c r="T146" s="9" t="s">
        <v>52</v>
      </c>
      <c r="W146" s="13">
        <v>0</v>
      </c>
      <c r="X146" s="14">
        <v>0</v>
      </c>
      <c r="Y146" s="13">
        <v>0</v>
      </c>
      <c r="Z146" s="10">
        <v>45357</v>
      </c>
      <c r="AA146" s="9">
        <v>-360</v>
      </c>
      <c r="AC146" s="9" t="s">
        <v>71</v>
      </c>
      <c r="AD146" s="14">
        <v>43.740833333333327</v>
      </c>
      <c r="AF146" s="14">
        <v>0</v>
      </c>
      <c r="AH146" s="14">
        <v>43.740833333333327</v>
      </c>
      <c r="AI146" s="13">
        <v>-43.740833333333327</v>
      </c>
      <c r="AK146" s="9">
        <v>0</v>
      </c>
    </row>
    <row r="147" spans="1:37">
      <c r="A147" s="9">
        <v>10</v>
      </c>
      <c r="B147" s="9">
        <v>2024</v>
      </c>
      <c r="C147" s="9" t="s">
        <v>46</v>
      </c>
      <c r="D147" s="9" t="s">
        <v>47</v>
      </c>
      <c r="E147" s="9" t="s">
        <v>47</v>
      </c>
      <c r="F147" s="10">
        <v>45355</v>
      </c>
      <c r="G147" s="9" t="s">
        <v>154</v>
      </c>
      <c r="H147" s="9" t="s">
        <v>54</v>
      </c>
      <c r="I147" s="9">
        <v>1</v>
      </c>
      <c r="J147" s="11">
        <v>12</v>
      </c>
      <c r="K147" s="9">
        <v>320</v>
      </c>
      <c r="L147" s="12">
        <v>0.56999999999999995</v>
      </c>
      <c r="M147" s="27">
        <v>182.4</v>
      </c>
      <c r="N147" s="13" t="s">
        <v>49</v>
      </c>
      <c r="Q147" s="9">
        <f>IF(Auction_Sales[[#This Row],[Payment Date]]=0,"",-1+WEEKNUM(Auction_Sales[[#This Row],[Payment Date]]))</f>
        <v>9</v>
      </c>
      <c r="R147" s="9">
        <v>-280</v>
      </c>
      <c r="S147" s="9" t="s">
        <v>154</v>
      </c>
      <c r="T147" s="9" t="s">
        <v>54</v>
      </c>
      <c r="U147" s="9">
        <v>600</v>
      </c>
      <c r="V147" s="13">
        <v>0.43133333333333335</v>
      </c>
      <c r="W147" s="13">
        <v>258.8</v>
      </c>
      <c r="X147" s="14">
        <v>-27.917333333333289</v>
      </c>
      <c r="Y147" s="13">
        <v>230.88266666666672</v>
      </c>
      <c r="Z147" s="10">
        <v>45357</v>
      </c>
      <c r="AA147" s="9">
        <v>280</v>
      </c>
      <c r="AC147" s="9" t="s">
        <v>71</v>
      </c>
      <c r="AD147" s="14">
        <v>43.740833333333327</v>
      </c>
      <c r="AF147" s="14">
        <v>12</v>
      </c>
      <c r="AH147" s="14">
        <v>55.740833333333327</v>
      </c>
      <c r="AI147" s="13">
        <v>175.14183333333341</v>
      </c>
      <c r="AK147" s="9">
        <v>600</v>
      </c>
    </row>
    <row r="148" spans="1:37">
      <c r="A148" s="9">
        <v>10</v>
      </c>
      <c r="B148" s="9">
        <v>2024</v>
      </c>
      <c r="C148" s="9" t="s">
        <v>46</v>
      </c>
      <c r="D148" s="9" t="s">
        <v>47</v>
      </c>
      <c r="E148" s="9" t="s">
        <v>47</v>
      </c>
      <c r="F148" s="10">
        <v>45355</v>
      </c>
      <c r="G148" s="9" t="s">
        <v>154</v>
      </c>
      <c r="H148" s="9" t="s">
        <v>56</v>
      </c>
      <c r="I148" s="9">
        <v>1</v>
      </c>
      <c r="J148" s="11">
        <v>12</v>
      </c>
      <c r="K148" s="9">
        <v>200</v>
      </c>
      <c r="L148" s="12">
        <v>0.75</v>
      </c>
      <c r="M148" s="27">
        <v>150</v>
      </c>
      <c r="N148" s="13" t="s">
        <v>49</v>
      </c>
      <c r="Q148" s="9">
        <f>IF(Auction_Sales[[#This Row],[Payment Date]]=0,"",-1+WEEKNUM(Auction_Sales[[#This Row],[Payment Date]]))</f>
        <v>9</v>
      </c>
      <c r="R148" s="9">
        <v>-40</v>
      </c>
      <c r="S148" s="9" t="s">
        <v>154</v>
      </c>
      <c r="T148" s="9" t="s">
        <v>56</v>
      </c>
      <c r="U148" s="9">
        <v>240</v>
      </c>
      <c r="V148" s="13">
        <v>0.41333333333333333</v>
      </c>
      <c r="W148" s="13">
        <v>99.2</v>
      </c>
      <c r="X148" s="14">
        <v>-11.166933333333315</v>
      </c>
      <c r="Y148" s="13">
        <v>88.033066666666684</v>
      </c>
      <c r="Z148" s="10">
        <v>45357</v>
      </c>
      <c r="AA148" s="9">
        <v>40</v>
      </c>
      <c r="AC148" s="9" t="s">
        <v>71</v>
      </c>
      <c r="AD148" s="14">
        <v>43.740833333333327</v>
      </c>
      <c r="AF148" s="14">
        <v>4.8</v>
      </c>
      <c r="AH148" s="14">
        <v>48.540833333333325</v>
      </c>
      <c r="AI148" s="13">
        <v>39.49223333333336</v>
      </c>
      <c r="AK148" s="9">
        <v>240</v>
      </c>
    </row>
    <row r="149" spans="1:37">
      <c r="A149" s="9">
        <v>10</v>
      </c>
      <c r="B149" s="9">
        <v>2024</v>
      </c>
      <c r="C149" s="9" t="s">
        <v>46</v>
      </c>
      <c r="D149" s="9" t="s">
        <v>47</v>
      </c>
      <c r="E149" s="9" t="s">
        <v>47</v>
      </c>
      <c r="F149" s="10">
        <v>45355</v>
      </c>
      <c r="G149" s="9" t="s">
        <v>154</v>
      </c>
      <c r="H149" s="9" t="s">
        <v>57</v>
      </c>
      <c r="I149" s="9">
        <v>1</v>
      </c>
      <c r="J149" s="11">
        <v>12</v>
      </c>
      <c r="K149" s="9">
        <v>200</v>
      </c>
      <c r="L149" s="12">
        <v>0.94</v>
      </c>
      <c r="M149" s="27">
        <v>188</v>
      </c>
      <c r="N149" s="13" t="s">
        <v>49</v>
      </c>
      <c r="Q149" s="9">
        <f>IF(Auction_Sales[[#This Row],[Payment Date]]=0,"",-1+WEEKNUM(Auction_Sales[[#This Row],[Payment Date]]))</f>
        <v>9</v>
      </c>
      <c r="R149" s="9">
        <v>0</v>
      </c>
      <c r="S149" s="9" t="s">
        <v>154</v>
      </c>
      <c r="T149" s="9" t="s">
        <v>57</v>
      </c>
      <c r="U149" s="9">
        <v>200</v>
      </c>
      <c r="V149" s="13">
        <v>0.44</v>
      </c>
      <c r="W149" s="13">
        <v>88</v>
      </c>
      <c r="X149" s="14">
        <v>-9.3057777777777613</v>
      </c>
      <c r="Y149" s="13">
        <v>78.694222222222237</v>
      </c>
      <c r="Z149" s="10">
        <v>45357</v>
      </c>
      <c r="AA149" s="9">
        <v>0</v>
      </c>
      <c r="AC149" s="9" t="s">
        <v>71</v>
      </c>
      <c r="AD149" s="14">
        <v>43.740833333333327</v>
      </c>
      <c r="AF149" s="14">
        <v>4</v>
      </c>
      <c r="AH149" s="14">
        <v>47.740833333333327</v>
      </c>
      <c r="AI149" s="13">
        <v>30.953388888888909</v>
      </c>
      <c r="AK149" s="9">
        <v>200</v>
      </c>
    </row>
    <row r="150" spans="1:37">
      <c r="A150" s="9">
        <v>10</v>
      </c>
      <c r="B150" s="9">
        <v>2024</v>
      </c>
      <c r="C150" s="9" t="s">
        <v>46</v>
      </c>
      <c r="D150" s="9" t="s">
        <v>47</v>
      </c>
      <c r="E150" s="9" t="s">
        <v>47</v>
      </c>
      <c r="F150" s="10">
        <v>45355</v>
      </c>
      <c r="G150" s="9" t="s">
        <v>155</v>
      </c>
      <c r="H150" s="9" t="s">
        <v>52</v>
      </c>
      <c r="I150" s="9">
        <v>3</v>
      </c>
      <c r="J150" s="11">
        <v>36</v>
      </c>
      <c r="K150" s="9">
        <v>1200</v>
      </c>
      <c r="L150" s="12">
        <v>0.52</v>
      </c>
      <c r="M150" s="27">
        <v>624</v>
      </c>
      <c r="N150" s="13" t="s">
        <v>49</v>
      </c>
      <c r="Q150" s="9">
        <f>IF(Auction_Sales[[#This Row],[Payment Date]]=0,"",-1+WEEKNUM(Auction_Sales[[#This Row],[Payment Date]]))</f>
        <v>9</v>
      </c>
      <c r="R150" s="9">
        <v>1200</v>
      </c>
      <c r="S150" s="9" t="s">
        <v>155</v>
      </c>
      <c r="T150" s="9" t="s">
        <v>52</v>
      </c>
      <c r="W150" s="13">
        <v>0</v>
      </c>
      <c r="X150" s="14">
        <v>0</v>
      </c>
      <c r="Y150" s="13">
        <v>0</v>
      </c>
      <c r="Z150" s="10">
        <v>45357</v>
      </c>
      <c r="AA150" s="9">
        <v>-1200</v>
      </c>
      <c r="AC150" s="9" t="s">
        <v>71</v>
      </c>
      <c r="AD150" s="14">
        <v>131.2225</v>
      </c>
      <c r="AF150" s="14">
        <v>0</v>
      </c>
      <c r="AH150" s="14">
        <v>131.2225</v>
      </c>
      <c r="AI150" s="13">
        <v>-131.2225</v>
      </c>
      <c r="AK150" s="9">
        <v>0</v>
      </c>
    </row>
    <row r="151" spans="1:37">
      <c r="A151" s="9">
        <v>10</v>
      </c>
      <c r="B151" s="9">
        <v>2024</v>
      </c>
      <c r="C151" s="9" t="s">
        <v>46</v>
      </c>
      <c r="D151" s="9" t="s">
        <v>47</v>
      </c>
      <c r="E151" s="9" t="s">
        <v>47</v>
      </c>
      <c r="F151" s="10">
        <v>45355</v>
      </c>
      <c r="G151" s="9" t="s">
        <v>155</v>
      </c>
      <c r="H151" s="9" t="s">
        <v>54</v>
      </c>
      <c r="I151" s="9">
        <v>1</v>
      </c>
      <c r="J151" s="11">
        <v>12</v>
      </c>
      <c r="K151" s="9">
        <v>320</v>
      </c>
      <c r="L151" s="12">
        <v>0.56999999999999995</v>
      </c>
      <c r="M151" s="27">
        <v>182.4</v>
      </c>
      <c r="N151" s="13" t="s">
        <v>49</v>
      </c>
      <c r="Q151" s="9">
        <f>IF(Auction_Sales[[#This Row],[Payment Date]]=0,"",-1+WEEKNUM(Auction_Sales[[#This Row],[Payment Date]]))</f>
        <v>9</v>
      </c>
      <c r="R151" s="9">
        <v>-80</v>
      </c>
      <c r="S151" s="9" t="s">
        <v>155</v>
      </c>
      <c r="T151" s="9" t="s">
        <v>54</v>
      </c>
      <c r="U151" s="9">
        <v>400</v>
      </c>
      <c r="V151" s="13">
        <v>0.80599999999999994</v>
      </c>
      <c r="W151" s="13">
        <v>322.39999999999998</v>
      </c>
      <c r="X151" s="14">
        <v>-18.611555555555523</v>
      </c>
      <c r="Y151" s="13">
        <v>303.78844444444445</v>
      </c>
      <c r="Z151" s="10">
        <v>45357</v>
      </c>
      <c r="AA151" s="9">
        <v>80</v>
      </c>
      <c r="AC151" s="9" t="s">
        <v>71</v>
      </c>
      <c r="AD151" s="14">
        <v>43.740833333333327</v>
      </c>
      <c r="AF151" s="14">
        <v>8</v>
      </c>
      <c r="AH151" s="14">
        <v>51.740833333333327</v>
      </c>
      <c r="AI151" s="13">
        <v>252.04761111111111</v>
      </c>
      <c r="AK151" s="9">
        <v>400</v>
      </c>
    </row>
    <row r="152" spans="1:37">
      <c r="A152" s="9">
        <v>10</v>
      </c>
      <c r="B152" s="9">
        <v>2024</v>
      </c>
      <c r="C152" s="9" t="s">
        <v>46</v>
      </c>
      <c r="D152" s="9" t="s">
        <v>47</v>
      </c>
      <c r="E152" s="9" t="s">
        <v>47</v>
      </c>
      <c r="F152" s="10">
        <v>45355</v>
      </c>
      <c r="G152" s="9" t="s">
        <v>155</v>
      </c>
      <c r="H152" s="9" t="s">
        <v>56</v>
      </c>
      <c r="I152" s="9">
        <v>1</v>
      </c>
      <c r="J152" s="11">
        <v>12</v>
      </c>
      <c r="K152" s="9">
        <v>200</v>
      </c>
      <c r="L152" s="12">
        <v>0.75</v>
      </c>
      <c r="M152" s="27">
        <v>150</v>
      </c>
      <c r="N152" s="13" t="s">
        <v>49</v>
      </c>
      <c r="Q152" s="9">
        <f>IF(Auction_Sales[[#This Row],[Payment Date]]=0,"",-1+WEEKNUM(Auction_Sales[[#This Row],[Payment Date]]))</f>
        <v>9</v>
      </c>
      <c r="R152" s="9">
        <v>-80</v>
      </c>
      <c r="S152" s="9" t="s">
        <v>155</v>
      </c>
      <c r="T152" s="9" t="s">
        <v>56</v>
      </c>
      <c r="U152" s="9">
        <v>280</v>
      </c>
      <c r="V152" s="13">
        <v>0.8342857142857143</v>
      </c>
      <c r="W152" s="13">
        <v>233.6</v>
      </c>
      <c r="X152" s="14">
        <v>-13.028088888888869</v>
      </c>
      <c r="Y152" s="13">
        <v>220.57191111111112</v>
      </c>
      <c r="Z152" s="10">
        <v>45357</v>
      </c>
      <c r="AA152" s="9">
        <v>80</v>
      </c>
      <c r="AC152" s="9" t="s">
        <v>71</v>
      </c>
      <c r="AD152" s="14">
        <v>43.740833333333327</v>
      </c>
      <c r="AF152" s="14">
        <v>5.6000000000000005</v>
      </c>
      <c r="AH152" s="14">
        <v>49.340833333333329</v>
      </c>
      <c r="AI152" s="13">
        <v>171.23107777777778</v>
      </c>
      <c r="AK152" s="9">
        <v>280</v>
      </c>
    </row>
    <row r="153" spans="1:37">
      <c r="A153" s="9">
        <v>10</v>
      </c>
      <c r="B153" s="9">
        <v>2024</v>
      </c>
      <c r="C153" s="9" t="s">
        <v>46</v>
      </c>
      <c r="D153" s="9" t="s">
        <v>47</v>
      </c>
      <c r="E153" s="9" t="s">
        <v>47</v>
      </c>
      <c r="F153" s="10">
        <v>45355</v>
      </c>
      <c r="G153" s="9" t="s">
        <v>155</v>
      </c>
      <c r="H153" s="9" t="s">
        <v>57</v>
      </c>
      <c r="I153" s="9">
        <v>1</v>
      </c>
      <c r="J153" s="11">
        <v>12</v>
      </c>
      <c r="K153" s="9">
        <v>200</v>
      </c>
      <c r="L153" s="12">
        <v>0.94</v>
      </c>
      <c r="M153" s="27">
        <v>188</v>
      </c>
      <c r="N153" s="13" t="s">
        <v>49</v>
      </c>
      <c r="Q153" s="9">
        <f>IF(Auction_Sales[[#This Row],[Payment Date]]=0,"",-1+WEEKNUM(Auction_Sales[[#This Row],[Payment Date]]))</f>
        <v>9</v>
      </c>
      <c r="R153" s="9">
        <v>0</v>
      </c>
      <c r="S153" s="9" t="s">
        <v>155</v>
      </c>
      <c r="T153" s="9" t="s">
        <v>57</v>
      </c>
      <c r="U153" s="9">
        <v>200</v>
      </c>
      <c r="V153" s="13">
        <v>0.82599999999999996</v>
      </c>
      <c r="W153" s="13">
        <v>165.2</v>
      </c>
      <c r="X153" s="14">
        <v>-9.3057777777777613</v>
      </c>
      <c r="Y153" s="13">
        <v>155.89422222222223</v>
      </c>
      <c r="Z153" s="10">
        <v>45357</v>
      </c>
      <c r="AA153" s="9">
        <v>0</v>
      </c>
      <c r="AC153" s="9" t="s">
        <v>71</v>
      </c>
      <c r="AD153" s="14">
        <v>43.740833333333327</v>
      </c>
      <c r="AF153" s="14">
        <v>4</v>
      </c>
      <c r="AH153" s="14">
        <v>47.740833333333327</v>
      </c>
      <c r="AI153" s="13">
        <v>108.1533888888889</v>
      </c>
      <c r="AK153" s="9">
        <v>200</v>
      </c>
    </row>
    <row r="154" spans="1:37">
      <c r="A154" s="9">
        <v>10</v>
      </c>
      <c r="B154" s="9">
        <v>2024</v>
      </c>
      <c r="C154" s="9" t="s">
        <v>46</v>
      </c>
      <c r="D154" s="9" t="s">
        <v>47</v>
      </c>
      <c r="E154" s="9" t="s">
        <v>47</v>
      </c>
      <c r="F154" s="10">
        <v>45355</v>
      </c>
      <c r="G154" s="9" t="s">
        <v>155</v>
      </c>
      <c r="H154" s="9" t="s">
        <v>52</v>
      </c>
      <c r="I154" s="9">
        <v>1</v>
      </c>
      <c r="J154" s="11">
        <v>5.1428571428571423</v>
      </c>
      <c r="K154" s="9">
        <v>120</v>
      </c>
      <c r="L154" s="12">
        <v>0.52</v>
      </c>
      <c r="M154" s="27">
        <v>62.4</v>
      </c>
      <c r="N154" s="13" t="s">
        <v>49</v>
      </c>
      <c r="Q154" s="9">
        <f>IF(Auction_Sales[[#This Row],[Payment Date]]=0,"",-1+WEEKNUM(Auction_Sales[[#This Row],[Payment Date]]))</f>
        <v>9</v>
      </c>
      <c r="R154" s="9">
        <v>-1160</v>
      </c>
      <c r="S154" s="9" t="s">
        <v>155</v>
      </c>
      <c r="T154" s="9" t="s">
        <v>52</v>
      </c>
      <c r="U154" s="9">
        <v>1280</v>
      </c>
      <c r="V154" s="13">
        <v>0.65749999999999997</v>
      </c>
      <c r="W154" s="13">
        <v>841.59999999999991</v>
      </c>
      <c r="X154" s="14">
        <v>-59.556977777777682</v>
      </c>
      <c r="Y154" s="13">
        <v>782.04302222222225</v>
      </c>
      <c r="Z154" s="10">
        <v>45357</v>
      </c>
      <c r="AA154" s="9">
        <v>1160</v>
      </c>
      <c r="AC154" s="9" t="s">
        <v>71</v>
      </c>
      <c r="AD154" s="14">
        <v>18.746071428571426</v>
      </c>
      <c r="AF154" s="14">
        <v>25.6</v>
      </c>
      <c r="AH154" s="14">
        <v>44.346071428571427</v>
      </c>
      <c r="AI154" s="13">
        <v>737.69695079365079</v>
      </c>
      <c r="AK154" s="9">
        <v>1280</v>
      </c>
    </row>
    <row r="155" spans="1:37">
      <c r="A155" s="9">
        <v>10</v>
      </c>
      <c r="B155" s="9">
        <v>2024</v>
      </c>
      <c r="C155" s="9" t="s">
        <v>46</v>
      </c>
      <c r="D155" s="9" t="s">
        <v>47</v>
      </c>
      <c r="E155" s="9" t="s">
        <v>47</v>
      </c>
      <c r="F155" s="10">
        <v>45355</v>
      </c>
      <c r="G155" s="9" t="s">
        <v>155</v>
      </c>
      <c r="H155" s="9" t="s">
        <v>56</v>
      </c>
      <c r="J155" s="11">
        <v>3.4285714285714284</v>
      </c>
      <c r="K155" s="9">
        <v>80</v>
      </c>
      <c r="L155" s="12">
        <v>0.75</v>
      </c>
      <c r="M155" s="27">
        <v>60</v>
      </c>
      <c r="N155" s="13" t="s">
        <v>49</v>
      </c>
      <c r="Q155" s="9">
        <f>IF(Auction_Sales[[#This Row],[Payment Date]]=0,"",-1+WEEKNUM(Auction_Sales[[#This Row],[Payment Date]]))</f>
        <v>9</v>
      </c>
      <c r="R155" s="9">
        <v>80</v>
      </c>
      <c r="S155" s="9" t="s">
        <v>155</v>
      </c>
      <c r="T155" s="9" t="s">
        <v>56</v>
      </c>
      <c r="W155" s="13">
        <v>0</v>
      </c>
      <c r="X155" s="14">
        <v>0</v>
      </c>
      <c r="Y155" s="13">
        <v>0</v>
      </c>
      <c r="Z155" s="10">
        <v>45357</v>
      </c>
      <c r="AA155" s="9">
        <v>-80</v>
      </c>
      <c r="AC155" s="9" t="s">
        <v>71</v>
      </c>
      <c r="AD155" s="14">
        <v>12.497380952380951</v>
      </c>
      <c r="AF155" s="14">
        <v>0</v>
      </c>
      <c r="AH155" s="14">
        <v>12.497380952380951</v>
      </c>
      <c r="AI155" s="13">
        <v>-12.497380952380951</v>
      </c>
      <c r="AK155" s="9">
        <v>0</v>
      </c>
    </row>
    <row r="156" spans="1:37">
      <c r="A156" s="9">
        <v>10</v>
      </c>
      <c r="B156" s="9">
        <v>2024</v>
      </c>
      <c r="C156" s="9" t="s">
        <v>46</v>
      </c>
      <c r="D156" s="9" t="s">
        <v>47</v>
      </c>
      <c r="E156" s="9" t="s">
        <v>47</v>
      </c>
      <c r="F156" s="10">
        <v>45355</v>
      </c>
      <c r="G156" s="9" t="s">
        <v>155</v>
      </c>
      <c r="H156" s="9" t="s">
        <v>54</v>
      </c>
      <c r="J156" s="11">
        <v>3.4285714285714284</v>
      </c>
      <c r="K156" s="9">
        <v>80</v>
      </c>
      <c r="L156" s="12">
        <v>0.56999999999999995</v>
      </c>
      <c r="M156" s="27">
        <v>45.6</v>
      </c>
      <c r="N156" s="13" t="s">
        <v>49</v>
      </c>
      <c r="Q156" s="9">
        <f>IF(Auction_Sales[[#This Row],[Payment Date]]=0,"",-1+WEEKNUM(Auction_Sales[[#This Row],[Payment Date]]))</f>
        <v>9</v>
      </c>
      <c r="R156" s="9">
        <v>80</v>
      </c>
      <c r="S156" s="9" t="s">
        <v>155</v>
      </c>
      <c r="T156" s="9" t="s">
        <v>54</v>
      </c>
      <c r="W156" s="13">
        <v>0</v>
      </c>
      <c r="X156" s="14">
        <v>0</v>
      </c>
      <c r="Y156" s="13">
        <v>0</v>
      </c>
      <c r="Z156" s="10">
        <v>45357</v>
      </c>
      <c r="AA156" s="9">
        <v>-80</v>
      </c>
      <c r="AC156" s="9" t="s">
        <v>71</v>
      </c>
      <c r="AD156" s="14">
        <v>12.497380952380951</v>
      </c>
      <c r="AF156" s="14">
        <v>0</v>
      </c>
      <c r="AH156" s="14">
        <v>12.497380952380951</v>
      </c>
      <c r="AI156" s="13">
        <v>-12.497380952380951</v>
      </c>
      <c r="AK156" s="9">
        <v>0</v>
      </c>
    </row>
    <row r="157" spans="1:37">
      <c r="A157" s="9">
        <v>10</v>
      </c>
      <c r="B157" s="9">
        <v>2024</v>
      </c>
      <c r="C157" s="9" t="s">
        <v>46</v>
      </c>
      <c r="D157" s="9" t="s">
        <v>47</v>
      </c>
      <c r="E157" s="9" t="s">
        <v>47</v>
      </c>
      <c r="F157" s="10">
        <v>45355</v>
      </c>
      <c r="G157" s="9" t="s">
        <v>154</v>
      </c>
      <c r="H157" s="9" t="s">
        <v>56</v>
      </c>
      <c r="I157" s="9">
        <v>1</v>
      </c>
      <c r="J157" s="11">
        <v>1.5</v>
      </c>
      <c r="K157" s="9">
        <v>40</v>
      </c>
      <c r="L157" s="12">
        <v>0.75</v>
      </c>
      <c r="M157" s="27">
        <v>30</v>
      </c>
      <c r="N157" s="13" t="s">
        <v>49</v>
      </c>
      <c r="Q157" s="9">
        <f>IF(Auction_Sales[[#This Row],[Payment Date]]=0,"",-1+WEEKNUM(Auction_Sales[[#This Row],[Payment Date]]))</f>
        <v>9</v>
      </c>
      <c r="R157" s="9">
        <v>40</v>
      </c>
      <c r="S157" s="9" t="s">
        <v>154</v>
      </c>
      <c r="T157" s="9" t="s">
        <v>56</v>
      </c>
      <c r="W157" s="13">
        <v>0</v>
      </c>
      <c r="X157" s="14">
        <v>0</v>
      </c>
      <c r="Y157" s="13">
        <v>0</v>
      </c>
      <c r="Z157" s="10">
        <v>45357</v>
      </c>
      <c r="AA157" s="9">
        <v>-40</v>
      </c>
      <c r="AC157" s="9" t="s">
        <v>71</v>
      </c>
      <c r="AD157" s="14">
        <v>5.4676041666666659</v>
      </c>
      <c r="AF157" s="14">
        <v>0</v>
      </c>
      <c r="AH157" s="14">
        <v>5.4676041666666659</v>
      </c>
      <c r="AI157" s="13">
        <v>-5.4676041666666659</v>
      </c>
      <c r="AK157" s="9">
        <v>0</v>
      </c>
    </row>
    <row r="158" spans="1:37">
      <c r="A158" s="9">
        <v>10</v>
      </c>
      <c r="B158" s="9">
        <v>2024</v>
      </c>
      <c r="C158" s="9" t="s">
        <v>46</v>
      </c>
      <c r="D158" s="9" t="s">
        <v>47</v>
      </c>
      <c r="E158" s="9" t="s">
        <v>47</v>
      </c>
      <c r="F158" s="10">
        <v>45355</v>
      </c>
      <c r="G158" s="9" t="s">
        <v>154</v>
      </c>
      <c r="H158" s="9" t="s">
        <v>54</v>
      </c>
      <c r="J158" s="11">
        <v>10.5</v>
      </c>
      <c r="K158" s="9">
        <v>280</v>
      </c>
      <c r="L158" s="12">
        <v>0.56999999999999995</v>
      </c>
      <c r="M158" s="27">
        <v>159.6</v>
      </c>
      <c r="N158" s="13" t="s">
        <v>49</v>
      </c>
      <c r="Q158" s="9">
        <f>IF(Auction_Sales[[#This Row],[Payment Date]]=0,"",-1+WEEKNUM(Auction_Sales[[#This Row],[Payment Date]]))</f>
        <v>9</v>
      </c>
      <c r="R158" s="9">
        <v>280</v>
      </c>
      <c r="S158" s="9" t="s">
        <v>154</v>
      </c>
      <c r="T158" s="9" t="s">
        <v>54</v>
      </c>
      <c r="W158" s="13">
        <v>0</v>
      </c>
      <c r="X158" s="14">
        <v>0</v>
      </c>
      <c r="Y158" s="13">
        <v>0</v>
      </c>
      <c r="Z158" s="10">
        <v>45357</v>
      </c>
      <c r="AA158" s="9">
        <v>-280</v>
      </c>
      <c r="AC158" s="9" t="s">
        <v>71</v>
      </c>
      <c r="AD158" s="14">
        <v>38.273229166666667</v>
      </c>
      <c r="AF158" s="14">
        <v>0</v>
      </c>
      <c r="AH158" s="14">
        <v>38.273229166666667</v>
      </c>
      <c r="AI158" s="13">
        <v>-38.273229166666667</v>
      </c>
      <c r="AK158" s="9">
        <v>0</v>
      </c>
    </row>
    <row r="159" spans="1:37">
      <c r="A159" s="9">
        <v>10</v>
      </c>
      <c r="B159" s="9">
        <v>2024</v>
      </c>
      <c r="C159" s="9" t="s">
        <v>46</v>
      </c>
      <c r="D159" s="9" t="s">
        <v>47</v>
      </c>
      <c r="E159" s="9" t="s">
        <v>47</v>
      </c>
      <c r="F159" s="10">
        <v>45355</v>
      </c>
      <c r="G159" s="9" t="s">
        <v>156</v>
      </c>
      <c r="H159" s="9" t="s">
        <v>51</v>
      </c>
      <c r="I159" s="9">
        <v>1</v>
      </c>
      <c r="J159" s="11">
        <v>1.3333333333333333</v>
      </c>
      <c r="K159" s="9">
        <v>40</v>
      </c>
      <c r="L159" s="12">
        <v>0.42</v>
      </c>
      <c r="M159" s="27">
        <v>16.8</v>
      </c>
      <c r="N159" s="13" t="s">
        <v>49</v>
      </c>
      <c r="Q159" s="9">
        <f>IF(Auction_Sales[[#This Row],[Payment Date]]=0,"",-1+WEEKNUM(Auction_Sales[[#This Row],[Payment Date]]))</f>
        <v>9</v>
      </c>
      <c r="R159" s="9">
        <v>0</v>
      </c>
      <c r="S159" s="9" t="s">
        <v>156</v>
      </c>
      <c r="T159" s="9" t="s">
        <v>51</v>
      </c>
      <c r="U159" s="9">
        <v>40</v>
      </c>
      <c r="V159" s="13">
        <v>0.52</v>
      </c>
      <c r="W159" s="13">
        <v>20.8</v>
      </c>
      <c r="X159" s="14">
        <v>-1.8611555555555526</v>
      </c>
      <c r="Y159" s="13">
        <v>18.938844444444449</v>
      </c>
      <c r="Z159" s="10">
        <v>45357</v>
      </c>
      <c r="AA159" s="9">
        <v>0</v>
      </c>
      <c r="AC159" s="9" t="s">
        <v>71</v>
      </c>
      <c r="AD159" s="14">
        <v>4.8600925925925926</v>
      </c>
      <c r="AF159" s="14">
        <v>0.8</v>
      </c>
      <c r="AH159" s="14">
        <v>5.6600925925925925</v>
      </c>
      <c r="AI159" s="13">
        <v>13.278751851851856</v>
      </c>
      <c r="AK159" s="9">
        <v>40</v>
      </c>
    </row>
    <row r="160" spans="1:37">
      <c r="A160" s="9">
        <v>10</v>
      </c>
      <c r="B160" s="9">
        <v>2024</v>
      </c>
      <c r="C160" s="9" t="s">
        <v>46</v>
      </c>
      <c r="D160" s="9" t="s">
        <v>47</v>
      </c>
      <c r="E160" s="9" t="s">
        <v>47</v>
      </c>
      <c r="F160" s="10">
        <v>45355</v>
      </c>
      <c r="G160" s="9" t="s">
        <v>156</v>
      </c>
      <c r="H160" s="9" t="s">
        <v>52</v>
      </c>
      <c r="J160" s="11">
        <v>10.666666666666666</v>
      </c>
      <c r="K160" s="9">
        <v>320</v>
      </c>
      <c r="L160" s="12">
        <v>0.61</v>
      </c>
      <c r="M160" s="27">
        <v>195.2</v>
      </c>
      <c r="N160" s="13" t="s">
        <v>49</v>
      </c>
      <c r="Q160" s="9">
        <f>IF(Auction_Sales[[#This Row],[Payment Date]]=0,"",-1+WEEKNUM(Auction_Sales[[#This Row],[Payment Date]]))</f>
        <v>9</v>
      </c>
      <c r="R160" s="9">
        <v>0</v>
      </c>
      <c r="S160" s="9" t="s">
        <v>156</v>
      </c>
      <c r="T160" s="9" t="s">
        <v>52</v>
      </c>
      <c r="U160" s="9">
        <v>320</v>
      </c>
      <c r="V160" s="13">
        <v>0.77</v>
      </c>
      <c r="W160" s="13">
        <v>246.4</v>
      </c>
      <c r="X160" s="14">
        <v>-14.889244444444421</v>
      </c>
      <c r="Y160" s="13">
        <v>231.51075555555559</v>
      </c>
      <c r="Z160" s="10">
        <v>45357</v>
      </c>
      <c r="AA160" s="9">
        <v>0</v>
      </c>
      <c r="AC160" s="9" t="s">
        <v>71</v>
      </c>
      <c r="AD160" s="14">
        <v>38.880740740740741</v>
      </c>
      <c r="AF160" s="14">
        <v>6.4</v>
      </c>
      <c r="AH160" s="14">
        <v>45.28074074074074</v>
      </c>
      <c r="AI160" s="13">
        <v>186.23001481481487</v>
      </c>
      <c r="AK160" s="9">
        <v>320</v>
      </c>
    </row>
    <row r="161" spans="1:37">
      <c r="A161" s="9">
        <v>10</v>
      </c>
      <c r="B161" s="9">
        <v>2024</v>
      </c>
      <c r="C161" s="9" t="s">
        <v>46</v>
      </c>
      <c r="D161" s="9" t="s">
        <v>47</v>
      </c>
      <c r="E161" s="9" t="s">
        <v>47</v>
      </c>
      <c r="F161" s="10">
        <v>45355</v>
      </c>
      <c r="G161" s="9" t="s">
        <v>156</v>
      </c>
      <c r="H161" s="9" t="s">
        <v>48</v>
      </c>
      <c r="I161" s="9">
        <v>1</v>
      </c>
      <c r="J161" s="11">
        <v>4.5</v>
      </c>
      <c r="K161" s="9">
        <v>120</v>
      </c>
      <c r="L161" s="12">
        <v>0.52</v>
      </c>
      <c r="M161" s="27">
        <v>62.4</v>
      </c>
      <c r="N161" s="13" t="s">
        <v>49</v>
      </c>
      <c r="Q161" s="9">
        <f>IF(Auction_Sales[[#This Row],[Payment Date]]=0,"",-1+WEEKNUM(Auction_Sales[[#This Row],[Payment Date]]))</f>
        <v>9</v>
      </c>
      <c r="R161" s="9">
        <v>0</v>
      </c>
      <c r="S161" s="9" t="s">
        <v>156</v>
      </c>
      <c r="T161" s="9" t="s">
        <v>48</v>
      </c>
      <c r="U161" s="9">
        <v>120</v>
      </c>
      <c r="V161" s="13">
        <v>0.68666666666666676</v>
      </c>
      <c r="W161" s="13">
        <v>82.4</v>
      </c>
      <c r="X161" s="14">
        <v>-5.5834666666666575</v>
      </c>
      <c r="Y161" s="13">
        <v>76.816533333333354</v>
      </c>
      <c r="Z161" s="10">
        <v>45357</v>
      </c>
      <c r="AA161" s="9">
        <v>0</v>
      </c>
      <c r="AC161" s="9" t="s">
        <v>71</v>
      </c>
      <c r="AD161" s="14">
        <v>16.4028125</v>
      </c>
      <c r="AF161" s="14">
        <v>2.4</v>
      </c>
      <c r="AH161" s="14">
        <v>18.802812499999998</v>
      </c>
      <c r="AI161" s="13">
        <v>58.013720833333352</v>
      </c>
      <c r="AK161" s="9">
        <v>120</v>
      </c>
    </row>
    <row r="162" spans="1:37">
      <c r="A162" s="9">
        <v>10</v>
      </c>
      <c r="B162" s="9">
        <v>2024</v>
      </c>
      <c r="C162" s="9" t="s">
        <v>46</v>
      </c>
      <c r="D162" s="9" t="s">
        <v>47</v>
      </c>
      <c r="E162" s="9" t="s">
        <v>47</v>
      </c>
      <c r="F162" s="10">
        <v>45355</v>
      </c>
      <c r="G162" s="9" t="s">
        <v>156</v>
      </c>
      <c r="H162" s="9" t="s">
        <v>57</v>
      </c>
      <c r="J162" s="11">
        <v>1.5</v>
      </c>
      <c r="K162" s="9">
        <v>40</v>
      </c>
      <c r="L162" s="12">
        <v>1.04</v>
      </c>
      <c r="M162" s="27">
        <v>41.6</v>
      </c>
      <c r="N162" s="13" t="s">
        <v>49</v>
      </c>
      <c r="Q162" s="9">
        <f>IF(Auction_Sales[[#This Row],[Payment Date]]=0,"",-1+WEEKNUM(Auction_Sales[[#This Row],[Payment Date]]))</f>
        <v>9</v>
      </c>
      <c r="R162" s="9">
        <v>0</v>
      </c>
      <c r="S162" s="9" t="s">
        <v>156</v>
      </c>
      <c r="T162" s="9" t="s">
        <v>57</v>
      </c>
      <c r="U162" s="9">
        <v>40</v>
      </c>
      <c r="V162" s="13">
        <v>1.2</v>
      </c>
      <c r="W162" s="13">
        <v>48</v>
      </c>
      <c r="X162" s="14">
        <v>-1.8611555555555526</v>
      </c>
      <c r="Y162" s="13">
        <v>46.138844444444445</v>
      </c>
      <c r="Z162" s="10">
        <v>45357</v>
      </c>
      <c r="AA162" s="9">
        <v>0</v>
      </c>
      <c r="AC162" s="9" t="s">
        <v>71</v>
      </c>
      <c r="AD162" s="14">
        <v>5.4676041666666659</v>
      </c>
      <c r="AF162" s="14">
        <v>0.8</v>
      </c>
      <c r="AH162" s="14">
        <v>6.2676041666666658</v>
      </c>
      <c r="AI162" s="13">
        <v>39.87124027777778</v>
      </c>
      <c r="AK162" s="9">
        <v>40</v>
      </c>
    </row>
    <row r="163" spans="1:37">
      <c r="A163" s="9">
        <v>10</v>
      </c>
      <c r="B163" s="9">
        <v>2024</v>
      </c>
      <c r="C163" s="9" t="s">
        <v>46</v>
      </c>
      <c r="D163" s="9" t="s">
        <v>47</v>
      </c>
      <c r="E163" s="9" t="s">
        <v>47</v>
      </c>
      <c r="F163" s="10">
        <v>45355</v>
      </c>
      <c r="G163" s="9" t="s">
        <v>156</v>
      </c>
      <c r="H163" s="9" t="s">
        <v>56</v>
      </c>
      <c r="J163" s="11">
        <v>1.5</v>
      </c>
      <c r="K163" s="9">
        <v>40</v>
      </c>
      <c r="L163" s="12">
        <v>0.85</v>
      </c>
      <c r="M163" s="27">
        <v>34</v>
      </c>
      <c r="N163" s="13" t="s">
        <v>49</v>
      </c>
      <c r="Q163" s="9">
        <f>IF(Auction_Sales[[#This Row],[Payment Date]]=0,"",-1+WEEKNUM(Auction_Sales[[#This Row],[Payment Date]]))</f>
        <v>9</v>
      </c>
      <c r="R163" s="9">
        <v>0</v>
      </c>
      <c r="S163" s="9" t="s">
        <v>156</v>
      </c>
      <c r="T163" s="9" t="s">
        <v>56</v>
      </c>
      <c r="U163" s="9">
        <v>40</v>
      </c>
      <c r="V163" s="13">
        <v>0.96</v>
      </c>
      <c r="W163" s="13">
        <v>38.4</v>
      </c>
      <c r="X163" s="14">
        <v>-1.8611555555555526</v>
      </c>
      <c r="Y163" s="13">
        <v>36.538844444444443</v>
      </c>
      <c r="Z163" s="10">
        <v>45357</v>
      </c>
      <c r="AA163" s="9">
        <v>0</v>
      </c>
      <c r="AC163" s="9" t="s">
        <v>71</v>
      </c>
      <c r="AD163" s="14">
        <v>5.4676041666666659</v>
      </c>
      <c r="AF163" s="14">
        <v>0.8</v>
      </c>
      <c r="AH163" s="14">
        <v>6.2676041666666658</v>
      </c>
      <c r="AI163" s="13">
        <v>30.271240277777778</v>
      </c>
      <c r="AK163" s="9">
        <v>40</v>
      </c>
    </row>
    <row r="164" spans="1:37">
      <c r="A164" s="9">
        <v>10</v>
      </c>
      <c r="B164" s="9">
        <v>2024</v>
      </c>
      <c r="C164" s="9" t="s">
        <v>46</v>
      </c>
      <c r="D164" s="9" t="s">
        <v>47</v>
      </c>
      <c r="E164" s="9" t="s">
        <v>47</v>
      </c>
      <c r="F164" s="10">
        <v>45355</v>
      </c>
      <c r="G164" s="9" t="s">
        <v>156</v>
      </c>
      <c r="H164" s="9" t="s">
        <v>54</v>
      </c>
      <c r="J164" s="11">
        <v>4.5</v>
      </c>
      <c r="K164" s="9">
        <v>120</v>
      </c>
      <c r="L164" s="12">
        <v>0.66</v>
      </c>
      <c r="M164" s="27">
        <v>79.2</v>
      </c>
      <c r="N164" s="13" t="s">
        <v>49</v>
      </c>
      <c r="Q164" s="9">
        <f>IF(Auction_Sales[[#This Row],[Payment Date]]=0,"",-1+WEEKNUM(Auction_Sales[[#This Row],[Payment Date]]))</f>
        <v>9</v>
      </c>
      <c r="R164" s="9">
        <v>0</v>
      </c>
      <c r="S164" s="9" t="s">
        <v>156</v>
      </c>
      <c r="T164" s="9" t="s">
        <v>54</v>
      </c>
      <c r="U164" s="9">
        <v>120</v>
      </c>
      <c r="V164" s="13">
        <v>0.84333333333333338</v>
      </c>
      <c r="W164" s="13">
        <v>101.2</v>
      </c>
      <c r="X164" s="14">
        <v>-5.5834666666666575</v>
      </c>
      <c r="Y164" s="13">
        <v>95.616533333333351</v>
      </c>
      <c r="Z164" s="10">
        <v>45357</v>
      </c>
      <c r="AA164" s="9">
        <v>0</v>
      </c>
      <c r="AC164" s="9" t="s">
        <v>71</v>
      </c>
      <c r="AD164" s="14">
        <v>16.4028125</v>
      </c>
      <c r="AF164" s="14">
        <v>2.4</v>
      </c>
      <c r="AH164" s="14">
        <v>18.802812499999998</v>
      </c>
      <c r="AI164" s="13">
        <v>76.813720833333349</v>
      </c>
      <c r="AK164" s="9">
        <v>120</v>
      </c>
    </row>
    <row r="165" spans="1:37">
      <c r="A165" s="9">
        <v>10</v>
      </c>
      <c r="B165" s="9">
        <v>2024</v>
      </c>
      <c r="C165" s="9" t="s">
        <v>46</v>
      </c>
      <c r="D165" s="9" t="s">
        <v>47</v>
      </c>
      <c r="E165" s="9" t="s">
        <v>47</v>
      </c>
      <c r="F165" s="10">
        <v>45355</v>
      </c>
      <c r="G165" s="9" t="s">
        <v>153</v>
      </c>
      <c r="H165" s="9" t="s">
        <v>48</v>
      </c>
      <c r="I165" s="9">
        <v>1</v>
      </c>
      <c r="J165" s="11">
        <v>6.8571428571428568</v>
      </c>
      <c r="K165" s="9">
        <v>320</v>
      </c>
      <c r="L165" s="12">
        <v>0.24</v>
      </c>
      <c r="M165" s="27">
        <v>76.8</v>
      </c>
      <c r="N165" s="13" t="s">
        <v>49</v>
      </c>
      <c r="Q165" s="9">
        <f>IF(Auction_Sales[[#This Row],[Payment Date]]=0,"",-1+WEEKNUM(Auction_Sales[[#This Row],[Payment Date]]))</f>
        <v>9</v>
      </c>
      <c r="R165" s="9">
        <v>320</v>
      </c>
      <c r="S165" s="9" t="s">
        <v>153</v>
      </c>
      <c r="T165" s="9" t="s">
        <v>48</v>
      </c>
      <c r="W165" s="13">
        <v>0</v>
      </c>
      <c r="X165" s="14">
        <v>0</v>
      </c>
      <c r="Y165" s="13">
        <v>0</v>
      </c>
      <c r="Z165" s="10">
        <v>45357</v>
      </c>
      <c r="AA165" s="9">
        <v>-320</v>
      </c>
      <c r="AC165" s="9" t="s">
        <v>71</v>
      </c>
      <c r="AD165" s="14">
        <v>24.994761904761901</v>
      </c>
      <c r="AF165" s="14">
        <v>0</v>
      </c>
      <c r="AH165" s="14">
        <v>24.994761904761901</v>
      </c>
      <c r="AI165" s="13">
        <v>-24.994761904761901</v>
      </c>
      <c r="AK165" s="9">
        <v>0</v>
      </c>
    </row>
    <row r="166" spans="1:37">
      <c r="A166" s="9">
        <v>10</v>
      </c>
      <c r="B166" s="9">
        <v>2024</v>
      </c>
      <c r="C166" s="9" t="s">
        <v>46</v>
      </c>
      <c r="D166" s="9" t="s">
        <v>47</v>
      </c>
      <c r="E166" s="9" t="s">
        <v>47</v>
      </c>
      <c r="F166" s="10">
        <v>45355</v>
      </c>
      <c r="G166" s="9" t="s">
        <v>153</v>
      </c>
      <c r="H166" s="9" t="s">
        <v>56</v>
      </c>
      <c r="J166" s="11">
        <v>3.4285714285714284</v>
      </c>
      <c r="K166" s="9">
        <v>160</v>
      </c>
      <c r="L166" s="12">
        <v>0.38</v>
      </c>
      <c r="M166" s="27">
        <v>60.8</v>
      </c>
      <c r="N166" s="13" t="s">
        <v>49</v>
      </c>
      <c r="Q166" s="9">
        <f>IF(Auction_Sales[[#This Row],[Payment Date]]=0,"",-1+WEEKNUM(Auction_Sales[[#This Row],[Payment Date]]))</f>
        <v>9</v>
      </c>
      <c r="R166" s="9">
        <v>160</v>
      </c>
      <c r="S166" s="9" t="s">
        <v>153</v>
      </c>
      <c r="T166" s="9" t="s">
        <v>56</v>
      </c>
      <c r="W166" s="13">
        <v>0</v>
      </c>
      <c r="X166" s="14">
        <v>0</v>
      </c>
      <c r="Y166" s="13">
        <v>0</v>
      </c>
      <c r="Z166" s="10">
        <v>45357</v>
      </c>
      <c r="AA166" s="9">
        <v>-160</v>
      </c>
      <c r="AC166" s="9" t="s">
        <v>71</v>
      </c>
      <c r="AD166" s="14">
        <v>12.497380952380951</v>
      </c>
      <c r="AF166" s="14">
        <v>0</v>
      </c>
      <c r="AH166" s="14">
        <v>12.497380952380951</v>
      </c>
      <c r="AI166" s="13">
        <v>-12.497380952380951</v>
      </c>
      <c r="AK166" s="9">
        <v>0</v>
      </c>
    </row>
    <row r="167" spans="1:37">
      <c r="A167" s="9">
        <v>10</v>
      </c>
      <c r="B167" s="9">
        <v>2024</v>
      </c>
      <c r="C167" s="9" t="s">
        <v>46</v>
      </c>
      <c r="D167" s="9" t="s">
        <v>47</v>
      </c>
      <c r="E167" s="9" t="s">
        <v>47</v>
      </c>
      <c r="F167" s="10">
        <v>45355</v>
      </c>
      <c r="G167" s="9" t="s">
        <v>153</v>
      </c>
      <c r="H167" s="9" t="s">
        <v>57</v>
      </c>
      <c r="J167" s="9">
        <v>1.7142857142857142</v>
      </c>
      <c r="K167" s="9">
        <v>80</v>
      </c>
      <c r="L167" s="12">
        <v>0.47</v>
      </c>
      <c r="M167" s="27">
        <v>37.6</v>
      </c>
      <c r="N167" s="13" t="s">
        <v>49</v>
      </c>
      <c r="Q167" s="9">
        <f>IF(Auction_Sales[[#This Row],[Payment Date]]=0,"",-1+WEEKNUM(Auction_Sales[[#This Row],[Payment Date]]))</f>
        <v>9</v>
      </c>
      <c r="R167" s="9">
        <v>80</v>
      </c>
      <c r="S167" s="9" t="s">
        <v>153</v>
      </c>
      <c r="T167" s="9" t="s">
        <v>57</v>
      </c>
      <c r="W167" s="13">
        <v>0</v>
      </c>
      <c r="X167" s="14">
        <v>0</v>
      </c>
      <c r="Y167" s="13">
        <v>0</v>
      </c>
      <c r="Z167" s="10">
        <v>45357</v>
      </c>
      <c r="AA167" s="9">
        <v>-80</v>
      </c>
      <c r="AC167" s="9" t="s">
        <v>71</v>
      </c>
      <c r="AD167" s="14">
        <v>6.2486904761904754</v>
      </c>
      <c r="AF167" s="14">
        <v>0</v>
      </c>
      <c r="AH167" s="14">
        <v>6.2486904761904754</v>
      </c>
      <c r="AI167" s="13">
        <v>-6.2486904761904754</v>
      </c>
      <c r="AK167" s="9">
        <v>0</v>
      </c>
    </row>
    <row r="168" spans="1:37">
      <c r="A168" s="9">
        <v>10</v>
      </c>
      <c r="B168" s="9">
        <v>2024</v>
      </c>
      <c r="C168" s="9" t="s">
        <v>46</v>
      </c>
      <c r="D168" s="9" t="s">
        <v>47</v>
      </c>
      <c r="E168" s="9" t="s">
        <v>47</v>
      </c>
      <c r="F168" s="10">
        <v>45355</v>
      </c>
      <c r="G168" s="9" t="s">
        <v>153</v>
      </c>
      <c r="H168" s="9" t="s">
        <v>52</v>
      </c>
      <c r="I168" s="9">
        <v>1</v>
      </c>
      <c r="J168" s="11">
        <v>6.545454545454545</v>
      </c>
      <c r="K168" s="9">
        <v>240</v>
      </c>
      <c r="L168" s="12">
        <v>0.28000000000000003</v>
      </c>
      <c r="M168" s="27">
        <v>67.2</v>
      </c>
      <c r="N168" s="13" t="s">
        <v>49</v>
      </c>
      <c r="Q168" s="9">
        <f>IF(Auction_Sales[[#This Row],[Payment Date]]=0,"",-1+WEEKNUM(Auction_Sales[[#This Row],[Payment Date]]))</f>
        <v>9</v>
      </c>
      <c r="R168" s="9">
        <v>240</v>
      </c>
      <c r="S168" s="9" t="s">
        <v>153</v>
      </c>
      <c r="T168" s="9" t="s">
        <v>52</v>
      </c>
      <c r="W168" s="13">
        <v>0</v>
      </c>
      <c r="X168" s="14">
        <v>0</v>
      </c>
      <c r="Y168" s="13">
        <v>0</v>
      </c>
      <c r="Z168" s="10">
        <v>45357</v>
      </c>
      <c r="AA168" s="9">
        <v>-240</v>
      </c>
      <c r="AC168" s="9" t="s">
        <v>71</v>
      </c>
      <c r="AD168" s="14">
        <v>23.858636363636361</v>
      </c>
      <c r="AF168" s="14">
        <v>0</v>
      </c>
      <c r="AH168" s="14">
        <v>23.858636363636361</v>
      </c>
      <c r="AI168" s="13">
        <v>-23.858636363636361</v>
      </c>
      <c r="AK168" s="9">
        <v>0</v>
      </c>
    </row>
    <row r="169" spans="1:37">
      <c r="A169" s="9">
        <v>10</v>
      </c>
      <c r="B169" s="9">
        <v>2024</v>
      </c>
      <c r="C169" s="9" t="s">
        <v>46</v>
      </c>
      <c r="D169" s="9" t="s">
        <v>47</v>
      </c>
      <c r="E169" s="9" t="s">
        <v>47</v>
      </c>
      <c r="F169" s="10">
        <v>45355</v>
      </c>
      <c r="G169" s="9" t="s">
        <v>153</v>
      </c>
      <c r="H169" s="9" t="s">
        <v>54</v>
      </c>
      <c r="J169" s="11">
        <v>5.4545454545454541</v>
      </c>
      <c r="K169" s="9">
        <v>200</v>
      </c>
      <c r="L169" s="12">
        <v>0.33</v>
      </c>
      <c r="M169" s="27">
        <v>66</v>
      </c>
      <c r="N169" s="13" t="s">
        <v>49</v>
      </c>
      <c r="Q169" s="9">
        <f>IF(Auction_Sales[[#This Row],[Payment Date]]=0,"",-1+WEEKNUM(Auction_Sales[[#This Row],[Payment Date]]))</f>
        <v>9</v>
      </c>
      <c r="R169" s="9">
        <v>200</v>
      </c>
      <c r="S169" s="9" t="s">
        <v>153</v>
      </c>
      <c r="T169" s="9" t="s">
        <v>54</v>
      </c>
      <c r="W169" s="13">
        <v>0</v>
      </c>
      <c r="X169" s="14">
        <v>0</v>
      </c>
      <c r="Y169" s="13">
        <v>0</v>
      </c>
      <c r="Z169" s="10">
        <v>45357</v>
      </c>
      <c r="AA169" s="9">
        <v>-200</v>
      </c>
      <c r="AC169" s="9" t="s">
        <v>71</v>
      </c>
      <c r="AD169" s="14">
        <v>19.882196969696967</v>
      </c>
      <c r="AF169" s="14">
        <v>0</v>
      </c>
      <c r="AH169" s="14">
        <v>19.882196969696967</v>
      </c>
      <c r="AI169" s="13">
        <v>-19.882196969696967</v>
      </c>
      <c r="AK169" s="9">
        <v>0</v>
      </c>
    </row>
    <row r="170" spans="1:37">
      <c r="A170" s="9">
        <v>10</v>
      </c>
      <c r="B170" s="9">
        <v>2024</v>
      </c>
      <c r="C170" s="9" t="s">
        <v>46</v>
      </c>
      <c r="D170" s="9" t="s">
        <v>47</v>
      </c>
      <c r="E170" s="9" t="s">
        <v>47</v>
      </c>
      <c r="F170" s="10">
        <v>45356</v>
      </c>
      <c r="G170" s="9" t="s">
        <v>153</v>
      </c>
      <c r="H170" s="9" t="s">
        <v>48</v>
      </c>
      <c r="I170" s="9">
        <v>1</v>
      </c>
      <c r="J170" s="9">
        <v>12</v>
      </c>
      <c r="K170" s="9">
        <v>720</v>
      </c>
      <c r="L170" s="12">
        <v>0.24</v>
      </c>
      <c r="M170" s="27">
        <v>172.8</v>
      </c>
      <c r="N170" s="13" t="s">
        <v>49</v>
      </c>
      <c r="Q170" s="9">
        <f>IF(Auction_Sales[[#This Row],[Payment Date]]=0,"",-1+WEEKNUM(Auction_Sales[[#This Row],[Payment Date]]))</f>
        <v>9</v>
      </c>
      <c r="R170" s="9">
        <v>0</v>
      </c>
      <c r="S170" s="9" t="s">
        <v>153</v>
      </c>
      <c r="T170" s="9" t="s">
        <v>48</v>
      </c>
      <c r="U170" s="9">
        <v>720</v>
      </c>
      <c r="V170" s="13">
        <v>0.5</v>
      </c>
      <c r="W170" s="13">
        <v>360</v>
      </c>
      <c r="X170" s="14">
        <v>-36.240428571428552</v>
      </c>
      <c r="Y170" s="13">
        <v>323.75957142857146</v>
      </c>
      <c r="Z170" s="10">
        <v>45357</v>
      </c>
      <c r="AA170" s="9">
        <v>0</v>
      </c>
      <c r="AC170" s="9" t="s">
        <v>72</v>
      </c>
      <c r="AD170" s="14">
        <v>45.494</v>
      </c>
      <c r="AF170" s="14">
        <v>14.4</v>
      </c>
      <c r="AH170" s="14">
        <v>59.893999999999998</v>
      </c>
      <c r="AI170" s="13">
        <v>263.86557142857146</v>
      </c>
      <c r="AK170" s="9">
        <v>720</v>
      </c>
    </row>
    <row r="171" spans="1:37">
      <c r="A171" s="9">
        <v>10</v>
      </c>
      <c r="B171" s="9">
        <v>2024</v>
      </c>
      <c r="C171" s="9" t="s">
        <v>46</v>
      </c>
      <c r="D171" s="9" t="s">
        <v>47</v>
      </c>
      <c r="E171" s="9" t="s">
        <v>47</v>
      </c>
      <c r="F171" s="10">
        <v>45356</v>
      </c>
      <c r="G171" s="9" t="s">
        <v>153</v>
      </c>
      <c r="H171" s="9" t="s">
        <v>52</v>
      </c>
      <c r="I171" s="9">
        <v>1</v>
      </c>
      <c r="J171" s="9">
        <v>12</v>
      </c>
      <c r="K171" s="9">
        <v>520</v>
      </c>
      <c r="L171" s="12">
        <v>0.28000000000000003</v>
      </c>
      <c r="M171" s="27">
        <v>145.6</v>
      </c>
      <c r="N171" s="13" t="s">
        <v>49</v>
      </c>
      <c r="Q171" s="9">
        <f>IF(Auction_Sales[[#This Row],[Payment Date]]=0,"",-1+WEEKNUM(Auction_Sales[[#This Row],[Payment Date]]))</f>
        <v>9</v>
      </c>
      <c r="R171" s="9">
        <v>0</v>
      </c>
      <c r="S171" s="9" t="s">
        <v>153</v>
      </c>
      <c r="T171" s="9" t="s">
        <v>52</v>
      </c>
      <c r="U171" s="9">
        <v>520</v>
      </c>
      <c r="V171" s="13">
        <v>0.60615384615384615</v>
      </c>
      <c r="W171" s="13">
        <v>315.2</v>
      </c>
      <c r="X171" s="14">
        <v>-26.173642857142845</v>
      </c>
      <c r="Y171" s="13">
        <v>289.02635714285714</v>
      </c>
      <c r="Z171" s="10">
        <v>45357</v>
      </c>
      <c r="AA171" s="9">
        <v>0</v>
      </c>
      <c r="AC171" s="9" t="s">
        <v>72</v>
      </c>
      <c r="AD171" s="14">
        <v>45.494</v>
      </c>
      <c r="AF171" s="14">
        <v>10.4</v>
      </c>
      <c r="AH171" s="14">
        <v>55.893999999999998</v>
      </c>
      <c r="AI171" s="13">
        <v>233.13235714285713</v>
      </c>
      <c r="AK171" s="9">
        <v>520</v>
      </c>
    </row>
    <row r="172" spans="1:37">
      <c r="A172" s="9">
        <v>10</v>
      </c>
      <c r="B172" s="9">
        <v>2024</v>
      </c>
      <c r="C172" s="9" t="s">
        <v>46</v>
      </c>
      <c r="D172" s="9" t="s">
        <v>47</v>
      </c>
      <c r="E172" s="9" t="s">
        <v>47</v>
      </c>
      <c r="F172" s="10">
        <v>45356</v>
      </c>
      <c r="G172" s="9" t="s">
        <v>153</v>
      </c>
      <c r="H172" s="9" t="s">
        <v>54</v>
      </c>
      <c r="I172" s="9">
        <v>1</v>
      </c>
      <c r="J172" s="9">
        <v>12</v>
      </c>
      <c r="K172" s="9">
        <v>480</v>
      </c>
      <c r="L172" s="12">
        <v>0.33</v>
      </c>
      <c r="M172" s="27">
        <v>158.4</v>
      </c>
      <c r="N172" s="13" t="s">
        <v>49</v>
      </c>
      <c r="Q172" s="9">
        <f>IF(Auction_Sales[[#This Row],[Payment Date]]=0,"",-1+WEEKNUM(Auction_Sales[[#This Row],[Payment Date]]))</f>
        <v>9</v>
      </c>
      <c r="R172" s="9">
        <v>0</v>
      </c>
      <c r="S172" s="9" t="s">
        <v>153</v>
      </c>
      <c r="T172" s="9" t="s">
        <v>54</v>
      </c>
      <c r="U172" s="9">
        <v>480</v>
      </c>
      <c r="V172" s="13">
        <v>0.72666666666666668</v>
      </c>
      <c r="W172" s="13">
        <v>348.8</v>
      </c>
      <c r="X172" s="14">
        <v>-24.160285714285706</v>
      </c>
      <c r="Y172" s="13">
        <v>324.63971428571432</v>
      </c>
      <c r="Z172" s="10">
        <v>45357</v>
      </c>
      <c r="AA172" s="9">
        <v>0</v>
      </c>
      <c r="AC172" s="9" t="s">
        <v>72</v>
      </c>
      <c r="AD172" s="14">
        <v>45.494</v>
      </c>
      <c r="AF172" s="14">
        <v>9.6</v>
      </c>
      <c r="AH172" s="14">
        <v>55.094000000000001</v>
      </c>
      <c r="AI172" s="13">
        <v>269.54571428571433</v>
      </c>
      <c r="AK172" s="9">
        <v>480</v>
      </c>
    </row>
    <row r="173" spans="1:37">
      <c r="A173" s="9">
        <v>10</v>
      </c>
      <c r="B173" s="9">
        <v>2024</v>
      </c>
      <c r="C173" s="9" t="s">
        <v>46</v>
      </c>
      <c r="D173" s="9" t="s">
        <v>47</v>
      </c>
      <c r="E173" s="9" t="s">
        <v>47</v>
      </c>
      <c r="F173" s="10">
        <v>45356</v>
      </c>
      <c r="G173" s="9" t="s">
        <v>156</v>
      </c>
      <c r="H173" s="9" t="s">
        <v>56</v>
      </c>
      <c r="I173" s="9">
        <v>1</v>
      </c>
      <c r="J173" s="9">
        <v>12</v>
      </c>
      <c r="K173" s="9">
        <v>200</v>
      </c>
      <c r="L173" s="12">
        <v>0.85</v>
      </c>
      <c r="M173" s="27">
        <v>170</v>
      </c>
      <c r="N173" s="13" t="s">
        <v>49</v>
      </c>
      <c r="Q173" s="9">
        <f>IF(Auction_Sales[[#This Row],[Payment Date]]=0,"",-1+WEEKNUM(Auction_Sales[[#This Row],[Payment Date]]))</f>
        <v>9</v>
      </c>
      <c r="R173" s="9">
        <v>0</v>
      </c>
      <c r="S173" s="9" t="s">
        <v>156</v>
      </c>
      <c r="T173" s="9" t="s">
        <v>56</v>
      </c>
      <c r="U173" s="9">
        <v>200</v>
      </c>
      <c r="V173" s="13">
        <v>0.89200000000000002</v>
      </c>
      <c r="W173" s="13">
        <v>178.4</v>
      </c>
      <c r="X173" s="14">
        <v>-10.066785714285711</v>
      </c>
      <c r="Y173" s="13">
        <v>168.33321428571429</v>
      </c>
      <c r="Z173" s="10">
        <v>45357</v>
      </c>
      <c r="AA173" s="9">
        <v>0</v>
      </c>
      <c r="AC173" s="9" t="s">
        <v>72</v>
      </c>
      <c r="AD173" s="14">
        <v>45.494</v>
      </c>
      <c r="AF173" s="14">
        <v>4</v>
      </c>
      <c r="AH173" s="14">
        <v>49.494</v>
      </c>
      <c r="AI173" s="13">
        <v>118.83921428571429</v>
      </c>
      <c r="AK173" s="9">
        <v>200</v>
      </c>
    </row>
    <row r="174" spans="1:37">
      <c r="A174" s="9">
        <v>10</v>
      </c>
      <c r="B174" s="9">
        <v>2024</v>
      </c>
      <c r="C174" s="9" t="s">
        <v>46</v>
      </c>
      <c r="D174" s="9" t="s">
        <v>47</v>
      </c>
      <c r="E174" s="9" t="s">
        <v>47</v>
      </c>
      <c r="F174" s="10">
        <v>45356</v>
      </c>
      <c r="G174" s="9" t="s">
        <v>156</v>
      </c>
      <c r="H174" s="9" t="s">
        <v>57</v>
      </c>
      <c r="I174" s="9">
        <v>1</v>
      </c>
      <c r="J174" s="9">
        <v>12</v>
      </c>
      <c r="K174" s="9">
        <v>160</v>
      </c>
      <c r="L174" s="12">
        <v>1.04</v>
      </c>
      <c r="M174" s="27">
        <v>166.4</v>
      </c>
      <c r="N174" s="13" t="s">
        <v>49</v>
      </c>
      <c r="Q174" s="9">
        <f>IF(Auction_Sales[[#This Row],[Payment Date]]=0,"",-1+WEEKNUM(Auction_Sales[[#This Row],[Payment Date]]))</f>
        <v>9</v>
      </c>
      <c r="R174" s="9">
        <v>0</v>
      </c>
      <c r="S174" s="9" t="s">
        <v>156</v>
      </c>
      <c r="T174" s="9" t="s">
        <v>57</v>
      </c>
      <c r="U174" s="9">
        <v>160</v>
      </c>
      <c r="V174" s="13">
        <v>1.0574999999999999</v>
      </c>
      <c r="W174" s="13">
        <v>169.2</v>
      </c>
      <c r="X174" s="14">
        <v>-8.0534285714285687</v>
      </c>
      <c r="Y174" s="13">
        <v>161.14657142857141</v>
      </c>
      <c r="Z174" s="10">
        <v>45357</v>
      </c>
      <c r="AA174" s="9">
        <v>0</v>
      </c>
      <c r="AC174" s="9" t="s">
        <v>72</v>
      </c>
      <c r="AD174" s="14">
        <v>45.494</v>
      </c>
      <c r="AF174" s="14">
        <v>3.2</v>
      </c>
      <c r="AH174" s="14">
        <v>48.694000000000003</v>
      </c>
      <c r="AI174" s="13">
        <v>112.4525714285714</v>
      </c>
      <c r="AK174" s="9">
        <v>160</v>
      </c>
    </row>
    <row r="175" spans="1:37">
      <c r="A175" s="9">
        <v>10</v>
      </c>
      <c r="B175" s="9">
        <v>2024</v>
      </c>
      <c r="C175" s="9" t="s">
        <v>46</v>
      </c>
      <c r="D175" s="9" t="s">
        <v>47</v>
      </c>
      <c r="E175" s="9" t="s">
        <v>47</v>
      </c>
      <c r="F175" s="10">
        <v>45356</v>
      </c>
      <c r="G175" s="9" t="s">
        <v>154</v>
      </c>
      <c r="H175" s="9" t="s">
        <v>51</v>
      </c>
      <c r="I175" s="9">
        <v>1</v>
      </c>
      <c r="J175" s="9">
        <v>12</v>
      </c>
      <c r="K175" s="9">
        <v>520</v>
      </c>
      <c r="L175" s="12">
        <v>0.38</v>
      </c>
      <c r="M175" s="27">
        <v>197.6</v>
      </c>
      <c r="N175" s="13" t="s">
        <v>49</v>
      </c>
      <c r="Q175" s="9">
        <f>IF(Auction_Sales[[#This Row],[Payment Date]]=0,"",-1+WEEKNUM(Auction_Sales[[#This Row],[Payment Date]]))</f>
        <v>9</v>
      </c>
      <c r="R175" s="9">
        <v>0</v>
      </c>
      <c r="S175" s="9" t="s">
        <v>154</v>
      </c>
      <c r="T175" s="9" t="s">
        <v>51</v>
      </c>
      <c r="U175" s="9">
        <v>520</v>
      </c>
      <c r="V175" s="13">
        <v>0.23769230769230767</v>
      </c>
      <c r="W175" s="13">
        <v>123.6</v>
      </c>
      <c r="X175" s="14">
        <v>-26.173642857142845</v>
      </c>
      <c r="Y175" s="13">
        <v>97.426357142857142</v>
      </c>
      <c r="Z175" s="10">
        <v>45357</v>
      </c>
      <c r="AA175" s="9">
        <v>0</v>
      </c>
      <c r="AC175" s="9" t="s">
        <v>72</v>
      </c>
      <c r="AD175" s="14">
        <v>45.494</v>
      </c>
      <c r="AF175" s="14">
        <v>10.4</v>
      </c>
      <c r="AH175" s="14">
        <v>55.893999999999998</v>
      </c>
      <c r="AI175" s="13">
        <v>41.532357142857144</v>
      </c>
      <c r="AK175" s="9">
        <v>520</v>
      </c>
    </row>
    <row r="176" spans="1:37">
      <c r="A176" s="9">
        <v>10</v>
      </c>
      <c r="B176" s="9">
        <v>2024</v>
      </c>
      <c r="C176" s="9" t="s">
        <v>46</v>
      </c>
      <c r="D176" s="9" t="s">
        <v>47</v>
      </c>
      <c r="E176" s="9" t="s">
        <v>47</v>
      </c>
      <c r="F176" s="10">
        <v>45356</v>
      </c>
      <c r="G176" s="9" t="s">
        <v>154</v>
      </c>
      <c r="H176" s="9" t="s">
        <v>48</v>
      </c>
      <c r="I176" s="9">
        <v>2</v>
      </c>
      <c r="J176" s="9">
        <v>24</v>
      </c>
      <c r="K176" s="9">
        <v>960</v>
      </c>
      <c r="L176" s="12">
        <v>0.47</v>
      </c>
      <c r="M176" s="27">
        <v>451.2</v>
      </c>
      <c r="N176" s="13" t="s">
        <v>49</v>
      </c>
      <c r="Q176" s="9">
        <f>IF(Auction_Sales[[#This Row],[Payment Date]]=0,"",-1+WEEKNUM(Auction_Sales[[#This Row],[Payment Date]]))</f>
        <v>9</v>
      </c>
      <c r="R176" s="9">
        <v>0</v>
      </c>
      <c r="S176" s="9" t="s">
        <v>154</v>
      </c>
      <c r="T176" s="9" t="s">
        <v>48</v>
      </c>
      <c r="U176" s="9">
        <v>960</v>
      </c>
      <c r="V176" s="13">
        <v>0.39916666666666667</v>
      </c>
      <c r="W176" s="13">
        <v>383.2</v>
      </c>
      <c r="X176" s="14">
        <v>-48.320571428571412</v>
      </c>
      <c r="Y176" s="13">
        <v>334.87942857142855</v>
      </c>
      <c r="Z176" s="10">
        <v>45357</v>
      </c>
      <c r="AA176" s="9">
        <v>0</v>
      </c>
      <c r="AC176" s="9" t="s">
        <v>72</v>
      </c>
      <c r="AD176" s="14">
        <v>90.988</v>
      </c>
      <c r="AF176" s="14">
        <v>19.2</v>
      </c>
      <c r="AH176" s="14">
        <v>110.188</v>
      </c>
      <c r="AI176" s="13">
        <v>224.69142857142856</v>
      </c>
      <c r="AK176" s="9">
        <v>960</v>
      </c>
    </row>
    <row r="177" spans="1:37">
      <c r="A177" s="9">
        <v>10</v>
      </c>
      <c r="B177" s="9">
        <v>2024</v>
      </c>
      <c r="C177" s="9" t="s">
        <v>46</v>
      </c>
      <c r="D177" s="9" t="s">
        <v>47</v>
      </c>
      <c r="E177" s="9" t="s">
        <v>47</v>
      </c>
      <c r="F177" s="10">
        <v>45356</v>
      </c>
      <c r="G177" s="9" t="s">
        <v>154</v>
      </c>
      <c r="H177" s="9" t="s">
        <v>54</v>
      </c>
      <c r="I177" s="9">
        <v>1</v>
      </c>
      <c r="J177" s="9">
        <v>12</v>
      </c>
      <c r="K177" s="9">
        <v>320</v>
      </c>
      <c r="L177" s="12">
        <v>0.56999999999999995</v>
      </c>
      <c r="M177" s="27">
        <v>182.4</v>
      </c>
      <c r="N177" s="13" t="s">
        <v>49</v>
      </c>
      <c r="Q177" s="9">
        <f>IF(Auction_Sales[[#This Row],[Payment Date]]=0,"",-1+WEEKNUM(Auction_Sales[[#This Row],[Payment Date]]))</f>
        <v>9</v>
      </c>
      <c r="R177" s="9">
        <v>0</v>
      </c>
      <c r="S177" s="9" t="s">
        <v>154</v>
      </c>
      <c r="T177" s="9" t="s">
        <v>54</v>
      </c>
      <c r="U177" s="9">
        <v>320</v>
      </c>
      <c r="V177" s="13">
        <v>0.70750000000000002</v>
      </c>
      <c r="W177" s="13">
        <v>226.4</v>
      </c>
      <c r="X177" s="14">
        <v>-16.106857142857137</v>
      </c>
      <c r="Y177" s="13">
        <v>210.29314285714287</v>
      </c>
      <c r="Z177" s="10">
        <v>45357</v>
      </c>
      <c r="AA177" s="9">
        <v>0</v>
      </c>
      <c r="AC177" s="9" t="s">
        <v>72</v>
      </c>
      <c r="AD177" s="14">
        <v>45.494</v>
      </c>
      <c r="AF177" s="14">
        <v>6.4</v>
      </c>
      <c r="AH177" s="14">
        <v>51.893999999999998</v>
      </c>
      <c r="AI177" s="13">
        <v>158.39914285714286</v>
      </c>
      <c r="AK177" s="9">
        <v>320</v>
      </c>
    </row>
    <row r="178" spans="1:37">
      <c r="A178" s="9">
        <v>10</v>
      </c>
      <c r="B178" s="9">
        <v>2024</v>
      </c>
      <c r="C178" s="9" t="s">
        <v>46</v>
      </c>
      <c r="D178" s="9" t="s">
        <v>47</v>
      </c>
      <c r="E178" s="9" t="s">
        <v>47</v>
      </c>
      <c r="F178" s="10">
        <v>45356</v>
      </c>
      <c r="G178" s="9" t="s">
        <v>154</v>
      </c>
      <c r="H178" s="9" t="s">
        <v>56</v>
      </c>
      <c r="I178" s="9">
        <v>1</v>
      </c>
      <c r="J178" s="9">
        <v>12</v>
      </c>
      <c r="K178" s="9">
        <v>200</v>
      </c>
      <c r="L178" s="12">
        <v>0.75</v>
      </c>
      <c r="M178" s="27">
        <v>150</v>
      </c>
      <c r="N178" s="13" t="s">
        <v>49</v>
      </c>
      <c r="Q178" s="9">
        <f>IF(Auction_Sales[[#This Row],[Payment Date]]=0,"",-1+WEEKNUM(Auction_Sales[[#This Row],[Payment Date]]))</f>
        <v>9</v>
      </c>
      <c r="R178" s="9">
        <v>0</v>
      </c>
      <c r="S178" s="9" t="s">
        <v>154</v>
      </c>
      <c r="T178" s="9" t="s">
        <v>56</v>
      </c>
      <c r="U178" s="9">
        <v>200</v>
      </c>
      <c r="V178" s="13">
        <v>0.63800000000000001</v>
      </c>
      <c r="W178" s="13">
        <v>127.60000000000001</v>
      </c>
      <c r="X178" s="14">
        <v>-10.066785714285711</v>
      </c>
      <c r="Y178" s="13">
        <v>117.53321428571429</v>
      </c>
      <c r="Z178" s="10">
        <v>45357</v>
      </c>
      <c r="AA178" s="9">
        <v>0</v>
      </c>
      <c r="AC178" s="9" t="s">
        <v>72</v>
      </c>
      <c r="AD178" s="14">
        <v>45.494</v>
      </c>
      <c r="AF178" s="14">
        <v>4</v>
      </c>
      <c r="AH178" s="14">
        <v>49.494</v>
      </c>
      <c r="AI178" s="13">
        <v>68.039214285714294</v>
      </c>
      <c r="AK178" s="9">
        <v>200</v>
      </c>
    </row>
    <row r="179" spans="1:37">
      <c r="A179" s="9">
        <v>10</v>
      </c>
      <c r="B179" s="9">
        <v>2024</v>
      </c>
      <c r="C179" s="9" t="s">
        <v>46</v>
      </c>
      <c r="D179" s="9" t="s">
        <v>47</v>
      </c>
      <c r="E179" s="9" t="s">
        <v>47</v>
      </c>
      <c r="F179" s="10">
        <v>45356</v>
      </c>
      <c r="G179" s="9" t="s">
        <v>154</v>
      </c>
      <c r="H179" s="9" t="s">
        <v>57</v>
      </c>
      <c r="I179" s="9">
        <v>1</v>
      </c>
      <c r="J179" s="9">
        <v>12</v>
      </c>
      <c r="K179" s="9">
        <v>200</v>
      </c>
      <c r="L179" s="12">
        <v>0.94</v>
      </c>
      <c r="M179" s="27">
        <v>188</v>
      </c>
      <c r="N179" s="13" t="s">
        <v>49</v>
      </c>
      <c r="Q179" s="9">
        <f>IF(Auction_Sales[[#This Row],[Payment Date]]=0,"",-1+WEEKNUM(Auction_Sales[[#This Row],[Payment Date]]))</f>
        <v>9</v>
      </c>
      <c r="R179" s="9">
        <v>0</v>
      </c>
      <c r="S179" s="9" t="s">
        <v>154</v>
      </c>
      <c r="T179" s="9" t="s">
        <v>57</v>
      </c>
      <c r="U179" s="9">
        <v>200</v>
      </c>
      <c r="V179" s="13">
        <v>0.7340000000000001</v>
      </c>
      <c r="W179" s="13">
        <v>146.80000000000001</v>
      </c>
      <c r="X179" s="14">
        <v>-10.066785714285711</v>
      </c>
      <c r="Y179" s="13">
        <v>136.7332142857143</v>
      </c>
      <c r="Z179" s="10">
        <v>45357</v>
      </c>
      <c r="AA179" s="9">
        <v>0</v>
      </c>
      <c r="AC179" s="9" t="s">
        <v>72</v>
      </c>
      <c r="AD179" s="14">
        <v>45.494</v>
      </c>
      <c r="AF179" s="14">
        <v>4</v>
      </c>
      <c r="AH179" s="14">
        <v>49.494</v>
      </c>
      <c r="AI179" s="13">
        <v>87.239214285714297</v>
      </c>
      <c r="AK179" s="9">
        <v>200</v>
      </c>
    </row>
    <row r="180" spans="1:37">
      <c r="A180" s="9">
        <v>10</v>
      </c>
      <c r="B180" s="9">
        <v>2024</v>
      </c>
      <c r="C180" s="9" t="s">
        <v>46</v>
      </c>
      <c r="D180" s="9" t="s">
        <v>47</v>
      </c>
      <c r="E180" s="9" t="s">
        <v>47</v>
      </c>
      <c r="F180" s="10">
        <v>45356</v>
      </c>
      <c r="G180" s="9" t="s">
        <v>155</v>
      </c>
      <c r="H180" s="9" t="s">
        <v>52</v>
      </c>
      <c r="I180" s="9">
        <v>1</v>
      </c>
      <c r="J180" s="9">
        <v>12</v>
      </c>
      <c r="K180" s="9">
        <v>400</v>
      </c>
      <c r="L180" s="12">
        <v>0.52</v>
      </c>
      <c r="M180" s="27">
        <v>208</v>
      </c>
      <c r="N180" s="13" t="s">
        <v>49</v>
      </c>
      <c r="Q180" s="9">
        <f>IF(Auction_Sales[[#This Row],[Payment Date]]=0,"",-1+WEEKNUM(Auction_Sales[[#This Row],[Payment Date]]))</f>
        <v>9</v>
      </c>
      <c r="R180" s="9">
        <v>400</v>
      </c>
      <c r="S180" s="9" t="s">
        <v>155</v>
      </c>
      <c r="T180" s="9" t="s">
        <v>52</v>
      </c>
      <c r="W180" s="13">
        <v>0</v>
      </c>
      <c r="X180" s="14">
        <v>0</v>
      </c>
      <c r="Y180" s="13">
        <v>0</v>
      </c>
      <c r="Z180" s="10">
        <v>45357</v>
      </c>
      <c r="AA180" s="9">
        <v>-400</v>
      </c>
      <c r="AC180" s="9" t="s">
        <v>72</v>
      </c>
      <c r="AD180" s="14">
        <v>45.494</v>
      </c>
      <c r="AF180" s="14">
        <v>0</v>
      </c>
      <c r="AH180" s="14">
        <v>45.494</v>
      </c>
      <c r="AI180" s="13">
        <v>-45.494</v>
      </c>
      <c r="AK180" s="9">
        <v>0</v>
      </c>
    </row>
    <row r="181" spans="1:37">
      <c r="A181" s="9">
        <v>10</v>
      </c>
      <c r="B181" s="9">
        <v>2024</v>
      </c>
      <c r="C181" s="9" t="s">
        <v>46</v>
      </c>
      <c r="D181" s="9" t="s">
        <v>47</v>
      </c>
      <c r="E181" s="9" t="s">
        <v>47</v>
      </c>
      <c r="F181" s="10">
        <v>45356</v>
      </c>
      <c r="G181" s="9" t="s">
        <v>155</v>
      </c>
      <c r="H181" s="9" t="s">
        <v>52</v>
      </c>
      <c r="I181" s="9">
        <v>1</v>
      </c>
      <c r="J181" s="9">
        <v>4</v>
      </c>
      <c r="K181" s="9">
        <v>80</v>
      </c>
      <c r="L181" s="12">
        <v>0.52</v>
      </c>
      <c r="M181" s="27">
        <v>41.6</v>
      </c>
      <c r="N181" s="13" t="s">
        <v>49</v>
      </c>
      <c r="Q181" s="9">
        <f>IF(Auction_Sales[[#This Row],[Payment Date]]=0,"",-1+WEEKNUM(Auction_Sales[[#This Row],[Payment Date]]))</f>
        <v>9</v>
      </c>
      <c r="R181" s="9">
        <v>-400</v>
      </c>
      <c r="S181" s="9" t="s">
        <v>155</v>
      </c>
      <c r="T181" s="9" t="s">
        <v>52</v>
      </c>
      <c r="U181" s="9">
        <v>480</v>
      </c>
      <c r="V181" s="13">
        <v>0.92749999999999999</v>
      </c>
      <c r="W181" s="13">
        <v>445.2</v>
      </c>
      <c r="X181" s="14">
        <v>-24.160285714285706</v>
      </c>
      <c r="Y181" s="13">
        <v>421.0397142857143</v>
      </c>
      <c r="Z181" s="10">
        <v>45357</v>
      </c>
      <c r="AA181" s="9">
        <v>400</v>
      </c>
      <c r="AC181" s="9" t="s">
        <v>72</v>
      </c>
      <c r="AD181" s="14">
        <v>15.164666666666667</v>
      </c>
      <c r="AF181" s="14">
        <v>9.6</v>
      </c>
      <c r="AH181" s="14">
        <v>24.764666666666667</v>
      </c>
      <c r="AI181" s="13">
        <v>396.27504761904765</v>
      </c>
      <c r="AK181" s="9">
        <v>480</v>
      </c>
    </row>
    <row r="182" spans="1:37">
      <c r="A182" s="9">
        <v>10</v>
      </c>
      <c r="B182" s="9">
        <v>2024</v>
      </c>
      <c r="C182" s="9" t="s">
        <v>46</v>
      </c>
      <c r="D182" s="9" t="s">
        <v>47</v>
      </c>
      <c r="E182" s="9" t="s">
        <v>47</v>
      </c>
      <c r="F182" s="10">
        <v>45356</v>
      </c>
      <c r="G182" s="9" t="s">
        <v>155</v>
      </c>
      <c r="H182" s="9" t="s">
        <v>56</v>
      </c>
      <c r="J182" s="9">
        <v>4</v>
      </c>
      <c r="K182" s="9">
        <v>80</v>
      </c>
      <c r="L182" s="12">
        <v>0.75</v>
      </c>
      <c r="M182" s="27">
        <v>60</v>
      </c>
      <c r="N182" s="13" t="s">
        <v>49</v>
      </c>
      <c r="Q182" s="9">
        <f>IF(Auction_Sales[[#This Row],[Payment Date]]=0,"",-1+WEEKNUM(Auction_Sales[[#This Row],[Payment Date]]))</f>
        <v>9</v>
      </c>
      <c r="R182" s="9">
        <v>0</v>
      </c>
      <c r="S182" s="9" t="s">
        <v>155</v>
      </c>
      <c r="T182" s="9" t="s">
        <v>56</v>
      </c>
      <c r="U182" s="9">
        <v>80</v>
      </c>
      <c r="V182" s="13">
        <v>0.89</v>
      </c>
      <c r="W182" s="13">
        <v>71.2</v>
      </c>
      <c r="X182" s="14">
        <v>-4.0267142857142844</v>
      </c>
      <c r="Y182" s="13">
        <v>67.173285714285726</v>
      </c>
      <c r="Z182" s="10">
        <v>45357</v>
      </c>
      <c r="AA182" s="9">
        <v>0</v>
      </c>
      <c r="AC182" s="9" t="s">
        <v>72</v>
      </c>
      <c r="AD182" s="14">
        <v>15.164666666666667</v>
      </c>
      <c r="AF182" s="14">
        <v>1.6</v>
      </c>
      <c r="AH182" s="14">
        <v>16.764666666666667</v>
      </c>
      <c r="AI182" s="13">
        <v>50.408619047619055</v>
      </c>
      <c r="AK182" s="9">
        <v>80</v>
      </c>
    </row>
    <row r="183" spans="1:37">
      <c r="A183" s="9">
        <v>10</v>
      </c>
      <c r="B183" s="9">
        <v>2024</v>
      </c>
      <c r="C183" s="9" t="s">
        <v>46</v>
      </c>
      <c r="D183" s="9" t="s">
        <v>47</v>
      </c>
      <c r="E183" s="9" t="s">
        <v>47</v>
      </c>
      <c r="F183" s="10">
        <v>45356</v>
      </c>
      <c r="G183" s="9" t="s">
        <v>155</v>
      </c>
      <c r="H183" s="9" t="s">
        <v>57</v>
      </c>
      <c r="J183" s="9">
        <v>4</v>
      </c>
      <c r="K183" s="9">
        <v>80</v>
      </c>
      <c r="L183" s="12">
        <v>0.94</v>
      </c>
      <c r="M183" s="27">
        <v>75.2</v>
      </c>
      <c r="N183" s="13" t="s">
        <v>49</v>
      </c>
      <c r="Q183" s="9">
        <f>IF(Auction_Sales[[#This Row],[Payment Date]]=0,"",-1+WEEKNUM(Auction_Sales[[#This Row],[Payment Date]]))</f>
        <v>9</v>
      </c>
      <c r="R183" s="9">
        <v>0</v>
      </c>
      <c r="S183" s="9" t="s">
        <v>155</v>
      </c>
      <c r="T183" s="9" t="s">
        <v>57</v>
      </c>
      <c r="U183" s="9">
        <v>80</v>
      </c>
      <c r="V183" s="13">
        <v>1</v>
      </c>
      <c r="W183" s="13">
        <v>80</v>
      </c>
      <c r="X183" s="14">
        <v>-4.0267142857142844</v>
      </c>
      <c r="Y183" s="13">
        <v>75.973285714285709</v>
      </c>
      <c r="Z183" s="10">
        <v>45357</v>
      </c>
      <c r="AA183" s="9">
        <v>0</v>
      </c>
      <c r="AC183" s="9" t="s">
        <v>72</v>
      </c>
      <c r="AD183" s="14">
        <v>15.164666666666667</v>
      </c>
      <c r="AF183" s="14">
        <v>1.6</v>
      </c>
      <c r="AH183" s="14">
        <v>16.764666666666667</v>
      </c>
      <c r="AI183" s="13">
        <v>59.208619047619038</v>
      </c>
      <c r="AK183" s="9">
        <v>80</v>
      </c>
    </row>
    <row r="184" spans="1:37">
      <c r="A184" s="9">
        <v>10</v>
      </c>
      <c r="B184" s="9">
        <v>2024</v>
      </c>
      <c r="C184" s="9" t="s">
        <v>46</v>
      </c>
      <c r="D184" s="9" t="s">
        <v>47</v>
      </c>
      <c r="E184" s="9" t="s">
        <v>47</v>
      </c>
      <c r="F184" s="10">
        <v>45356</v>
      </c>
      <c r="G184" s="9" t="s">
        <v>153</v>
      </c>
      <c r="H184" s="9" t="s">
        <v>56</v>
      </c>
      <c r="I184" s="9">
        <v>1</v>
      </c>
      <c r="J184" s="9">
        <v>5.333333333333333</v>
      </c>
      <c r="K184" s="9">
        <v>160</v>
      </c>
      <c r="L184" s="12">
        <v>0.38</v>
      </c>
      <c r="M184" s="27">
        <v>60.8</v>
      </c>
      <c r="N184" s="13" t="s">
        <v>49</v>
      </c>
      <c r="Q184" s="9">
        <f>IF(Auction_Sales[[#This Row],[Payment Date]]=0,"",-1+WEEKNUM(Auction_Sales[[#This Row],[Payment Date]]))</f>
        <v>9</v>
      </c>
      <c r="R184" s="9">
        <v>-40</v>
      </c>
      <c r="S184" s="9" t="s">
        <v>153</v>
      </c>
      <c r="T184" s="9" t="s">
        <v>56</v>
      </c>
      <c r="U184" s="9">
        <v>200</v>
      </c>
      <c r="V184" s="13">
        <v>0.76200000000000001</v>
      </c>
      <c r="W184" s="13">
        <v>152.4</v>
      </c>
      <c r="X184" s="14">
        <v>-10.066785714285711</v>
      </c>
      <c r="Y184" s="13">
        <v>142.33321428571429</v>
      </c>
      <c r="Z184" s="10">
        <v>45357</v>
      </c>
      <c r="AA184" s="9">
        <v>40</v>
      </c>
      <c r="AC184" s="9" t="s">
        <v>72</v>
      </c>
      <c r="AD184" s="14">
        <v>20.219555555555552</v>
      </c>
      <c r="AF184" s="14">
        <v>4</v>
      </c>
      <c r="AH184" s="14">
        <v>24.219555555555552</v>
      </c>
      <c r="AI184" s="13">
        <v>118.11365873015873</v>
      </c>
      <c r="AK184" s="9">
        <v>200</v>
      </c>
    </row>
    <row r="185" spans="1:37">
      <c r="A185" s="9">
        <v>10</v>
      </c>
      <c r="B185" s="9">
        <v>2024</v>
      </c>
      <c r="C185" s="9" t="s">
        <v>46</v>
      </c>
      <c r="D185" s="9" t="s">
        <v>47</v>
      </c>
      <c r="E185" s="9" t="s">
        <v>47</v>
      </c>
      <c r="F185" s="10">
        <v>45356</v>
      </c>
      <c r="G185" s="9" t="s">
        <v>153</v>
      </c>
      <c r="H185" s="9" t="s">
        <v>57</v>
      </c>
      <c r="J185" s="9">
        <v>6.666666666666667</v>
      </c>
      <c r="K185" s="9">
        <v>200</v>
      </c>
      <c r="L185" s="12">
        <v>0.47</v>
      </c>
      <c r="M185" s="27">
        <v>94</v>
      </c>
      <c r="N185" s="13" t="s">
        <v>49</v>
      </c>
      <c r="Q185" s="9">
        <f>IF(Auction_Sales[[#This Row],[Payment Date]]=0,"",-1+WEEKNUM(Auction_Sales[[#This Row],[Payment Date]]))</f>
        <v>9</v>
      </c>
      <c r="R185" s="9">
        <v>40</v>
      </c>
      <c r="S185" s="9" t="s">
        <v>153</v>
      </c>
      <c r="T185" s="9" t="s">
        <v>57</v>
      </c>
      <c r="U185" s="9">
        <v>160</v>
      </c>
      <c r="V185" s="13">
        <v>0.81500000000000006</v>
      </c>
      <c r="W185" s="13">
        <v>130.4</v>
      </c>
      <c r="X185" s="14">
        <v>-8.0534285714285687</v>
      </c>
      <c r="Y185" s="13">
        <v>122.34657142857144</v>
      </c>
      <c r="Z185" s="10">
        <v>45357</v>
      </c>
      <c r="AA185" s="9">
        <v>-40</v>
      </c>
      <c r="AC185" s="9" t="s">
        <v>72</v>
      </c>
      <c r="AD185" s="14">
        <v>25.274444444444448</v>
      </c>
      <c r="AF185" s="14">
        <v>3.2</v>
      </c>
      <c r="AH185" s="14">
        <v>28.474444444444448</v>
      </c>
      <c r="AI185" s="13">
        <v>93.872126984126993</v>
      </c>
      <c r="AK185" s="9">
        <v>160</v>
      </c>
    </row>
    <row r="186" spans="1:37">
      <c r="A186" s="9">
        <v>10</v>
      </c>
      <c r="B186" s="9">
        <v>2024</v>
      </c>
      <c r="C186" s="9" t="s">
        <v>46</v>
      </c>
      <c r="D186" s="9" t="s">
        <v>47</v>
      </c>
      <c r="E186" s="9" t="s">
        <v>47</v>
      </c>
      <c r="F186" s="10">
        <v>45356</v>
      </c>
      <c r="G186" s="9" t="s">
        <v>155</v>
      </c>
      <c r="H186" s="9" t="s">
        <v>48</v>
      </c>
      <c r="I186" s="9">
        <v>1</v>
      </c>
      <c r="J186" s="9">
        <v>6</v>
      </c>
      <c r="K186" s="9">
        <v>160</v>
      </c>
      <c r="L186" s="12">
        <v>0.47</v>
      </c>
      <c r="M186" s="27">
        <v>75.2</v>
      </c>
      <c r="N186" s="13" t="s">
        <v>49</v>
      </c>
      <c r="Q186" s="9">
        <f>IF(Auction_Sales[[#This Row],[Payment Date]]=0,"",-1+WEEKNUM(Auction_Sales[[#This Row],[Payment Date]]))</f>
        <v>9</v>
      </c>
      <c r="R186" s="9">
        <v>0</v>
      </c>
      <c r="S186" s="9" t="s">
        <v>155</v>
      </c>
      <c r="T186" s="9" t="s">
        <v>48</v>
      </c>
      <c r="U186" s="9">
        <v>160</v>
      </c>
      <c r="V186" s="13">
        <v>0.64</v>
      </c>
      <c r="W186" s="13">
        <v>102.4</v>
      </c>
      <c r="X186" s="14">
        <v>-8.0534285714285687</v>
      </c>
      <c r="Y186" s="13">
        <v>94.346571428571437</v>
      </c>
      <c r="Z186" s="10">
        <v>45357</v>
      </c>
      <c r="AA186" s="9">
        <v>0</v>
      </c>
      <c r="AC186" s="9" t="s">
        <v>72</v>
      </c>
      <c r="AD186" s="14">
        <v>22.747</v>
      </c>
      <c r="AF186" s="14">
        <v>3.2</v>
      </c>
      <c r="AH186" s="14">
        <v>25.946999999999999</v>
      </c>
      <c r="AI186" s="13">
        <v>68.399571428571434</v>
      </c>
      <c r="AK186" s="9">
        <v>160</v>
      </c>
    </row>
    <row r="187" spans="1:37">
      <c r="A187" s="9">
        <v>10</v>
      </c>
      <c r="B187" s="9">
        <v>2024</v>
      </c>
      <c r="C187" s="9" t="s">
        <v>46</v>
      </c>
      <c r="D187" s="9" t="s">
        <v>47</v>
      </c>
      <c r="E187" s="9" t="s">
        <v>47</v>
      </c>
      <c r="F187" s="10">
        <v>45356</v>
      </c>
      <c r="G187" s="9" t="s">
        <v>155</v>
      </c>
      <c r="H187" s="9" t="s">
        <v>54</v>
      </c>
      <c r="J187" s="9">
        <v>6</v>
      </c>
      <c r="K187" s="9">
        <v>160</v>
      </c>
      <c r="L187" s="12">
        <v>0.56999999999999995</v>
      </c>
      <c r="M187" s="27">
        <v>91.2</v>
      </c>
      <c r="N187" s="13" t="s">
        <v>49</v>
      </c>
      <c r="Q187" s="9">
        <f>IF(Auction_Sales[[#This Row],[Payment Date]]=0,"",-1+WEEKNUM(Auction_Sales[[#This Row],[Payment Date]]))</f>
        <v>9</v>
      </c>
      <c r="R187" s="9">
        <v>0</v>
      </c>
      <c r="S187" s="9" t="s">
        <v>155</v>
      </c>
      <c r="T187" s="9" t="s">
        <v>54</v>
      </c>
      <c r="U187" s="9">
        <v>160</v>
      </c>
      <c r="V187" s="13">
        <v>1.0925</v>
      </c>
      <c r="W187" s="13">
        <v>174.8</v>
      </c>
      <c r="X187" s="14">
        <v>-8.0534285714285687</v>
      </c>
      <c r="Y187" s="13">
        <v>166.74657142857143</v>
      </c>
      <c r="Z187" s="10">
        <v>45357</v>
      </c>
      <c r="AA187" s="9">
        <v>0</v>
      </c>
      <c r="AC187" s="9" t="s">
        <v>72</v>
      </c>
      <c r="AD187" s="14">
        <v>22.747</v>
      </c>
      <c r="AF187" s="14">
        <v>3.2</v>
      </c>
      <c r="AH187" s="14">
        <v>25.946999999999999</v>
      </c>
      <c r="AI187" s="13">
        <v>140.79957142857143</v>
      </c>
      <c r="AK187" s="9">
        <v>160</v>
      </c>
    </row>
    <row r="188" spans="1:37">
      <c r="A188" s="9">
        <v>10</v>
      </c>
      <c r="B188" s="9">
        <v>2024</v>
      </c>
      <c r="C188" s="9" t="s">
        <v>46</v>
      </c>
      <c r="D188" s="9" t="s">
        <v>47</v>
      </c>
      <c r="E188" s="9" t="s">
        <v>47</v>
      </c>
      <c r="F188" s="10">
        <v>45358</v>
      </c>
      <c r="G188" s="9" t="s">
        <v>156</v>
      </c>
      <c r="H188" s="9" t="s">
        <v>57</v>
      </c>
      <c r="I188" s="9">
        <v>1</v>
      </c>
      <c r="J188" s="9">
        <v>12</v>
      </c>
      <c r="K188" s="9">
        <v>200</v>
      </c>
      <c r="L188" s="12">
        <v>1.04</v>
      </c>
      <c r="M188" s="27">
        <v>208</v>
      </c>
      <c r="N188" s="13" t="s">
        <v>49</v>
      </c>
      <c r="Q188" s="9">
        <f>IF(Auction_Sales[[#This Row],[Payment Date]]=0,"",-1+WEEKNUM(Auction_Sales[[#This Row],[Payment Date]]))</f>
        <v>10</v>
      </c>
      <c r="R188" s="9">
        <v>0</v>
      </c>
      <c r="S188" s="9" t="s">
        <v>156</v>
      </c>
      <c r="T188" s="9" t="s">
        <v>57</v>
      </c>
      <c r="U188" s="9">
        <v>200</v>
      </c>
      <c r="V188" s="13">
        <v>1.23</v>
      </c>
      <c r="W188" s="13">
        <v>246</v>
      </c>
      <c r="X188" s="14">
        <v>-10.009950248756233</v>
      </c>
      <c r="Y188" s="13">
        <v>235.99004975124376</v>
      </c>
      <c r="Z188" s="10">
        <v>45364</v>
      </c>
      <c r="AA188" s="9">
        <v>0</v>
      </c>
      <c r="AC188" s="9">
        <v>432050</v>
      </c>
      <c r="AD188" s="14">
        <v>42.864444444444437</v>
      </c>
      <c r="AF188" s="14">
        <v>4</v>
      </c>
      <c r="AH188" s="14">
        <v>46.864444444444437</v>
      </c>
      <c r="AI188" s="13">
        <v>189.12560530679932</v>
      </c>
      <c r="AK188" s="9">
        <v>200</v>
      </c>
    </row>
    <row r="189" spans="1:37">
      <c r="A189" s="9">
        <v>10</v>
      </c>
      <c r="B189" s="9">
        <v>2024</v>
      </c>
      <c r="C189" s="9" t="s">
        <v>46</v>
      </c>
      <c r="D189" s="9" t="s">
        <v>47</v>
      </c>
      <c r="E189" s="9" t="s">
        <v>47</v>
      </c>
      <c r="F189" s="10">
        <v>45358</v>
      </c>
      <c r="G189" s="9" t="s">
        <v>153</v>
      </c>
      <c r="H189" s="9" t="s">
        <v>52</v>
      </c>
      <c r="I189" s="9">
        <v>1</v>
      </c>
      <c r="J189" s="9">
        <v>12</v>
      </c>
      <c r="K189" s="9">
        <v>520</v>
      </c>
      <c r="L189" s="27">
        <v>0.28000000000000003</v>
      </c>
      <c r="M189" s="13">
        <v>145.6</v>
      </c>
      <c r="N189" s="9" t="s">
        <v>49</v>
      </c>
      <c r="Q189" s="9">
        <f>IF(Auction_Sales[[#This Row],[Payment Date]]=0,"",-1+WEEKNUM(Auction_Sales[[#This Row],[Payment Date]]))</f>
        <v>10</v>
      </c>
      <c r="R189" s="9">
        <v>0</v>
      </c>
      <c r="S189" s="9" t="s">
        <v>153</v>
      </c>
      <c r="T189" s="9" t="s">
        <v>52</v>
      </c>
      <c r="U189" s="9">
        <v>520</v>
      </c>
      <c r="V189" s="13">
        <v>0.58538461538461539</v>
      </c>
      <c r="W189" s="13">
        <v>304.39999999999998</v>
      </c>
      <c r="X189" s="14">
        <v>-26.025870646766204</v>
      </c>
      <c r="Y189" s="13">
        <v>278.3741293532338</v>
      </c>
      <c r="Z189" s="10">
        <v>45364</v>
      </c>
      <c r="AA189" s="9">
        <v>0</v>
      </c>
      <c r="AC189" s="9">
        <v>432050</v>
      </c>
      <c r="AD189" s="14">
        <v>42.864444444444437</v>
      </c>
      <c r="AF189" s="14">
        <v>10.4</v>
      </c>
      <c r="AH189" s="14">
        <v>53.264444444444436</v>
      </c>
      <c r="AI189" s="13">
        <v>225.10968490878935</v>
      </c>
      <c r="AK189" s="9">
        <v>520</v>
      </c>
    </row>
    <row r="190" spans="1:37">
      <c r="A190" s="9">
        <v>10</v>
      </c>
      <c r="B190" s="9">
        <v>2024</v>
      </c>
      <c r="C190" s="9" t="s">
        <v>46</v>
      </c>
      <c r="D190" s="9" t="s">
        <v>47</v>
      </c>
      <c r="E190" s="9" t="s">
        <v>47</v>
      </c>
      <c r="F190" s="10">
        <v>45358</v>
      </c>
      <c r="G190" s="9" t="s">
        <v>153</v>
      </c>
      <c r="H190" s="9" t="s">
        <v>54</v>
      </c>
      <c r="I190" s="9">
        <v>1</v>
      </c>
      <c r="J190" s="9">
        <v>12</v>
      </c>
      <c r="K190" s="9">
        <v>480</v>
      </c>
      <c r="L190" s="27">
        <v>0.33</v>
      </c>
      <c r="M190" s="13">
        <v>158.4</v>
      </c>
      <c r="N190" s="9" t="s">
        <v>49</v>
      </c>
      <c r="Q190" s="9">
        <f>IF(Auction_Sales[[#This Row],[Payment Date]]=0,"",-1+WEEKNUM(Auction_Sales[[#This Row],[Payment Date]]))</f>
        <v>10</v>
      </c>
      <c r="R190" s="9">
        <v>-200</v>
      </c>
      <c r="S190" s="9" t="s">
        <v>153</v>
      </c>
      <c r="T190" s="9" t="s">
        <v>54</v>
      </c>
      <c r="U190" s="9">
        <v>680</v>
      </c>
      <c r="V190" s="13">
        <v>0.51294117647058823</v>
      </c>
      <c r="W190" s="13">
        <v>348.8</v>
      </c>
      <c r="X190" s="14">
        <v>-34.033830845771185</v>
      </c>
      <c r="Y190" s="13">
        <v>314.76616915422881</v>
      </c>
      <c r="Z190" s="10">
        <v>45364</v>
      </c>
      <c r="AA190" s="9">
        <v>200</v>
      </c>
      <c r="AC190" s="9">
        <v>432050</v>
      </c>
      <c r="AD190" s="14">
        <v>42.864444444444437</v>
      </c>
      <c r="AF190" s="14">
        <v>13.6</v>
      </c>
      <c r="AH190" s="14">
        <v>56.464444444444439</v>
      </c>
      <c r="AI190" s="13">
        <v>258.30172470978437</v>
      </c>
      <c r="AK190" s="9">
        <v>680</v>
      </c>
    </row>
    <row r="191" spans="1:37">
      <c r="A191" s="9">
        <v>10</v>
      </c>
      <c r="B191" s="9">
        <v>2024</v>
      </c>
      <c r="C191" s="9" t="s">
        <v>46</v>
      </c>
      <c r="D191" s="9" t="s">
        <v>47</v>
      </c>
      <c r="E191" s="9" t="s">
        <v>47</v>
      </c>
      <c r="F191" s="10">
        <v>45358</v>
      </c>
      <c r="G191" s="9" t="s">
        <v>153</v>
      </c>
      <c r="H191" s="9" t="s">
        <v>56</v>
      </c>
      <c r="I191" s="9">
        <v>1</v>
      </c>
      <c r="J191" s="9">
        <v>12</v>
      </c>
      <c r="K191" s="9">
        <v>360</v>
      </c>
      <c r="L191" s="27">
        <v>0.38</v>
      </c>
      <c r="M191" s="13">
        <v>136.80000000000001</v>
      </c>
      <c r="N191" s="9" t="s">
        <v>49</v>
      </c>
      <c r="Q191" s="9">
        <f>IF(Auction_Sales[[#This Row],[Payment Date]]=0,"",-1+WEEKNUM(Auction_Sales[[#This Row],[Payment Date]]))</f>
        <v>10</v>
      </c>
      <c r="R191" s="9">
        <v>-160</v>
      </c>
      <c r="S191" s="9" t="s">
        <v>153</v>
      </c>
      <c r="T191" s="9" t="s">
        <v>56</v>
      </c>
      <c r="U191" s="9">
        <v>520</v>
      </c>
      <c r="V191" s="13">
        <v>0.67461538461538462</v>
      </c>
      <c r="W191" s="13">
        <v>350.8</v>
      </c>
      <c r="X191" s="14">
        <v>-26.025870646766204</v>
      </c>
      <c r="Y191" s="13">
        <v>324.77412935323383</v>
      </c>
      <c r="Z191" s="10">
        <v>45364</v>
      </c>
      <c r="AA191" s="9">
        <v>160</v>
      </c>
      <c r="AC191" s="9">
        <v>432050</v>
      </c>
      <c r="AD191" s="14">
        <v>42.864444444444437</v>
      </c>
      <c r="AF191" s="14">
        <v>10.4</v>
      </c>
      <c r="AH191" s="14">
        <v>53.264444444444436</v>
      </c>
      <c r="AI191" s="13">
        <v>271.50968490878938</v>
      </c>
      <c r="AK191" s="9">
        <v>520</v>
      </c>
    </row>
    <row r="192" spans="1:37">
      <c r="A192" s="9">
        <v>10</v>
      </c>
      <c r="B192" s="9">
        <v>2024</v>
      </c>
      <c r="C192" s="9" t="s">
        <v>46</v>
      </c>
      <c r="D192" s="9" t="s">
        <v>47</v>
      </c>
      <c r="E192" s="9" t="s">
        <v>47</v>
      </c>
      <c r="F192" s="10">
        <v>45358</v>
      </c>
      <c r="G192" s="9" t="s">
        <v>153</v>
      </c>
      <c r="H192" s="9" t="s">
        <v>57</v>
      </c>
      <c r="I192" s="9">
        <v>1</v>
      </c>
      <c r="J192" s="9">
        <v>12</v>
      </c>
      <c r="K192" s="9">
        <v>320</v>
      </c>
      <c r="L192" s="27">
        <v>0.47</v>
      </c>
      <c r="M192" s="13">
        <v>150.4</v>
      </c>
      <c r="N192" s="9" t="s">
        <v>49</v>
      </c>
      <c r="Q192" s="9">
        <f>IF(Auction_Sales[[#This Row],[Payment Date]]=0,"",-1+WEEKNUM(Auction_Sales[[#This Row],[Payment Date]]))</f>
        <v>10</v>
      </c>
      <c r="R192" s="9">
        <v>0</v>
      </c>
      <c r="S192" s="9" t="s">
        <v>153</v>
      </c>
      <c r="T192" s="9" t="s">
        <v>57</v>
      </c>
      <c r="U192" s="9">
        <v>320</v>
      </c>
      <c r="V192" s="13">
        <v>0.70374999999999999</v>
      </c>
      <c r="W192" s="13">
        <v>225.2</v>
      </c>
      <c r="X192" s="14">
        <v>-16.015920398009971</v>
      </c>
      <c r="Y192" s="13">
        <v>209.18407960199002</v>
      </c>
      <c r="Z192" s="10">
        <v>45364</v>
      </c>
      <c r="AA192" s="9">
        <v>0</v>
      </c>
      <c r="AC192" s="9">
        <v>432050</v>
      </c>
      <c r="AD192" s="14">
        <v>42.864444444444437</v>
      </c>
      <c r="AF192" s="14">
        <v>6.4</v>
      </c>
      <c r="AH192" s="14">
        <v>49.264444444444436</v>
      </c>
      <c r="AI192" s="13">
        <v>159.9196351575456</v>
      </c>
      <c r="AK192" s="9">
        <v>320</v>
      </c>
    </row>
    <row r="193" spans="1:37">
      <c r="A193" s="9">
        <v>10</v>
      </c>
      <c r="B193" s="9">
        <v>2024</v>
      </c>
      <c r="C193" s="9" t="s">
        <v>46</v>
      </c>
      <c r="D193" s="9" t="s">
        <v>47</v>
      </c>
      <c r="E193" s="9" t="s">
        <v>47</v>
      </c>
      <c r="F193" s="10">
        <v>45358</v>
      </c>
      <c r="G193" s="9" t="s">
        <v>154</v>
      </c>
      <c r="H193" s="9" t="s">
        <v>48</v>
      </c>
      <c r="I193" s="9">
        <v>1</v>
      </c>
      <c r="J193" s="9">
        <v>12</v>
      </c>
      <c r="K193" s="9">
        <v>440</v>
      </c>
      <c r="L193" s="27">
        <v>0.47</v>
      </c>
      <c r="M193" s="13">
        <v>206.8</v>
      </c>
      <c r="N193" s="9" t="s">
        <v>49</v>
      </c>
      <c r="Q193" s="9">
        <f>IF(Auction_Sales[[#This Row],[Payment Date]]=0,"",-1+WEEKNUM(Auction_Sales[[#This Row],[Payment Date]]))</f>
        <v>10</v>
      </c>
      <c r="R193" s="9">
        <v>0</v>
      </c>
      <c r="S193" s="9" t="s">
        <v>154</v>
      </c>
      <c r="T193" s="9" t="s">
        <v>48</v>
      </c>
      <c r="U193" s="9">
        <v>440</v>
      </c>
      <c r="V193" s="13">
        <v>0.37545454545454543</v>
      </c>
      <c r="W193" s="13">
        <v>165.2</v>
      </c>
      <c r="X193" s="14">
        <v>-22.021890547263709</v>
      </c>
      <c r="Y193" s="13">
        <v>143.17810945273629</v>
      </c>
      <c r="Z193" s="10">
        <v>45364</v>
      </c>
      <c r="AA193" s="9">
        <v>0</v>
      </c>
      <c r="AC193" s="9">
        <v>432050</v>
      </c>
      <c r="AD193" s="14">
        <v>42.864444444444437</v>
      </c>
      <c r="AF193" s="14">
        <v>8.8000000000000007</v>
      </c>
      <c r="AH193" s="14">
        <v>51.664444444444442</v>
      </c>
      <c r="AI193" s="13">
        <v>91.513665008291852</v>
      </c>
      <c r="AK193" s="9">
        <v>440</v>
      </c>
    </row>
    <row r="194" spans="1:37">
      <c r="A194" s="9">
        <v>10</v>
      </c>
      <c r="B194" s="9">
        <v>2024</v>
      </c>
      <c r="C194" s="9" t="s">
        <v>46</v>
      </c>
      <c r="D194" s="9" t="s">
        <v>47</v>
      </c>
      <c r="E194" s="9" t="s">
        <v>47</v>
      </c>
      <c r="F194" s="10">
        <v>45358</v>
      </c>
      <c r="G194" s="9" t="s">
        <v>154</v>
      </c>
      <c r="H194" s="9" t="s">
        <v>54</v>
      </c>
      <c r="I194" s="9">
        <v>1</v>
      </c>
      <c r="J194" s="9">
        <v>12</v>
      </c>
      <c r="K194" s="9">
        <v>240</v>
      </c>
      <c r="L194" s="27">
        <v>0.56999999999999995</v>
      </c>
      <c r="M194" s="13">
        <v>136.80000000000001</v>
      </c>
      <c r="N194" s="9" t="s">
        <v>49</v>
      </c>
      <c r="Q194" s="9">
        <f>IF(Auction_Sales[[#This Row],[Payment Date]]=0,"",-1+WEEKNUM(Auction_Sales[[#This Row],[Payment Date]]))</f>
        <v>10</v>
      </c>
      <c r="R194" s="9">
        <v>240</v>
      </c>
      <c r="S194" s="9" t="s">
        <v>154</v>
      </c>
      <c r="T194" s="9" t="s">
        <v>54</v>
      </c>
      <c r="W194" s="13">
        <v>0</v>
      </c>
      <c r="X194" s="14">
        <v>0</v>
      </c>
      <c r="Y194" s="13">
        <v>0</v>
      </c>
      <c r="Z194" s="10">
        <v>45364</v>
      </c>
      <c r="AA194" s="9">
        <v>-240</v>
      </c>
      <c r="AC194" s="9">
        <v>432050</v>
      </c>
      <c r="AD194" s="14">
        <v>42.864444444444437</v>
      </c>
      <c r="AF194" s="14">
        <v>0</v>
      </c>
      <c r="AH194" s="14">
        <v>42.864444444444437</v>
      </c>
      <c r="AI194" s="13">
        <v>-42.864444444444437</v>
      </c>
      <c r="AK194" s="9">
        <v>0</v>
      </c>
    </row>
    <row r="195" spans="1:37">
      <c r="A195" s="9">
        <v>10</v>
      </c>
      <c r="B195" s="9">
        <v>2024</v>
      </c>
      <c r="C195" s="9" t="s">
        <v>46</v>
      </c>
      <c r="D195" s="9" t="s">
        <v>47</v>
      </c>
      <c r="E195" s="9" t="s">
        <v>47</v>
      </c>
      <c r="F195" s="10">
        <v>45358</v>
      </c>
      <c r="G195" s="9" t="s">
        <v>154</v>
      </c>
      <c r="H195" s="9" t="s">
        <v>54</v>
      </c>
      <c r="I195" s="9">
        <v>1</v>
      </c>
      <c r="J195" s="9">
        <v>12</v>
      </c>
      <c r="K195" s="9">
        <v>320</v>
      </c>
      <c r="L195" s="27">
        <v>0.56999999999999995</v>
      </c>
      <c r="M195" s="13">
        <v>182.4</v>
      </c>
      <c r="N195" s="9" t="s">
        <v>49</v>
      </c>
      <c r="Q195" s="9">
        <f>IF(Auction_Sales[[#This Row],[Payment Date]]=0,"",-1+WEEKNUM(Auction_Sales[[#This Row],[Payment Date]]))</f>
        <v>10</v>
      </c>
      <c r="R195" s="9">
        <v>-240</v>
      </c>
      <c r="S195" s="9" t="s">
        <v>154</v>
      </c>
      <c r="T195" s="9" t="s">
        <v>54</v>
      </c>
      <c r="U195" s="9">
        <v>560</v>
      </c>
      <c r="V195" s="13">
        <v>0.6607142857142857</v>
      </c>
      <c r="W195" s="13">
        <v>370</v>
      </c>
      <c r="X195" s="14">
        <v>-28.02786069651745</v>
      </c>
      <c r="Y195" s="13">
        <v>341.97213930348255</v>
      </c>
      <c r="Z195" s="10">
        <v>45364</v>
      </c>
      <c r="AA195" s="9">
        <v>240</v>
      </c>
      <c r="AC195" s="9">
        <v>432050</v>
      </c>
      <c r="AD195" s="14">
        <v>42.864444444444437</v>
      </c>
      <c r="AF195" s="14">
        <v>11.200000000000001</v>
      </c>
      <c r="AH195" s="14">
        <v>54.06444444444444</v>
      </c>
      <c r="AI195" s="13">
        <v>287.90769485903809</v>
      </c>
      <c r="AK195" s="9">
        <v>560</v>
      </c>
    </row>
    <row r="196" spans="1:37">
      <c r="A196" s="9">
        <v>10</v>
      </c>
      <c r="B196" s="9">
        <v>2024</v>
      </c>
      <c r="C196" s="9" t="s">
        <v>46</v>
      </c>
      <c r="D196" s="9" t="s">
        <v>47</v>
      </c>
      <c r="E196" s="9" t="s">
        <v>47</v>
      </c>
      <c r="F196" s="10">
        <v>45358</v>
      </c>
      <c r="G196" s="9" t="s">
        <v>154</v>
      </c>
      <c r="H196" s="9" t="s">
        <v>56</v>
      </c>
      <c r="I196" s="9">
        <v>2</v>
      </c>
      <c r="J196" s="9">
        <v>24</v>
      </c>
      <c r="K196" s="9">
        <v>400</v>
      </c>
      <c r="L196" s="27">
        <v>0.75</v>
      </c>
      <c r="M196" s="13">
        <v>300</v>
      </c>
      <c r="N196" s="9" t="s">
        <v>49</v>
      </c>
      <c r="Q196" s="9">
        <f>IF(Auction_Sales[[#This Row],[Payment Date]]=0,"",-1+WEEKNUM(Auction_Sales[[#This Row],[Payment Date]]))</f>
        <v>10</v>
      </c>
      <c r="R196" s="9">
        <v>-200</v>
      </c>
      <c r="S196" s="9" t="s">
        <v>154</v>
      </c>
      <c r="T196" s="9" t="s">
        <v>56</v>
      </c>
      <c r="U196" s="9">
        <v>600</v>
      </c>
      <c r="V196" s="13">
        <v>0.71</v>
      </c>
      <c r="W196" s="13">
        <v>426</v>
      </c>
      <c r="X196" s="14">
        <v>-30.029850746268696</v>
      </c>
      <c r="Y196" s="13">
        <v>395.97014925373128</v>
      </c>
      <c r="Z196" s="10">
        <v>45364</v>
      </c>
      <c r="AA196" s="9">
        <v>200</v>
      </c>
      <c r="AC196" s="9">
        <v>432050</v>
      </c>
      <c r="AD196" s="14">
        <v>85.728888888888875</v>
      </c>
      <c r="AF196" s="14">
        <v>12</v>
      </c>
      <c r="AH196" s="14">
        <v>97.728888888888875</v>
      </c>
      <c r="AI196" s="13">
        <v>298.24126036484239</v>
      </c>
      <c r="AK196" s="9">
        <v>600</v>
      </c>
    </row>
    <row r="197" spans="1:37">
      <c r="A197" s="9">
        <v>10</v>
      </c>
      <c r="B197" s="9">
        <v>2024</v>
      </c>
      <c r="C197" s="9" t="s">
        <v>46</v>
      </c>
      <c r="D197" s="9" t="s">
        <v>47</v>
      </c>
      <c r="E197" s="9" t="s">
        <v>47</v>
      </c>
      <c r="F197" s="10">
        <v>45358</v>
      </c>
      <c r="G197" s="9" t="s">
        <v>154</v>
      </c>
      <c r="H197" s="9" t="s">
        <v>56</v>
      </c>
      <c r="I197" s="9">
        <v>1</v>
      </c>
      <c r="J197" s="9">
        <v>12</v>
      </c>
      <c r="K197" s="9">
        <v>240</v>
      </c>
      <c r="L197" s="27">
        <v>0.75</v>
      </c>
      <c r="M197" s="13">
        <v>180</v>
      </c>
      <c r="N197" s="9" t="s">
        <v>49</v>
      </c>
      <c r="Q197" s="9">
        <f>IF(Auction_Sales[[#This Row],[Payment Date]]=0,"",-1+WEEKNUM(Auction_Sales[[#This Row],[Payment Date]]))</f>
        <v>10</v>
      </c>
      <c r="R197" s="9">
        <v>240</v>
      </c>
      <c r="S197" s="9" t="s">
        <v>154</v>
      </c>
      <c r="T197" s="9" t="s">
        <v>56</v>
      </c>
      <c r="W197" s="13">
        <v>0</v>
      </c>
      <c r="X197" s="14">
        <v>0</v>
      </c>
      <c r="Y197" s="13">
        <v>0</v>
      </c>
      <c r="Z197" s="10">
        <v>45364</v>
      </c>
      <c r="AA197" s="9">
        <v>-240</v>
      </c>
      <c r="AC197" s="9">
        <v>432050</v>
      </c>
      <c r="AD197" s="14">
        <v>42.864444444444437</v>
      </c>
      <c r="AF197" s="14">
        <v>0</v>
      </c>
      <c r="AH197" s="14">
        <v>42.864444444444437</v>
      </c>
      <c r="AI197" s="13">
        <v>-42.864444444444437</v>
      </c>
      <c r="AK197" s="9">
        <v>0</v>
      </c>
    </row>
    <row r="198" spans="1:37">
      <c r="A198" s="9">
        <v>10</v>
      </c>
      <c r="B198" s="9">
        <v>2024</v>
      </c>
      <c r="C198" s="9" t="s">
        <v>46</v>
      </c>
      <c r="D198" s="9" t="s">
        <v>47</v>
      </c>
      <c r="E198" s="9" t="s">
        <v>47</v>
      </c>
      <c r="F198" s="10">
        <v>45358</v>
      </c>
      <c r="G198" s="9" t="s">
        <v>154</v>
      </c>
      <c r="H198" s="9" t="s">
        <v>57</v>
      </c>
      <c r="I198" s="9">
        <v>1</v>
      </c>
      <c r="J198" s="9">
        <v>12</v>
      </c>
      <c r="K198" s="9">
        <v>200</v>
      </c>
      <c r="L198" s="27">
        <v>0.94</v>
      </c>
      <c r="M198" s="13">
        <v>188</v>
      </c>
      <c r="N198" s="9" t="s">
        <v>49</v>
      </c>
      <c r="Q198" s="9">
        <f>IF(Auction_Sales[[#This Row],[Payment Date]]=0,"",-1+WEEKNUM(Auction_Sales[[#This Row],[Payment Date]]))</f>
        <v>10</v>
      </c>
      <c r="R198" s="9">
        <v>200</v>
      </c>
      <c r="S198" s="9" t="s">
        <v>154</v>
      </c>
      <c r="T198" s="9" t="s">
        <v>57</v>
      </c>
      <c r="W198" s="13">
        <v>0</v>
      </c>
      <c r="X198" s="14">
        <v>0</v>
      </c>
      <c r="Y198" s="13">
        <v>0</v>
      </c>
      <c r="Z198" s="10">
        <v>45364</v>
      </c>
      <c r="AA198" s="9">
        <v>-200</v>
      </c>
      <c r="AC198" s="9">
        <v>432050</v>
      </c>
      <c r="AD198" s="14">
        <v>42.864444444444437</v>
      </c>
      <c r="AF198" s="14">
        <v>0</v>
      </c>
      <c r="AH198" s="14">
        <v>42.864444444444437</v>
      </c>
      <c r="AI198" s="13">
        <v>-42.864444444444437</v>
      </c>
      <c r="AK198" s="9">
        <v>0</v>
      </c>
    </row>
    <row r="199" spans="1:37">
      <c r="A199" s="9">
        <v>10</v>
      </c>
      <c r="B199" s="9">
        <v>2024</v>
      </c>
      <c r="C199" s="9" t="s">
        <v>46</v>
      </c>
      <c r="D199" s="9" t="s">
        <v>47</v>
      </c>
      <c r="E199" s="9" t="s">
        <v>47</v>
      </c>
      <c r="F199" s="10">
        <v>45358</v>
      </c>
      <c r="G199" s="9" t="s">
        <v>154</v>
      </c>
      <c r="H199" s="9" t="s">
        <v>57</v>
      </c>
      <c r="I199" s="9">
        <v>2</v>
      </c>
      <c r="J199" s="9">
        <v>24</v>
      </c>
      <c r="K199" s="9">
        <v>320</v>
      </c>
      <c r="L199" s="27">
        <v>0.94</v>
      </c>
      <c r="M199" s="13">
        <v>300.8</v>
      </c>
      <c r="N199" s="9" t="s">
        <v>49</v>
      </c>
      <c r="Q199" s="9">
        <f>IF(Auction_Sales[[#This Row],[Payment Date]]=0,"",-1+WEEKNUM(Auction_Sales[[#This Row],[Payment Date]]))</f>
        <v>10</v>
      </c>
      <c r="R199" s="9">
        <v>-160</v>
      </c>
      <c r="S199" s="9" t="s">
        <v>154</v>
      </c>
      <c r="T199" s="9" t="s">
        <v>57</v>
      </c>
      <c r="U199" s="9">
        <v>480</v>
      </c>
      <c r="V199" s="13">
        <v>0.5575</v>
      </c>
      <c r="W199" s="13">
        <v>267.60000000000002</v>
      </c>
      <c r="X199" s="14">
        <v>-24.023880597014958</v>
      </c>
      <c r="Y199" s="13">
        <v>243.57611940298506</v>
      </c>
      <c r="Z199" s="10">
        <v>45364</v>
      </c>
      <c r="AA199" s="9">
        <v>160</v>
      </c>
      <c r="AC199" s="9">
        <v>432050</v>
      </c>
      <c r="AD199" s="14">
        <v>85.728888888888875</v>
      </c>
      <c r="AF199" s="14">
        <v>9.6</v>
      </c>
      <c r="AH199" s="14">
        <v>95.328888888888869</v>
      </c>
      <c r="AI199" s="13">
        <v>148.2472305140962</v>
      </c>
      <c r="AK199" s="9">
        <v>480</v>
      </c>
    </row>
    <row r="200" spans="1:37">
      <c r="A200" s="9">
        <v>10</v>
      </c>
      <c r="B200" s="9">
        <v>2024</v>
      </c>
      <c r="C200" s="9" t="s">
        <v>46</v>
      </c>
      <c r="D200" s="9" t="s">
        <v>47</v>
      </c>
      <c r="E200" s="9" t="s">
        <v>47</v>
      </c>
      <c r="F200" s="10">
        <v>45358</v>
      </c>
      <c r="G200" s="9" t="s">
        <v>155</v>
      </c>
      <c r="H200" s="9" t="s">
        <v>52</v>
      </c>
      <c r="I200" s="9">
        <v>3</v>
      </c>
      <c r="J200" s="9">
        <v>36</v>
      </c>
      <c r="K200" s="9">
        <v>1200</v>
      </c>
      <c r="L200" s="27">
        <v>0.52</v>
      </c>
      <c r="M200" s="13">
        <v>624</v>
      </c>
      <c r="N200" s="9" t="s">
        <v>49</v>
      </c>
      <c r="Q200" s="9">
        <f>IF(Auction_Sales[[#This Row],[Payment Date]]=0,"",-1+WEEKNUM(Auction_Sales[[#This Row],[Payment Date]]))</f>
        <v>10</v>
      </c>
      <c r="R200" s="9">
        <v>0</v>
      </c>
      <c r="S200" s="9" t="s">
        <v>155</v>
      </c>
      <c r="T200" s="9" t="s">
        <v>52</v>
      </c>
      <c r="U200" s="9">
        <v>1200</v>
      </c>
      <c r="V200" s="13">
        <v>0.48466666666666669</v>
      </c>
      <c r="W200" s="13">
        <v>581.6</v>
      </c>
      <c r="X200" s="14">
        <v>-60.059701492537393</v>
      </c>
      <c r="Y200" s="13">
        <v>521.54029850746258</v>
      </c>
      <c r="Z200" s="10">
        <v>45364</v>
      </c>
      <c r="AA200" s="9">
        <v>0</v>
      </c>
      <c r="AC200" s="9">
        <v>432050</v>
      </c>
      <c r="AD200" s="14">
        <v>128.59333333333331</v>
      </c>
      <c r="AF200" s="14">
        <v>24</v>
      </c>
      <c r="AH200" s="14">
        <v>152.59333333333331</v>
      </c>
      <c r="AI200" s="13">
        <v>368.94696517412928</v>
      </c>
      <c r="AK200" s="9">
        <v>1200</v>
      </c>
    </row>
    <row r="201" spans="1:37">
      <c r="A201" s="9">
        <v>10</v>
      </c>
      <c r="B201" s="9">
        <v>2024</v>
      </c>
      <c r="C201" s="9" t="s">
        <v>46</v>
      </c>
      <c r="D201" s="9" t="s">
        <v>47</v>
      </c>
      <c r="E201" s="9" t="s">
        <v>47</v>
      </c>
      <c r="F201" s="10">
        <v>45358</v>
      </c>
      <c r="G201" s="9" t="s">
        <v>155</v>
      </c>
      <c r="H201" s="9" t="s">
        <v>54</v>
      </c>
      <c r="I201" s="9">
        <v>2</v>
      </c>
      <c r="J201" s="9">
        <v>24</v>
      </c>
      <c r="K201" s="9">
        <v>640</v>
      </c>
      <c r="L201" s="27">
        <v>0.56999999999999995</v>
      </c>
      <c r="M201" s="13">
        <v>364.8</v>
      </c>
      <c r="N201" s="9" t="s">
        <v>49</v>
      </c>
      <c r="Q201" s="9">
        <f>IF(Auction_Sales[[#This Row],[Payment Date]]=0,"",-1+WEEKNUM(Auction_Sales[[#This Row],[Payment Date]]))</f>
        <v>10</v>
      </c>
      <c r="R201" s="9">
        <v>0</v>
      </c>
      <c r="S201" s="9" t="s">
        <v>155</v>
      </c>
      <c r="T201" s="9" t="s">
        <v>54</v>
      </c>
      <c r="U201" s="9">
        <v>640</v>
      </c>
      <c r="V201" s="13">
        <v>0.81937499999999996</v>
      </c>
      <c r="W201" s="13">
        <v>524.4</v>
      </c>
      <c r="X201" s="14">
        <v>-32.031840796019942</v>
      </c>
      <c r="Y201" s="13">
        <v>492.36815920398004</v>
      </c>
      <c r="Z201" s="10">
        <v>45364</v>
      </c>
      <c r="AA201" s="9">
        <v>0</v>
      </c>
      <c r="AC201" s="9">
        <v>432050</v>
      </c>
      <c r="AD201" s="14">
        <v>85.728888888888875</v>
      </c>
      <c r="AF201" s="14">
        <v>12.8</v>
      </c>
      <c r="AH201" s="14">
        <v>98.528888888888872</v>
      </c>
      <c r="AI201" s="13">
        <v>393.8392703150912</v>
      </c>
      <c r="AK201" s="9">
        <v>640</v>
      </c>
    </row>
    <row r="202" spans="1:37">
      <c r="A202" s="9">
        <v>10</v>
      </c>
      <c r="B202" s="9">
        <v>2024</v>
      </c>
      <c r="C202" s="9" t="s">
        <v>46</v>
      </c>
      <c r="D202" s="9" t="s">
        <v>47</v>
      </c>
      <c r="E202" s="9" t="s">
        <v>47</v>
      </c>
      <c r="F202" s="10">
        <v>45358</v>
      </c>
      <c r="G202" s="9" t="s">
        <v>155</v>
      </c>
      <c r="H202" s="9" t="s">
        <v>56</v>
      </c>
      <c r="I202" s="9">
        <v>2</v>
      </c>
      <c r="J202" s="9">
        <v>24</v>
      </c>
      <c r="K202" s="9">
        <v>480</v>
      </c>
      <c r="L202" s="27">
        <v>0.75</v>
      </c>
      <c r="M202" s="13">
        <v>360</v>
      </c>
      <c r="N202" s="9" t="s">
        <v>49</v>
      </c>
      <c r="Q202" s="9">
        <f>IF(Auction_Sales[[#This Row],[Payment Date]]=0,"",-1+WEEKNUM(Auction_Sales[[#This Row],[Payment Date]]))</f>
        <v>10</v>
      </c>
      <c r="R202" s="9">
        <v>0</v>
      </c>
      <c r="S202" s="9" t="s">
        <v>155</v>
      </c>
      <c r="T202" s="9" t="s">
        <v>56</v>
      </c>
      <c r="U202" s="9">
        <v>480</v>
      </c>
      <c r="V202" s="13">
        <v>0.91833333333333333</v>
      </c>
      <c r="W202" s="13">
        <v>440.8</v>
      </c>
      <c r="X202" s="14">
        <v>-24.023880597014958</v>
      </c>
      <c r="Y202" s="13">
        <v>416.77611940298505</v>
      </c>
      <c r="Z202" s="10">
        <v>45364</v>
      </c>
      <c r="AA202" s="9">
        <v>0</v>
      </c>
      <c r="AC202" s="9">
        <v>432050</v>
      </c>
      <c r="AD202" s="14">
        <v>85.728888888888875</v>
      </c>
      <c r="AF202" s="14">
        <v>9.6</v>
      </c>
      <c r="AH202" s="14">
        <v>95.328888888888869</v>
      </c>
      <c r="AI202" s="13">
        <v>321.44723051409619</v>
      </c>
      <c r="AK202" s="9">
        <v>480</v>
      </c>
    </row>
    <row r="203" spans="1:37">
      <c r="A203" s="9">
        <v>10</v>
      </c>
      <c r="B203" s="9">
        <v>2024</v>
      </c>
      <c r="C203" s="9" t="s">
        <v>46</v>
      </c>
      <c r="D203" s="9" t="s">
        <v>47</v>
      </c>
      <c r="E203" s="9" t="s">
        <v>47</v>
      </c>
      <c r="F203" s="10">
        <v>45358</v>
      </c>
      <c r="G203" s="9" t="s">
        <v>155</v>
      </c>
      <c r="H203" s="9" t="s">
        <v>57</v>
      </c>
      <c r="I203" s="9">
        <v>1</v>
      </c>
      <c r="J203" s="9">
        <v>12</v>
      </c>
      <c r="K203" s="9">
        <v>200</v>
      </c>
      <c r="L203" s="27">
        <v>0.94</v>
      </c>
      <c r="M203" s="13">
        <v>188</v>
      </c>
      <c r="N203" s="9" t="s">
        <v>49</v>
      </c>
      <c r="Q203" s="9">
        <f>IF(Auction_Sales[[#This Row],[Payment Date]]=0,"",-1+WEEKNUM(Auction_Sales[[#This Row],[Payment Date]]))</f>
        <v>10</v>
      </c>
      <c r="R203" s="9">
        <v>-160</v>
      </c>
      <c r="S203" s="9" t="s">
        <v>155</v>
      </c>
      <c r="T203" s="9" t="s">
        <v>57</v>
      </c>
      <c r="U203" s="9">
        <v>360</v>
      </c>
      <c r="V203" s="13">
        <v>0.68222222222222217</v>
      </c>
      <c r="W203" s="13">
        <v>245.6</v>
      </c>
      <c r="X203" s="14">
        <v>-18.017910447761221</v>
      </c>
      <c r="Y203" s="13">
        <v>227.58208955223878</v>
      </c>
      <c r="Z203" s="10">
        <v>45364</v>
      </c>
      <c r="AA203" s="9">
        <v>160</v>
      </c>
      <c r="AC203" s="9">
        <v>432050</v>
      </c>
      <c r="AD203" s="14">
        <v>42.864444444444437</v>
      </c>
      <c r="AF203" s="14">
        <v>7.2</v>
      </c>
      <c r="AH203" s="14">
        <v>50.06444444444444</v>
      </c>
      <c r="AI203" s="13">
        <v>177.51764510779435</v>
      </c>
      <c r="AK203" s="9">
        <v>360</v>
      </c>
    </row>
    <row r="204" spans="1:37">
      <c r="A204" s="9">
        <v>10</v>
      </c>
      <c r="B204" s="9">
        <v>2024</v>
      </c>
      <c r="C204" s="9" t="s">
        <v>46</v>
      </c>
      <c r="D204" s="9" t="s">
        <v>47</v>
      </c>
      <c r="E204" s="9" t="s">
        <v>47</v>
      </c>
      <c r="F204" s="10">
        <v>45358</v>
      </c>
      <c r="G204" s="9" t="s">
        <v>155</v>
      </c>
      <c r="H204" s="9" t="s">
        <v>57</v>
      </c>
      <c r="I204" s="9">
        <v>1</v>
      </c>
      <c r="J204" s="9">
        <v>12</v>
      </c>
      <c r="K204" s="9">
        <v>160</v>
      </c>
      <c r="L204" s="27">
        <v>0.94</v>
      </c>
      <c r="M204" s="13">
        <v>150.4</v>
      </c>
      <c r="N204" s="9" t="s">
        <v>49</v>
      </c>
      <c r="Q204" s="9">
        <f>IF(Auction_Sales[[#This Row],[Payment Date]]=0,"",-1+WEEKNUM(Auction_Sales[[#This Row],[Payment Date]]))</f>
        <v>10</v>
      </c>
      <c r="R204" s="9">
        <v>160</v>
      </c>
      <c r="S204" s="9" t="s">
        <v>155</v>
      </c>
      <c r="T204" s="9" t="s">
        <v>57</v>
      </c>
      <c r="W204" s="13">
        <v>0</v>
      </c>
      <c r="X204" s="14">
        <v>0</v>
      </c>
      <c r="Y204" s="13">
        <v>0</v>
      </c>
      <c r="Z204" s="10">
        <v>45364</v>
      </c>
      <c r="AA204" s="9">
        <v>-160</v>
      </c>
      <c r="AC204" s="9">
        <v>432050</v>
      </c>
      <c r="AD204" s="14">
        <v>42.864444444444437</v>
      </c>
      <c r="AF204" s="14">
        <v>0</v>
      </c>
      <c r="AH204" s="14">
        <v>42.864444444444437</v>
      </c>
      <c r="AI204" s="13">
        <v>-42.864444444444437</v>
      </c>
      <c r="AK204" s="9">
        <v>0</v>
      </c>
    </row>
    <row r="205" spans="1:37">
      <c r="A205" s="9">
        <v>10</v>
      </c>
      <c r="B205" s="9">
        <v>2024</v>
      </c>
      <c r="C205" s="9" t="s">
        <v>46</v>
      </c>
      <c r="D205" s="9" t="s">
        <v>47</v>
      </c>
      <c r="E205" s="9" t="s">
        <v>47</v>
      </c>
      <c r="F205" s="10">
        <v>45358</v>
      </c>
      <c r="G205" s="9" t="s">
        <v>156</v>
      </c>
      <c r="H205" s="9" t="s">
        <v>57</v>
      </c>
      <c r="I205" s="9">
        <v>1</v>
      </c>
      <c r="J205" s="9">
        <v>2.4000000000000004</v>
      </c>
      <c r="K205" s="9">
        <v>40</v>
      </c>
      <c r="L205" s="27">
        <v>1.04</v>
      </c>
      <c r="M205" s="13">
        <v>41.6</v>
      </c>
      <c r="N205" s="9" t="s">
        <v>49</v>
      </c>
      <c r="Q205" s="9">
        <f>IF(Auction_Sales[[#This Row],[Payment Date]]=0,"",-1+WEEKNUM(Auction_Sales[[#This Row],[Payment Date]]))</f>
        <v>10</v>
      </c>
      <c r="R205" s="9">
        <v>40</v>
      </c>
      <c r="S205" s="9" t="s">
        <v>156</v>
      </c>
      <c r="T205" s="9" t="s">
        <v>57</v>
      </c>
      <c r="W205" s="13">
        <v>0</v>
      </c>
      <c r="X205" s="14">
        <v>0</v>
      </c>
      <c r="Y205" s="13">
        <v>0</v>
      </c>
      <c r="Z205" s="10">
        <v>45364</v>
      </c>
      <c r="AA205" s="9">
        <v>-40</v>
      </c>
      <c r="AC205" s="9">
        <v>432050</v>
      </c>
      <c r="AD205" s="14">
        <v>8.5728888888888903</v>
      </c>
      <c r="AF205" s="14">
        <v>0</v>
      </c>
      <c r="AH205" s="14">
        <v>8.5728888888888903</v>
      </c>
      <c r="AI205" s="13">
        <v>-8.5728888888888903</v>
      </c>
      <c r="AK205" s="9">
        <v>0</v>
      </c>
    </row>
    <row r="206" spans="1:37">
      <c r="A206" s="9">
        <v>10</v>
      </c>
      <c r="B206" s="9">
        <v>2024</v>
      </c>
      <c r="C206" s="9" t="s">
        <v>46</v>
      </c>
      <c r="D206" s="9" t="s">
        <v>47</v>
      </c>
      <c r="E206" s="9" t="s">
        <v>47</v>
      </c>
      <c r="F206" s="10">
        <v>45358</v>
      </c>
      <c r="G206" s="9" t="s">
        <v>156</v>
      </c>
      <c r="H206" s="9" t="s">
        <v>56</v>
      </c>
      <c r="J206" s="9">
        <v>4.8000000000000007</v>
      </c>
      <c r="K206" s="9">
        <v>80</v>
      </c>
      <c r="L206" s="27">
        <v>0.85</v>
      </c>
      <c r="M206" s="13">
        <v>68</v>
      </c>
      <c r="N206" s="9" t="s">
        <v>49</v>
      </c>
      <c r="Q206" s="9">
        <f>IF(Auction_Sales[[#This Row],[Payment Date]]=0,"",-1+WEEKNUM(Auction_Sales[[#This Row],[Payment Date]]))</f>
        <v>10</v>
      </c>
      <c r="R206" s="9">
        <v>-40</v>
      </c>
      <c r="S206" s="9" t="s">
        <v>156</v>
      </c>
      <c r="T206" s="9" t="s">
        <v>56</v>
      </c>
      <c r="U206" s="9">
        <v>120</v>
      </c>
      <c r="V206" s="13">
        <v>0.91</v>
      </c>
      <c r="W206" s="13">
        <v>109.2</v>
      </c>
      <c r="X206" s="14">
        <v>-6.0059701492537396</v>
      </c>
      <c r="Y206" s="13">
        <v>103.19402985074626</v>
      </c>
      <c r="Z206" s="10">
        <v>45364</v>
      </c>
      <c r="AA206" s="9">
        <v>40</v>
      </c>
      <c r="AC206" s="9">
        <v>432050</v>
      </c>
      <c r="AD206" s="14">
        <v>17.145777777777781</v>
      </c>
      <c r="AF206" s="14">
        <v>2.4</v>
      </c>
      <c r="AH206" s="14">
        <v>19.545777777777779</v>
      </c>
      <c r="AI206" s="13">
        <v>83.648252072968489</v>
      </c>
      <c r="AK206" s="9">
        <v>120</v>
      </c>
    </row>
    <row r="207" spans="1:37">
      <c r="A207" s="9">
        <v>10</v>
      </c>
      <c r="B207" s="9">
        <v>2024</v>
      </c>
      <c r="C207" s="9" t="s">
        <v>46</v>
      </c>
      <c r="D207" s="9" t="s">
        <v>47</v>
      </c>
      <c r="E207" s="9" t="s">
        <v>47</v>
      </c>
      <c r="F207" s="10">
        <v>45358</v>
      </c>
      <c r="G207" s="9" t="s">
        <v>156</v>
      </c>
      <c r="H207" s="9" t="s">
        <v>54</v>
      </c>
      <c r="J207" s="9">
        <v>4.8000000000000007</v>
      </c>
      <c r="K207" s="9">
        <v>80</v>
      </c>
      <c r="L207" s="27">
        <v>0.66</v>
      </c>
      <c r="M207" s="13">
        <v>52.8</v>
      </c>
      <c r="N207" s="9" t="s">
        <v>49</v>
      </c>
      <c r="Q207" s="9">
        <f>IF(Auction_Sales[[#This Row],[Payment Date]]=0,"",-1+WEEKNUM(Auction_Sales[[#This Row],[Payment Date]]))</f>
        <v>10</v>
      </c>
      <c r="R207" s="9">
        <v>0</v>
      </c>
      <c r="S207" s="9" t="s">
        <v>156</v>
      </c>
      <c r="T207" s="9" t="s">
        <v>54</v>
      </c>
      <c r="U207" s="9">
        <v>80</v>
      </c>
      <c r="V207" s="13">
        <v>0.8</v>
      </c>
      <c r="W207" s="13">
        <v>64</v>
      </c>
      <c r="X207" s="14">
        <v>-4.0039800995024928</v>
      </c>
      <c r="Y207" s="13">
        <v>59.996019900497508</v>
      </c>
      <c r="Z207" s="10">
        <v>45364</v>
      </c>
      <c r="AA207" s="9">
        <v>0</v>
      </c>
      <c r="AC207" s="9">
        <v>432050</v>
      </c>
      <c r="AD207" s="14">
        <v>17.145777777777781</v>
      </c>
      <c r="AF207" s="14">
        <v>1.6</v>
      </c>
      <c r="AH207" s="14">
        <v>18.745777777777782</v>
      </c>
      <c r="AI207" s="13">
        <v>41.250242122719726</v>
      </c>
      <c r="AK207" s="9">
        <v>80</v>
      </c>
    </row>
    <row r="208" spans="1:37">
      <c r="A208" s="9">
        <v>10</v>
      </c>
      <c r="B208" s="9">
        <v>2024</v>
      </c>
      <c r="C208" s="9" t="s">
        <v>46</v>
      </c>
      <c r="D208" s="9" t="s">
        <v>47</v>
      </c>
      <c r="E208" s="9" t="s">
        <v>47</v>
      </c>
      <c r="F208" s="10">
        <v>45358</v>
      </c>
      <c r="G208" s="9" t="s">
        <v>156</v>
      </c>
      <c r="H208" s="9" t="s">
        <v>48</v>
      </c>
      <c r="I208" s="9">
        <v>1</v>
      </c>
      <c r="J208" s="9">
        <v>9.6000000000000014</v>
      </c>
      <c r="K208" s="9">
        <v>320</v>
      </c>
      <c r="L208" s="27">
        <v>0.52</v>
      </c>
      <c r="M208" s="13">
        <v>166.4</v>
      </c>
      <c r="N208" s="9" t="s">
        <v>49</v>
      </c>
      <c r="Q208" s="9">
        <f>IF(Auction_Sales[[#This Row],[Payment Date]]=0,"",-1+WEEKNUM(Auction_Sales[[#This Row],[Payment Date]]))</f>
        <v>10</v>
      </c>
      <c r="R208" s="9">
        <v>0</v>
      </c>
      <c r="S208" s="9" t="s">
        <v>156</v>
      </c>
      <c r="T208" s="9" t="s">
        <v>48</v>
      </c>
      <c r="U208" s="9">
        <v>320</v>
      </c>
      <c r="V208" s="13">
        <v>0.51</v>
      </c>
      <c r="W208" s="13">
        <v>163.19999999999999</v>
      </c>
      <c r="X208" s="14">
        <v>-16.015920398009971</v>
      </c>
      <c r="Y208" s="13">
        <v>147.18407960199002</v>
      </c>
      <c r="Z208" s="10">
        <v>45364</v>
      </c>
      <c r="AA208" s="9">
        <v>0</v>
      </c>
      <c r="AC208" s="9">
        <v>432050</v>
      </c>
      <c r="AD208" s="14">
        <v>34.291555555555561</v>
      </c>
      <c r="AF208" s="14">
        <v>6.4</v>
      </c>
      <c r="AH208" s="14">
        <v>40.69155555555556</v>
      </c>
      <c r="AI208" s="13">
        <v>106.49252404643445</v>
      </c>
      <c r="AK208" s="9">
        <v>320</v>
      </c>
    </row>
    <row r="209" spans="1:37">
      <c r="A209" s="9">
        <v>10</v>
      </c>
      <c r="B209" s="9">
        <v>2024</v>
      </c>
      <c r="C209" s="9" t="s">
        <v>46</v>
      </c>
      <c r="D209" s="9" t="s">
        <v>47</v>
      </c>
      <c r="E209" s="9" t="s">
        <v>47</v>
      </c>
      <c r="F209" s="10">
        <v>45358</v>
      </c>
      <c r="G209" s="9" t="s">
        <v>156</v>
      </c>
      <c r="H209" s="9" t="s">
        <v>51</v>
      </c>
      <c r="J209" s="9">
        <v>2.4000000000000004</v>
      </c>
      <c r="K209" s="9">
        <v>80</v>
      </c>
      <c r="L209" s="27">
        <v>0.42</v>
      </c>
      <c r="M209" s="13">
        <v>33.6</v>
      </c>
      <c r="N209" s="9" t="s">
        <v>49</v>
      </c>
      <c r="Q209" s="9">
        <f>IF(Auction_Sales[[#This Row],[Payment Date]]=0,"",-1+WEEKNUM(Auction_Sales[[#This Row],[Payment Date]]))</f>
        <v>10</v>
      </c>
      <c r="R209" s="9">
        <v>0</v>
      </c>
      <c r="S209" s="9" t="s">
        <v>156</v>
      </c>
      <c r="T209" s="9" t="s">
        <v>51</v>
      </c>
      <c r="U209" s="9">
        <v>80</v>
      </c>
      <c r="V209" s="13">
        <v>0.44000000000000006</v>
      </c>
      <c r="W209" s="13">
        <v>35.200000000000003</v>
      </c>
      <c r="X209" s="14">
        <v>-4.0039800995024928</v>
      </c>
      <c r="Y209" s="13">
        <v>31.196019900497511</v>
      </c>
      <c r="Z209" s="10">
        <v>45364</v>
      </c>
      <c r="AA209" s="9">
        <v>0</v>
      </c>
      <c r="AC209" s="9">
        <v>432050</v>
      </c>
      <c r="AD209" s="14">
        <v>8.5728888888888903</v>
      </c>
      <c r="AF209" s="14">
        <v>1.6</v>
      </c>
      <c r="AH209" s="14">
        <v>10.17288888888889</v>
      </c>
      <c r="AI209" s="13">
        <v>21.023131011608619</v>
      </c>
      <c r="AK209" s="9">
        <v>80</v>
      </c>
    </row>
    <row r="210" spans="1:37">
      <c r="A210" s="9">
        <v>10</v>
      </c>
      <c r="B210" s="9">
        <v>2024</v>
      </c>
      <c r="C210" s="9" t="s">
        <v>46</v>
      </c>
      <c r="D210" s="9" t="s">
        <v>47</v>
      </c>
      <c r="E210" s="9" t="s">
        <v>47</v>
      </c>
      <c r="F210" s="10">
        <v>45358</v>
      </c>
      <c r="G210" s="9" t="s">
        <v>154</v>
      </c>
      <c r="H210" s="9" t="s">
        <v>51</v>
      </c>
      <c r="I210" s="9">
        <v>1</v>
      </c>
      <c r="J210" s="9">
        <v>5.4545454545454541</v>
      </c>
      <c r="K210" s="9">
        <v>200</v>
      </c>
      <c r="L210" s="27">
        <v>0.38</v>
      </c>
      <c r="M210" s="13">
        <v>76</v>
      </c>
      <c r="N210" s="9" t="s">
        <v>49</v>
      </c>
      <c r="Q210" s="9">
        <f>IF(Auction_Sales[[#This Row],[Payment Date]]=0,"",-1+WEEKNUM(Auction_Sales[[#This Row],[Payment Date]]))</f>
        <v>10</v>
      </c>
      <c r="R210" s="9">
        <v>0</v>
      </c>
      <c r="S210" s="9" t="s">
        <v>154</v>
      </c>
      <c r="T210" s="9" t="s">
        <v>51</v>
      </c>
      <c r="U210" s="9">
        <v>200</v>
      </c>
      <c r="V210" s="13">
        <v>0.314</v>
      </c>
      <c r="W210" s="13">
        <v>62.8</v>
      </c>
      <c r="X210" s="14">
        <v>-10.009950248756233</v>
      </c>
      <c r="Y210" s="13">
        <v>52.790049751243764</v>
      </c>
      <c r="Z210" s="10">
        <v>45364</v>
      </c>
      <c r="AA210" s="9">
        <v>0</v>
      </c>
      <c r="AC210" s="9">
        <v>432050</v>
      </c>
      <c r="AD210" s="14">
        <v>19.483838383838382</v>
      </c>
      <c r="AF210" s="14">
        <v>4</v>
      </c>
      <c r="AH210" s="14">
        <v>23.483838383838382</v>
      </c>
      <c r="AI210" s="13">
        <v>29.306211367405382</v>
      </c>
      <c r="AK210" s="9">
        <v>200</v>
      </c>
    </row>
    <row r="211" spans="1:37">
      <c r="A211" s="9">
        <v>10</v>
      </c>
      <c r="B211" s="9">
        <v>2024</v>
      </c>
      <c r="C211" s="9" t="s">
        <v>46</v>
      </c>
      <c r="D211" s="9" t="s">
        <v>47</v>
      </c>
      <c r="E211" s="9" t="s">
        <v>47</v>
      </c>
      <c r="F211" s="10">
        <v>45358</v>
      </c>
      <c r="G211" s="9" t="s">
        <v>154</v>
      </c>
      <c r="H211" s="9" t="s">
        <v>52</v>
      </c>
      <c r="J211" s="9">
        <v>6.545454545454545</v>
      </c>
      <c r="K211" s="9">
        <v>240</v>
      </c>
      <c r="L211" s="27">
        <v>0.52</v>
      </c>
      <c r="M211" s="13">
        <v>124.8</v>
      </c>
      <c r="N211" s="9" t="s">
        <v>49</v>
      </c>
      <c r="Q211" s="9">
        <f>IF(Auction_Sales[[#This Row],[Payment Date]]=0,"",-1+WEEKNUM(Auction_Sales[[#This Row],[Payment Date]]))</f>
        <v>10</v>
      </c>
      <c r="R211" s="9">
        <v>0</v>
      </c>
      <c r="S211" s="9" t="s">
        <v>154</v>
      </c>
      <c r="T211" s="9" t="s">
        <v>52</v>
      </c>
      <c r="U211" s="9">
        <v>240</v>
      </c>
      <c r="V211" s="13">
        <v>0.4</v>
      </c>
      <c r="W211" s="13">
        <v>96</v>
      </c>
      <c r="X211" s="14">
        <v>-12.011940298507479</v>
      </c>
      <c r="Y211" s="13">
        <v>83.988059701492517</v>
      </c>
      <c r="Z211" s="10">
        <v>45364</v>
      </c>
      <c r="AA211" s="9">
        <v>0</v>
      </c>
      <c r="AC211" s="9">
        <v>432050</v>
      </c>
      <c r="AD211" s="14">
        <v>23.380606060606056</v>
      </c>
      <c r="AF211" s="14">
        <v>4.8</v>
      </c>
      <c r="AH211" s="14">
        <v>28.180606060606056</v>
      </c>
      <c r="AI211" s="13">
        <v>55.807453640886465</v>
      </c>
      <c r="AK211" s="9">
        <v>240</v>
      </c>
    </row>
    <row r="212" spans="1:37">
      <c r="A212" s="9">
        <v>10</v>
      </c>
      <c r="B212" s="9">
        <v>2024</v>
      </c>
      <c r="C212" s="9" t="s">
        <v>46</v>
      </c>
      <c r="D212" s="9" t="s">
        <v>47</v>
      </c>
      <c r="E212" s="9" t="s">
        <v>47</v>
      </c>
      <c r="F212" s="10">
        <v>45358</v>
      </c>
      <c r="G212" s="9" t="s">
        <v>153</v>
      </c>
      <c r="H212" s="9" t="s">
        <v>56</v>
      </c>
      <c r="I212" s="9">
        <v>1</v>
      </c>
      <c r="J212" s="9">
        <v>5.333333333333333</v>
      </c>
      <c r="K212" s="9">
        <v>160</v>
      </c>
      <c r="L212" s="27">
        <v>0.38</v>
      </c>
      <c r="M212" s="13">
        <v>60.8</v>
      </c>
      <c r="N212" s="9" t="s">
        <v>49</v>
      </c>
      <c r="Q212" s="9">
        <f>IF(Auction_Sales[[#This Row],[Payment Date]]=0,"",-1+WEEKNUM(Auction_Sales[[#This Row],[Payment Date]]))</f>
        <v>10</v>
      </c>
      <c r="R212" s="9">
        <v>160</v>
      </c>
      <c r="S212" s="9" t="s">
        <v>153</v>
      </c>
      <c r="T212" s="9" t="s">
        <v>56</v>
      </c>
      <c r="W212" s="13">
        <v>0</v>
      </c>
      <c r="X212" s="14">
        <v>0</v>
      </c>
      <c r="Y212" s="13">
        <v>0</v>
      </c>
      <c r="Z212" s="10">
        <v>45364</v>
      </c>
      <c r="AA212" s="9">
        <v>-160</v>
      </c>
      <c r="AC212" s="9">
        <v>432050</v>
      </c>
      <c r="AD212" s="14">
        <v>19.05086419753086</v>
      </c>
      <c r="AF212" s="14">
        <v>0</v>
      </c>
      <c r="AH212" s="14">
        <v>19.05086419753086</v>
      </c>
      <c r="AI212" s="13">
        <v>-19.05086419753086</v>
      </c>
      <c r="AK212" s="9">
        <v>0</v>
      </c>
    </row>
    <row r="213" spans="1:37">
      <c r="A213" s="9">
        <v>10</v>
      </c>
      <c r="B213" s="9">
        <v>2024</v>
      </c>
      <c r="C213" s="9" t="s">
        <v>46</v>
      </c>
      <c r="D213" s="9" t="s">
        <v>47</v>
      </c>
      <c r="E213" s="9" t="s">
        <v>47</v>
      </c>
      <c r="F213" s="10">
        <v>45358</v>
      </c>
      <c r="G213" s="9" t="s">
        <v>153</v>
      </c>
      <c r="H213" s="9" t="s">
        <v>54</v>
      </c>
      <c r="J213" s="9">
        <v>6.666666666666667</v>
      </c>
      <c r="K213" s="9">
        <v>200</v>
      </c>
      <c r="L213" s="27">
        <v>0.33</v>
      </c>
      <c r="M213" s="13">
        <v>66</v>
      </c>
      <c r="N213" s="9" t="s">
        <v>49</v>
      </c>
      <c r="Q213" s="9">
        <f>IF(Auction_Sales[[#This Row],[Payment Date]]=0,"",-1+WEEKNUM(Auction_Sales[[#This Row],[Payment Date]]))</f>
        <v>10</v>
      </c>
      <c r="R213" s="9">
        <v>200</v>
      </c>
      <c r="S213" s="9" t="s">
        <v>153</v>
      </c>
      <c r="T213" s="9" t="s">
        <v>54</v>
      </c>
      <c r="W213" s="13">
        <v>0</v>
      </c>
      <c r="X213" s="14">
        <v>0</v>
      </c>
      <c r="Y213" s="13">
        <v>0</v>
      </c>
      <c r="Z213" s="10">
        <v>45364</v>
      </c>
      <c r="AA213" s="9">
        <v>-200</v>
      </c>
      <c r="AC213" s="9">
        <v>432050</v>
      </c>
      <c r="AD213" s="14">
        <v>23.813580246913578</v>
      </c>
      <c r="AF213" s="14">
        <v>0</v>
      </c>
      <c r="AH213" s="14">
        <v>23.813580246913578</v>
      </c>
      <c r="AI213" s="13">
        <v>-23.813580246913578</v>
      </c>
      <c r="AK213" s="9">
        <v>0</v>
      </c>
    </row>
    <row r="214" spans="1:37">
      <c r="A214" s="9">
        <v>9</v>
      </c>
      <c r="B214" s="9">
        <v>2024</v>
      </c>
      <c r="C214" s="9" t="s">
        <v>46</v>
      </c>
      <c r="D214" s="9" t="s">
        <v>47</v>
      </c>
      <c r="E214" s="9" t="s">
        <v>47</v>
      </c>
      <c r="F214" s="10">
        <v>45346</v>
      </c>
      <c r="G214" s="9" t="s">
        <v>153</v>
      </c>
      <c r="H214" s="9" t="s">
        <v>48</v>
      </c>
      <c r="I214" s="9">
        <v>2</v>
      </c>
      <c r="J214" s="9">
        <v>24</v>
      </c>
      <c r="K214" s="9">
        <v>1440</v>
      </c>
      <c r="L214" s="27">
        <v>0.24</v>
      </c>
      <c r="M214" s="27">
        <v>345.6</v>
      </c>
      <c r="N214" s="9" t="s">
        <v>49</v>
      </c>
      <c r="Q214" s="9">
        <f>IF(Auction_Sales[[#This Row],[Payment Date]]=0,"",-1+WEEKNUM(Auction_Sales[[#This Row],[Payment Date]]))</f>
        <v>9</v>
      </c>
      <c r="R214" s="9">
        <v>0</v>
      </c>
      <c r="S214" s="9" t="s">
        <v>153</v>
      </c>
      <c r="T214" s="9" t="s">
        <v>48</v>
      </c>
      <c r="U214" s="9">
        <v>1440</v>
      </c>
      <c r="V214" s="13">
        <v>0.38388888888888884</v>
      </c>
      <c r="W214" s="13">
        <v>552.79999999999995</v>
      </c>
      <c r="X214" s="14">
        <v>-58.940869565217412</v>
      </c>
      <c r="Y214" s="13">
        <v>493.85913043478251</v>
      </c>
      <c r="Z214" s="10">
        <v>45357</v>
      </c>
      <c r="AA214" s="9">
        <v>0</v>
      </c>
      <c r="AC214" s="9">
        <v>430904</v>
      </c>
      <c r="AD214" s="14">
        <v>81.75</v>
      </c>
      <c r="AF214" s="14">
        <v>28.8</v>
      </c>
      <c r="AH214" s="14">
        <v>110.55</v>
      </c>
      <c r="AI214" s="13">
        <v>383.3091304347825</v>
      </c>
      <c r="AK214" s="9">
        <v>1440</v>
      </c>
    </row>
    <row r="215" spans="1:37">
      <c r="A215" s="9">
        <v>9</v>
      </c>
      <c r="B215" s="9">
        <v>2024</v>
      </c>
      <c r="C215" s="9" t="s">
        <v>46</v>
      </c>
      <c r="D215" s="9" t="s">
        <v>47</v>
      </c>
      <c r="E215" s="9" t="s">
        <v>47</v>
      </c>
      <c r="F215" s="10">
        <v>45346</v>
      </c>
      <c r="G215" s="9" t="s">
        <v>153</v>
      </c>
      <c r="H215" s="9" t="s">
        <v>52</v>
      </c>
      <c r="I215" s="9">
        <v>2</v>
      </c>
      <c r="J215" s="9">
        <v>24</v>
      </c>
      <c r="K215" s="9">
        <v>1040</v>
      </c>
      <c r="L215" s="27">
        <v>0.28000000000000003</v>
      </c>
      <c r="M215" s="27">
        <v>291.2</v>
      </c>
      <c r="N215" s="9" t="s">
        <v>49</v>
      </c>
      <c r="Q215" s="9">
        <f>IF(Auction_Sales[[#This Row],[Payment Date]]=0,"",-1+WEEKNUM(Auction_Sales[[#This Row],[Payment Date]]))</f>
        <v>9</v>
      </c>
      <c r="R215" s="9">
        <v>0</v>
      </c>
      <c r="S215" s="9" t="s">
        <v>153</v>
      </c>
      <c r="T215" s="9" t="s">
        <v>52</v>
      </c>
      <c r="U215" s="9">
        <v>1040</v>
      </c>
      <c r="V215" s="13">
        <v>0.4869230769230769</v>
      </c>
      <c r="W215" s="13">
        <v>506.4</v>
      </c>
      <c r="X215" s="14">
        <v>-42.568405797101462</v>
      </c>
      <c r="Y215" s="13">
        <v>463.83159420289849</v>
      </c>
      <c r="Z215" s="10">
        <v>45357</v>
      </c>
      <c r="AA215" s="9">
        <v>0</v>
      </c>
      <c r="AC215" s="9">
        <v>430904</v>
      </c>
      <c r="AD215" s="14">
        <v>81.75</v>
      </c>
      <c r="AF215" s="14">
        <v>20.8</v>
      </c>
      <c r="AH215" s="14">
        <v>102.55</v>
      </c>
      <c r="AI215" s="13">
        <v>361.28159420289848</v>
      </c>
      <c r="AK215" s="9">
        <v>1040</v>
      </c>
    </row>
    <row r="216" spans="1:37">
      <c r="A216" s="9">
        <v>9</v>
      </c>
      <c r="B216" s="9">
        <v>2024</v>
      </c>
      <c r="C216" s="9" t="s">
        <v>46</v>
      </c>
      <c r="D216" s="9" t="s">
        <v>47</v>
      </c>
      <c r="E216" s="9" t="s">
        <v>47</v>
      </c>
      <c r="F216" s="10">
        <v>45346</v>
      </c>
      <c r="G216" s="9" t="s">
        <v>153</v>
      </c>
      <c r="H216" s="9" t="s">
        <v>56</v>
      </c>
      <c r="I216" s="9">
        <v>1</v>
      </c>
      <c r="J216" s="9">
        <v>12</v>
      </c>
      <c r="K216" s="9">
        <v>320</v>
      </c>
      <c r="L216" s="27">
        <v>0.38</v>
      </c>
      <c r="M216" s="27">
        <v>121.6</v>
      </c>
      <c r="N216" s="9" t="s">
        <v>49</v>
      </c>
      <c r="Q216" s="9">
        <f>IF(Auction_Sales[[#This Row],[Payment Date]]=0,"",-1+WEEKNUM(Auction_Sales[[#This Row],[Payment Date]]))</f>
        <v>9</v>
      </c>
      <c r="R216" s="9">
        <v>0</v>
      </c>
      <c r="S216" s="9" t="s">
        <v>153</v>
      </c>
      <c r="T216" s="9" t="s">
        <v>56</v>
      </c>
      <c r="U216" s="9">
        <v>320</v>
      </c>
      <c r="V216" s="13">
        <v>0.66249999999999998</v>
      </c>
      <c r="W216" s="13">
        <v>212</v>
      </c>
      <c r="X216" s="14">
        <v>-13.097971014492757</v>
      </c>
      <c r="Y216" s="13">
        <v>198.90202898550723</v>
      </c>
      <c r="Z216" s="10">
        <v>45357</v>
      </c>
      <c r="AA216" s="9">
        <v>0</v>
      </c>
      <c r="AC216" s="9">
        <v>430904</v>
      </c>
      <c r="AD216" s="14">
        <v>40.875</v>
      </c>
      <c r="AF216" s="14">
        <v>6.4</v>
      </c>
      <c r="AH216" s="14">
        <v>47.274999999999999</v>
      </c>
      <c r="AI216" s="13">
        <v>151.62702898550722</v>
      </c>
      <c r="AK216" s="9">
        <v>320</v>
      </c>
    </row>
    <row r="217" spans="1:37">
      <c r="A217" s="9">
        <v>9</v>
      </c>
      <c r="B217" s="9">
        <v>2024</v>
      </c>
      <c r="C217" s="9" t="s">
        <v>46</v>
      </c>
      <c r="D217" s="9" t="s">
        <v>47</v>
      </c>
      <c r="E217" s="9" t="s">
        <v>47</v>
      </c>
      <c r="F217" s="10">
        <v>45346</v>
      </c>
      <c r="G217" s="9" t="s">
        <v>153</v>
      </c>
      <c r="H217" s="9" t="s">
        <v>57</v>
      </c>
      <c r="I217" s="9">
        <v>1</v>
      </c>
      <c r="J217" s="9">
        <v>12</v>
      </c>
      <c r="K217" s="9">
        <v>320</v>
      </c>
      <c r="L217" s="9">
        <v>0.47</v>
      </c>
      <c r="M217" s="9">
        <v>150.4</v>
      </c>
      <c r="N217" s="9" t="s">
        <v>49</v>
      </c>
      <c r="Q217" s="9">
        <f>IF(Auction_Sales[[#This Row],[Payment Date]]=0,"",-1+WEEKNUM(Auction_Sales[[#This Row],[Payment Date]]))</f>
        <v>9</v>
      </c>
      <c r="R217" s="9">
        <v>0</v>
      </c>
      <c r="S217" s="9" t="s">
        <v>153</v>
      </c>
      <c r="T217" s="9" t="s">
        <v>57</v>
      </c>
      <c r="U217" s="9">
        <v>320</v>
      </c>
      <c r="V217" s="13">
        <v>0.80749999999999988</v>
      </c>
      <c r="W217" s="13">
        <v>258.39999999999998</v>
      </c>
      <c r="X217" s="14">
        <v>-13.097971014492757</v>
      </c>
      <c r="Y217" s="13">
        <v>245.30202898550721</v>
      </c>
      <c r="Z217" s="10">
        <v>45357</v>
      </c>
      <c r="AA217" s="9">
        <v>0</v>
      </c>
      <c r="AC217" s="9">
        <v>430904</v>
      </c>
      <c r="AD217" s="14">
        <v>40.875</v>
      </c>
      <c r="AF217" s="14">
        <v>6.4</v>
      </c>
      <c r="AH217" s="14">
        <v>47.274999999999999</v>
      </c>
      <c r="AI217" s="13">
        <v>198.0270289855072</v>
      </c>
      <c r="AK217" s="9">
        <v>320</v>
      </c>
    </row>
    <row r="218" spans="1:37">
      <c r="A218" s="9">
        <v>9</v>
      </c>
      <c r="B218" s="9">
        <v>2024</v>
      </c>
      <c r="C218" s="9" t="s">
        <v>46</v>
      </c>
      <c r="D218" s="9" t="s">
        <v>47</v>
      </c>
      <c r="E218" s="9" t="s">
        <v>47</v>
      </c>
      <c r="F218" s="10">
        <v>45346</v>
      </c>
      <c r="G218" s="9" t="s">
        <v>154</v>
      </c>
      <c r="H218" s="9" t="s">
        <v>51</v>
      </c>
      <c r="I218" s="9">
        <v>1</v>
      </c>
      <c r="J218" s="9">
        <v>12</v>
      </c>
      <c r="K218" s="9">
        <v>560</v>
      </c>
      <c r="L218" s="9">
        <v>0.38</v>
      </c>
      <c r="M218" s="9">
        <v>212.8</v>
      </c>
      <c r="N218" s="9" t="s">
        <v>49</v>
      </c>
      <c r="Q218" s="9">
        <f>IF(Auction_Sales[[#This Row],[Payment Date]]=0,"",-1+WEEKNUM(Auction_Sales[[#This Row],[Payment Date]]))</f>
        <v>9</v>
      </c>
      <c r="R218" s="9">
        <v>0</v>
      </c>
      <c r="S218" s="9" t="s">
        <v>154</v>
      </c>
      <c r="T218" s="9" t="s">
        <v>51</v>
      </c>
      <c r="U218" s="9">
        <v>560</v>
      </c>
      <c r="V218" s="13">
        <v>0.33</v>
      </c>
      <c r="W218" s="13">
        <v>184.8</v>
      </c>
      <c r="X218" s="14">
        <v>-22.921449275362324</v>
      </c>
      <c r="Y218" s="13">
        <v>161.87855072463768</v>
      </c>
      <c r="Z218" s="10">
        <v>45357</v>
      </c>
      <c r="AA218" s="9">
        <v>0</v>
      </c>
      <c r="AC218" s="9">
        <v>430904</v>
      </c>
      <c r="AD218" s="14">
        <v>40.875</v>
      </c>
      <c r="AF218" s="14">
        <v>11.200000000000001</v>
      </c>
      <c r="AH218" s="14">
        <v>52.075000000000003</v>
      </c>
      <c r="AI218" s="13">
        <v>109.80355072463767</v>
      </c>
      <c r="AK218" s="9">
        <v>560</v>
      </c>
    </row>
    <row r="219" spans="1:37">
      <c r="A219" s="9">
        <v>9</v>
      </c>
      <c r="B219" s="9">
        <v>2024</v>
      </c>
      <c r="C219" s="9" t="s">
        <v>46</v>
      </c>
      <c r="D219" s="9" t="s">
        <v>47</v>
      </c>
      <c r="E219" s="9" t="s">
        <v>47</v>
      </c>
      <c r="F219" s="10">
        <v>45346</v>
      </c>
      <c r="G219" s="9" t="s">
        <v>154</v>
      </c>
      <c r="H219" s="9" t="s">
        <v>48</v>
      </c>
      <c r="I219" s="9">
        <v>2</v>
      </c>
      <c r="J219" s="9">
        <v>24</v>
      </c>
      <c r="K219" s="9">
        <v>960</v>
      </c>
      <c r="L219" s="9">
        <v>0.47</v>
      </c>
      <c r="M219" s="9">
        <v>451.2</v>
      </c>
      <c r="N219" s="9" t="s">
        <v>49</v>
      </c>
      <c r="Q219" s="9">
        <f>IF(Auction_Sales[[#This Row],[Payment Date]]=0,"",-1+WEEKNUM(Auction_Sales[[#This Row],[Payment Date]]))</f>
        <v>9</v>
      </c>
      <c r="R219" s="9">
        <v>80</v>
      </c>
      <c r="S219" s="9" t="s">
        <v>154</v>
      </c>
      <c r="T219" s="9" t="s">
        <v>48</v>
      </c>
      <c r="U219" s="9">
        <v>880</v>
      </c>
      <c r="V219" s="13">
        <v>0.4</v>
      </c>
      <c r="W219" s="13">
        <v>352</v>
      </c>
      <c r="X219" s="14">
        <v>-36.019420289855077</v>
      </c>
      <c r="Y219" s="13">
        <v>315.98057971014492</v>
      </c>
      <c r="Z219" s="10">
        <v>45357</v>
      </c>
      <c r="AA219" s="9">
        <v>-80</v>
      </c>
      <c r="AC219" s="9">
        <v>430904</v>
      </c>
      <c r="AD219" s="14">
        <v>81.75</v>
      </c>
      <c r="AF219" s="14">
        <v>17.600000000000001</v>
      </c>
      <c r="AH219" s="14">
        <v>99.35</v>
      </c>
      <c r="AI219" s="13">
        <v>216.63057971014493</v>
      </c>
      <c r="AK219" s="9">
        <v>880</v>
      </c>
    </row>
    <row r="220" spans="1:37">
      <c r="A220" s="9">
        <v>9</v>
      </c>
      <c r="B220" s="9">
        <v>2024</v>
      </c>
      <c r="C220" s="9" t="s">
        <v>46</v>
      </c>
      <c r="D220" s="9" t="s">
        <v>47</v>
      </c>
      <c r="E220" s="9" t="s">
        <v>47</v>
      </c>
      <c r="F220" s="10">
        <v>45346</v>
      </c>
      <c r="G220" s="9" t="s">
        <v>154</v>
      </c>
      <c r="H220" s="9" t="s">
        <v>52</v>
      </c>
      <c r="I220" s="9">
        <v>1</v>
      </c>
      <c r="J220" s="9">
        <v>12</v>
      </c>
      <c r="K220" s="9">
        <v>400</v>
      </c>
      <c r="L220" s="9">
        <v>0.52</v>
      </c>
      <c r="M220" s="9">
        <v>208</v>
      </c>
      <c r="N220" s="9" t="s">
        <v>49</v>
      </c>
      <c r="Q220" s="9">
        <f>IF(Auction_Sales[[#This Row],[Payment Date]]=0,"",-1+WEEKNUM(Auction_Sales[[#This Row],[Payment Date]]))</f>
        <v>9</v>
      </c>
      <c r="R220" s="9">
        <v>0</v>
      </c>
      <c r="S220" s="9" t="s">
        <v>154</v>
      </c>
      <c r="T220" s="9" t="s">
        <v>52</v>
      </c>
      <c r="U220" s="9">
        <v>400</v>
      </c>
      <c r="V220" s="13">
        <v>0.52700000000000002</v>
      </c>
      <c r="W220" s="13">
        <v>210.8</v>
      </c>
      <c r="X220" s="14">
        <v>-16.372463768115946</v>
      </c>
      <c r="Y220" s="13">
        <v>194.42753623188406</v>
      </c>
      <c r="Z220" s="10">
        <v>45357</v>
      </c>
      <c r="AA220" s="9">
        <v>0</v>
      </c>
      <c r="AC220" s="9">
        <v>430904</v>
      </c>
      <c r="AD220" s="14">
        <v>40.875</v>
      </c>
      <c r="AF220" s="14">
        <v>8</v>
      </c>
      <c r="AH220" s="14">
        <v>48.875</v>
      </c>
      <c r="AI220" s="13">
        <v>145.55253623188406</v>
      </c>
      <c r="AK220" s="9">
        <v>400</v>
      </c>
    </row>
    <row r="221" spans="1:37">
      <c r="A221" s="9">
        <v>9</v>
      </c>
      <c r="B221" s="9">
        <v>2024</v>
      </c>
      <c r="C221" s="9" t="s">
        <v>46</v>
      </c>
      <c r="D221" s="9" t="s">
        <v>47</v>
      </c>
      <c r="E221" s="9" t="s">
        <v>47</v>
      </c>
      <c r="F221" s="10">
        <v>45346</v>
      </c>
      <c r="G221" s="9" t="s">
        <v>154</v>
      </c>
      <c r="H221" s="9" t="s">
        <v>54</v>
      </c>
      <c r="I221" s="9">
        <v>1</v>
      </c>
      <c r="J221" s="9">
        <v>12</v>
      </c>
      <c r="K221" s="9">
        <v>320</v>
      </c>
      <c r="L221" s="9">
        <v>0.56999999999999995</v>
      </c>
      <c r="M221" s="9">
        <v>182.4</v>
      </c>
      <c r="N221" s="9" t="s">
        <v>49</v>
      </c>
      <c r="Q221" s="9">
        <f>IF(Auction_Sales[[#This Row],[Payment Date]]=0,"",-1+WEEKNUM(Auction_Sales[[#This Row],[Payment Date]]))</f>
        <v>9</v>
      </c>
      <c r="R221" s="9">
        <v>0</v>
      </c>
      <c r="S221" s="9" t="s">
        <v>154</v>
      </c>
      <c r="T221" s="9" t="s">
        <v>54</v>
      </c>
      <c r="U221" s="9">
        <v>320</v>
      </c>
      <c r="V221" s="13">
        <v>0.90875000000000006</v>
      </c>
      <c r="W221" s="13">
        <v>290.8</v>
      </c>
      <c r="X221" s="14">
        <v>-13.097971014492757</v>
      </c>
      <c r="Y221" s="13">
        <v>277.70202898550724</v>
      </c>
      <c r="Z221" s="10">
        <v>45357</v>
      </c>
      <c r="AA221" s="9">
        <v>0</v>
      </c>
      <c r="AC221" s="9">
        <v>430904</v>
      </c>
      <c r="AD221" s="14">
        <v>40.875</v>
      </c>
      <c r="AF221" s="14">
        <v>6.4</v>
      </c>
      <c r="AH221" s="14">
        <v>47.274999999999999</v>
      </c>
      <c r="AI221" s="13">
        <v>230.42702898550723</v>
      </c>
      <c r="AK221" s="9">
        <v>320</v>
      </c>
    </row>
    <row r="222" spans="1:37">
      <c r="A222" s="9">
        <v>9</v>
      </c>
      <c r="B222" s="9">
        <v>2024</v>
      </c>
      <c r="C222" s="9" t="s">
        <v>46</v>
      </c>
      <c r="D222" s="9" t="s">
        <v>47</v>
      </c>
      <c r="E222" s="9" t="s">
        <v>47</v>
      </c>
      <c r="F222" s="10">
        <v>45346</v>
      </c>
      <c r="G222" s="9" t="s">
        <v>154</v>
      </c>
      <c r="H222" s="9" t="s">
        <v>56</v>
      </c>
      <c r="I222" s="9">
        <v>1</v>
      </c>
      <c r="J222" s="9">
        <v>12</v>
      </c>
      <c r="K222" s="9">
        <v>240</v>
      </c>
      <c r="L222" s="9">
        <v>0.75</v>
      </c>
      <c r="M222" s="9">
        <v>180</v>
      </c>
      <c r="N222" s="9" t="s">
        <v>49</v>
      </c>
      <c r="Q222" s="9">
        <f>IF(Auction_Sales[[#This Row],[Payment Date]]=0,"",-1+WEEKNUM(Auction_Sales[[#This Row],[Payment Date]]))</f>
        <v>9</v>
      </c>
      <c r="R222" s="9">
        <v>-160</v>
      </c>
      <c r="S222" s="9" t="s">
        <v>154</v>
      </c>
      <c r="T222" s="9" t="s">
        <v>56</v>
      </c>
      <c r="U222" s="9">
        <v>400</v>
      </c>
      <c r="V222" s="13">
        <v>0.54700000000000004</v>
      </c>
      <c r="W222" s="13">
        <v>218.8</v>
      </c>
      <c r="X222" s="14">
        <v>-16.372463768115946</v>
      </c>
      <c r="Y222" s="13">
        <v>202.42753623188406</v>
      </c>
      <c r="Z222" s="10">
        <v>45357</v>
      </c>
      <c r="AA222" s="9">
        <v>160</v>
      </c>
      <c r="AC222" s="9">
        <v>430904</v>
      </c>
      <c r="AD222" s="14">
        <v>40.875</v>
      </c>
      <c r="AF222" s="14">
        <v>8</v>
      </c>
      <c r="AH222" s="14">
        <v>48.875</v>
      </c>
      <c r="AI222" s="13">
        <v>153.55253623188406</v>
      </c>
      <c r="AK222" s="9">
        <v>400</v>
      </c>
    </row>
    <row r="223" spans="1:37">
      <c r="A223" s="9">
        <v>9</v>
      </c>
      <c r="B223" s="9">
        <v>2024</v>
      </c>
      <c r="C223" s="9" t="s">
        <v>46</v>
      </c>
      <c r="D223" s="9" t="s">
        <v>47</v>
      </c>
      <c r="E223" s="9" t="s">
        <v>47</v>
      </c>
      <c r="F223" s="10">
        <v>45346</v>
      </c>
      <c r="G223" s="9" t="s">
        <v>154</v>
      </c>
      <c r="H223" s="9" t="s">
        <v>57</v>
      </c>
      <c r="I223" s="9">
        <v>2</v>
      </c>
      <c r="J223" s="9">
        <v>24</v>
      </c>
      <c r="K223" s="9">
        <v>400</v>
      </c>
      <c r="L223" s="9">
        <v>0.94</v>
      </c>
      <c r="M223" s="9">
        <v>376</v>
      </c>
      <c r="N223" s="9" t="s">
        <v>49</v>
      </c>
      <c r="Q223" s="9">
        <f>IF(Auction_Sales[[#This Row],[Payment Date]]=0,"",-1+WEEKNUM(Auction_Sales[[#This Row],[Payment Date]]))</f>
        <v>9</v>
      </c>
      <c r="R223" s="9">
        <v>-40</v>
      </c>
      <c r="S223" s="9" t="s">
        <v>154</v>
      </c>
      <c r="T223" s="9" t="s">
        <v>57</v>
      </c>
      <c r="U223" s="9">
        <v>440</v>
      </c>
      <c r="V223" s="13">
        <v>0.54909090909090907</v>
      </c>
      <c r="W223" s="13">
        <v>241.6</v>
      </c>
      <c r="X223" s="14">
        <v>-18.009710144927539</v>
      </c>
      <c r="Y223" s="13">
        <v>223.59028985507246</v>
      </c>
      <c r="Z223" s="10">
        <v>45357</v>
      </c>
      <c r="AA223" s="9">
        <v>40</v>
      </c>
      <c r="AC223" s="9">
        <v>430904</v>
      </c>
      <c r="AD223" s="14">
        <v>81.75</v>
      </c>
      <c r="AF223" s="14">
        <v>8.8000000000000007</v>
      </c>
      <c r="AH223" s="14">
        <v>90.55</v>
      </c>
      <c r="AI223" s="13">
        <v>133.04028985507244</v>
      </c>
      <c r="AK223" s="9">
        <v>440</v>
      </c>
    </row>
    <row r="224" spans="1:37">
      <c r="A224" s="9">
        <v>9</v>
      </c>
      <c r="B224" s="9">
        <v>2024</v>
      </c>
      <c r="C224" s="9" t="s">
        <v>46</v>
      </c>
      <c r="D224" s="9" t="s">
        <v>47</v>
      </c>
      <c r="E224" s="9" t="s">
        <v>47</v>
      </c>
      <c r="F224" s="10">
        <v>45346</v>
      </c>
      <c r="G224" s="9" t="s">
        <v>155</v>
      </c>
      <c r="H224" s="9" t="s">
        <v>51</v>
      </c>
      <c r="I224" s="9">
        <v>3</v>
      </c>
      <c r="J224" s="9">
        <v>36</v>
      </c>
      <c r="K224" s="9">
        <v>1800</v>
      </c>
      <c r="L224" s="9">
        <v>0.38</v>
      </c>
      <c r="M224" s="9">
        <v>684</v>
      </c>
      <c r="N224" s="9" t="s">
        <v>49</v>
      </c>
      <c r="Q224" s="9">
        <f>IF(Auction_Sales[[#This Row],[Payment Date]]=0,"",-1+WEEKNUM(Auction_Sales[[#This Row],[Payment Date]]))</f>
        <v>9</v>
      </c>
      <c r="R224" s="9">
        <v>360</v>
      </c>
      <c r="S224" s="9" t="s">
        <v>155</v>
      </c>
      <c r="T224" s="9" t="s">
        <v>51</v>
      </c>
      <c r="U224" s="9">
        <v>1440</v>
      </c>
      <c r="V224" s="13">
        <v>0.29499999999999998</v>
      </c>
      <c r="W224" s="13">
        <v>424.79999999999995</v>
      </c>
      <c r="X224" s="14">
        <v>-58.940869565217412</v>
      </c>
      <c r="Y224" s="13">
        <v>365.85913043478251</v>
      </c>
      <c r="Z224" s="10">
        <v>45357</v>
      </c>
      <c r="AA224" s="9">
        <v>-360</v>
      </c>
      <c r="AC224" s="9">
        <v>430904</v>
      </c>
      <c r="AD224" s="14">
        <v>122.625</v>
      </c>
      <c r="AF224" s="14">
        <v>28.8</v>
      </c>
      <c r="AH224" s="14">
        <v>151.42500000000001</v>
      </c>
      <c r="AI224" s="13">
        <v>214.4341304347825</v>
      </c>
      <c r="AK224" s="9">
        <v>1440</v>
      </c>
    </row>
    <row r="225" spans="1:37">
      <c r="A225" s="9">
        <v>9</v>
      </c>
      <c r="B225" s="9">
        <v>2024</v>
      </c>
      <c r="C225" s="9" t="s">
        <v>46</v>
      </c>
      <c r="D225" s="9" t="s">
        <v>47</v>
      </c>
      <c r="E225" s="9" t="s">
        <v>47</v>
      </c>
      <c r="F225" s="10">
        <v>45346</v>
      </c>
      <c r="G225" s="9" t="s">
        <v>155</v>
      </c>
      <c r="H225" s="9" t="s">
        <v>48</v>
      </c>
      <c r="I225" s="9">
        <v>3</v>
      </c>
      <c r="J225" s="9">
        <v>36</v>
      </c>
      <c r="K225" s="9">
        <v>1560</v>
      </c>
      <c r="L225" s="9">
        <v>0.47</v>
      </c>
      <c r="M225" s="9">
        <v>733.2</v>
      </c>
      <c r="N225" s="9" t="s">
        <v>49</v>
      </c>
      <c r="Q225" s="9">
        <f>IF(Auction_Sales[[#This Row],[Payment Date]]=0,"",-1+WEEKNUM(Auction_Sales[[#This Row],[Payment Date]]))</f>
        <v>9</v>
      </c>
      <c r="R225" s="9">
        <v>-80</v>
      </c>
      <c r="S225" s="9" t="s">
        <v>155</v>
      </c>
      <c r="T225" s="9" t="s">
        <v>48</v>
      </c>
      <c r="U225" s="9">
        <v>1640</v>
      </c>
      <c r="V225" s="13">
        <v>0.543170731707317</v>
      </c>
      <c r="W225" s="13">
        <v>890.79999999999984</v>
      </c>
      <c r="X225" s="14">
        <v>-67.127101449275372</v>
      </c>
      <c r="Y225" s="13">
        <v>823.67289855072443</v>
      </c>
      <c r="Z225" s="10">
        <v>45357</v>
      </c>
      <c r="AA225" s="9">
        <v>80</v>
      </c>
      <c r="AC225" s="9">
        <v>430904</v>
      </c>
      <c r="AD225" s="14">
        <v>122.625</v>
      </c>
      <c r="AF225" s="14">
        <v>32.799999999999997</v>
      </c>
      <c r="AH225" s="14">
        <v>155.42500000000001</v>
      </c>
      <c r="AI225" s="13">
        <v>668.24789855072436</v>
      </c>
      <c r="AK225" s="9">
        <v>1640</v>
      </c>
    </row>
    <row r="226" spans="1:37">
      <c r="A226" s="9">
        <v>9</v>
      </c>
      <c r="B226" s="9">
        <v>2024</v>
      </c>
      <c r="C226" s="9" t="s">
        <v>46</v>
      </c>
      <c r="D226" s="9" t="s">
        <v>47</v>
      </c>
      <c r="E226" s="9" t="s">
        <v>47</v>
      </c>
      <c r="F226" s="10">
        <v>45346</v>
      </c>
      <c r="G226" s="9" t="s">
        <v>155</v>
      </c>
      <c r="H226" s="9" t="s">
        <v>52</v>
      </c>
      <c r="I226" s="9">
        <v>1</v>
      </c>
      <c r="J226" s="9">
        <v>12</v>
      </c>
      <c r="K226" s="9">
        <v>400</v>
      </c>
      <c r="L226" s="9">
        <v>0.52</v>
      </c>
      <c r="M226" s="9">
        <v>208</v>
      </c>
      <c r="N226" s="9" t="s">
        <v>49</v>
      </c>
      <c r="Q226" s="9">
        <f>IF(Auction_Sales[[#This Row],[Payment Date]]=0,"",-1+WEEKNUM(Auction_Sales[[#This Row],[Payment Date]]))</f>
        <v>9</v>
      </c>
      <c r="R226" s="9">
        <v>-40</v>
      </c>
      <c r="S226" s="9" t="s">
        <v>155</v>
      </c>
      <c r="T226" s="9" t="s">
        <v>52</v>
      </c>
      <c r="U226" s="9">
        <v>440</v>
      </c>
      <c r="V226" s="13">
        <v>0.66727272727272735</v>
      </c>
      <c r="W226" s="13">
        <v>293.60000000000002</v>
      </c>
      <c r="X226" s="14">
        <v>-18.009710144927539</v>
      </c>
      <c r="Y226" s="13">
        <v>275.59028985507246</v>
      </c>
      <c r="Z226" s="10">
        <v>45357</v>
      </c>
      <c r="AA226" s="9">
        <v>40</v>
      </c>
      <c r="AC226" s="9">
        <v>430904</v>
      </c>
      <c r="AD226" s="14">
        <v>40.875</v>
      </c>
      <c r="AF226" s="14">
        <v>8.8000000000000007</v>
      </c>
      <c r="AH226" s="14">
        <v>49.674999999999997</v>
      </c>
      <c r="AI226" s="13">
        <v>225.91528985507244</v>
      </c>
      <c r="AK226" s="9">
        <v>440</v>
      </c>
    </row>
    <row r="227" spans="1:37">
      <c r="A227" s="9">
        <v>9</v>
      </c>
      <c r="B227" s="9">
        <v>2024</v>
      </c>
      <c r="C227" s="9" t="s">
        <v>46</v>
      </c>
      <c r="D227" s="9" t="s">
        <v>47</v>
      </c>
      <c r="E227" s="9" t="s">
        <v>47</v>
      </c>
      <c r="F227" s="10">
        <v>45346</v>
      </c>
      <c r="G227" s="9" t="s">
        <v>155</v>
      </c>
      <c r="H227" s="9" t="s">
        <v>51</v>
      </c>
      <c r="I227" s="9">
        <v>1</v>
      </c>
      <c r="J227" s="9">
        <v>6.4615384615384617</v>
      </c>
      <c r="K227" s="9">
        <v>280</v>
      </c>
      <c r="L227" s="9">
        <v>0.38</v>
      </c>
      <c r="M227" s="9">
        <v>106.4</v>
      </c>
      <c r="N227" s="9" t="s">
        <v>49</v>
      </c>
      <c r="Q227" s="9">
        <f>IF(Auction_Sales[[#This Row],[Payment Date]]=0,"",-1+WEEKNUM(Auction_Sales[[#This Row],[Payment Date]]))</f>
        <v>9</v>
      </c>
      <c r="R227" s="9">
        <v>-360</v>
      </c>
      <c r="S227" s="9" t="s">
        <v>155</v>
      </c>
      <c r="T227" s="9" t="s">
        <v>51</v>
      </c>
      <c r="U227" s="9">
        <v>640</v>
      </c>
      <c r="V227" s="13">
        <v>0.36749999999999999</v>
      </c>
      <c r="W227" s="13">
        <v>235.2</v>
      </c>
      <c r="X227" s="14">
        <v>-26.195942028985513</v>
      </c>
      <c r="Y227" s="13">
        <v>209.00405797101448</v>
      </c>
      <c r="Z227" s="10">
        <v>45357</v>
      </c>
      <c r="AA227" s="9">
        <v>360</v>
      </c>
      <c r="AC227" s="9">
        <v>430904</v>
      </c>
      <c r="AD227" s="14">
        <v>22.009615384615383</v>
      </c>
      <c r="AF227" s="14">
        <v>12.8</v>
      </c>
      <c r="AH227" s="14">
        <v>34.809615384615384</v>
      </c>
      <c r="AI227" s="13">
        <v>174.19444258639908</v>
      </c>
      <c r="AK227" s="9">
        <v>640</v>
      </c>
    </row>
    <row r="228" spans="1:37">
      <c r="A228" s="9">
        <v>9</v>
      </c>
      <c r="B228" s="9">
        <v>2024</v>
      </c>
      <c r="C228" s="9" t="s">
        <v>46</v>
      </c>
      <c r="D228" s="9" t="s">
        <v>47</v>
      </c>
      <c r="E228" s="9" t="s">
        <v>47</v>
      </c>
      <c r="F228" s="10">
        <v>45346</v>
      </c>
      <c r="G228" s="9" t="s">
        <v>155</v>
      </c>
      <c r="H228" s="9" t="s">
        <v>48</v>
      </c>
      <c r="J228" s="9">
        <v>1.8461538461538463</v>
      </c>
      <c r="K228" s="9">
        <v>80</v>
      </c>
      <c r="L228" s="9">
        <v>0.47</v>
      </c>
      <c r="M228" s="9">
        <v>37.6</v>
      </c>
      <c r="N228" s="9" t="s">
        <v>49</v>
      </c>
      <c r="Q228" s="9">
        <f>IF(Auction_Sales[[#This Row],[Payment Date]]=0,"",-1+WEEKNUM(Auction_Sales[[#This Row],[Payment Date]]))</f>
        <v>9</v>
      </c>
      <c r="R228" s="9">
        <v>80</v>
      </c>
      <c r="S228" s="9" t="s">
        <v>155</v>
      </c>
      <c r="T228" s="9" t="s">
        <v>48</v>
      </c>
      <c r="W228" s="13">
        <v>0</v>
      </c>
      <c r="X228" s="14">
        <v>0</v>
      </c>
      <c r="Y228" s="13">
        <v>0</v>
      </c>
      <c r="Z228" s="10">
        <v>45357</v>
      </c>
      <c r="AA228" s="9">
        <v>-80</v>
      </c>
      <c r="AC228" s="9">
        <v>430904</v>
      </c>
      <c r="AD228" s="14">
        <v>6.2884615384615392</v>
      </c>
      <c r="AF228" s="14">
        <v>0</v>
      </c>
      <c r="AH228" s="14">
        <v>6.2884615384615392</v>
      </c>
      <c r="AI228" s="13">
        <v>-6.2884615384615392</v>
      </c>
      <c r="AK228" s="9">
        <v>0</v>
      </c>
    </row>
    <row r="229" spans="1:37">
      <c r="A229" s="9">
        <v>9</v>
      </c>
      <c r="B229" s="9">
        <v>2024</v>
      </c>
      <c r="C229" s="9" t="s">
        <v>46</v>
      </c>
      <c r="D229" s="9" t="s">
        <v>47</v>
      </c>
      <c r="E229" s="9" t="s">
        <v>47</v>
      </c>
      <c r="F229" s="10">
        <v>45346</v>
      </c>
      <c r="G229" s="9" t="s">
        <v>155</v>
      </c>
      <c r="H229" s="9" t="s">
        <v>52</v>
      </c>
      <c r="J229" s="9">
        <v>0.92307692307692313</v>
      </c>
      <c r="K229" s="9">
        <v>40</v>
      </c>
      <c r="L229" s="9">
        <v>0.52</v>
      </c>
      <c r="M229" s="9">
        <v>20.8</v>
      </c>
      <c r="N229" s="9" t="s">
        <v>49</v>
      </c>
      <c r="Q229" s="9">
        <f>IF(Auction_Sales[[#This Row],[Payment Date]]=0,"",-1+WEEKNUM(Auction_Sales[[#This Row],[Payment Date]]))</f>
        <v>9</v>
      </c>
      <c r="R229" s="9">
        <v>40</v>
      </c>
      <c r="S229" s="9" t="s">
        <v>155</v>
      </c>
      <c r="T229" s="9" t="s">
        <v>52</v>
      </c>
      <c r="W229" s="13">
        <v>0</v>
      </c>
      <c r="X229" s="14">
        <v>0</v>
      </c>
      <c r="Y229" s="13">
        <v>0</v>
      </c>
      <c r="Z229" s="10">
        <v>45357</v>
      </c>
      <c r="AA229" s="9">
        <v>-40</v>
      </c>
      <c r="AC229" s="9">
        <v>430904</v>
      </c>
      <c r="AD229" s="14">
        <v>3.1442307692307696</v>
      </c>
      <c r="AF229" s="14">
        <v>0</v>
      </c>
      <c r="AH229" s="14">
        <v>3.1442307692307696</v>
      </c>
      <c r="AI229" s="13">
        <v>-3.1442307692307696</v>
      </c>
      <c r="AK229" s="9">
        <v>0</v>
      </c>
    </row>
    <row r="230" spans="1:37">
      <c r="A230" s="9">
        <v>9</v>
      </c>
      <c r="B230" s="9">
        <v>2024</v>
      </c>
      <c r="C230" s="9" t="s">
        <v>46</v>
      </c>
      <c r="D230" s="9" t="s">
        <v>47</v>
      </c>
      <c r="E230" s="9" t="s">
        <v>47</v>
      </c>
      <c r="F230" s="10">
        <v>45346</v>
      </c>
      <c r="G230" s="9" t="s">
        <v>155</v>
      </c>
      <c r="H230" s="9" t="s">
        <v>56</v>
      </c>
      <c r="J230" s="9">
        <v>0.92307692307692313</v>
      </c>
      <c r="K230" s="9">
        <v>40</v>
      </c>
      <c r="L230" s="9">
        <v>0.75</v>
      </c>
      <c r="M230" s="9">
        <v>30</v>
      </c>
      <c r="N230" s="9" t="s">
        <v>49</v>
      </c>
      <c r="Q230" s="9">
        <f>IF(Auction_Sales[[#This Row],[Payment Date]]=0,"",-1+WEEKNUM(Auction_Sales[[#This Row],[Payment Date]]))</f>
        <v>9</v>
      </c>
      <c r="R230" s="9">
        <v>0</v>
      </c>
      <c r="S230" s="9" t="s">
        <v>155</v>
      </c>
      <c r="T230" s="9" t="s">
        <v>56</v>
      </c>
      <c r="U230" s="9">
        <v>40</v>
      </c>
      <c r="V230" s="13">
        <v>0.91999999999999993</v>
      </c>
      <c r="W230" s="13">
        <v>36.799999999999997</v>
      </c>
      <c r="X230" s="14">
        <v>-1.6372463768115946</v>
      </c>
      <c r="Y230" s="13">
        <v>35.162753623188401</v>
      </c>
      <c r="Z230" s="10">
        <v>45357</v>
      </c>
      <c r="AA230" s="9">
        <v>0</v>
      </c>
      <c r="AC230" s="9">
        <v>430904</v>
      </c>
      <c r="AD230" s="14">
        <v>3.1442307692307696</v>
      </c>
      <c r="AF230" s="14">
        <v>0.8</v>
      </c>
      <c r="AH230" s="14">
        <v>3.9442307692307699</v>
      </c>
      <c r="AI230" s="13">
        <v>31.21852285395763</v>
      </c>
      <c r="AK230" s="9">
        <v>40</v>
      </c>
    </row>
    <row r="231" spans="1:37">
      <c r="A231" s="9">
        <v>9</v>
      </c>
      <c r="B231" s="9">
        <v>2024</v>
      </c>
      <c r="C231" s="9" t="s">
        <v>46</v>
      </c>
      <c r="D231" s="9" t="s">
        <v>47</v>
      </c>
      <c r="E231" s="9" t="s">
        <v>47</v>
      </c>
      <c r="F231" s="10">
        <v>45346</v>
      </c>
      <c r="G231" s="9" t="s">
        <v>155</v>
      </c>
      <c r="H231" s="9" t="s">
        <v>57</v>
      </c>
      <c r="J231" s="9">
        <v>1.8461538461538463</v>
      </c>
      <c r="K231" s="9">
        <v>80</v>
      </c>
      <c r="L231" s="9">
        <v>0.94</v>
      </c>
      <c r="M231" s="9">
        <v>75.2</v>
      </c>
      <c r="N231" s="9" t="s">
        <v>49</v>
      </c>
      <c r="Q231" s="9">
        <f>IF(Auction_Sales[[#This Row],[Payment Date]]=0,"",-1+WEEKNUM(Auction_Sales[[#This Row],[Payment Date]]))</f>
        <v>9</v>
      </c>
      <c r="R231" s="9">
        <v>0</v>
      </c>
      <c r="S231" s="9" t="s">
        <v>155</v>
      </c>
      <c r="T231" s="9" t="s">
        <v>57</v>
      </c>
      <c r="U231" s="9">
        <v>80</v>
      </c>
      <c r="V231" s="13">
        <v>0.95</v>
      </c>
      <c r="W231" s="13">
        <v>76</v>
      </c>
      <c r="X231" s="14">
        <v>-3.2744927536231891</v>
      </c>
      <c r="Y231" s="13">
        <v>72.725507246376807</v>
      </c>
      <c r="Z231" s="10">
        <v>45357</v>
      </c>
      <c r="AA231" s="9">
        <v>0</v>
      </c>
      <c r="AC231" s="9">
        <v>430904</v>
      </c>
      <c r="AD231" s="14">
        <v>6.2884615384615392</v>
      </c>
      <c r="AF231" s="14">
        <v>1.6</v>
      </c>
      <c r="AH231" s="14">
        <v>7.8884615384615397</v>
      </c>
      <c r="AI231" s="13">
        <v>64.837045707915266</v>
      </c>
      <c r="AK231" s="9">
        <v>80</v>
      </c>
    </row>
    <row r="232" spans="1:37">
      <c r="A232" s="9">
        <v>9</v>
      </c>
      <c r="B232" s="9">
        <v>2024</v>
      </c>
      <c r="C232" s="9" t="s">
        <v>46</v>
      </c>
      <c r="D232" s="9" t="s">
        <v>47</v>
      </c>
      <c r="E232" s="9" t="s">
        <v>47</v>
      </c>
      <c r="F232" s="10">
        <v>45346</v>
      </c>
      <c r="G232" s="9" t="s">
        <v>153</v>
      </c>
      <c r="H232" s="9" t="s">
        <v>51</v>
      </c>
      <c r="I232" s="9">
        <v>1</v>
      </c>
      <c r="J232" s="9">
        <v>9</v>
      </c>
      <c r="K232" s="9">
        <v>480</v>
      </c>
      <c r="L232" s="9">
        <v>0.14000000000000001</v>
      </c>
      <c r="M232" s="9">
        <v>67.2</v>
      </c>
      <c r="N232" s="9" t="s">
        <v>49</v>
      </c>
      <c r="Q232" s="9">
        <f>IF(Auction_Sales[[#This Row],[Payment Date]]=0,"",-1+WEEKNUM(Auction_Sales[[#This Row],[Payment Date]]))</f>
        <v>9</v>
      </c>
      <c r="R232" s="9">
        <v>0</v>
      </c>
      <c r="S232" s="9" t="s">
        <v>153</v>
      </c>
      <c r="T232" s="9" t="s">
        <v>51</v>
      </c>
      <c r="U232" s="9">
        <v>480</v>
      </c>
      <c r="V232" s="13">
        <v>0.28500000000000003</v>
      </c>
      <c r="W232" s="13">
        <v>136.80000000000001</v>
      </c>
      <c r="X232" s="14">
        <v>-19.646956521739135</v>
      </c>
      <c r="Y232" s="13">
        <v>117.15304347826088</v>
      </c>
      <c r="Z232" s="10">
        <v>45357</v>
      </c>
      <c r="AA232" s="9">
        <v>0</v>
      </c>
      <c r="AC232" s="9">
        <v>430904</v>
      </c>
      <c r="AD232" s="14">
        <v>30.65625</v>
      </c>
      <c r="AF232" s="14">
        <v>9.6</v>
      </c>
      <c r="AH232" s="14">
        <v>40.256250000000001</v>
      </c>
      <c r="AI232" s="13">
        <v>76.896793478260889</v>
      </c>
      <c r="AK232" s="9">
        <v>480</v>
      </c>
    </row>
    <row r="233" spans="1:37">
      <c r="A233" s="9">
        <v>9</v>
      </c>
      <c r="B233" s="9">
        <v>2024</v>
      </c>
      <c r="C233" s="9" t="s">
        <v>46</v>
      </c>
      <c r="D233" s="9" t="s">
        <v>47</v>
      </c>
      <c r="E233" s="9" t="s">
        <v>47</v>
      </c>
      <c r="F233" s="10">
        <v>45346</v>
      </c>
      <c r="G233" s="9" t="s">
        <v>153</v>
      </c>
      <c r="H233" s="9" t="s">
        <v>54</v>
      </c>
      <c r="J233" s="9">
        <v>3</v>
      </c>
      <c r="K233" s="9">
        <v>160</v>
      </c>
      <c r="L233" s="9">
        <v>0.33</v>
      </c>
      <c r="M233" s="9">
        <v>52.8</v>
      </c>
      <c r="N233" s="9" t="s">
        <v>49</v>
      </c>
      <c r="Q233" s="9">
        <f>IF(Auction_Sales[[#This Row],[Payment Date]]=0,"",-1+WEEKNUM(Auction_Sales[[#This Row],[Payment Date]]))</f>
        <v>9</v>
      </c>
      <c r="R233" s="9">
        <v>0</v>
      </c>
      <c r="S233" s="9" t="s">
        <v>153</v>
      </c>
      <c r="T233" s="9" t="s">
        <v>54</v>
      </c>
      <c r="U233" s="9">
        <v>160</v>
      </c>
      <c r="V233" s="13">
        <v>0.64500000000000002</v>
      </c>
      <c r="W233" s="13">
        <v>103.2</v>
      </c>
      <c r="X233" s="14">
        <v>-6.5489855072463783</v>
      </c>
      <c r="Y233" s="13">
        <v>96.651014492753632</v>
      </c>
      <c r="Z233" s="10">
        <v>45357</v>
      </c>
      <c r="AA233" s="9">
        <v>0</v>
      </c>
      <c r="AC233" s="9">
        <v>430904</v>
      </c>
      <c r="AD233" s="14">
        <v>10.21875</v>
      </c>
      <c r="AF233" s="14">
        <v>3.2</v>
      </c>
      <c r="AH233" s="14">
        <v>13.418749999999999</v>
      </c>
      <c r="AI233" s="13">
        <v>83.232264492753629</v>
      </c>
      <c r="AK233" s="9">
        <v>160</v>
      </c>
    </row>
    <row r="234" spans="1:37">
      <c r="A234" s="9">
        <v>9</v>
      </c>
      <c r="B234" s="9">
        <v>2024</v>
      </c>
      <c r="C234" s="9" t="s">
        <v>46</v>
      </c>
      <c r="D234" s="9" t="s">
        <v>47</v>
      </c>
      <c r="E234" s="9" t="s">
        <v>47</v>
      </c>
      <c r="F234" s="10">
        <v>45346</v>
      </c>
      <c r="G234" s="9" t="s">
        <v>154</v>
      </c>
      <c r="H234" s="9" t="s">
        <v>56</v>
      </c>
      <c r="I234" s="9">
        <v>1</v>
      </c>
      <c r="J234" s="9">
        <v>9.6000000000000014</v>
      </c>
      <c r="K234" s="9">
        <v>160</v>
      </c>
      <c r="L234" s="9">
        <v>0.75</v>
      </c>
      <c r="M234" s="9">
        <v>120</v>
      </c>
      <c r="N234" s="9" t="s">
        <v>49</v>
      </c>
      <c r="Q234" s="9">
        <f>IF(Auction_Sales[[#This Row],[Payment Date]]=0,"",-1+WEEKNUM(Auction_Sales[[#This Row],[Payment Date]]))</f>
        <v>9</v>
      </c>
      <c r="R234" s="9">
        <v>160</v>
      </c>
      <c r="S234" s="9" t="s">
        <v>154</v>
      </c>
      <c r="T234" s="9" t="s">
        <v>56</v>
      </c>
      <c r="W234" s="13">
        <v>0</v>
      </c>
      <c r="X234" s="14">
        <v>0</v>
      </c>
      <c r="Y234" s="13">
        <v>0</v>
      </c>
      <c r="Z234" s="10">
        <v>45357</v>
      </c>
      <c r="AA234" s="9">
        <v>-160</v>
      </c>
      <c r="AC234" s="9">
        <v>430904</v>
      </c>
      <c r="AD234" s="14">
        <v>32.700000000000003</v>
      </c>
      <c r="AF234" s="14">
        <v>0</v>
      </c>
      <c r="AH234" s="14">
        <v>32.700000000000003</v>
      </c>
      <c r="AI234" s="13">
        <v>-32.700000000000003</v>
      </c>
      <c r="AK234" s="9">
        <v>0</v>
      </c>
    </row>
    <row r="235" spans="1:37">
      <c r="A235" s="9">
        <v>9</v>
      </c>
      <c r="B235" s="9">
        <v>2024</v>
      </c>
      <c r="C235" s="9" t="s">
        <v>46</v>
      </c>
      <c r="D235" s="9" t="s">
        <v>47</v>
      </c>
      <c r="E235" s="9" t="s">
        <v>47</v>
      </c>
      <c r="F235" s="10">
        <v>45346</v>
      </c>
      <c r="G235" s="9" t="s">
        <v>154</v>
      </c>
      <c r="H235" s="9" t="s">
        <v>57</v>
      </c>
      <c r="J235" s="9">
        <v>2.4000000000000004</v>
      </c>
      <c r="K235" s="9">
        <v>40</v>
      </c>
      <c r="L235" s="9">
        <v>0.94</v>
      </c>
      <c r="M235" s="9">
        <v>37.6</v>
      </c>
      <c r="N235" s="9" t="s">
        <v>49</v>
      </c>
      <c r="Q235" s="9">
        <f>IF(Auction_Sales[[#This Row],[Payment Date]]=0,"",-1+WEEKNUM(Auction_Sales[[#This Row],[Payment Date]]))</f>
        <v>9</v>
      </c>
      <c r="R235" s="9">
        <v>40</v>
      </c>
      <c r="S235" s="9" t="s">
        <v>154</v>
      </c>
      <c r="T235" s="9" t="s">
        <v>57</v>
      </c>
      <c r="W235" s="13">
        <v>0</v>
      </c>
      <c r="X235" s="14">
        <v>0</v>
      </c>
      <c r="Y235" s="13">
        <v>0</v>
      </c>
      <c r="Z235" s="10">
        <v>45357</v>
      </c>
      <c r="AA235" s="9">
        <v>-40</v>
      </c>
      <c r="AC235" s="9">
        <v>430904</v>
      </c>
      <c r="AD235" s="14">
        <v>8.1750000000000007</v>
      </c>
      <c r="AF235" s="14">
        <v>0</v>
      </c>
      <c r="AH235" s="14">
        <v>8.1750000000000007</v>
      </c>
      <c r="AI235" s="13">
        <v>-8.1750000000000007</v>
      </c>
      <c r="AK235" s="9">
        <v>0</v>
      </c>
    </row>
    <row r="236" spans="1:37">
      <c r="F236" s="10"/>
      <c r="G236" s="9" t="s">
        <v>155</v>
      </c>
      <c r="H236" s="9" t="s">
        <v>48</v>
      </c>
      <c r="N236" s="9" t="s">
        <v>49</v>
      </c>
      <c r="Q236" s="9">
        <f>IF(Auction_Sales[[#This Row],[Payment Date]]=0,"",-1+WEEKNUM(Auction_Sales[[#This Row],[Payment Date]]))</f>
        <v>9</v>
      </c>
      <c r="R236" s="9">
        <v>0</v>
      </c>
      <c r="S236" s="9" t="s">
        <v>155</v>
      </c>
      <c r="T236" s="9" t="s">
        <v>48</v>
      </c>
      <c r="W236" s="13">
        <v>-172.8</v>
      </c>
      <c r="X236" s="14">
        <v>-6.6599999999999966</v>
      </c>
      <c r="Y236" s="13">
        <v>-179.46</v>
      </c>
      <c r="Z236" s="10">
        <v>45357</v>
      </c>
      <c r="AA236" s="9">
        <v>0</v>
      </c>
      <c r="AC236" s="9">
        <v>430904</v>
      </c>
      <c r="AD236" s="14">
        <v>0</v>
      </c>
      <c r="AF236" s="14">
        <v>0</v>
      </c>
      <c r="AH236" s="14">
        <v>0</v>
      </c>
      <c r="AI236" s="13">
        <v>-179.46</v>
      </c>
      <c r="AK236" s="9">
        <v>0</v>
      </c>
    </row>
    <row r="237" spans="1:37">
      <c r="A237" s="9">
        <v>9</v>
      </c>
      <c r="B237" s="9">
        <v>2024</v>
      </c>
      <c r="C237" s="9" t="s">
        <v>46</v>
      </c>
      <c r="D237" s="9" t="s">
        <v>47</v>
      </c>
      <c r="E237" s="9" t="s">
        <v>47</v>
      </c>
      <c r="F237" s="10">
        <v>45348</v>
      </c>
      <c r="G237" s="9" t="s">
        <v>153</v>
      </c>
      <c r="H237" s="9" t="s">
        <v>52</v>
      </c>
      <c r="I237" s="9">
        <v>1</v>
      </c>
      <c r="J237" s="9">
        <v>12</v>
      </c>
      <c r="K237" s="9">
        <v>520</v>
      </c>
      <c r="L237" s="9">
        <v>0.28000000000000003</v>
      </c>
      <c r="M237" s="9">
        <v>145.6</v>
      </c>
      <c r="N237" s="9" t="s">
        <v>49</v>
      </c>
      <c r="Q237" s="9">
        <f>IF(Auction_Sales[[#This Row],[Payment Date]]=0,"",-1+WEEKNUM(Auction_Sales[[#This Row],[Payment Date]]))</f>
        <v>9</v>
      </c>
      <c r="R237" s="9">
        <v>0</v>
      </c>
      <c r="S237" s="9" t="s">
        <v>153</v>
      </c>
      <c r="T237" s="9" t="s">
        <v>52</v>
      </c>
      <c r="U237" s="9">
        <v>520</v>
      </c>
      <c r="V237" s="13">
        <v>0.5146153846153847</v>
      </c>
      <c r="W237" s="13">
        <v>267.60000000000002</v>
      </c>
      <c r="X237" s="14">
        <v>-21.330952380952372</v>
      </c>
      <c r="Y237" s="13">
        <v>246.26904761904765</v>
      </c>
      <c r="Z237" s="10">
        <v>45357</v>
      </c>
      <c r="AA237" s="9">
        <v>0</v>
      </c>
      <c r="AC237" s="9" t="s">
        <v>73</v>
      </c>
      <c r="AD237" s="14">
        <v>39.032800000000002</v>
      </c>
      <c r="AF237" s="14">
        <v>10.4</v>
      </c>
      <c r="AH237" s="14">
        <v>49.4328</v>
      </c>
      <c r="AI237" s="13">
        <v>196.83624761904764</v>
      </c>
      <c r="AK237" s="9">
        <v>520</v>
      </c>
    </row>
    <row r="238" spans="1:37">
      <c r="A238" s="9">
        <v>9</v>
      </c>
      <c r="B238" s="9">
        <v>2024</v>
      </c>
      <c r="C238" s="9" t="s">
        <v>46</v>
      </c>
      <c r="D238" s="9" t="s">
        <v>47</v>
      </c>
      <c r="E238" s="9" t="s">
        <v>47</v>
      </c>
      <c r="F238" s="10">
        <v>45348</v>
      </c>
      <c r="G238" s="9" t="s">
        <v>153</v>
      </c>
      <c r="H238" s="9" t="s">
        <v>54</v>
      </c>
      <c r="I238" s="9">
        <v>1</v>
      </c>
      <c r="J238" s="9">
        <v>12</v>
      </c>
      <c r="K238" s="9">
        <v>440</v>
      </c>
      <c r="L238" s="9">
        <v>0.33</v>
      </c>
      <c r="M238" s="9">
        <v>145.19999999999999</v>
      </c>
      <c r="N238" s="9" t="s">
        <v>49</v>
      </c>
      <c r="Q238" s="9">
        <f>IF(Auction_Sales[[#This Row],[Payment Date]]=0,"",-1+WEEKNUM(Auction_Sales[[#This Row],[Payment Date]]))</f>
        <v>9</v>
      </c>
      <c r="R238" s="9">
        <v>0</v>
      </c>
      <c r="S238" s="9" t="s">
        <v>153</v>
      </c>
      <c r="T238" s="9" t="s">
        <v>54</v>
      </c>
      <c r="U238" s="9">
        <v>440</v>
      </c>
      <c r="V238" s="13">
        <v>0.61818181818181817</v>
      </c>
      <c r="W238" s="13">
        <v>272</v>
      </c>
      <c r="X238" s="14">
        <v>-18.049267399267393</v>
      </c>
      <c r="Y238" s="13">
        <v>253.95073260073261</v>
      </c>
      <c r="Z238" s="10">
        <v>45357</v>
      </c>
      <c r="AA238" s="9">
        <v>0</v>
      </c>
      <c r="AC238" s="9" t="s">
        <v>73</v>
      </c>
      <c r="AD238" s="14">
        <v>39.032800000000002</v>
      </c>
      <c r="AF238" s="14">
        <v>8.8000000000000007</v>
      </c>
      <c r="AH238" s="14">
        <v>47.832800000000006</v>
      </c>
      <c r="AI238" s="13">
        <v>206.11793260073262</v>
      </c>
      <c r="AK238" s="9">
        <v>440</v>
      </c>
    </row>
    <row r="239" spans="1:37">
      <c r="A239" s="9">
        <v>9</v>
      </c>
      <c r="B239" s="9">
        <v>2024</v>
      </c>
      <c r="C239" s="9" t="s">
        <v>46</v>
      </c>
      <c r="D239" s="9" t="s">
        <v>47</v>
      </c>
      <c r="E239" s="9" t="s">
        <v>47</v>
      </c>
      <c r="F239" s="10">
        <v>45348</v>
      </c>
      <c r="G239" s="9" t="s">
        <v>153</v>
      </c>
      <c r="H239" s="9" t="s">
        <v>56</v>
      </c>
      <c r="I239" s="9">
        <v>1</v>
      </c>
      <c r="J239" s="9">
        <v>12</v>
      </c>
      <c r="K239" s="9">
        <v>440</v>
      </c>
      <c r="L239" s="9">
        <v>0.38</v>
      </c>
      <c r="M239" s="9">
        <v>167.2</v>
      </c>
      <c r="N239" s="9" t="s">
        <v>49</v>
      </c>
      <c r="Q239" s="9">
        <f>IF(Auction_Sales[[#This Row],[Payment Date]]=0,"",-1+WEEKNUM(Auction_Sales[[#This Row],[Payment Date]]))</f>
        <v>9</v>
      </c>
      <c r="R239" s="9">
        <v>0</v>
      </c>
      <c r="S239" s="9" t="s">
        <v>153</v>
      </c>
      <c r="T239" s="9" t="s">
        <v>56</v>
      </c>
      <c r="U239" s="9">
        <v>440</v>
      </c>
      <c r="V239" s="13">
        <v>0.63090909090909097</v>
      </c>
      <c r="W239" s="13">
        <v>277.60000000000002</v>
      </c>
      <c r="X239" s="14">
        <v>-18.049267399267393</v>
      </c>
      <c r="Y239" s="13">
        <v>259.55073260073266</v>
      </c>
      <c r="Z239" s="10">
        <v>45357</v>
      </c>
      <c r="AA239" s="9">
        <v>0</v>
      </c>
      <c r="AC239" s="9" t="s">
        <v>73</v>
      </c>
      <c r="AD239" s="14">
        <v>39.032800000000002</v>
      </c>
      <c r="AF239" s="14">
        <v>8.8000000000000007</v>
      </c>
      <c r="AH239" s="14">
        <v>47.832800000000006</v>
      </c>
      <c r="AI239" s="13">
        <v>211.71793260073264</v>
      </c>
      <c r="AK239" s="9">
        <v>440</v>
      </c>
    </row>
    <row r="240" spans="1:37">
      <c r="A240" s="9">
        <v>9</v>
      </c>
      <c r="B240" s="9">
        <v>2024</v>
      </c>
      <c r="C240" s="9" t="s">
        <v>46</v>
      </c>
      <c r="D240" s="9" t="s">
        <v>47</v>
      </c>
      <c r="E240" s="9" t="s">
        <v>47</v>
      </c>
      <c r="F240" s="10">
        <v>45348</v>
      </c>
      <c r="G240" s="9" t="s">
        <v>153</v>
      </c>
      <c r="H240" s="9" t="s">
        <v>57</v>
      </c>
      <c r="I240" s="9">
        <v>1</v>
      </c>
      <c r="J240" s="9">
        <v>12</v>
      </c>
      <c r="K240" s="9">
        <v>320</v>
      </c>
      <c r="L240" s="9">
        <v>0.47</v>
      </c>
      <c r="M240" s="9">
        <v>150.4</v>
      </c>
      <c r="N240" s="9" t="s">
        <v>49</v>
      </c>
      <c r="Q240" s="9">
        <f>IF(Auction_Sales[[#This Row],[Payment Date]]=0,"",-1+WEEKNUM(Auction_Sales[[#This Row],[Payment Date]]))</f>
        <v>9</v>
      </c>
      <c r="R240" s="9">
        <v>0</v>
      </c>
      <c r="S240" s="9" t="s">
        <v>153</v>
      </c>
      <c r="T240" s="9" t="s">
        <v>57</v>
      </c>
      <c r="U240" s="9">
        <v>320</v>
      </c>
      <c r="V240" s="13">
        <v>0.63</v>
      </c>
      <c r="W240" s="13">
        <v>201.6</v>
      </c>
      <c r="X240" s="14">
        <v>-13.126739926739921</v>
      </c>
      <c r="Y240" s="13">
        <v>188.47326007326006</v>
      </c>
      <c r="Z240" s="10">
        <v>45357</v>
      </c>
      <c r="AA240" s="9">
        <v>0</v>
      </c>
      <c r="AC240" s="9" t="s">
        <v>73</v>
      </c>
      <c r="AD240" s="14">
        <v>39.032800000000002</v>
      </c>
      <c r="AF240" s="14">
        <v>6.4</v>
      </c>
      <c r="AH240" s="14">
        <v>45.4328</v>
      </c>
      <c r="AI240" s="13">
        <v>143.04046007326008</v>
      </c>
      <c r="AK240" s="9">
        <v>320</v>
      </c>
    </row>
    <row r="241" spans="1:37">
      <c r="A241" s="9">
        <v>9</v>
      </c>
      <c r="B241" s="9">
        <v>2024</v>
      </c>
      <c r="C241" s="9" t="s">
        <v>46</v>
      </c>
      <c r="D241" s="9" t="s">
        <v>47</v>
      </c>
      <c r="E241" s="9" t="s">
        <v>47</v>
      </c>
      <c r="F241" s="10">
        <v>45348</v>
      </c>
      <c r="G241" s="9" t="s">
        <v>154</v>
      </c>
      <c r="H241" s="9" t="s">
        <v>51</v>
      </c>
      <c r="I241" s="9">
        <v>1</v>
      </c>
      <c r="J241" s="9">
        <v>12</v>
      </c>
      <c r="K241" s="9">
        <v>480</v>
      </c>
      <c r="L241" s="9">
        <v>0.38</v>
      </c>
      <c r="M241" s="9">
        <v>182.4</v>
      </c>
      <c r="N241" s="9" t="s">
        <v>49</v>
      </c>
      <c r="Q241" s="9">
        <f>IF(Auction_Sales[[#This Row],[Payment Date]]=0,"",-1+WEEKNUM(Auction_Sales[[#This Row],[Payment Date]]))</f>
        <v>9</v>
      </c>
      <c r="R241" s="9">
        <v>0</v>
      </c>
      <c r="S241" s="9" t="s">
        <v>154</v>
      </c>
      <c r="T241" s="9" t="s">
        <v>51</v>
      </c>
      <c r="U241" s="9">
        <v>480</v>
      </c>
      <c r="V241" s="13">
        <v>0.28999999999999998</v>
      </c>
      <c r="W241" s="13">
        <v>139.19999999999999</v>
      </c>
      <c r="X241" s="14">
        <v>-19.690109890109881</v>
      </c>
      <c r="Y241" s="13">
        <v>119.50989010989011</v>
      </c>
      <c r="Z241" s="10">
        <v>45357</v>
      </c>
      <c r="AA241" s="9">
        <v>0</v>
      </c>
      <c r="AC241" s="9" t="s">
        <v>73</v>
      </c>
      <c r="AD241" s="14">
        <v>39.032800000000002</v>
      </c>
      <c r="AF241" s="14">
        <v>9.6</v>
      </c>
      <c r="AH241" s="14">
        <v>48.632800000000003</v>
      </c>
      <c r="AI241" s="13">
        <v>70.877090109890105</v>
      </c>
      <c r="AK241" s="9">
        <v>480</v>
      </c>
    </row>
    <row r="242" spans="1:37">
      <c r="A242" s="9">
        <v>9</v>
      </c>
      <c r="B242" s="9">
        <v>2024</v>
      </c>
      <c r="C242" s="9" t="s">
        <v>46</v>
      </c>
      <c r="D242" s="9" t="s">
        <v>47</v>
      </c>
      <c r="E242" s="9" t="s">
        <v>47</v>
      </c>
      <c r="F242" s="10">
        <v>45348</v>
      </c>
      <c r="G242" s="9" t="s">
        <v>154</v>
      </c>
      <c r="H242" s="9" t="s">
        <v>48</v>
      </c>
      <c r="I242" s="9">
        <v>1</v>
      </c>
      <c r="J242" s="9">
        <v>12</v>
      </c>
      <c r="K242" s="9">
        <v>480</v>
      </c>
      <c r="L242" s="9">
        <v>0.47</v>
      </c>
      <c r="M242" s="9">
        <v>225.6</v>
      </c>
      <c r="N242" s="9" t="s">
        <v>49</v>
      </c>
      <c r="Q242" s="9">
        <f>IF(Auction_Sales[[#This Row],[Payment Date]]=0,"",-1+WEEKNUM(Auction_Sales[[#This Row],[Payment Date]]))</f>
        <v>9</v>
      </c>
      <c r="R242" s="9">
        <v>-40</v>
      </c>
      <c r="S242" s="9" t="s">
        <v>154</v>
      </c>
      <c r="T242" s="9" t="s">
        <v>48</v>
      </c>
      <c r="U242" s="9">
        <v>520</v>
      </c>
      <c r="V242" s="13">
        <v>0.44846153846153847</v>
      </c>
      <c r="W242" s="13">
        <v>233.2</v>
      </c>
      <c r="X242" s="14">
        <v>-21.330952380952372</v>
      </c>
      <c r="Y242" s="13">
        <v>211.86904761904762</v>
      </c>
      <c r="Z242" s="10">
        <v>45357</v>
      </c>
      <c r="AA242" s="9">
        <v>40</v>
      </c>
      <c r="AC242" s="9" t="s">
        <v>73</v>
      </c>
      <c r="AD242" s="14">
        <v>39.032800000000002</v>
      </c>
      <c r="AF242" s="14">
        <v>10.4</v>
      </c>
      <c r="AH242" s="14">
        <v>49.4328</v>
      </c>
      <c r="AI242" s="13">
        <v>162.43624761904761</v>
      </c>
      <c r="AK242" s="9">
        <v>520</v>
      </c>
    </row>
    <row r="243" spans="1:37">
      <c r="A243" s="9">
        <v>9</v>
      </c>
      <c r="B243" s="9">
        <v>2024</v>
      </c>
      <c r="C243" s="9" t="s">
        <v>46</v>
      </c>
      <c r="D243" s="9" t="s">
        <v>47</v>
      </c>
      <c r="E243" s="9" t="s">
        <v>47</v>
      </c>
      <c r="F243" s="10">
        <v>45348</v>
      </c>
      <c r="G243" s="9" t="s">
        <v>154</v>
      </c>
      <c r="H243" s="9" t="s">
        <v>52</v>
      </c>
      <c r="I243" s="9">
        <v>1</v>
      </c>
      <c r="J243" s="9">
        <v>12</v>
      </c>
      <c r="K243" s="9">
        <v>400</v>
      </c>
      <c r="L243" s="9">
        <v>0.52</v>
      </c>
      <c r="M243" s="9">
        <v>208</v>
      </c>
      <c r="N243" s="9" t="s">
        <v>49</v>
      </c>
      <c r="Q243" s="9">
        <f>IF(Auction_Sales[[#This Row],[Payment Date]]=0,"",-1+WEEKNUM(Auction_Sales[[#This Row],[Payment Date]]))</f>
        <v>9</v>
      </c>
      <c r="R243" s="9">
        <v>40</v>
      </c>
      <c r="S243" s="9" t="s">
        <v>154</v>
      </c>
      <c r="T243" s="9" t="s">
        <v>52</v>
      </c>
      <c r="U243" s="9">
        <v>360</v>
      </c>
      <c r="V243" s="13">
        <v>0.49</v>
      </c>
      <c r="W243" s="13">
        <v>176.4</v>
      </c>
      <c r="X243" s="14">
        <v>-14.767582417582412</v>
      </c>
      <c r="Y243" s="13">
        <v>161.63241758241759</v>
      </c>
      <c r="Z243" s="10">
        <v>45357</v>
      </c>
      <c r="AA243" s="9">
        <v>-40</v>
      </c>
      <c r="AC243" s="9" t="s">
        <v>73</v>
      </c>
      <c r="AD243" s="14">
        <v>39.032800000000002</v>
      </c>
      <c r="AF243" s="14">
        <v>7.2</v>
      </c>
      <c r="AH243" s="14">
        <v>46.232800000000005</v>
      </c>
      <c r="AI243" s="13">
        <v>115.39961758241759</v>
      </c>
      <c r="AK243" s="9">
        <v>360</v>
      </c>
    </row>
    <row r="244" spans="1:37">
      <c r="A244" s="9">
        <v>9</v>
      </c>
      <c r="B244" s="9">
        <v>2024</v>
      </c>
      <c r="C244" s="9" t="s">
        <v>46</v>
      </c>
      <c r="D244" s="9" t="s">
        <v>47</v>
      </c>
      <c r="E244" s="9" t="s">
        <v>47</v>
      </c>
      <c r="F244" s="10">
        <v>45348</v>
      </c>
      <c r="G244" s="9" t="s">
        <v>154</v>
      </c>
      <c r="H244" s="9" t="s">
        <v>54</v>
      </c>
      <c r="I244" s="9">
        <v>2</v>
      </c>
      <c r="J244" s="9">
        <v>24</v>
      </c>
      <c r="K244" s="9">
        <v>640</v>
      </c>
      <c r="L244" s="9">
        <v>0.56999999999999995</v>
      </c>
      <c r="M244" s="9">
        <v>364.8</v>
      </c>
      <c r="N244" s="9" t="s">
        <v>49</v>
      </c>
      <c r="Q244" s="9">
        <f>IF(Auction_Sales[[#This Row],[Payment Date]]=0,"",-1+WEEKNUM(Auction_Sales[[#This Row],[Payment Date]]))</f>
        <v>9</v>
      </c>
      <c r="R244" s="9">
        <v>0</v>
      </c>
      <c r="S244" s="9" t="s">
        <v>154</v>
      </c>
      <c r="T244" s="9" t="s">
        <v>54</v>
      </c>
      <c r="U244" s="9">
        <v>640</v>
      </c>
      <c r="V244" s="13">
        <v>0.59187500000000004</v>
      </c>
      <c r="W244" s="13">
        <v>378.8</v>
      </c>
      <c r="X244" s="14">
        <v>-26.253479853479842</v>
      </c>
      <c r="Y244" s="13">
        <v>352.54652014652015</v>
      </c>
      <c r="Z244" s="10">
        <v>45357</v>
      </c>
      <c r="AA244" s="9">
        <v>0</v>
      </c>
      <c r="AC244" s="9" t="s">
        <v>73</v>
      </c>
      <c r="AD244" s="14">
        <v>78.065600000000003</v>
      </c>
      <c r="AF244" s="14">
        <v>12.8</v>
      </c>
      <c r="AH244" s="14">
        <v>90.865600000000001</v>
      </c>
      <c r="AI244" s="13">
        <v>261.68092014652018</v>
      </c>
      <c r="AK244" s="9">
        <v>640</v>
      </c>
    </row>
    <row r="245" spans="1:37">
      <c r="A245" s="9">
        <v>9</v>
      </c>
      <c r="B245" s="9">
        <v>2024</v>
      </c>
      <c r="C245" s="9" t="s">
        <v>46</v>
      </c>
      <c r="D245" s="9" t="s">
        <v>47</v>
      </c>
      <c r="E245" s="9" t="s">
        <v>47</v>
      </c>
      <c r="F245" s="10">
        <v>45348</v>
      </c>
      <c r="G245" s="9" t="s">
        <v>154</v>
      </c>
      <c r="H245" s="9" t="s">
        <v>56</v>
      </c>
      <c r="I245" s="9">
        <v>2</v>
      </c>
      <c r="J245" s="9">
        <v>24</v>
      </c>
      <c r="K245" s="9">
        <v>480</v>
      </c>
      <c r="L245" s="9">
        <v>0.75</v>
      </c>
      <c r="M245" s="9">
        <v>360</v>
      </c>
      <c r="N245" s="9" t="s">
        <v>49</v>
      </c>
      <c r="Q245" s="9">
        <f>IF(Auction_Sales[[#This Row],[Payment Date]]=0,"",-1+WEEKNUM(Auction_Sales[[#This Row],[Payment Date]]))</f>
        <v>9</v>
      </c>
      <c r="R245" s="9">
        <v>0</v>
      </c>
      <c r="S245" s="9" t="s">
        <v>154</v>
      </c>
      <c r="T245" s="9" t="s">
        <v>56</v>
      </c>
      <c r="U245" s="9">
        <v>480</v>
      </c>
      <c r="V245" s="13">
        <v>0.6875</v>
      </c>
      <c r="W245" s="13">
        <v>330</v>
      </c>
      <c r="X245" s="14">
        <v>-19.690109890109881</v>
      </c>
      <c r="Y245" s="13">
        <v>310.30989010989015</v>
      </c>
      <c r="Z245" s="10">
        <v>45357</v>
      </c>
      <c r="AA245" s="9">
        <v>0</v>
      </c>
      <c r="AC245" s="9" t="s">
        <v>73</v>
      </c>
      <c r="AD245" s="14">
        <v>78.065600000000003</v>
      </c>
      <c r="AF245" s="14">
        <v>9.6</v>
      </c>
      <c r="AH245" s="14">
        <v>87.665599999999998</v>
      </c>
      <c r="AI245" s="13">
        <v>222.64429010989016</v>
      </c>
      <c r="AK245" s="9">
        <v>480</v>
      </c>
    </row>
    <row r="246" spans="1:37">
      <c r="A246" s="9">
        <v>9</v>
      </c>
      <c r="B246" s="9">
        <v>2024</v>
      </c>
      <c r="C246" s="9" t="s">
        <v>46</v>
      </c>
      <c r="D246" s="9" t="s">
        <v>47</v>
      </c>
      <c r="E246" s="9" t="s">
        <v>47</v>
      </c>
      <c r="F246" s="10">
        <v>45348</v>
      </c>
      <c r="G246" s="9" t="s">
        <v>154</v>
      </c>
      <c r="H246" s="9" t="s">
        <v>57</v>
      </c>
      <c r="I246" s="9">
        <v>3</v>
      </c>
      <c r="J246" s="9">
        <v>36</v>
      </c>
      <c r="K246" s="9">
        <v>600</v>
      </c>
      <c r="L246" s="9">
        <v>0.94</v>
      </c>
      <c r="M246" s="9">
        <v>564</v>
      </c>
      <c r="N246" s="9" t="s">
        <v>49</v>
      </c>
      <c r="Q246" s="9">
        <f>IF(Auction_Sales[[#This Row],[Payment Date]]=0,"",-1+WEEKNUM(Auction_Sales[[#This Row],[Payment Date]]))</f>
        <v>9</v>
      </c>
      <c r="R246" s="9">
        <v>0</v>
      </c>
      <c r="S246" s="9" t="s">
        <v>154</v>
      </c>
      <c r="T246" s="9" t="s">
        <v>57</v>
      </c>
      <c r="U246" s="9">
        <v>600</v>
      </c>
      <c r="V246" s="13">
        <v>0.48066666666666663</v>
      </c>
      <c r="W246" s="13">
        <v>288.39999999999998</v>
      </c>
      <c r="X246" s="14">
        <v>-24.612637362637351</v>
      </c>
      <c r="Y246" s="13">
        <v>263.78736263736261</v>
      </c>
      <c r="Z246" s="10">
        <v>45357</v>
      </c>
      <c r="AA246" s="9">
        <v>0</v>
      </c>
      <c r="AC246" s="9" t="s">
        <v>73</v>
      </c>
      <c r="AD246" s="14">
        <v>117.0984</v>
      </c>
      <c r="AF246" s="14">
        <v>12</v>
      </c>
      <c r="AH246" s="14">
        <v>129.0984</v>
      </c>
      <c r="AI246" s="13">
        <v>134.68896263736261</v>
      </c>
      <c r="AK246" s="9">
        <v>600</v>
      </c>
    </row>
    <row r="247" spans="1:37">
      <c r="A247" s="9">
        <v>9</v>
      </c>
      <c r="B247" s="9">
        <v>2024</v>
      </c>
      <c r="C247" s="9" t="s">
        <v>46</v>
      </c>
      <c r="D247" s="9" t="s">
        <v>47</v>
      </c>
      <c r="E247" s="9" t="s">
        <v>47</v>
      </c>
      <c r="F247" s="10">
        <v>45348</v>
      </c>
      <c r="G247" s="9" t="s">
        <v>155</v>
      </c>
      <c r="H247" s="9" t="s">
        <v>51</v>
      </c>
      <c r="I247" s="9">
        <v>3</v>
      </c>
      <c r="J247" s="9">
        <v>36</v>
      </c>
      <c r="K247" s="9">
        <v>1800</v>
      </c>
      <c r="L247" s="9">
        <v>0.38</v>
      </c>
      <c r="M247" s="9">
        <v>684</v>
      </c>
      <c r="N247" s="9" t="s">
        <v>49</v>
      </c>
      <c r="Q247" s="9">
        <f>IF(Auction_Sales[[#This Row],[Payment Date]]=0,"",-1+WEEKNUM(Auction_Sales[[#This Row],[Payment Date]]))</f>
        <v>9</v>
      </c>
      <c r="R247" s="9">
        <v>120</v>
      </c>
      <c r="S247" s="9" t="s">
        <v>155</v>
      </c>
      <c r="T247" s="9" t="s">
        <v>51</v>
      </c>
      <c r="U247" s="9">
        <v>1680</v>
      </c>
      <c r="V247" s="13">
        <v>0.2907142857142857</v>
      </c>
      <c r="W247" s="13">
        <v>488.4</v>
      </c>
      <c r="X247" s="14">
        <v>-68.915384615384582</v>
      </c>
      <c r="Y247" s="13">
        <v>419.48461538461538</v>
      </c>
      <c r="Z247" s="10">
        <v>45357</v>
      </c>
      <c r="AA247" s="9">
        <v>-120</v>
      </c>
      <c r="AC247" s="9" t="s">
        <v>73</v>
      </c>
      <c r="AD247" s="14">
        <v>117.0984</v>
      </c>
      <c r="AF247" s="14">
        <v>33.6</v>
      </c>
      <c r="AH247" s="14">
        <v>150.69839999999999</v>
      </c>
      <c r="AI247" s="13">
        <v>268.78621538461539</v>
      </c>
      <c r="AK247" s="9">
        <v>1680</v>
      </c>
    </row>
    <row r="248" spans="1:37">
      <c r="A248" s="9">
        <v>9</v>
      </c>
      <c r="B248" s="9">
        <v>2024</v>
      </c>
      <c r="C248" s="9" t="s">
        <v>46</v>
      </c>
      <c r="D248" s="9" t="s">
        <v>47</v>
      </c>
      <c r="E248" s="9" t="s">
        <v>47</v>
      </c>
      <c r="F248" s="10">
        <v>45348</v>
      </c>
      <c r="G248" s="9" t="s">
        <v>155</v>
      </c>
      <c r="H248" s="9" t="s">
        <v>48</v>
      </c>
      <c r="I248" s="9">
        <v>3</v>
      </c>
      <c r="J248" s="9">
        <v>36</v>
      </c>
      <c r="K248" s="9">
        <v>1560</v>
      </c>
      <c r="L248" s="9">
        <v>0.47</v>
      </c>
      <c r="M248" s="9">
        <v>733.2</v>
      </c>
      <c r="N248" s="9" t="s">
        <v>49</v>
      </c>
      <c r="Q248" s="9">
        <f>IF(Auction_Sales[[#This Row],[Payment Date]]=0,"",-1+WEEKNUM(Auction_Sales[[#This Row],[Payment Date]]))</f>
        <v>9</v>
      </c>
      <c r="R248" s="9">
        <v>-120</v>
      </c>
      <c r="S248" s="9" t="s">
        <v>155</v>
      </c>
      <c r="T248" s="9" t="s">
        <v>48</v>
      </c>
      <c r="U248" s="9">
        <v>1680</v>
      </c>
      <c r="V248" s="13">
        <v>0.50309523809523815</v>
      </c>
      <c r="W248" s="13">
        <v>845.2</v>
      </c>
      <c r="X248" s="14">
        <v>-68.915384615384582</v>
      </c>
      <c r="Y248" s="13">
        <v>776.28461538461545</v>
      </c>
      <c r="Z248" s="10">
        <v>45357</v>
      </c>
      <c r="AA248" s="9">
        <v>120</v>
      </c>
      <c r="AC248" s="9" t="s">
        <v>73</v>
      </c>
      <c r="AD248" s="14">
        <v>117.0984</v>
      </c>
      <c r="AF248" s="14">
        <v>33.6</v>
      </c>
      <c r="AH248" s="14">
        <v>150.69839999999999</v>
      </c>
      <c r="AI248" s="13">
        <v>625.58621538461546</v>
      </c>
      <c r="AK248" s="9">
        <v>1680</v>
      </c>
    </row>
    <row r="249" spans="1:37">
      <c r="A249" s="9">
        <v>9</v>
      </c>
      <c r="B249" s="9">
        <v>2024</v>
      </c>
      <c r="C249" s="9" t="s">
        <v>46</v>
      </c>
      <c r="D249" s="9" t="s">
        <v>47</v>
      </c>
      <c r="E249" s="9" t="s">
        <v>47</v>
      </c>
      <c r="F249" s="10">
        <v>45348</v>
      </c>
      <c r="G249" s="9" t="s">
        <v>155</v>
      </c>
      <c r="H249" s="9" t="s">
        <v>52</v>
      </c>
      <c r="I249" s="9">
        <v>1</v>
      </c>
      <c r="J249" s="9">
        <v>12</v>
      </c>
      <c r="K249" s="9">
        <v>400</v>
      </c>
      <c r="L249" s="9">
        <v>0.52</v>
      </c>
      <c r="M249" s="9">
        <v>208</v>
      </c>
      <c r="N249" s="9" t="s">
        <v>49</v>
      </c>
      <c r="Q249" s="9">
        <f>IF(Auction_Sales[[#This Row],[Payment Date]]=0,"",-1+WEEKNUM(Auction_Sales[[#This Row],[Payment Date]]))</f>
        <v>9</v>
      </c>
      <c r="R249" s="9">
        <v>-80</v>
      </c>
      <c r="S249" s="9" t="s">
        <v>155</v>
      </c>
      <c r="T249" s="9" t="s">
        <v>52</v>
      </c>
      <c r="U249" s="9">
        <v>480</v>
      </c>
      <c r="V249" s="13">
        <v>0.7</v>
      </c>
      <c r="W249" s="13">
        <v>336</v>
      </c>
      <c r="X249" s="14">
        <v>-19.690109890109881</v>
      </c>
      <c r="Y249" s="13">
        <v>316.30989010989015</v>
      </c>
      <c r="Z249" s="10">
        <v>45357</v>
      </c>
      <c r="AA249" s="9">
        <v>80</v>
      </c>
      <c r="AC249" s="9" t="s">
        <v>73</v>
      </c>
      <c r="AD249" s="14">
        <v>39.032800000000002</v>
      </c>
      <c r="AF249" s="14">
        <v>9.6</v>
      </c>
      <c r="AH249" s="14">
        <v>48.632800000000003</v>
      </c>
      <c r="AI249" s="13">
        <v>267.67709010989017</v>
      </c>
      <c r="AK249" s="9">
        <v>480</v>
      </c>
    </row>
    <row r="250" spans="1:37">
      <c r="A250" s="9">
        <v>9</v>
      </c>
      <c r="B250" s="9">
        <v>2024</v>
      </c>
      <c r="C250" s="9" t="s">
        <v>46</v>
      </c>
      <c r="D250" s="9" t="s">
        <v>47</v>
      </c>
      <c r="E250" s="9" t="s">
        <v>47</v>
      </c>
      <c r="F250" s="10">
        <v>45348</v>
      </c>
      <c r="G250" s="9" t="s">
        <v>155</v>
      </c>
      <c r="H250" s="9" t="s">
        <v>54</v>
      </c>
      <c r="I250" s="9">
        <v>1</v>
      </c>
      <c r="J250" s="9">
        <v>12</v>
      </c>
      <c r="K250" s="9">
        <v>280</v>
      </c>
      <c r="L250" s="9">
        <v>0.56999999999999995</v>
      </c>
      <c r="M250" s="9">
        <v>159.6</v>
      </c>
      <c r="N250" s="9" t="s">
        <v>49</v>
      </c>
      <c r="Q250" s="9">
        <f>IF(Auction_Sales[[#This Row],[Payment Date]]=0,"",-1+WEEKNUM(Auction_Sales[[#This Row],[Payment Date]]))</f>
        <v>9</v>
      </c>
      <c r="R250" s="9">
        <v>0</v>
      </c>
      <c r="S250" s="9" t="s">
        <v>155</v>
      </c>
      <c r="T250" s="9" t="s">
        <v>54</v>
      </c>
      <c r="U250" s="9">
        <v>280</v>
      </c>
      <c r="V250" s="13">
        <v>0.8928571428571429</v>
      </c>
      <c r="W250" s="13">
        <v>250</v>
      </c>
      <c r="X250" s="14">
        <v>-11.48589743589743</v>
      </c>
      <c r="Y250" s="13">
        <v>238.51410256410256</v>
      </c>
      <c r="Z250" s="10">
        <v>45357</v>
      </c>
      <c r="AA250" s="9">
        <v>0</v>
      </c>
      <c r="AC250" s="9" t="s">
        <v>73</v>
      </c>
      <c r="AD250" s="14">
        <v>39.032800000000002</v>
      </c>
      <c r="AF250" s="14">
        <v>5.6000000000000005</v>
      </c>
      <c r="AH250" s="14">
        <v>44.632800000000003</v>
      </c>
      <c r="AI250" s="13">
        <v>193.88130256410255</v>
      </c>
      <c r="AK250" s="9">
        <v>280</v>
      </c>
    </row>
    <row r="251" spans="1:37">
      <c r="A251" s="9">
        <v>9</v>
      </c>
      <c r="B251" s="9">
        <v>2024</v>
      </c>
      <c r="C251" s="9" t="s">
        <v>46</v>
      </c>
      <c r="D251" s="9" t="s">
        <v>47</v>
      </c>
      <c r="E251" s="9" t="s">
        <v>47</v>
      </c>
      <c r="F251" s="10">
        <v>45348</v>
      </c>
      <c r="G251" s="9" t="s">
        <v>153</v>
      </c>
      <c r="H251" s="9" t="s">
        <v>51</v>
      </c>
      <c r="I251" s="9">
        <v>1</v>
      </c>
      <c r="J251" s="9">
        <v>5.2173913043478262</v>
      </c>
      <c r="K251" s="9">
        <v>400</v>
      </c>
      <c r="L251" s="9">
        <v>0.14000000000000001</v>
      </c>
      <c r="M251" s="9">
        <v>56</v>
      </c>
      <c r="N251" s="9" t="s">
        <v>49</v>
      </c>
      <c r="Q251" s="9">
        <f>IF(Auction_Sales[[#This Row],[Payment Date]]=0,"",-1+WEEKNUM(Auction_Sales[[#This Row],[Payment Date]]))</f>
        <v>9</v>
      </c>
      <c r="R251" s="9">
        <v>0</v>
      </c>
      <c r="S251" s="9" t="s">
        <v>153</v>
      </c>
      <c r="T251" s="9" t="s">
        <v>51</v>
      </c>
      <c r="U251" s="9">
        <v>400</v>
      </c>
      <c r="V251" s="13">
        <v>0.29199999999999998</v>
      </c>
      <c r="W251" s="13">
        <v>116.8</v>
      </c>
      <c r="X251" s="14">
        <v>-16.408424908424902</v>
      </c>
      <c r="Y251" s="13">
        <v>100.39157509157509</v>
      </c>
      <c r="Z251" s="10">
        <v>45357</v>
      </c>
      <c r="AA251" s="9">
        <v>0</v>
      </c>
      <c r="AC251" s="9" t="s">
        <v>73</v>
      </c>
      <c r="AD251" s="14">
        <v>16.970782608695654</v>
      </c>
      <c r="AF251" s="14">
        <v>8</v>
      </c>
      <c r="AH251" s="14">
        <v>24.970782608695654</v>
      </c>
      <c r="AI251" s="13">
        <v>75.420792482879435</v>
      </c>
      <c r="AK251" s="9">
        <v>400</v>
      </c>
    </row>
    <row r="252" spans="1:37">
      <c r="A252" s="9">
        <v>9</v>
      </c>
      <c r="B252" s="9">
        <v>2024</v>
      </c>
      <c r="C252" s="9" t="s">
        <v>46</v>
      </c>
      <c r="D252" s="9" t="s">
        <v>47</v>
      </c>
      <c r="E252" s="9" t="s">
        <v>47</v>
      </c>
      <c r="F252" s="10">
        <v>45348</v>
      </c>
      <c r="G252" s="9" t="s">
        <v>153</v>
      </c>
      <c r="H252" s="9" t="s">
        <v>48</v>
      </c>
      <c r="J252" s="9">
        <v>6.7826086956521738</v>
      </c>
      <c r="K252" s="9">
        <v>520</v>
      </c>
      <c r="L252" s="9">
        <v>0.24</v>
      </c>
      <c r="M252" s="9">
        <v>124.8</v>
      </c>
      <c r="N252" s="9" t="s">
        <v>49</v>
      </c>
      <c r="Q252" s="9">
        <f>IF(Auction_Sales[[#This Row],[Payment Date]]=0,"",-1+WEEKNUM(Auction_Sales[[#This Row],[Payment Date]]))</f>
        <v>9</v>
      </c>
      <c r="R252" s="9">
        <v>0</v>
      </c>
      <c r="S252" s="9" t="s">
        <v>153</v>
      </c>
      <c r="T252" s="9" t="s">
        <v>48</v>
      </c>
      <c r="U252" s="9">
        <v>520</v>
      </c>
      <c r="V252" s="13">
        <v>0.44</v>
      </c>
      <c r="W252" s="13">
        <v>228.8</v>
      </c>
      <c r="X252" s="14">
        <v>-21.330952380952372</v>
      </c>
      <c r="Y252" s="13">
        <v>207.46904761904764</v>
      </c>
      <c r="Z252" s="10">
        <v>45357</v>
      </c>
      <c r="AA252" s="9">
        <v>0</v>
      </c>
      <c r="AC252" s="9" t="s">
        <v>73</v>
      </c>
      <c r="AD252" s="14">
        <v>22.062017391304348</v>
      </c>
      <c r="AF252" s="14">
        <v>10.4</v>
      </c>
      <c r="AH252" s="14">
        <v>32.46201739130435</v>
      </c>
      <c r="AI252" s="13">
        <v>175.00703022774329</v>
      </c>
      <c r="AK252" s="9">
        <v>520</v>
      </c>
    </row>
    <row r="253" spans="1:37">
      <c r="A253" s="9">
        <v>9</v>
      </c>
      <c r="B253" s="9">
        <v>2024</v>
      </c>
      <c r="C253" s="9" t="s">
        <v>46</v>
      </c>
      <c r="D253" s="9" t="s">
        <v>47</v>
      </c>
      <c r="E253" s="9" t="s">
        <v>47</v>
      </c>
      <c r="F253" s="10">
        <v>45348</v>
      </c>
      <c r="G253" s="9" t="s">
        <v>156</v>
      </c>
      <c r="H253" s="9" t="s">
        <v>51</v>
      </c>
      <c r="I253" s="9">
        <v>1</v>
      </c>
      <c r="J253" s="9">
        <v>3.2</v>
      </c>
      <c r="K253" s="9">
        <v>160</v>
      </c>
      <c r="L253" s="9">
        <v>0.42</v>
      </c>
      <c r="M253" s="9">
        <v>67.2</v>
      </c>
      <c r="N253" s="9" t="s">
        <v>49</v>
      </c>
      <c r="Q253" s="9">
        <f>IF(Auction_Sales[[#This Row],[Payment Date]]=0,"",-1+WEEKNUM(Auction_Sales[[#This Row],[Payment Date]]))</f>
        <v>9</v>
      </c>
      <c r="R253" s="9">
        <v>0</v>
      </c>
      <c r="S253" s="9" t="s">
        <v>156</v>
      </c>
      <c r="T253" s="9" t="s">
        <v>51</v>
      </c>
      <c r="U253" s="9">
        <v>160</v>
      </c>
      <c r="V253" s="13">
        <v>0.48</v>
      </c>
      <c r="W253" s="13">
        <v>76.8</v>
      </c>
      <c r="X253" s="14">
        <v>-6.5633699633699605</v>
      </c>
      <c r="Y253" s="13">
        <v>70.236630036630032</v>
      </c>
      <c r="Z253" s="10">
        <v>45357</v>
      </c>
      <c r="AA253" s="9">
        <v>0</v>
      </c>
      <c r="AC253" s="9" t="s">
        <v>73</v>
      </c>
      <c r="AD253" s="14">
        <v>10.408746666666669</v>
      </c>
      <c r="AF253" s="14">
        <v>3.2</v>
      </c>
      <c r="AH253" s="14">
        <v>13.608746666666669</v>
      </c>
      <c r="AI253" s="13">
        <v>56.627883369963364</v>
      </c>
      <c r="AK253" s="9">
        <v>160</v>
      </c>
    </row>
    <row r="254" spans="1:37">
      <c r="A254" s="9">
        <v>9</v>
      </c>
      <c r="B254" s="9">
        <v>2024</v>
      </c>
      <c r="C254" s="9" t="s">
        <v>46</v>
      </c>
      <c r="D254" s="9" t="s">
        <v>47</v>
      </c>
      <c r="E254" s="9" t="s">
        <v>47</v>
      </c>
      <c r="F254" s="10">
        <v>45348</v>
      </c>
      <c r="G254" s="9" t="s">
        <v>156</v>
      </c>
      <c r="H254" s="9" t="s">
        <v>48</v>
      </c>
      <c r="J254" s="9">
        <v>8.7999999999999989</v>
      </c>
      <c r="K254" s="9">
        <v>440</v>
      </c>
      <c r="L254" s="9">
        <v>0.52</v>
      </c>
      <c r="M254" s="9">
        <v>228.8</v>
      </c>
      <c r="N254" s="9" t="s">
        <v>49</v>
      </c>
      <c r="Q254" s="9">
        <f>IF(Auction_Sales[[#This Row],[Payment Date]]=0,"",-1+WEEKNUM(Auction_Sales[[#This Row],[Payment Date]]))</f>
        <v>9</v>
      </c>
      <c r="R254" s="9">
        <v>0</v>
      </c>
      <c r="S254" s="9" t="s">
        <v>156</v>
      </c>
      <c r="T254" s="9" t="s">
        <v>48</v>
      </c>
      <c r="U254" s="9">
        <v>440</v>
      </c>
      <c r="V254" s="13">
        <v>0.68545454545454554</v>
      </c>
      <c r="W254" s="13">
        <v>301.60000000000002</v>
      </c>
      <c r="X254" s="14">
        <v>-18.049267399267393</v>
      </c>
      <c r="Y254" s="13">
        <v>283.55073260073266</v>
      </c>
      <c r="Z254" s="10">
        <v>45357</v>
      </c>
      <c r="AA254" s="9">
        <v>0</v>
      </c>
      <c r="AC254" s="9" t="s">
        <v>73</v>
      </c>
      <c r="AD254" s="14">
        <v>28.624053333333332</v>
      </c>
      <c r="AF254" s="14">
        <v>8.8000000000000007</v>
      </c>
      <c r="AH254" s="14">
        <v>37.424053333333333</v>
      </c>
      <c r="AI254" s="13">
        <v>246.12667926739931</v>
      </c>
      <c r="AK254" s="9">
        <v>440</v>
      </c>
    </row>
    <row r="255" spans="1:37">
      <c r="A255" s="9">
        <v>9</v>
      </c>
      <c r="B255" s="9">
        <v>2024</v>
      </c>
      <c r="C255" s="9" t="s">
        <v>46</v>
      </c>
      <c r="D255" s="9" t="s">
        <v>47</v>
      </c>
      <c r="E255" s="9" t="s">
        <v>47</v>
      </c>
      <c r="F255" s="10">
        <v>45348</v>
      </c>
      <c r="G255" s="9" t="s">
        <v>155</v>
      </c>
      <c r="H255" s="9" t="s">
        <v>51</v>
      </c>
      <c r="I255" s="9">
        <v>1</v>
      </c>
      <c r="J255" s="9">
        <v>7.7142857142857153</v>
      </c>
      <c r="K255" s="9">
        <v>360</v>
      </c>
      <c r="L255" s="9">
        <v>0.38</v>
      </c>
      <c r="M255" s="9">
        <v>136.80000000000001</v>
      </c>
      <c r="N255" s="9" t="s">
        <v>49</v>
      </c>
      <c r="Q255" s="9">
        <f>IF(Auction_Sales[[#This Row],[Payment Date]]=0,"",-1+WEEKNUM(Auction_Sales[[#This Row],[Payment Date]]))</f>
        <v>9</v>
      </c>
      <c r="R255" s="9">
        <v>-120</v>
      </c>
      <c r="S255" s="9" t="s">
        <v>155</v>
      </c>
      <c r="T255" s="9" t="s">
        <v>51</v>
      </c>
      <c r="U255" s="9">
        <v>480</v>
      </c>
      <c r="V255" s="13">
        <v>0.47499999999999998</v>
      </c>
      <c r="W255" s="13">
        <v>228</v>
      </c>
      <c r="X255" s="14">
        <v>-19.690109890109881</v>
      </c>
      <c r="Y255" s="13">
        <v>208.30989010989012</v>
      </c>
      <c r="Z255" s="10">
        <v>45357</v>
      </c>
      <c r="AA255" s="9">
        <v>120</v>
      </c>
      <c r="AC255" s="9" t="s">
        <v>73</v>
      </c>
      <c r="AD255" s="14">
        <v>25.092514285714291</v>
      </c>
      <c r="AF255" s="14">
        <v>9.6</v>
      </c>
      <c r="AH255" s="14">
        <v>34.692514285714289</v>
      </c>
      <c r="AI255" s="13">
        <v>173.61737582417584</v>
      </c>
      <c r="AK255" s="9">
        <v>480</v>
      </c>
    </row>
    <row r="256" spans="1:37">
      <c r="A256" s="9">
        <v>9</v>
      </c>
      <c r="B256" s="9">
        <v>2024</v>
      </c>
      <c r="C256" s="9" t="s">
        <v>46</v>
      </c>
      <c r="D256" s="9" t="s">
        <v>47</v>
      </c>
      <c r="E256" s="9" t="s">
        <v>47</v>
      </c>
      <c r="F256" s="10">
        <v>45348</v>
      </c>
      <c r="G256" s="9" t="s">
        <v>155</v>
      </c>
      <c r="H256" s="9" t="s">
        <v>48</v>
      </c>
      <c r="J256" s="9">
        <v>2.5714285714285712</v>
      </c>
      <c r="K256" s="9">
        <v>120</v>
      </c>
      <c r="L256" s="9">
        <v>0.47</v>
      </c>
      <c r="M256" s="9">
        <v>56.4</v>
      </c>
      <c r="N256" s="9" t="s">
        <v>49</v>
      </c>
      <c r="Q256" s="9">
        <f>IF(Auction_Sales[[#This Row],[Payment Date]]=0,"",-1+WEEKNUM(Auction_Sales[[#This Row],[Payment Date]]))</f>
        <v>9</v>
      </c>
      <c r="R256" s="9">
        <v>120</v>
      </c>
      <c r="S256" s="9" t="s">
        <v>155</v>
      </c>
      <c r="T256" s="9" t="s">
        <v>48</v>
      </c>
      <c r="W256" s="13">
        <v>0</v>
      </c>
      <c r="X256" s="14">
        <v>0</v>
      </c>
      <c r="Y256" s="13">
        <v>0</v>
      </c>
      <c r="Z256" s="10">
        <v>45357</v>
      </c>
      <c r="AA256" s="9">
        <v>-120</v>
      </c>
      <c r="AC256" s="9" t="s">
        <v>73</v>
      </c>
      <c r="AD256" s="14">
        <v>8.3641714285714279</v>
      </c>
      <c r="AF256" s="14">
        <v>0</v>
      </c>
      <c r="AH256" s="14">
        <v>8.3641714285714279</v>
      </c>
      <c r="AI256" s="13">
        <v>-8.3641714285714279</v>
      </c>
      <c r="AK256" s="9">
        <v>0</v>
      </c>
    </row>
    <row r="257" spans="1:37">
      <c r="A257" s="9">
        <v>9</v>
      </c>
      <c r="B257" s="9">
        <v>2024</v>
      </c>
      <c r="C257" s="9" t="s">
        <v>46</v>
      </c>
      <c r="D257" s="9" t="s">
        <v>47</v>
      </c>
      <c r="E257" s="9" t="s">
        <v>47</v>
      </c>
      <c r="F257" s="10">
        <v>45348</v>
      </c>
      <c r="G257" s="9" t="s">
        <v>155</v>
      </c>
      <c r="H257" s="9" t="s">
        <v>52</v>
      </c>
      <c r="J257" s="9">
        <v>1.7142857142857142</v>
      </c>
      <c r="K257" s="9">
        <v>80</v>
      </c>
      <c r="L257" s="9">
        <v>0.52</v>
      </c>
      <c r="M257" s="9">
        <v>41.6</v>
      </c>
      <c r="N257" s="9" t="s">
        <v>49</v>
      </c>
      <c r="Q257" s="9">
        <f>IF(Auction_Sales[[#This Row],[Payment Date]]=0,"",-1+WEEKNUM(Auction_Sales[[#This Row],[Payment Date]]))</f>
        <v>9</v>
      </c>
      <c r="R257" s="9">
        <v>80</v>
      </c>
      <c r="S257" s="9" t="s">
        <v>155</v>
      </c>
      <c r="T257" s="9" t="s">
        <v>52</v>
      </c>
      <c r="W257" s="13">
        <v>0</v>
      </c>
      <c r="X257" s="14">
        <v>0</v>
      </c>
      <c r="Y257" s="13">
        <v>0</v>
      </c>
      <c r="Z257" s="10">
        <v>45357</v>
      </c>
      <c r="AA257" s="9">
        <v>-80</v>
      </c>
      <c r="AC257" s="9" t="s">
        <v>73</v>
      </c>
      <c r="AD257" s="14">
        <v>5.5761142857142856</v>
      </c>
      <c r="AF257" s="14">
        <v>0</v>
      </c>
      <c r="AH257" s="14">
        <v>5.5761142857142856</v>
      </c>
      <c r="AI257" s="13">
        <v>-5.5761142857142856</v>
      </c>
      <c r="AK257" s="9">
        <v>0</v>
      </c>
    </row>
    <row r="258" spans="1:37">
      <c r="A258" s="9">
        <v>9</v>
      </c>
      <c r="B258" s="9">
        <v>2024</v>
      </c>
      <c r="C258" s="9" t="s">
        <v>46</v>
      </c>
      <c r="D258" s="9" t="s">
        <v>47</v>
      </c>
      <c r="E258" s="9" t="s">
        <v>47</v>
      </c>
      <c r="F258" s="10">
        <v>45349</v>
      </c>
      <c r="G258" s="9" t="s">
        <v>155</v>
      </c>
      <c r="H258" s="9" t="s">
        <v>51</v>
      </c>
      <c r="I258" s="9">
        <v>1</v>
      </c>
      <c r="J258" s="9">
        <v>12</v>
      </c>
      <c r="K258" s="9">
        <v>760</v>
      </c>
      <c r="L258" s="9">
        <v>0.38</v>
      </c>
      <c r="M258" s="9">
        <v>288.8</v>
      </c>
      <c r="N258" s="9" t="s">
        <v>49</v>
      </c>
      <c r="Q258" s="9">
        <f>IF(Auction_Sales[[#This Row],[Payment Date]]=0,"",-1+WEEKNUM(Auction_Sales[[#This Row],[Payment Date]]))</f>
        <v>9</v>
      </c>
      <c r="R258" s="9">
        <v>0</v>
      </c>
      <c r="S258" s="9" t="s">
        <v>155</v>
      </c>
      <c r="T258" s="9" t="s">
        <v>51</v>
      </c>
      <c r="U258" s="9">
        <v>760</v>
      </c>
      <c r="V258" s="13">
        <v>0.33999999999999997</v>
      </c>
      <c r="W258" s="13">
        <v>258.39999999999998</v>
      </c>
      <c r="X258" s="14">
        <v>-38.281481481481435</v>
      </c>
      <c r="Y258" s="13">
        <v>220.11851851851856</v>
      </c>
      <c r="Z258" s="10">
        <v>45357</v>
      </c>
      <c r="AA258" s="9">
        <v>0</v>
      </c>
      <c r="AC258" s="9" t="s">
        <v>74</v>
      </c>
      <c r="AD258" s="14">
        <v>43.85</v>
      </c>
      <c r="AF258" s="14">
        <v>15.200000000000001</v>
      </c>
      <c r="AH258" s="14">
        <v>59.050000000000004</v>
      </c>
      <c r="AI258" s="13">
        <v>161.06851851851854</v>
      </c>
      <c r="AK258" s="9">
        <v>760</v>
      </c>
    </row>
    <row r="259" spans="1:37">
      <c r="A259" s="9">
        <v>9</v>
      </c>
      <c r="B259" s="9">
        <v>2024</v>
      </c>
      <c r="C259" s="9" t="s">
        <v>46</v>
      </c>
      <c r="D259" s="9" t="s">
        <v>47</v>
      </c>
      <c r="E259" s="9" t="s">
        <v>47</v>
      </c>
      <c r="F259" s="10">
        <v>45349</v>
      </c>
      <c r="G259" s="9" t="s">
        <v>155</v>
      </c>
      <c r="H259" s="9" t="s">
        <v>48</v>
      </c>
      <c r="I259" s="9">
        <v>2</v>
      </c>
      <c r="J259" s="9">
        <v>24</v>
      </c>
      <c r="K259" s="9">
        <v>1040</v>
      </c>
      <c r="L259" s="9">
        <v>0.47</v>
      </c>
      <c r="M259" s="9">
        <v>488.8</v>
      </c>
      <c r="N259" s="9" t="s">
        <v>49</v>
      </c>
      <c r="Q259" s="9">
        <f>IF(Auction_Sales[[#This Row],[Payment Date]]=0,"",-1+WEEKNUM(Auction_Sales[[#This Row],[Payment Date]]))</f>
        <v>9</v>
      </c>
      <c r="R259" s="9">
        <v>0</v>
      </c>
      <c r="S259" s="9" t="s">
        <v>155</v>
      </c>
      <c r="T259" s="9" t="s">
        <v>48</v>
      </c>
      <c r="U259" s="9">
        <v>1040</v>
      </c>
      <c r="V259" s="13">
        <v>0.64576923076923076</v>
      </c>
      <c r="W259" s="13">
        <v>671.6</v>
      </c>
      <c r="X259" s="14">
        <v>-52.385185185185129</v>
      </c>
      <c r="Y259" s="13">
        <v>619.21481481481487</v>
      </c>
      <c r="Z259" s="10">
        <v>45357</v>
      </c>
      <c r="AA259" s="9">
        <v>0</v>
      </c>
      <c r="AC259" s="9" t="s">
        <v>74</v>
      </c>
      <c r="AD259" s="14">
        <v>87.7</v>
      </c>
      <c r="AF259" s="14">
        <v>20.8</v>
      </c>
      <c r="AH259" s="14">
        <v>108.5</v>
      </c>
      <c r="AI259" s="13">
        <v>510.71481481481487</v>
      </c>
      <c r="AK259" s="9">
        <v>1040</v>
      </c>
    </row>
    <row r="260" spans="1:37">
      <c r="A260" s="9">
        <v>9</v>
      </c>
      <c r="B260" s="9">
        <v>2024</v>
      </c>
      <c r="C260" s="9" t="s">
        <v>46</v>
      </c>
      <c r="D260" s="9" t="s">
        <v>47</v>
      </c>
      <c r="E260" s="9" t="s">
        <v>47</v>
      </c>
      <c r="F260" s="10">
        <v>45349</v>
      </c>
      <c r="G260" s="9" t="s">
        <v>155</v>
      </c>
      <c r="H260" s="9" t="s">
        <v>52</v>
      </c>
      <c r="I260" s="9">
        <v>1</v>
      </c>
      <c r="J260" s="9">
        <v>12</v>
      </c>
      <c r="K260" s="9">
        <v>400</v>
      </c>
      <c r="L260" s="9">
        <v>0.52</v>
      </c>
      <c r="M260" s="9">
        <v>208</v>
      </c>
      <c r="N260" s="9" t="s">
        <v>49</v>
      </c>
      <c r="Q260" s="9">
        <f>IF(Auction_Sales[[#This Row],[Payment Date]]=0,"",-1+WEEKNUM(Auction_Sales[[#This Row],[Payment Date]]))</f>
        <v>9</v>
      </c>
      <c r="R260" s="9">
        <v>-120</v>
      </c>
      <c r="S260" s="9" t="s">
        <v>155</v>
      </c>
      <c r="T260" s="9" t="s">
        <v>52</v>
      </c>
      <c r="U260" s="9">
        <v>520</v>
      </c>
      <c r="V260" s="13">
        <v>0.89307692307692299</v>
      </c>
      <c r="W260" s="13">
        <v>464.4</v>
      </c>
      <c r="X260" s="14">
        <v>-26.192592592592565</v>
      </c>
      <c r="Y260" s="13">
        <v>438.2074074074074</v>
      </c>
      <c r="Z260" s="10">
        <v>45357</v>
      </c>
      <c r="AA260" s="9">
        <v>120</v>
      </c>
      <c r="AC260" s="9" t="s">
        <v>74</v>
      </c>
      <c r="AD260" s="14">
        <v>43.85</v>
      </c>
      <c r="AF260" s="14">
        <v>10.4</v>
      </c>
      <c r="AH260" s="14">
        <v>54.25</v>
      </c>
      <c r="AI260" s="13">
        <v>383.9574074074074</v>
      </c>
      <c r="AK260" s="9">
        <v>520</v>
      </c>
    </row>
    <row r="261" spans="1:37">
      <c r="A261" s="9">
        <v>9</v>
      </c>
      <c r="B261" s="9">
        <v>2024</v>
      </c>
      <c r="C261" s="9" t="s">
        <v>46</v>
      </c>
      <c r="D261" s="9" t="s">
        <v>47</v>
      </c>
      <c r="E261" s="9" t="s">
        <v>47</v>
      </c>
      <c r="F261" s="10">
        <v>45349</v>
      </c>
      <c r="G261" s="9" t="s">
        <v>155</v>
      </c>
      <c r="H261" s="9" t="s">
        <v>56</v>
      </c>
      <c r="I261" s="9">
        <v>1</v>
      </c>
      <c r="J261" s="9">
        <v>12</v>
      </c>
      <c r="K261" s="9">
        <v>200</v>
      </c>
      <c r="L261" s="9">
        <v>0.75</v>
      </c>
      <c r="M261" s="9">
        <v>150</v>
      </c>
      <c r="N261" s="9" t="s">
        <v>49</v>
      </c>
      <c r="Q261" s="9">
        <f>IF(Auction_Sales[[#This Row],[Payment Date]]=0,"",-1+WEEKNUM(Auction_Sales[[#This Row],[Payment Date]]))</f>
        <v>9</v>
      </c>
      <c r="R261" s="9">
        <v>0</v>
      </c>
      <c r="S261" s="9" t="s">
        <v>155</v>
      </c>
      <c r="T261" s="9" t="s">
        <v>56</v>
      </c>
      <c r="U261" s="9">
        <v>200</v>
      </c>
      <c r="V261" s="13">
        <v>0.996</v>
      </c>
      <c r="W261" s="13">
        <v>199.2</v>
      </c>
      <c r="X261" s="14">
        <v>-10.074074074074062</v>
      </c>
      <c r="Y261" s="13">
        <v>189.12592592592591</v>
      </c>
      <c r="Z261" s="10">
        <v>45357</v>
      </c>
      <c r="AA261" s="9">
        <v>0</v>
      </c>
      <c r="AC261" s="9" t="s">
        <v>74</v>
      </c>
      <c r="AD261" s="14">
        <v>43.85</v>
      </c>
      <c r="AF261" s="14">
        <v>4</v>
      </c>
      <c r="AH261" s="14">
        <v>47.85</v>
      </c>
      <c r="AI261" s="13">
        <v>141.27592592592592</v>
      </c>
      <c r="AK261" s="9">
        <v>200</v>
      </c>
    </row>
    <row r="262" spans="1:37">
      <c r="A262" s="9">
        <v>9</v>
      </c>
      <c r="B262" s="9">
        <v>2024</v>
      </c>
      <c r="C262" s="9" t="s">
        <v>46</v>
      </c>
      <c r="D262" s="9" t="s">
        <v>47</v>
      </c>
      <c r="E262" s="9" t="s">
        <v>47</v>
      </c>
      <c r="F262" s="10">
        <v>45349</v>
      </c>
      <c r="G262" s="9" t="s">
        <v>154</v>
      </c>
      <c r="H262" s="9" t="s">
        <v>52</v>
      </c>
      <c r="I262" s="9">
        <v>1</v>
      </c>
      <c r="J262" s="9">
        <v>12</v>
      </c>
      <c r="K262" s="9">
        <v>400</v>
      </c>
      <c r="L262" s="9">
        <v>0.52</v>
      </c>
      <c r="M262" s="9">
        <v>208</v>
      </c>
      <c r="N262" s="9" t="s">
        <v>49</v>
      </c>
      <c r="Q262" s="9">
        <f>IF(Auction_Sales[[#This Row],[Payment Date]]=0,"",-1+WEEKNUM(Auction_Sales[[#This Row],[Payment Date]]))</f>
        <v>9</v>
      </c>
      <c r="R262" s="9">
        <v>-160</v>
      </c>
      <c r="S262" s="9" t="s">
        <v>154</v>
      </c>
      <c r="T262" s="9" t="s">
        <v>52</v>
      </c>
      <c r="U262" s="9">
        <v>560</v>
      </c>
      <c r="V262" s="13">
        <v>0.61071428571428577</v>
      </c>
      <c r="W262" s="13">
        <v>342</v>
      </c>
      <c r="X262" s="14">
        <v>-28.207407407407377</v>
      </c>
      <c r="Y262" s="13">
        <v>313.7925925925926</v>
      </c>
      <c r="Z262" s="10">
        <v>45357</v>
      </c>
      <c r="AA262" s="9">
        <v>160</v>
      </c>
      <c r="AC262" s="9" t="s">
        <v>74</v>
      </c>
      <c r="AD262" s="14">
        <v>43.85</v>
      </c>
      <c r="AF262" s="14">
        <v>11.200000000000001</v>
      </c>
      <c r="AH262" s="14">
        <v>55.050000000000004</v>
      </c>
      <c r="AI262" s="13">
        <v>258.74259259259259</v>
      </c>
      <c r="AK262" s="9">
        <v>560</v>
      </c>
    </row>
    <row r="263" spans="1:37">
      <c r="A263" s="9">
        <v>9</v>
      </c>
      <c r="B263" s="9">
        <v>2024</v>
      </c>
      <c r="C263" s="9" t="s">
        <v>46</v>
      </c>
      <c r="D263" s="9" t="s">
        <v>47</v>
      </c>
      <c r="E263" s="9" t="s">
        <v>47</v>
      </c>
      <c r="F263" s="10">
        <v>45349</v>
      </c>
      <c r="G263" s="9" t="s">
        <v>154</v>
      </c>
      <c r="H263" s="9" t="s">
        <v>54</v>
      </c>
      <c r="I263" s="9">
        <v>1</v>
      </c>
      <c r="J263" s="9">
        <v>12</v>
      </c>
      <c r="K263" s="9">
        <v>320</v>
      </c>
      <c r="L263" s="9">
        <v>0.56999999999999995</v>
      </c>
      <c r="M263" s="9">
        <v>182.4</v>
      </c>
      <c r="N263" s="9" t="s">
        <v>49</v>
      </c>
      <c r="Q263" s="9">
        <f>IF(Auction_Sales[[#This Row],[Payment Date]]=0,"",-1+WEEKNUM(Auction_Sales[[#This Row],[Payment Date]]))</f>
        <v>9</v>
      </c>
      <c r="R263" s="9">
        <v>-80</v>
      </c>
      <c r="S263" s="9" t="s">
        <v>154</v>
      </c>
      <c r="T263" s="9" t="s">
        <v>54</v>
      </c>
      <c r="U263" s="9">
        <v>400</v>
      </c>
      <c r="V263" s="13">
        <v>0.55899999999999994</v>
      </c>
      <c r="W263" s="13">
        <v>223.59999999999997</v>
      </c>
      <c r="X263" s="14">
        <v>-20.148148148148124</v>
      </c>
      <c r="Y263" s="13">
        <v>203.45185185185184</v>
      </c>
      <c r="Z263" s="10">
        <v>45357</v>
      </c>
      <c r="AA263" s="9">
        <v>80</v>
      </c>
      <c r="AC263" s="9" t="s">
        <v>74</v>
      </c>
      <c r="AD263" s="14">
        <v>43.85</v>
      </c>
      <c r="AF263" s="14">
        <v>8</v>
      </c>
      <c r="AH263" s="14">
        <v>51.85</v>
      </c>
      <c r="AI263" s="13">
        <v>151.60185185185185</v>
      </c>
      <c r="AK263" s="9">
        <v>400</v>
      </c>
    </row>
    <row r="264" spans="1:37">
      <c r="A264" s="9">
        <v>9</v>
      </c>
      <c r="B264" s="9">
        <v>2024</v>
      </c>
      <c r="C264" s="9" t="s">
        <v>46</v>
      </c>
      <c r="D264" s="9" t="s">
        <v>47</v>
      </c>
      <c r="E264" s="9" t="s">
        <v>47</v>
      </c>
      <c r="F264" s="10">
        <v>45349</v>
      </c>
      <c r="G264" s="9" t="s">
        <v>154</v>
      </c>
      <c r="H264" s="9" t="s">
        <v>56</v>
      </c>
      <c r="I264" s="9">
        <v>1</v>
      </c>
      <c r="J264" s="9">
        <v>12</v>
      </c>
      <c r="K264" s="9">
        <v>240</v>
      </c>
      <c r="L264" s="9">
        <v>0.75</v>
      </c>
      <c r="M264" s="9">
        <v>180</v>
      </c>
      <c r="N264" s="9" t="s">
        <v>49</v>
      </c>
      <c r="Q264" s="9">
        <f>IF(Auction_Sales[[#This Row],[Payment Date]]=0,"",-1+WEEKNUM(Auction_Sales[[#This Row],[Payment Date]]))</f>
        <v>9</v>
      </c>
      <c r="R264" s="9">
        <v>-40</v>
      </c>
      <c r="S264" s="9" t="s">
        <v>154</v>
      </c>
      <c r="T264" s="9" t="s">
        <v>56</v>
      </c>
      <c r="U264" s="9">
        <v>280</v>
      </c>
      <c r="V264" s="13">
        <v>0.55142857142857149</v>
      </c>
      <c r="W264" s="13">
        <v>154.4</v>
      </c>
      <c r="X264" s="14">
        <v>-14.103703703703689</v>
      </c>
      <c r="Y264" s="13">
        <v>140.2962962962963</v>
      </c>
      <c r="Z264" s="10">
        <v>45357</v>
      </c>
      <c r="AA264" s="9">
        <v>40</v>
      </c>
      <c r="AC264" s="9" t="s">
        <v>74</v>
      </c>
      <c r="AD264" s="14">
        <v>43.85</v>
      </c>
      <c r="AF264" s="14">
        <v>5.6000000000000005</v>
      </c>
      <c r="AH264" s="14">
        <v>49.45</v>
      </c>
      <c r="AI264" s="13">
        <v>90.846296296296302</v>
      </c>
      <c r="AK264" s="9">
        <v>280</v>
      </c>
    </row>
    <row r="265" spans="1:37">
      <c r="A265" s="9">
        <v>9</v>
      </c>
      <c r="B265" s="9">
        <v>2024</v>
      </c>
      <c r="C265" s="9" t="s">
        <v>46</v>
      </c>
      <c r="D265" s="9" t="s">
        <v>47</v>
      </c>
      <c r="E265" s="9" t="s">
        <v>47</v>
      </c>
      <c r="F265" s="10">
        <v>45349</v>
      </c>
      <c r="G265" s="9" t="s">
        <v>156</v>
      </c>
      <c r="H265" s="9" t="s">
        <v>54</v>
      </c>
      <c r="I265" s="9">
        <v>1</v>
      </c>
      <c r="J265" s="9">
        <v>12</v>
      </c>
      <c r="K265" s="9">
        <v>360</v>
      </c>
      <c r="L265" s="9">
        <v>0.66</v>
      </c>
      <c r="M265" s="9">
        <v>237.6</v>
      </c>
      <c r="N265" s="9" t="s">
        <v>49</v>
      </c>
      <c r="Q265" s="9">
        <f>IF(Auction_Sales[[#This Row],[Payment Date]]=0,"",-1+WEEKNUM(Auction_Sales[[#This Row],[Payment Date]]))</f>
        <v>9</v>
      </c>
      <c r="R265" s="9">
        <v>0</v>
      </c>
      <c r="S265" s="9" t="s">
        <v>156</v>
      </c>
      <c r="T265" s="9" t="s">
        <v>54</v>
      </c>
      <c r="U265" s="9">
        <v>360</v>
      </c>
      <c r="V265" s="13">
        <v>0.84888888888888892</v>
      </c>
      <c r="W265" s="13">
        <v>305.60000000000002</v>
      </c>
      <c r="X265" s="14">
        <v>-18.133333333333312</v>
      </c>
      <c r="Y265" s="13">
        <v>287.4666666666667</v>
      </c>
      <c r="Z265" s="10">
        <v>45357</v>
      </c>
      <c r="AA265" s="9">
        <v>0</v>
      </c>
      <c r="AC265" s="9" t="s">
        <v>74</v>
      </c>
      <c r="AD265" s="14">
        <v>43.85</v>
      </c>
      <c r="AF265" s="14">
        <v>7.2</v>
      </c>
      <c r="AH265" s="14">
        <v>51.050000000000004</v>
      </c>
      <c r="AI265" s="13">
        <v>236.41666666666669</v>
      </c>
      <c r="AK265" s="9">
        <v>360</v>
      </c>
    </row>
    <row r="266" spans="1:37">
      <c r="A266" s="9">
        <v>9</v>
      </c>
      <c r="B266" s="9">
        <v>2024</v>
      </c>
      <c r="C266" s="9" t="s">
        <v>46</v>
      </c>
      <c r="D266" s="9" t="s">
        <v>47</v>
      </c>
      <c r="E266" s="9" t="s">
        <v>47</v>
      </c>
      <c r="F266" s="10">
        <v>45349</v>
      </c>
      <c r="G266" s="9" t="s">
        <v>153</v>
      </c>
      <c r="H266" s="9" t="s">
        <v>51</v>
      </c>
      <c r="I266" s="9">
        <v>1</v>
      </c>
      <c r="J266" s="9">
        <v>3.75</v>
      </c>
      <c r="K266" s="9">
        <v>200</v>
      </c>
      <c r="L266" s="9">
        <v>0.14000000000000001</v>
      </c>
      <c r="M266" s="9">
        <v>28</v>
      </c>
      <c r="N266" s="9" t="s">
        <v>49</v>
      </c>
      <c r="Q266" s="9">
        <f>IF(Auction_Sales[[#This Row],[Payment Date]]=0,"",-1+WEEKNUM(Auction_Sales[[#This Row],[Payment Date]]))</f>
        <v>9</v>
      </c>
      <c r="R266" s="9">
        <v>0</v>
      </c>
      <c r="S266" s="9" t="s">
        <v>153</v>
      </c>
      <c r="T266" s="9" t="s">
        <v>51</v>
      </c>
      <c r="U266" s="9">
        <v>200</v>
      </c>
      <c r="V266" s="13">
        <v>0.38400000000000001</v>
      </c>
      <c r="W266" s="13">
        <v>76.8</v>
      </c>
      <c r="X266" s="14">
        <v>-10.074074074074062</v>
      </c>
      <c r="Y266" s="13">
        <v>66.725925925925935</v>
      </c>
      <c r="Z266" s="10">
        <v>45357</v>
      </c>
      <c r="AA266" s="9">
        <v>0</v>
      </c>
      <c r="AC266" s="9" t="s">
        <v>74</v>
      </c>
      <c r="AD266" s="14">
        <v>13.703125</v>
      </c>
      <c r="AF266" s="14">
        <v>4</v>
      </c>
      <c r="AH266" s="14">
        <v>17.703125</v>
      </c>
      <c r="AI266" s="13">
        <v>49.022800925925935</v>
      </c>
      <c r="AK266" s="9">
        <v>200</v>
      </c>
    </row>
    <row r="267" spans="1:37">
      <c r="A267" s="9">
        <v>9</v>
      </c>
      <c r="B267" s="9">
        <v>2024</v>
      </c>
      <c r="C267" s="9" t="s">
        <v>46</v>
      </c>
      <c r="D267" s="9" t="s">
        <v>47</v>
      </c>
      <c r="E267" s="9" t="s">
        <v>47</v>
      </c>
      <c r="F267" s="10">
        <v>45349</v>
      </c>
      <c r="G267" s="9" t="s">
        <v>153</v>
      </c>
      <c r="H267" s="9" t="s">
        <v>48</v>
      </c>
      <c r="J267" s="9">
        <v>8.25</v>
      </c>
      <c r="K267" s="9">
        <v>440</v>
      </c>
      <c r="L267" s="9">
        <v>0.24</v>
      </c>
      <c r="M267" s="9">
        <v>105.6</v>
      </c>
      <c r="N267" s="9" t="s">
        <v>49</v>
      </c>
      <c r="Q267" s="9">
        <f>IF(Auction_Sales[[#This Row],[Payment Date]]=0,"",-1+WEEKNUM(Auction_Sales[[#This Row],[Payment Date]]))</f>
        <v>9</v>
      </c>
      <c r="R267" s="9">
        <v>0</v>
      </c>
      <c r="S267" s="9" t="s">
        <v>153</v>
      </c>
      <c r="T267" s="9" t="s">
        <v>48</v>
      </c>
      <c r="U267" s="9">
        <v>440</v>
      </c>
      <c r="V267" s="13">
        <v>0.59818181818181815</v>
      </c>
      <c r="W267" s="13">
        <v>263.2</v>
      </c>
      <c r="X267" s="14">
        <v>-22.162962962962936</v>
      </c>
      <c r="Y267" s="13">
        <v>241.03703703703707</v>
      </c>
      <c r="Z267" s="10">
        <v>45357</v>
      </c>
      <c r="AA267" s="9">
        <v>0</v>
      </c>
      <c r="AC267" s="9" t="s">
        <v>74</v>
      </c>
      <c r="AD267" s="14">
        <v>30.146874999999998</v>
      </c>
      <c r="AF267" s="14">
        <v>8.8000000000000007</v>
      </c>
      <c r="AH267" s="14">
        <v>38.946874999999999</v>
      </c>
      <c r="AI267" s="13">
        <v>202.09016203703706</v>
      </c>
      <c r="AK267" s="9">
        <v>440</v>
      </c>
    </row>
    <row r="268" spans="1:37">
      <c r="A268" s="9">
        <v>9</v>
      </c>
      <c r="B268" s="9">
        <v>2024</v>
      </c>
      <c r="C268" s="9" t="s">
        <v>46</v>
      </c>
      <c r="D268" s="9" t="s">
        <v>47</v>
      </c>
      <c r="E268" s="9" t="s">
        <v>47</v>
      </c>
      <c r="F268" s="10">
        <v>45349</v>
      </c>
      <c r="G268" s="9" t="s">
        <v>153</v>
      </c>
      <c r="H268" s="9" t="s">
        <v>52</v>
      </c>
      <c r="I268" s="9">
        <v>1</v>
      </c>
      <c r="J268" s="9">
        <v>6.4615384615384617</v>
      </c>
      <c r="K268" s="9">
        <v>280</v>
      </c>
      <c r="L268" s="9">
        <v>0.28000000000000003</v>
      </c>
      <c r="M268" s="9">
        <v>78.400000000000006</v>
      </c>
      <c r="N268" s="9" t="s">
        <v>49</v>
      </c>
      <c r="Q268" s="9">
        <f>IF(Auction_Sales[[#This Row],[Payment Date]]=0,"",-1+WEEKNUM(Auction_Sales[[#This Row],[Payment Date]]))</f>
        <v>9</v>
      </c>
      <c r="R268" s="9">
        <v>0</v>
      </c>
      <c r="S268" s="9" t="s">
        <v>153</v>
      </c>
      <c r="T268" s="9" t="s">
        <v>52</v>
      </c>
      <c r="U268" s="9">
        <v>280</v>
      </c>
      <c r="V268" s="13">
        <v>0.70571428571428574</v>
      </c>
      <c r="W268" s="13">
        <v>197.6</v>
      </c>
      <c r="X268" s="14">
        <v>-14.103703703703689</v>
      </c>
      <c r="Y268" s="13">
        <v>183.49629629629629</v>
      </c>
      <c r="Z268" s="10">
        <v>45357</v>
      </c>
      <c r="AA268" s="9">
        <v>0</v>
      </c>
      <c r="AC268" s="9" t="s">
        <v>74</v>
      </c>
      <c r="AD268" s="14">
        <v>23.611538461538458</v>
      </c>
      <c r="AF268" s="14">
        <v>5.6000000000000005</v>
      </c>
      <c r="AH268" s="14">
        <v>29.21153846153846</v>
      </c>
      <c r="AI268" s="13">
        <v>154.28475783475784</v>
      </c>
      <c r="AK268" s="9">
        <v>280</v>
      </c>
    </row>
    <row r="269" spans="1:37">
      <c r="A269" s="9">
        <v>9</v>
      </c>
      <c r="B269" s="9">
        <v>2024</v>
      </c>
      <c r="C269" s="9" t="s">
        <v>46</v>
      </c>
      <c r="D269" s="9" t="s">
        <v>47</v>
      </c>
      <c r="E269" s="9" t="s">
        <v>47</v>
      </c>
      <c r="F269" s="10">
        <v>45349</v>
      </c>
      <c r="G269" s="9" t="s">
        <v>153</v>
      </c>
      <c r="H269" s="9" t="s">
        <v>54</v>
      </c>
      <c r="J269" s="9">
        <v>5.5384615384615383</v>
      </c>
      <c r="K269" s="9">
        <v>240</v>
      </c>
      <c r="L269" s="9">
        <v>0.33</v>
      </c>
      <c r="M269" s="9">
        <v>79.2</v>
      </c>
      <c r="N269" s="9" t="s">
        <v>49</v>
      </c>
      <c r="Q269" s="9">
        <f>IF(Auction_Sales[[#This Row],[Payment Date]]=0,"",-1+WEEKNUM(Auction_Sales[[#This Row],[Payment Date]]))</f>
        <v>9</v>
      </c>
      <c r="R269" s="9">
        <v>0</v>
      </c>
      <c r="S269" s="9" t="s">
        <v>153</v>
      </c>
      <c r="T269" s="9" t="s">
        <v>54</v>
      </c>
      <c r="U269" s="9">
        <v>240</v>
      </c>
      <c r="V269" s="13">
        <v>0.72000000000000008</v>
      </c>
      <c r="W269" s="13">
        <v>172.8</v>
      </c>
      <c r="X269" s="14">
        <v>-12.088888888888876</v>
      </c>
      <c r="Y269" s="13">
        <v>160.71111111111114</v>
      </c>
      <c r="Z269" s="10">
        <v>45357</v>
      </c>
      <c r="AA269" s="9">
        <v>0</v>
      </c>
      <c r="AC269" s="9" t="s">
        <v>74</v>
      </c>
      <c r="AD269" s="14">
        <v>20.238461538461536</v>
      </c>
      <c r="AF269" s="14">
        <v>4.8</v>
      </c>
      <c r="AH269" s="14">
        <v>25.038461538461537</v>
      </c>
      <c r="AI269" s="13">
        <v>135.67264957264959</v>
      </c>
      <c r="AK269" s="9">
        <v>240</v>
      </c>
    </row>
    <row r="270" spans="1:37">
      <c r="A270" s="9">
        <v>9</v>
      </c>
      <c r="B270" s="9">
        <v>2024</v>
      </c>
      <c r="C270" s="9" t="s">
        <v>46</v>
      </c>
      <c r="D270" s="9" t="s">
        <v>47</v>
      </c>
      <c r="E270" s="9" t="s">
        <v>47</v>
      </c>
      <c r="F270" s="10">
        <v>45349</v>
      </c>
      <c r="G270" s="9" t="s">
        <v>153</v>
      </c>
      <c r="H270" s="9" t="s">
        <v>56</v>
      </c>
      <c r="I270" s="9">
        <v>1</v>
      </c>
      <c r="J270" s="9">
        <v>6.666666666666667</v>
      </c>
      <c r="K270" s="9">
        <v>200</v>
      </c>
      <c r="L270" s="9">
        <v>0.38</v>
      </c>
      <c r="M270" s="9">
        <v>76</v>
      </c>
      <c r="N270" s="9" t="s">
        <v>49</v>
      </c>
      <c r="Q270" s="9">
        <f>IF(Auction_Sales[[#This Row],[Payment Date]]=0,"",-1+WEEKNUM(Auction_Sales[[#This Row],[Payment Date]]))</f>
        <v>9</v>
      </c>
      <c r="R270" s="9">
        <v>0</v>
      </c>
      <c r="S270" s="9" t="s">
        <v>153</v>
      </c>
      <c r="T270" s="9" t="s">
        <v>56</v>
      </c>
      <c r="U270" s="9">
        <v>200</v>
      </c>
      <c r="V270" s="13">
        <v>0.78400000000000003</v>
      </c>
      <c r="W270" s="13">
        <v>156.80000000000001</v>
      </c>
      <c r="X270" s="14">
        <v>-10.074074074074062</v>
      </c>
      <c r="Y270" s="13">
        <v>146.72592592592594</v>
      </c>
      <c r="Z270" s="10">
        <v>45357</v>
      </c>
      <c r="AA270" s="9">
        <v>0</v>
      </c>
      <c r="AC270" s="9" t="s">
        <v>74</v>
      </c>
      <c r="AD270" s="14">
        <v>24.361111111111114</v>
      </c>
      <c r="AF270" s="14">
        <v>4</v>
      </c>
      <c r="AH270" s="14">
        <v>28.361111111111114</v>
      </c>
      <c r="AI270" s="13">
        <v>118.36481481481482</v>
      </c>
      <c r="AK270" s="9">
        <v>200</v>
      </c>
    </row>
    <row r="271" spans="1:37">
      <c r="A271" s="9">
        <v>9</v>
      </c>
      <c r="B271" s="9">
        <v>2024</v>
      </c>
      <c r="C271" s="9" t="s">
        <v>46</v>
      </c>
      <c r="D271" s="9" t="s">
        <v>47</v>
      </c>
      <c r="E271" s="9" t="s">
        <v>47</v>
      </c>
      <c r="F271" s="10">
        <v>45349</v>
      </c>
      <c r="G271" s="9" t="s">
        <v>153</v>
      </c>
      <c r="H271" s="9" t="s">
        <v>57</v>
      </c>
      <c r="J271" s="9">
        <v>5.333333333333333</v>
      </c>
      <c r="K271" s="9">
        <v>160</v>
      </c>
      <c r="L271" s="9">
        <v>0.47</v>
      </c>
      <c r="M271" s="9">
        <v>75.2</v>
      </c>
      <c r="N271" s="9" t="s">
        <v>49</v>
      </c>
      <c r="Q271" s="9">
        <f>IF(Auction_Sales[[#This Row],[Payment Date]]=0,"",-1+WEEKNUM(Auction_Sales[[#This Row],[Payment Date]]))</f>
        <v>9</v>
      </c>
      <c r="R271" s="9">
        <v>0</v>
      </c>
      <c r="S271" s="9" t="s">
        <v>153</v>
      </c>
      <c r="T271" s="9" t="s">
        <v>57</v>
      </c>
      <c r="U271" s="9">
        <v>160</v>
      </c>
      <c r="V271" s="13">
        <v>0.8125</v>
      </c>
      <c r="W271" s="13">
        <v>130</v>
      </c>
      <c r="X271" s="14">
        <v>-8.0592592592592496</v>
      </c>
      <c r="Y271" s="13">
        <v>121.94074074074075</v>
      </c>
      <c r="Z271" s="10">
        <v>45357</v>
      </c>
      <c r="AA271" s="9">
        <v>0</v>
      </c>
      <c r="AC271" s="9" t="s">
        <v>74</v>
      </c>
      <c r="AD271" s="14">
        <v>19.488888888888887</v>
      </c>
      <c r="AF271" s="14">
        <v>3.2</v>
      </c>
      <c r="AH271" s="14">
        <v>22.688888888888886</v>
      </c>
      <c r="AI271" s="13">
        <v>99.251851851851868</v>
      </c>
      <c r="AK271" s="9">
        <v>160</v>
      </c>
    </row>
    <row r="272" spans="1:37">
      <c r="A272" s="9">
        <v>9</v>
      </c>
      <c r="B272" s="9">
        <v>2024</v>
      </c>
      <c r="C272" s="9" t="s">
        <v>46</v>
      </c>
      <c r="D272" s="9" t="s">
        <v>47</v>
      </c>
      <c r="E272" s="9" t="s">
        <v>47</v>
      </c>
      <c r="F272" s="10">
        <v>45349</v>
      </c>
      <c r="G272" s="9" t="s">
        <v>154</v>
      </c>
      <c r="H272" s="9" t="s">
        <v>51</v>
      </c>
      <c r="I272" s="9">
        <v>1</v>
      </c>
      <c r="J272" s="9">
        <v>4</v>
      </c>
      <c r="K272" s="9">
        <v>200</v>
      </c>
      <c r="L272" s="9">
        <v>0.38</v>
      </c>
      <c r="M272" s="9">
        <v>76</v>
      </c>
      <c r="N272" s="9" t="s">
        <v>49</v>
      </c>
      <c r="Q272" s="9">
        <f>IF(Auction_Sales[[#This Row],[Payment Date]]=0,"",-1+WEEKNUM(Auction_Sales[[#This Row],[Payment Date]]))</f>
        <v>9</v>
      </c>
      <c r="R272" s="9">
        <v>0</v>
      </c>
      <c r="S272" s="9" t="s">
        <v>154</v>
      </c>
      <c r="T272" s="9" t="s">
        <v>51</v>
      </c>
      <c r="U272" s="9">
        <v>200</v>
      </c>
      <c r="V272" s="13">
        <v>0.33799999999999997</v>
      </c>
      <c r="W272" s="13">
        <v>67.599999999999994</v>
      </c>
      <c r="X272" s="14">
        <v>-10.074074074074062</v>
      </c>
      <c r="Y272" s="13">
        <v>57.525925925925932</v>
      </c>
      <c r="Z272" s="10">
        <v>45357</v>
      </c>
      <c r="AA272" s="9">
        <v>0</v>
      </c>
      <c r="AC272" s="9" t="s">
        <v>74</v>
      </c>
      <c r="AD272" s="14">
        <v>14.616666666666667</v>
      </c>
      <c r="AF272" s="14">
        <v>4</v>
      </c>
      <c r="AH272" s="14">
        <v>18.616666666666667</v>
      </c>
      <c r="AI272" s="13">
        <v>38.909259259259265</v>
      </c>
      <c r="AK272" s="9">
        <v>200</v>
      </c>
    </row>
    <row r="273" spans="1:37">
      <c r="A273" s="9">
        <v>9</v>
      </c>
      <c r="B273" s="9">
        <v>2024</v>
      </c>
      <c r="C273" s="9" t="s">
        <v>46</v>
      </c>
      <c r="D273" s="9" t="s">
        <v>47</v>
      </c>
      <c r="E273" s="9" t="s">
        <v>47</v>
      </c>
      <c r="F273" s="10">
        <v>45349</v>
      </c>
      <c r="G273" s="9" t="s">
        <v>154</v>
      </c>
      <c r="H273" s="9" t="s">
        <v>48</v>
      </c>
      <c r="J273" s="9">
        <v>8</v>
      </c>
      <c r="K273" s="9">
        <v>400</v>
      </c>
      <c r="L273" s="9">
        <v>0.47</v>
      </c>
      <c r="M273" s="9">
        <v>188</v>
      </c>
      <c r="N273" s="9" t="s">
        <v>49</v>
      </c>
      <c r="Q273" s="9">
        <f>IF(Auction_Sales[[#This Row],[Payment Date]]=0,"",-1+WEEKNUM(Auction_Sales[[#This Row],[Payment Date]]))</f>
        <v>9</v>
      </c>
      <c r="R273" s="9">
        <v>-40</v>
      </c>
      <c r="S273" s="9" t="s">
        <v>154</v>
      </c>
      <c r="T273" s="9" t="s">
        <v>48</v>
      </c>
      <c r="U273" s="9">
        <v>440</v>
      </c>
      <c r="V273" s="13">
        <v>0.56636363636363629</v>
      </c>
      <c r="W273" s="13">
        <v>249.19999999999996</v>
      </c>
      <c r="X273" s="14">
        <v>-22.162962962962936</v>
      </c>
      <c r="Y273" s="13">
        <v>227.03703703703701</v>
      </c>
      <c r="Z273" s="10">
        <v>45357</v>
      </c>
      <c r="AA273" s="9">
        <v>40</v>
      </c>
      <c r="AC273" s="9" t="s">
        <v>74</v>
      </c>
      <c r="AD273" s="14">
        <v>29.233333333333334</v>
      </c>
      <c r="AF273" s="14">
        <v>8.8000000000000007</v>
      </c>
      <c r="AH273" s="14">
        <v>38.033333333333331</v>
      </c>
      <c r="AI273" s="13">
        <v>189.00370370370368</v>
      </c>
      <c r="AK273" s="9">
        <v>440</v>
      </c>
    </row>
    <row r="274" spans="1:37">
      <c r="A274" s="9">
        <v>9</v>
      </c>
      <c r="B274" s="9">
        <v>2024</v>
      </c>
      <c r="C274" s="9" t="s">
        <v>46</v>
      </c>
      <c r="D274" s="9" t="s">
        <v>47</v>
      </c>
      <c r="E274" s="9" t="s">
        <v>47</v>
      </c>
      <c r="F274" s="10">
        <v>45349</v>
      </c>
      <c r="G274" s="9" t="s">
        <v>155</v>
      </c>
      <c r="H274" s="9" t="s">
        <v>52</v>
      </c>
      <c r="I274" s="9">
        <v>1</v>
      </c>
      <c r="J274" s="9">
        <v>4.5</v>
      </c>
      <c r="K274" s="9">
        <v>120</v>
      </c>
      <c r="L274" s="9">
        <v>0.52</v>
      </c>
      <c r="M274" s="9">
        <v>62.4</v>
      </c>
      <c r="N274" s="9" t="s">
        <v>49</v>
      </c>
      <c r="Q274" s="9">
        <f>IF(Auction_Sales[[#This Row],[Payment Date]]=0,"",-1+WEEKNUM(Auction_Sales[[#This Row],[Payment Date]]))</f>
        <v>9</v>
      </c>
      <c r="R274" s="9">
        <v>120</v>
      </c>
      <c r="S274" s="9" t="s">
        <v>155</v>
      </c>
      <c r="T274" s="9" t="s">
        <v>52</v>
      </c>
      <c r="W274" s="13">
        <v>0</v>
      </c>
      <c r="X274" s="14">
        <v>0</v>
      </c>
      <c r="Y274" s="13">
        <v>0</v>
      </c>
      <c r="Z274" s="10">
        <v>45357</v>
      </c>
      <c r="AA274" s="9">
        <v>-120</v>
      </c>
      <c r="AC274" s="9" t="s">
        <v>74</v>
      </c>
      <c r="AD274" s="14">
        <v>16.443750000000001</v>
      </c>
      <c r="AF274" s="14">
        <v>0</v>
      </c>
      <c r="AH274" s="14">
        <v>16.443750000000001</v>
      </c>
      <c r="AI274" s="13">
        <v>-16.443750000000001</v>
      </c>
      <c r="AK274" s="9">
        <v>0</v>
      </c>
    </row>
    <row r="275" spans="1:37">
      <c r="A275" s="9">
        <v>9</v>
      </c>
      <c r="B275" s="9">
        <v>2024</v>
      </c>
      <c r="C275" s="9" t="s">
        <v>46</v>
      </c>
      <c r="D275" s="9" t="s">
        <v>47</v>
      </c>
      <c r="E275" s="9" t="s">
        <v>47</v>
      </c>
      <c r="F275" s="10">
        <v>45349</v>
      </c>
      <c r="G275" s="9" t="s">
        <v>155</v>
      </c>
      <c r="H275" s="9" t="s">
        <v>54</v>
      </c>
      <c r="J275" s="9">
        <v>6</v>
      </c>
      <c r="K275" s="9">
        <v>160</v>
      </c>
      <c r="L275" s="9">
        <v>0.56999999999999995</v>
      </c>
      <c r="M275" s="9">
        <v>91.2</v>
      </c>
      <c r="N275" s="9" t="s">
        <v>49</v>
      </c>
      <c r="Q275" s="9">
        <f>IF(Auction_Sales[[#This Row],[Payment Date]]=0,"",-1+WEEKNUM(Auction_Sales[[#This Row],[Payment Date]]))</f>
        <v>9</v>
      </c>
      <c r="R275" s="9">
        <v>0</v>
      </c>
      <c r="S275" s="9" t="s">
        <v>155</v>
      </c>
      <c r="T275" s="9" t="s">
        <v>54</v>
      </c>
      <c r="U275" s="9">
        <v>160</v>
      </c>
      <c r="V275" s="13">
        <v>0.95</v>
      </c>
      <c r="W275" s="13">
        <v>152</v>
      </c>
      <c r="X275" s="14">
        <v>-8.0592592592592496</v>
      </c>
      <c r="Y275" s="13">
        <v>143.94074074074075</v>
      </c>
      <c r="Z275" s="10">
        <v>45357</v>
      </c>
      <c r="AA275" s="9">
        <v>0</v>
      </c>
      <c r="AC275" s="9" t="s">
        <v>74</v>
      </c>
      <c r="AD275" s="14">
        <v>21.925000000000001</v>
      </c>
      <c r="AF275" s="14">
        <v>3.2</v>
      </c>
      <c r="AH275" s="14">
        <v>25.125</v>
      </c>
      <c r="AI275" s="13">
        <v>118.81574074074075</v>
      </c>
      <c r="AK275" s="9">
        <v>160</v>
      </c>
    </row>
    <row r="276" spans="1:37">
      <c r="A276" s="9">
        <v>9</v>
      </c>
      <c r="B276" s="9">
        <v>2024</v>
      </c>
      <c r="C276" s="9" t="s">
        <v>46</v>
      </c>
      <c r="D276" s="9" t="s">
        <v>47</v>
      </c>
      <c r="E276" s="9" t="s">
        <v>47</v>
      </c>
      <c r="F276" s="10">
        <v>45349</v>
      </c>
      <c r="G276" s="9" t="s">
        <v>155</v>
      </c>
      <c r="H276" s="9" t="s">
        <v>57</v>
      </c>
      <c r="J276" s="9">
        <v>1.5</v>
      </c>
      <c r="K276" s="9">
        <v>40</v>
      </c>
      <c r="L276" s="9">
        <v>0.94</v>
      </c>
      <c r="M276" s="9">
        <v>37.6</v>
      </c>
      <c r="N276" s="9" t="s">
        <v>49</v>
      </c>
      <c r="Q276" s="9">
        <f>IF(Auction_Sales[[#This Row],[Payment Date]]=0,"",-1+WEEKNUM(Auction_Sales[[#This Row],[Payment Date]]))</f>
        <v>9</v>
      </c>
      <c r="R276" s="9">
        <v>0</v>
      </c>
      <c r="S276" s="9" t="s">
        <v>155</v>
      </c>
      <c r="T276" s="9" t="s">
        <v>57</v>
      </c>
      <c r="U276" s="9">
        <v>40</v>
      </c>
      <c r="V276" s="13">
        <v>1</v>
      </c>
      <c r="W276" s="13">
        <v>40</v>
      </c>
      <c r="X276" s="14">
        <v>-2.0148148148148124</v>
      </c>
      <c r="Y276" s="13">
        <v>37.985185185185188</v>
      </c>
      <c r="Z276" s="10">
        <v>45357</v>
      </c>
      <c r="AA276" s="9">
        <v>0</v>
      </c>
      <c r="AC276" s="9" t="s">
        <v>74</v>
      </c>
      <c r="AD276" s="14">
        <v>5.4812500000000002</v>
      </c>
      <c r="AF276" s="14">
        <v>0.8</v>
      </c>
      <c r="AH276" s="14">
        <v>6.28125</v>
      </c>
      <c r="AI276" s="13">
        <v>31.703935185185188</v>
      </c>
      <c r="AK276" s="9">
        <v>40</v>
      </c>
    </row>
    <row r="277" spans="1:37">
      <c r="A277" s="9">
        <v>9</v>
      </c>
      <c r="B277" s="9">
        <v>2024</v>
      </c>
      <c r="C277" s="9" t="s">
        <v>46</v>
      </c>
      <c r="D277" s="9" t="s">
        <v>47</v>
      </c>
      <c r="E277" s="9" t="s">
        <v>47</v>
      </c>
      <c r="F277" s="10">
        <v>45349</v>
      </c>
      <c r="G277" s="9" t="s">
        <v>154</v>
      </c>
      <c r="H277" s="9" t="s">
        <v>48</v>
      </c>
      <c r="I277" s="9">
        <v>1</v>
      </c>
      <c r="J277" s="9">
        <v>1.5</v>
      </c>
      <c r="K277" s="9">
        <v>40</v>
      </c>
      <c r="L277" s="9">
        <v>0.47</v>
      </c>
      <c r="M277" s="9">
        <v>18.8</v>
      </c>
      <c r="N277" s="9" t="s">
        <v>49</v>
      </c>
      <c r="Q277" s="9">
        <f>IF(Auction_Sales[[#This Row],[Payment Date]]=0,"",-1+WEEKNUM(Auction_Sales[[#This Row],[Payment Date]]))</f>
        <v>9</v>
      </c>
      <c r="R277" s="9">
        <v>40</v>
      </c>
      <c r="S277" s="9" t="s">
        <v>154</v>
      </c>
      <c r="T277" s="9" t="s">
        <v>48</v>
      </c>
      <c r="W277" s="13">
        <v>0</v>
      </c>
      <c r="X277" s="14">
        <v>0</v>
      </c>
      <c r="Y277" s="13">
        <v>0</v>
      </c>
      <c r="Z277" s="10">
        <v>45357</v>
      </c>
      <c r="AA277" s="9">
        <v>-40</v>
      </c>
      <c r="AC277" s="9" t="s">
        <v>74</v>
      </c>
      <c r="AD277" s="14">
        <v>5.4812500000000002</v>
      </c>
      <c r="AF277" s="14">
        <v>0</v>
      </c>
      <c r="AH277" s="14">
        <v>5.4812500000000002</v>
      </c>
      <c r="AI277" s="13">
        <v>-5.4812500000000002</v>
      </c>
      <c r="AK277" s="9">
        <v>0</v>
      </c>
    </row>
    <row r="278" spans="1:37">
      <c r="A278" s="9">
        <v>9</v>
      </c>
      <c r="B278" s="9">
        <v>2024</v>
      </c>
      <c r="C278" s="9" t="s">
        <v>46</v>
      </c>
      <c r="D278" s="9" t="s">
        <v>47</v>
      </c>
      <c r="E278" s="9" t="s">
        <v>47</v>
      </c>
      <c r="F278" s="10">
        <v>45349</v>
      </c>
      <c r="G278" s="9" t="s">
        <v>154</v>
      </c>
      <c r="H278" s="9" t="s">
        <v>52</v>
      </c>
      <c r="J278" s="9">
        <v>6</v>
      </c>
      <c r="K278" s="9">
        <v>160</v>
      </c>
      <c r="L278" s="9">
        <v>0.52</v>
      </c>
      <c r="M278" s="9">
        <v>83.2</v>
      </c>
      <c r="N278" s="9" t="s">
        <v>49</v>
      </c>
      <c r="Q278" s="9">
        <f>IF(Auction_Sales[[#This Row],[Payment Date]]=0,"",-1+WEEKNUM(Auction_Sales[[#This Row],[Payment Date]]))</f>
        <v>9</v>
      </c>
      <c r="R278" s="9">
        <v>160</v>
      </c>
      <c r="S278" s="9" t="s">
        <v>154</v>
      </c>
      <c r="T278" s="9" t="s">
        <v>52</v>
      </c>
      <c r="W278" s="13">
        <v>0</v>
      </c>
      <c r="X278" s="14">
        <v>0</v>
      </c>
      <c r="Y278" s="13">
        <v>0</v>
      </c>
      <c r="Z278" s="10">
        <v>45357</v>
      </c>
      <c r="AA278" s="9">
        <v>-160</v>
      </c>
      <c r="AC278" s="9" t="s">
        <v>74</v>
      </c>
      <c r="AD278" s="14">
        <v>21.925000000000001</v>
      </c>
      <c r="AF278" s="14">
        <v>0</v>
      </c>
      <c r="AH278" s="14">
        <v>21.925000000000001</v>
      </c>
      <c r="AI278" s="13">
        <v>-21.925000000000001</v>
      </c>
      <c r="AK278" s="9">
        <v>0</v>
      </c>
    </row>
    <row r="279" spans="1:37">
      <c r="A279" s="9">
        <v>9</v>
      </c>
      <c r="B279" s="9">
        <v>2024</v>
      </c>
      <c r="C279" s="9" t="s">
        <v>46</v>
      </c>
      <c r="D279" s="9" t="s">
        <v>47</v>
      </c>
      <c r="E279" s="9" t="s">
        <v>47</v>
      </c>
      <c r="F279" s="10">
        <v>45349</v>
      </c>
      <c r="G279" s="9" t="s">
        <v>154</v>
      </c>
      <c r="H279" s="9" t="s">
        <v>54</v>
      </c>
      <c r="J279" s="9">
        <v>3</v>
      </c>
      <c r="K279" s="9">
        <v>80</v>
      </c>
      <c r="L279" s="9">
        <v>0.56999999999999995</v>
      </c>
      <c r="M279" s="9">
        <v>45.6</v>
      </c>
      <c r="N279" s="9" t="s">
        <v>49</v>
      </c>
      <c r="Q279" s="9">
        <f>IF(Auction_Sales[[#This Row],[Payment Date]]=0,"",-1+WEEKNUM(Auction_Sales[[#This Row],[Payment Date]]))</f>
        <v>9</v>
      </c>
      <c r="R279" s="9">
        <v>80</v>
      </c>
      <c r="S279" s="9" t="s">
        <v>154</v>
      </c>
      <c r="T279" s="9" t="s">
        <v>54</v>
      </c>
      <c r="W279" s="13">
        <v>0</v>
      </c>
      <c r="X279" s="14">
        <v>0</v>
      </c>
      <c r="Y279" s="13">
        <v>0</v>
      </c>
      <c r="Z279" s="10">
        <v>45357</v>
      </c>
      <c r="AA279" s="9">
        <v>-80</v>
      </c>
      <c r="AC279" s="9" t="s">
        <v>74</v>
      </c>
      <c r="AD279" s="14">
        <v>10.9625</v>
      </c>
      <c r="AF279" s="14">
        <v>0</v>
      </c>
      <c r="AH279" s="14">
        <v>10.9625</v>
      </c>
      <c r="AI279" s="13">
        <v>-10.9625</v>
      </c>
      <c r="AK279" s="9">
        <v>0</v>
      </c>
    </row>
    <row r="280" spans="1:37">
      <c r="A280" s="9">
        <v>9</v>
      </c>
      <c r="B280" s="9">
        <v>2024</v>
      </c>
      <c r="C280" s="9" t="s">
        <v>46</v>
      </c>
      <c r="D280" s="9" t="s">
        <v>47</v>
      </c>
      <c r="E280" s="9" t="s">
        <v>47</v>
      </c>
      <c r="F280" s="10">
        <v>45349</v>
      </c>
      <c r="G280" s="9" t="s">
        <v>154</v>
      </c>
      <c r="H280" s="9" t="s">
        <v>56</v>
      </c>
      <c r="J280" s="9">
        <v>1.5</v>
      </c>
      <c r="K280" s="9">
        <v>40</v>
      </c>
      <c r="L280" s="9">
        <v>0.75</v>
      </c>
      <c r="M280" s="9">
        <v>30</v>
      </c>
      <c r="N280" s="9" t="s">
        <v>49</v>
      </c>
      <c r="Q280" s="9">
        <f>IF(Auction_Sales[[#This Row],[Payment Date]]=0,"",-1+WEEKNUM(Auction_Sales[[#This Row],[Payment Date]]))</f>
        <v>9</v>
      </c>
      <c r="R280" s="9">
        <v>40</v>
      </c>
      <c r="S280" s="9" t="s">
        <v>154</v>
      </c>
      <c r="T280" s="9" t="s">
        <v>56</v>
      </c>
      <c r="W280" s="13">
        <v>0</v>
      </c>
      <c r="X280" s="14">
        <v>0</v>
      </c>
      <c r="Y280" s="13">
        <v>0</v>
      </c>
      <c r="Z280" s="10">
        <v>45357</v>
      </c>
      <c r="AA280" s="9">
        <v>-40</v>
      </c>
      <c r="AC280" s="9" t="s">
        <v>74</v>
      </c>
      <c r="AD280" s="14">
        <v>5.4812500000000002</v>
      </c>
      <c r="AF280" s="14">
        <v>0</v>
      </c>
      <c r="AH280" s="14">
        <v>5.4812500000000002</v>
      </c>
      <c r="AI280" s="13">
        <v>-5.4812500000000002</v>
      </c>
      <c r="AK280" s="9">
        <v>0</v>
      </c>
    </row>
    <row r="281" spans="1:37">
      <c r="A281" s="9">
        <v>9</v>
      </c>
      <c r="B281" s="9">
        <v>2024</v>
      </c>
      <c r="C281" s="9" t="s">
        <v>46</v>
      </c>
      <c r="D281" s="9" t="s">
        <v>47</v>
      </c>
      <c r="E281" s="9" t="s">
        <v>47</v>
      </c>
      <c r="F281" s="10">
        <v>45351</v>
      </c>
      <c r="G281" s="9" t="s">
        <v>153</v>
      </c>
      <c r="H281" s="9" t="s">
        <v>48</v>
      </c>
      <c r="I281" s="9">
        <v>1</v>
      </c>
      <c r="J281" s="9">
        <v>12</v>
      </c>
      <c r="K281" s="9">
        <v>800</v>
      </c>
      <c r="L281" s="9">
        <v>0.24</v>
      </c>
      <c r="M281" s="9">
        <v>192</v>
      </c>
      <c r="N281" s="9" t="s">
        <v>49</v>
      </c>
      <c r="Q281" s="9">
        <f>IF(Auction_Sales[[#This Row],[Payment Date]]=0,"",-1+WEEKNUM(Auction_Sales[[#This Row],[Payment Date]]))</f>
        <v>10</v>
      </c>
      <c r="R281" s="9">
        <v>-120</v>
      </c>
      <c r="S281" s="9" t="s">
        <v>153</v>
      </c>
      <c r="T281" s="9" t="s">
        <v>48</v>
      </c>
      <c r="U281" s="9">
        <v>920</v>
      </c>
      <c r="V281" s="13">
        <v>0.57782608695652171</v>
      </c>
      <c r="W281" s="13">
        <v>531.6</v>
      </c>
      <c r="X281" s="14">
        <v>-45.610677083333336</v>
      </c>
      <c r="Y281" s="13">
        <v>485.98932291666671</v>
      </c>
      <c r="Z281" s="10">
        <v>45364</v>
      </c>
      <c r="AA281" s="9">
        <v>120</v>
      </c>
      <c r="AC281" s="9">
        <v>431347</v>
      </c>
      <c r="AD281" s="14">
        <v>41.383000000000003</v>
      </c>
      <c r="AF281" s="14">
        <v>18.400000000000002</v>
      </c>
      <c r="AH281" s="14">
        <v>59.783000000000001</v>
      </c>
      <c r="AI281" s="13">
        <v>426.20632291666669</v>
      </c>
      <c r="AK281" s="9">
        <v>920</v>
      </c>
    </row>
    <row r="282" spans="1:37">
      <c r="A282" s="9">
        <v>9</v>
      </c>
      <c r="B282" s="9">
        <v>2024</v>
      </c>
      <c r="C282" s="9" t="s">
        <v>46</v>
      </c>
      <c r="D282" s="9" t="s">
        <v>47</v>
      </c>
      <c r="E282" s="9" t="s">
        <v>47</v>
      </c>
      <c r="F282" s="10">
        <v>45351</v>
      </c>
      <c r="G282" s="9" t="s">
        <v>153</v>
      </c>
      <c r="H282" s="9" t="s">
        <v>52</v>
      </c>
      <c r="I282" s="9">
        <v>1</v>
      </c>
      <c r="J282" s="9">
        <v>12</v>
      </c>
      <c r="K282" s="9">
        <v>520</v>
      </c>
      <c r="L282" s="9">
        <v>0.28000000000000003</v>
      </c>
      <c r="M282" s="9">
        <v>145.6</v>
      </c>
      <c r="N282" s="9" t="s">
        <v>49</v>
      </c>
      <c r="Q282" s="9">
        <f>IF(Auction_Sales[[#This Row],[Payment Date]]=0,"",-1+WEEKNUM(Auction_Sales[[#This Row],[Payment Date]]))</f>
        <v>10</v>
      </c>
      <c r="R282" s="9">
        <v>520</v>
      </c>
      <c r="S282" s="9" t="s">
        <v>153</v>
      </c>
      <c r="T282" s="9" t="s">
        <v>52</v>
      </c>
      <c r="W282" s="13">
        <v>0</v>
      </c>
      <c r="X282" s="14">
        <v>0</v>
      </c>
      <c r="Y282" s="13">
        <v>0</v>
      </c>
      <c r="Z282" s="10">
        <v>45364</v>
      </c>
      <c r="AA282" s="9">
        <v>-520</v>
      </c>
      <c r="AC282" s="9">
        <v>431347</v>
      </c>
      <c r="AD282" s="14">
        <v>41.383000000000003</v>
      </c>
      <c r="AF282" s="14">
        <v>0</v>
      </c>
      <c r="AH282" s="14">
        <v>41.383000000000003</v>
      </c>
      <c r="AI282" s="13">
        <v>-41.383000000000003</v>
      </c>
      <c r="AK282" s="9">
        <v>0</v>
      </c>
    </row>
    <row r="283" spans="1:37">
      <c r="A283" s="9">
        <v>9</v>
      </c>
      <c r="B283" s="9">
        <v>2024</v>
      </c>
      <c r="C283" s="9" t="s">
        <v>46</v>
      </c>
      <c r="D283" s="9" t="s">
        <v>47</v>
      </c>
      <c r="E283" s="9" t="s">
        <v>47</v>
      </c>
      <c r="F283" s="10">
        <v>45351</v>
      </c>
      <c r="G283" s="9" t="s">
        <v>153</v>
      </c>
      <c r="H283" s="9" t="s">
        <v>54</v>
      </c>
      <c r="I283" s="9">
        <v>1</v>
      </c>
      <c r="J283" s="9">
        <v>12</v>
      </c>
      <c r="K283" s="9">
        <v>320</v>
      </c>
      <c r="L283" s="9">
        <v>0.33</v>
      </c>
      <c r="M283" s="9">
        <v>105.6</v>
      </c>
      <c r="N283" s="9" t="s">
        <v>49</v>
      </c>
      <c r="Q283" s="9">
        <f>IF(Auction_Sales[[#This Row],[Payment Date]]=0,"",-1+WEEKNUM(Auction_Sales[[#This Row],[Payment Date]]))</f>
        <v>10</v>
      </c>
      <c r="R283" s="9">
        <v>-320</v>
      </c>
      <c r="S283" s="9" t="s">
        <v>153</v>
      </c>
      <c r="T283" s="9" t="s">
        <v>54</v>
      </c>
      <c r="U283" s="9">
        <v>640</v>
      </c>
      <c r="V283" s="13">
        <v>0.65062500000000001</v>
      </c>
      <c r="W283" s="13">
        <v>416.4</v>
      </c>
      <c r="X283" s="14">
        <v>-31.729166666666668</v>
      </c>
      <c r="Y283" s="13">
        <v>384.67083333333329</v>
      </c>
      <c r="Z283" s="10">
        <v>45364</v>
      </c>
      <c r="AA283" s="9">
        <v>320</v>
      </c>
      <c r="AC283" s="9">
        <v>431347</v>
      </c>
      <c r="AD283" s="14">
        <v>41.383000000000003</v>
      </c>
      <c r="AF283" s="14">
        <v>12.8</v>
      </c>
      <c r="AH283" s="14">
        <v>54.183000000000007</v>
      </c>
      <c r="AI283" s="13">
        <v>330.4878333333333</v>
      </c>
      <c r="AK283" s="9">
        <v>640</v>
      </c>
    </row>
    <row r="284" spans="1:37">
      <c r="A284" s="9">
        <v>9</v>
      </c>
      <c r="B284" s="9">
        <v>2024</v>
      </c>
      <c r="C284" s="9" t="s">
        <v>46</v>
      </c>
      <c r="D284" s="9" t="s">
        <v>47</v>
      </c>
      <c r="E284" s="9" t="s">
        <v>47</v>
      </c>
      <c r="F284" s="10">
        <v>45351</v>
      </c>
      <c r="G284" s="9" t="s">
        <v>153</v>
      </c>
      <c r="H284" s="9" t="s">
        <v>56</v>
      </c>
      <c r="I284" s="9">
        <v>1</v>
      </c>
      <c r="J284" s="9">
        <v>12</v>
      </c>
      <c r="K284" s="9">
        <v>360</v>
      </c>
      <c r="L284" s="9">
        <v>0.38</v>
      </c>
      <c r="M284" s="9">
        <v>136.80000000000001</v>
      </c>
      <c r="N284" s="9" t="s">
        <v>49</v>
      </c>
      <c r="Q284" s="9">
        <f>IF(Auction_Sales[[#This Row],[Payment Date]]=0,"",-1+WEEKNUM(Auction_Sales[[#This Row],[Payment Date]]))</f>
        <v>10</v>
      </c>
      <c r="R284" s="9">
        <v>40</v>
      </c>
      <c r="S284" s="9" t="s">
        <v>153</v>
      </c>
      <c r="T284" s="9" t="s">
        <v>56</v>
      </c>
      <c r="U284" s="9">
        <v>320</v>
      </c>
      <c r="V284" s="13">
        <v>0.76</v>
      </c>
      <c r="W284" s="13">
        <v>243.2</v>
      </c>
      <c r="X284" s="14">
        <v>-15.864583333333334</v>
      </c>
      <c r="Y284" s="13">
        <v>227.33541666666665</v>
      </c>
      <c r="Z284" s="10">
        <v>45364</v>
      </c>
      <c r="AA284" s="9">
        <v>-40</v>
      </c>
      <c r="AC284" s="9">
        <v>431347</v>
      </c>
      <c r="AD284" s="14">
        <v>41.383000000000003</v>
      </c>
      <c r="AF284" s="14">
        <v>6.4</v>
      </c>
      <c r="AH284" s="14">
        <v>47.783000000000001</v>
      </c>
      <c r="AI284" s="13">
        <v>179.55241666666666</v>
      </c>
      <c r="AK284" s="9">
        <v>320</v>
      </c>
    </row>
    <row r="285" spans="1:37">
      <c r="A285" s="9">
        <v>9</v>
      </c>
      <c r="B285" s="9">
        <v>2024</v>
      </c>
      <c r="C285" s="9" t="s">
        <v>46</v>
      </c>
      <c r="D285" s="9" t="s">
        <v>47</v>
      </c>
      <c r="E285" s="9" t="s">
        <v>47</v>
      </c>
      <c r="F285" s="10">
        <v>45351</v>
      </c>
      <c r="G285" s="9" t="s">
        <v>153</v>
      </c>
      <c r="H285" s="9" t="s">
        <v>57</v>
      </c>
      <c r="I285" s="9">
        <v>1</v>
      </c>
      <c r="J285" s="9">
        <v>12</v>
      </c>
      <c r="K285" s="9">
        <v>320</v>
      </c>
      <c r="L285" s="9">
        <v>0.47</v>
      </c>
      <c r="M285" s="9">
        <v>150.4</v>
      </c>
      <c r="N285" s="9" t="s">
        <v>49</v>
      </c>
      <c r="Q285" s="9">
        <f>IF(Auction_Sales[[#This Row],[Payment Date]]=0,"",-1+WEEKNUM(Auction_Sales[[#This Row],[Payment Date]]))</f>
        <v>10</v>
      </c>
      <c r="R285" s="9">
        <v>0</v>
      </c>
      <c r="S285" s="9" t="s">
        <v>153</v>
      </c>
      <c r="T285" s="9" t="s">
        <v>57</v>
      </c>
      <c r="U285" s="9">
        <v>320</v>
      </c>
      <c r="V285" s="13">
        <v>0.74249999999999994</v>
      </c>
      <c r="W285" s="13">
        <v>237.59999999999997</v>
      </c>
      <c r="X285" s="14">
        <v>-15.864583333333334</v>
      </c>
      <c r="Y285" s="13">
        <v>221.73541666666662</v>
      </c>
      <c r="Z285" s="10">
        <v>45364</v>
      </c>
      <c r="AA285" s="9">
        <v>0</v>
      </c>
      <c r="AC285" s="9">
        <v>431347</v>
      </c>
      <c r="AD285" s="14">
        <v>41.383000000000003</v>
      </c>
      <c r="AF285" s="14">
        <v>6.4</v>
      </c>
      <c r="AH285" s="14">
        <v>47.783000000000001</v>
      </c>
      <c r="AI285" s="13">
        <v>173.95241666666664</v>
      </c>
      <c r="AK285" s="9">
        <v>320</v>
      </c>
    </row>
    <row r="286" spans="1:37">
      <c r="A286" s="9">
        <v>9</v>
      </c>
      <c r="B286" s="9">
        <v>2024</v>
      </c>
      <c r="C286" s="9" t="s">
        <v>46</v>
      </c>
      <c r="D286" s="9" t="s">
        <v>47</v>
      </c>
      <c r="E286" s="9" t="s">
        <v>47</v>
      </c>
      <c r="F286" s="10">
        <v>45351</v>
      </c>
      <c r="G286" s="9" t="s">
        <v>154</v>
      </c>
      <c r="H286" s="9" t="s">
        <v>51</v>
      </c>
      <c r="I286" s="9">
        <v>1</v>
      </c>
      <c r="J286" s="9">
        <v>12</v>
      </c>
      <c r="K286" s="9">
        <v>520</v>
      </c>
      <c r="L286" s="9">
        <v>0.38</v>
      </c>
      <c r="M286" s="9">
        <v>197.6</v>
      </c>
      <c r="N286" s="9" t="s">
        <v>49</v>
      </c>
      <c r="Q286" s="9">
        <f>IF(Auction_Sales[[#This Row],[Payment Date]]=0,"",-1+WEEKNUM(Auction_Sales[[#This Row],[Payment Date]]))</f>
        <v>10</v>
      </c>
      <c r="R286" s="9">
        <v>0</v>
      </c>
      <c r="S286" s="9" t="s">
        <v>154</v>
      </c>
      <c r="T286" s="9" t="s">
        <v>51</v>
      </c>
      <c r="U286" s="9">
        <v>520</v>
      </c>
      <c r="V286" s="13">
        <v>0.32923076923076922</v>
      </c>
      <c r="W286" s="13">
        <v>171.2</v>
      </c>
      <c r="X286" s="14">
        <v>-25.779947916666668</v>
      </c>
      <c r="Y286" s="13">
        <v>145.42005208333333</v>
      </c>
      <c r="Z286" s="10">
        <v>45364</v>
      </c>
      <c r="AA286" s="9">
        <v>0</v>
      </c>
      <c r="AC286" s="9">
        <v>431347</v>
      </c>
      <c r="AD286" s="14">
        <v>41.383000000000003</v>
      </c>
      <c r="AF286" s="14">
        <v>10.4</v>
      </c>
      <c r="AH286" s="14">
        <v>51.783000000000001</v>
      </c>
      <c r="AI286" s="13">
        <v>93.63705208333333</v>
      </c>
      <c r="AK286" s="9">
        <v>520</v>
      </c>
    </row>
    <row r="287" spans="1:37">
      <c r="A287" s="9">
        <v>9</v>
      </c>
      <c r="B287" s="9">
        <v>2024</v>
      </c>
      <c r="C287" s="9" t="s">
        <v>46</v>
      </c>
      <c r="D287" s="9" t="s">
        <v>47</v>
      </c>
      <c r="E287" s="9" t="s">
        <v>47</v>
      </c>
      <c r="F287" s="10">
        <v>45351</v>
      </c>
      <c r="G287" s="9" t="s">
        <v>154</v>
      </c>
      <c r="H287" s="9" t="s">
        <v>48</v>
      </c>
      <c r="I287" s="9">
        <v>2</v>
      </c>
      <c r="J287" s="9">
        <v>24</v>
      </c>
      <c r="K287" s="9">
        <v>960</v>
      </c>
      <c r="L287" s="9">
        <v>0.47</v>
      </c>
      <c r="M287" s="9">
        <v>451.2</v>
      </c>
      <c r="N287" s="9" t="s">
        <v>49</v>
      </c>
      <c r="Q287" s="9">
        <f>IF(Auction_Sales[[#This Row],[Payment Date]]=0,"",-1+WEEKNUM(Auction_Sales[[#This Row],[Payment Date]]))</f>
        <v>10</v>
      </c>
      <c r="R287" s="9">
        <v>0</v>
      </c>
      <c r="S287" s="9" t="s">
        <v>154</v>
      </c>
      <c r="T287" s="9" t="s">
        <v>48</v>
      </c>
      <c r="U287" s="9">
        <v>960</v>
      </c>
      <c r="V287" s="13">
        <v>0.40125</v>
      </c>
      <c r="W287" s="13">
        <v>385.2</v>
      </c>
      <c r="X287" s="14">
        <v>-47.59375</v>
      </c>
      <c r="Y287" s="13">
        <v>337.60624999999999</v>
      </c>
      <c r="Z287" s="10">
        <v>45364</v>
      </c>
      <c r="AA287" s="9">
        <v>0</v>
      </c>
      <c r="AC287" s="9">
        <v>431347</v>
      </c>
      <c r="AD287" s="14">
        <v>82.766000000000005</v>
      </c>
      <c r="AF287" s="14">
        <v>19.2</v>
      </c>
      <c r="AH287" s="14">
        <v>101.96600000000001</v>
      </c>
      <c r="AI287" s="13">
        <v>235.64024999999998</v>
      </c>
      <c r="AK287" s="9">
        <v>960</v>
      </c>
    </row>
    <row r="288" spans="1:37">
      <c r="A288" s="9">
        <v>9</v>
      </c>
      <c r="B288" s="9">
        <v>2024</v>
      </c>
      <c r="C288" s="9" t="s">
        <v>46</v>
      </c>
      <c r="D288" s="9" t="s">
        <v>47</v>
      </c>
      <c r="E288" s="9" t="s">
        <v>47</v>
      </c>
      <c r="F288" s="10">
        <v>45351</v>
      </c>
      <c r="G288" s="9" t="s">
        <v>154</v>
      </c>
      <c r="H288" s="9" t="s">
        <v>52</v>
      </c>
      <c r="I288" s="9">
        <v>1</v>
      </c>
      <c r="J288" s="9">
        <v>12</v>
      </c>
      <c r="K288" s="9">
        <v>400</v>
      </c>
      <c r="L288" s="9">
        <v>0.52</v>
      </c>
      <c r="M288" s="9">
        <v>208</v>
      </c>
      <c r="N288" s="9" t="s">
        <v>49</v>
      </c>
      <c r="Q288" s="9">
        <f>IF(Auction_Sales[[#This Row],[Payment Date]]=0,"",-1+WEEKNUM(Auction_Sales[[#This Row],[Payment Date]]))</f>
        <v>10</v>
      </c>
      <c r="R288" s="9">
        <v>-200</v>
      </c>
      <c r="S288" s="9" t="s">
        <v>154</v>
      </c>
      <c r="T288" s="9" t="s">
        <v>52</v>
      </c>
      <c r="U288" s="9">
        <v>600</v>
      </c>
      <c r="V288" s="13">
        <v>0.61333333333333329</v>
      </c>
      <c r="W288" s="13">
        <v>368</v>
      </c>
      <c r="X288" s="14">
        <v>-29.74609375</v>
      </c>
      <c r="Y288" s="13">
        <v>338.25390625</v>
      </c>
      <c r="Z288" s="10">
        <v>45364</v>
      </c>
      <c r="AA288" s="9">
        <v>200</v>
      </c>
      <c r="AC288" s="9">
        <v>431347</v>
      </c>
      <c r="AD288" s="14">
        <v>41.383000000000003</v>
      </c>
      <c r="AF288" s="14">
        <v>12</v>
      </c>
      <c r="AH288" s="14">
        <v>53.383000000000003</v>
      </c>
      <c r="AI288" s="13">
        <v>284.87090625000002</v>
      </c>
      <c r="AK288" s="9">
        <v>600</v>
      </c>
    </row>
    <row r="289" spans="1:37">
      <c r="A289" s="9">
        <v>9</v>
      </c>
      <c r="B289" s="9">
        <v>2024</v>
      </c>
      <c r="C289" s="9" t="s">
        <v>46</v>
      </c>
      <c r="D289" s="9" t="s">
        <v>47</v>
      </c>
      <c r="E289" s="9" t="s">
        <v>47</v>
      </c>
      <c r="F289" s="10">
        <v>45351</v>
      </c>
      <c r="G289" s="9" t="s">
        <v>154</v>
      </c>
      <c r="H289" s="9" t="s">
        <v>56</v>
      </c>
      <c r="I289" s="9">
        <v>2</v>
      </c>
      <c r="J289" s="9">
        <v>24</v>
      </c>
      <c r="K289" s="9">
        <v>480</v>
      </c>
      <c r="L289" s="9">
        <v>0.75</v>
      </c>
      <c r="M289" s="9">
        <v>360</v>
      </c>
      <c r="N289" s="9" t="s">
        <v>49</v>
      </c>
      <c r="Q289" s="9">
        <f>IF(Auction_Sales[[#This Row],[Payment Date]]=0,"",-1+WEEKNUM(Auction_Sales[[#This Row],[Payment Date]]))</f>
        <v>10</v>
      </c>
      <c r="R289" s="9">
        <v>-360</v>
      </c>
      <c r="S289" s="9" t="s">
        <v>154</v>
      </c>
      <c r="T289" s="9" t="s">
        <v>56</v>
      </c>
      <c r="U289" s="9">
        <v>840</v>
      </c>
      <c r="V289" s="13">
        <v>0.75142857142857145</v>
      </c>
      <c r="W289" s="13">
        <v>631.20000000000005</v>
      </c>
      <c r="X289" s="14">
        <v>-41.64453125</v>
      </c>
      <c r="Y289" s="13">
        <v>589.55546875000005</v>
      </c>
      <c r="Z289" s="10">
        <v>45364</v>
      </c>
      <c r="AA289" s="9">
        <v>360</v>
      </c>
      <c r="AC289" s="9">
        <v>431347</v>
      </c>
      <c r="AD289" s="14">
        <v>82.766000000000005</v>
      </c>
      <c r="AF289" s="14">
        <v>16.8</v>
      </c>
      <c r="AH289" s="14">
        <v>99.566000000000003</v>
      </c>
      <c r="AI289" s="13">
        <v>489.98946875000001</v>
      </c>
      <c r="AK289" s="9">
        <v>840</v>
      </c>
    </row>
    <row r="290" spans="1:37">
      <c r="A290" s="9">
        <v>9</v>
      </c>
      <c r="B290" s="9">
        <v>2024</v>
      </c>
      <c r="C290" s="9" t="s">
        <v>46</v>
      </c>
      <c r="D290" s="9" t="s">
        <v>47</v>
      </c>
      <c r="E290" s="9" t="s">
        <v>47</v>
      </c>
      <c r="F290" s="10">
        <v>45351</v>
      </c>
      <c r="G290" s="9" t="s">
        <v>154</v>
      </c>
      <c r="H290" s="9" t="s">
        <v>57</v>
      </c>
      <c r="I290" s="9">
        <v>3</v>
      </c>
      <c r="J290" s="9">
        <v>36</v>
      </c>
      <c r="K290" s="9">
        <v>600</v>
      </c>
      <c r="L290" s="9">
        <v>0.94</v>
      </c>
      <c r="M290" s="9">
        <v>564</v>
      </c>
      <c r="N290" s="9" t="s">
        <v>49</v>
      </c>
      <c r="Q290" s="9">
        <f>IF(Auction_Sales[[#This Row],[Payment Date]]=0,"",-1+WEEKNUM(Auction_Sales[[#This Row],[Payment Date]]))</f>
        <v>10</v>
      </c>
      <c r="R290" s="9">
        <v>200</v>
      </c>
      <c r="S290" s="9" t="s">
        <v>154</v>
      </c>
      <c r="T290" s="9" t="s">
        <v>57</v>
      </c>
      <c r="U290" s="9">
        <v>400</v>
      </c>
      <c r="V290" s="13">
        <v>0.60899999999999999</v>
      </c>
      <c r="W290" s="13">
        <v>243.6</v>
      </c>
      <c r="X290" s="14">
        <v>-19.830729166666668</v>
      </c>
      <c r="Y290" s="13">
        <v>223.76927083333334</v>
      </c>
      <c r="Z290" s="10">
        <v>45364</v>
      </c>
      <c r="AA290" s="9">
        <v>-200</v>
      </c>
      <c r="AC290" s="9">
        <v>431347</v>
      </c>
      <c r="AD290" s="14">
        <v>124.14899999999999</v>
      </c>
      <c r="AF290" s="14">
        <v>8</v>
      </c>
      <c r="AH290" s="14">
        <v>132.149</v>
      </c>
      <c r="AI290" s="13">
        <v>91.620270833333336</v>
      </c>
      <c r="AK290" s="9">
        <v>400</v>
      </c>
    </row>
    <row r="291" spans="1:37">
      <c r="A291" s="9">
        <v>9</v>
      </c>
      <c r="B291" s="9">
        <v>2024</v>
      </c>
      <c r="C291" s="9" t="s">
        <v>46</v>
      </c>
      <c r="D291" s="9" t="s">
        <v>47</v>
      </c>
      <c r="E291" s="9" t="s">
        <v>47</v>
      </c>
      <c r="F291" s="10">
        <v>45351</v>
      </c>
      <c r="G291" s="9" t="s">
        <v>155</v>
      </c>
      <c r="H291" s="9" t="s">
        <v>52</v>
      </c>
      <c r="I291" s="9">
        <v>2</v>
      </c>
      <c r="J291" s="9">
        <v>24</v>
      </c>
      <c r="K291" s="9">
        <v>800</v>
      </c>
      <c r="L291" s="9">
        <v>0.52</v>
      </c>
      <c r="M291" s="9">
        <v>416</v>
      </c>
      <c r="N291" s="9" t="s">
        <v>49</v>
      </c>
      <c r="Q291" s="9">
        <f>IF(Auction_Sales[[#This Row],[Payment Date]]=0,"",-1+WEEKNUM(Auction_Sales[[#This Row],[Payment Date]]))</f>
        <v>10</v>
      </c>
      <c r="R291" s="9">
        <v>-40</v>
      </c>
      <c r="S291" s="9" t="s">
        <v>155</v>
      </c>
      <c r="T291" s="9" t="s">
        <v>52</v>
      </c>
      <c r="U291" s="9">
        <v>840</v>
      </c>
      <c r="V291" s="13">
        <v>0.9447619047619048</v>
      </c>
      <c r="W291" s="13">
        <v>793.6</v>
      </c>
      <c r="X291" s="14">
        <v>-41.64453125</v>
      </c>
      <c r="Y291" s="13">
        <v>751.95546875000002</v>
      </c>
      <c r="Z291" s="10">
        <v>45364</v>
      </c>
      <c r="AA291" s="9">
        <v>40</v>
      </c>
      <c r="AC291" s="9">
        <v>431347</v>
      </c>
      <c r="AD291" s="14">
        <v>82.766000000000005</v>
      </c>
      <c r="AF291" s="14">
        <v>16.8</v>
      </c>
      <c r="AH291" s="14">
        <v>99.566000000000003</v>
      </c>
      <c r="AI291" s="13">
        <v>652.38946874999999</v>
      </c>
      <c r="AK291" s="9">
        <v>840</v>
      </c>
    </row>
    <row r="292" spans="1:37">
      <c r="A292" s="9">
        <v>9</v>
      </c>
      <c r="B292" s="9">
        <v>2024</v>
      </c>
      <c r="C292" s="9" t="s">
        <v>46</v>
      </c>
      <c r="D292" s="9" t="s">
        <v>47</v>
      </c>
      <c r="E292" s="9" t="s">
        <v>47</v>
      </c>
      <c r="F292" s="10">
        <v>45351</v>
      </c>
      <c r="G292" s="9" t="s">
        <v>155</v>
      </c>
      <c r="H292" s="9" t="s">
        <v>54</v>
      </c>
      <c r="I292" s="9">
        <v>1</v>
      </c>
      <c r="J292" s="9">
        <v>12</v>
      </c>
      <c r="K292" s="9">
        <v>320</v>
      </c>
      <c r="L292" s="9">
        <v>0.56999999999999995</v>
      </c>
      <c r="M292" s="9">
        <v>182.4</v>
      </c>
      <c r="N292" s="9" t="s">
        <v>49</v>
      </c>
      <c r="Q292" s="9">
        <f>IF(Auction_Sales[[#This Row],[Payment Date]]=0,"",-1+WEEKNUM(Auction_Sales[[#This Row],[Payment Date]]))</f>
        <v>10</v>
      </c>
      <c r="R292" s="9">
        <v>0</v>
      </c>
      <c r="S292" s="9" t="s">
        <v>155</v>
      </c>
      <c r="T292" s="9" t="s">
        <v>54</v>
      </c>
      <c r="U292" s="9">
        <v>320</v>
      </c>
      <c r="V292" s="13">
        <v>0.92125000000000001</v>
      </c>
      <c r="W292" s="13">
        <v>294.8</v>
      </c>
      <c r="X292" s="14">
        <v>-15.864583333333334</v>
      </c>
      <c r="Y292" s="13">
        <v>278.9354166666667</v>
      </c>
      <c r="Z292" s="10">
        <v>45364</v>
      </c>
      <c r="AA292" s="9">
        <v>0</v>
      </c>
      <c r="AC292" s="9">
        <v>431347</v>
      </c>
      <c r="AD292" s="14">
        <v>41.383000000000003</v>
      </c>
      <c r="AF292" s="14">
        <v>6.4</v>
      </c>
      <c r="AH292" s="14">
        <v>47.783000000000001</v>
      </c>
      <c r="AI292" s="13">
        <v>231.15241666666668</v>
      </c>
      <c r="AK292" s="9">
        <v>320</v>
      </c>
    </row>
    <row r="293" spans="1:37">
      <c r="A293" s="9">
        <v>9</v>
      </c>
      <c r="B293" s="9">
        <v>2024</v>
      </c>
      <c r="C293" s="9" t="s">
        <v>46</v>
      </c>
      <c r="D293" s="9" t="s">
        <v>47</v>
      </c>
      <c r="E293" s="9" t="s">
        <v>47</v>
      </c>
      <c r="F293" s="10">
        <v>45351</v>
      </c>
      <c r="G293" s="9" t="s">
        <v>155</v>
      </c>
      <c r="H293" s="9" t="s">
        <v>56</v>
      </c>
      <c r="I293" s="9">
        <v>1</v>
      </c>
      <c r="J293" s="9">
        <v>8</v>
      </c>
      <c r="K293" s="9">
        <v>160</v>
      </c>
      <c r="L293" s="9">
        <v>0.75</v>
      </c>
      <c r="M293" s="9">
        <v>120</v>
      </c>
      <c r="N293" s="9" t="s">
        <v>49</v>
      </c>
      <c r="Q293" s="9">
        <f>IF(Auction_Sales[[#This Row],[Payment Date]]=0,"",-1+WEEKNUM(Auction_Sales[[#This Row],[Payment Date]]))</f>
        <v>10</v>
      </c>
      <c r="R293" s="9">
        <v>40</v>
      </c>
      <c r="S293" s="9" t="s">
        <v>155</v>
      </c>
      <c r="T293" s="9" t="s">
        <v>56</v>
      </c>
      <c r="U293" s="9">
        <v>120</v>
      </c>
      <c r="V293" s="13">
        <v>0.79333333333333333</v>
      </c>
      <c r="W293" s="13">
        <v>95.2</v>
      </c>
      <c r="X293" s="14">
        <v>-5.94921875</v>
      </c>
      <c r="Y293" s="13">
        <v>89.250781250000003</v>
      </c>
      <c r="Z293" s="10">
        <v>45364</v>
      </c>
      <c r="AA293" s="9">
        <v>-40</v>
      </c>
      <c r="AC293" s="9">
        <v>431347</v>
      </c>
      <c r="AD293" s="14">
        <v>27.588666666666665</v>
      </c>
      <c r="AF293" s="14">
        <v>2.4</v>
      </c>
      <c r="AH293" s="14">
        <v>29.988666666666663</v>
      </c>
      <c r="AI293" s="13">
        <v>59.262114583333343</v>
      </c>
      <c r="AK293" s="9">
        <v>120</v>
      </c>
    </row>
    <row r="294" spans="1:37">
      <c r="A294" s="9">
        <v>9</v>
      </c>
      <c r="B294" s="9">
        <v>2024</v>
      </c>
      <c r="C294" s="9" t="s">
        <v>46</v>
      </c>
      <c r="D294" s="9" t="s">
        <v>47</v>
      </c>
      <c r="E294" s="9" t="s">
        <v>47</v>
      </c>
      <c r="F294" s="10">
        <v>45351</v>
      </c>
      <c r="G294" s="9" t="s">
        <v>155</v>
      </c>
      <c r="H294" s="9" t="s">
        <v>57</v>
      </c>
      <c r="J294" s="9">
        <v>4</v>
      </c>
      <c r="K294" s="9">
        <v>80</v>
      </c>
      <c r="L294" s="9">
        <v>0.94</v>
      </c>
      <c r="M294" s="9">
        <v>75.2</v>
      </c>
      <c r="N294" s="9" t="s">
        <v>49</v>
      </c>
      <c r="Q294" s="9">
        <f>IF(Auction_Sales[[#This Row],[Payment Date]]=0,"",-1+WEEKNUM(Auction_Sales[[#This Row],[Payment Date]]))</f>
        <v>10</v>
      </c>
      <c r="R294" s="9">
        <v>0</v>
      </c>
      <c r="S294" s="9" t="s">
        <v>155</v>
      </c>
      <c r="T294" s="9" t="s">
        <v>57</v>
      </c>
      <c r="U294" s="9">
        <v>80</v>
      </c>
      <c r="V294" s="13">
        <v>0.85500000000000009</v>
      </c>
      <c r="W294" s="13">
        <v>68.400000000000006</v>
      </c>
      <c r="X294" s="14">
        <v>-3.9661458333333335</v>
      </c>
      <c r="Y294" s="13">
        <v>64.433854166666677</v>
      </c>
      <c r="Z294" s="10">
        <v>45364</v>
      </c>
      <c r="AA294" s="9">
        <v>0</v>
      </c>
      <c r="AC294" s="9">
        <v>431347</v>
      </c>
      <c r="AD294" s="14">
        <v>13.794333333333332</v>
      </c>
      <c r="AF294" s="14">
        <v>1.6</v>
      </c>
      <c r="AH294" s="14">
        <v>15.394333333333332</v>
      </c>
      <c r="AI294" s="13">
        <v>49.039520833333341</v>
      </c>
      <c r="AK294" s="9">
        <v>80</v>
      </c>
    </row>
    <row r="295" spans="1:37">
      <c r="A295" s="9">
        <v>9</v>
      </c>
      <c r="B295" s="9">
        <v>2024</v>
      </c>
      <c r="C295" s="9" t="s">
        <v>46</v>
      </c>
      <c r="D295" s="9" t="s">
        <v>47</v>
      </c>
      <c r="E295" s="9" t="s">
        <v>47</v>
      </c>
      <c r="F295" s="10">
        <v>45351</v>
      </c>
      <c r="G295" s="9" t="s">
        <v>153</v>
      </c>
      <c r="H295" s="9" t="s">
        <v>52</v>
      </c>
      <c r="I295" s="9">
        <v>1</v>
      </c>
      <c r="J295" s="9">
        <v>4</v>
      </c>
      <c r="K295" s="9">
        <v>120</v>
      </c>
      <c r="L295" s="9">
        <v>0.28000000000000003</v>
      </c>
      <c r="M295" s="9">
        <v>33.6</v>
      </c>
      <c r="N295" s="9" t="s">
        <v>49</v>
      </c>
      <c r="Q295" s="9">
        <f>IF(Auction_Sales[[#This Row],[Payment Date]]=0,"",-1+WEEKNUM(Auction_Sales[[#This Row],[Payment Date]]))</f>
        <v>10</v>
      </c>
      <c r="R295" s="9">
        <v>-520</v>
      </c>
      <c r="S295" s="9" t="s">
        <v>153</v>
      </c>
      <c r="T295" s="9" t="s">
        <v>52</v>
      </c>
      <c r="U295" s="9">
        <v>640</v>
      </c>
      <c r="V295" s="13">
        <v>0.62312500000000004</v>
      </c>
      <c r="W295" s="13">
        <v>398.8</v>
      </c>
      <c r="X295" s="14">
        <v>-31.729166666666668</v>
      </c>
      <c r="Y295" s="13">
        <v>367.07083333333333</v>
      </c>
      <c r="Z295" s="10">
        <v>45364</v>
      </c>
      <c r="AA295" s="9">
        <v>520</v>
      </c>
      <c r="AC295" s="9">
        <v>431347</v>
      </c>
      <c r="AD295" s="14">
        <v>13.794333333333332</v>
      </c>
      <c r="AF295" s="14">
        <v>12.8</v>
      </c>
      <c r="AH295" s="14">
        <v>26.594333333333331</v>
      </c>
      <c r="AI295" s="13">
        <v>340.47649999999999</v>
      </c>
      <c r="AK295" s="9">
        <v>640</v>
      </c>
    </row>
    <row r="296" spans="1:37">
      <c r="A296" s="9">
        <v>9</v>
      </c>
      <c r="B296" s="9">
        <v>2024</v>
      </c>
      <c r="C296" s="9" t="s">
        <v>46</v>
      </c>
      <c r="D296" s="9" t="s">
        <v>47</v>
      </c>
      <c r="E296" s="9" t="s">
        <v>47</v>
      </c>
      <c r="F296" s="10">
        <v>45351</v>
      </c>
      <c r="G296" s="9" t="s">
        <v>153</v>
      </c>
      <c r="H296" s="9" t="s">
        <v>54</v>
      </c>
      <c r="J296" s="9">
        <v>8</v>
      </c>
      <c r="K296" s="9">
        <v>240</v>
      </c>
      <c r="L296" s="9">
        <v>0.33</v>
      </c>
      <c r="M296" s="9">
        <v>79.2</v>
      </c>
      <c r="N296" s="9" t="s">
        <v>49</v>
      </c>
      <c r="Q296" s="9">
        <f>IF(Auction_Sales[[#This Row],[Payment Date]]=0,"",-1+WEEKNUM(Auction_Sales[[#This Row],[Payment Date]]))</f>
        <v>10</v>
      </c>
      <c r="R296" s="9">
        <v>240</v>
      </c>
      <c r="S296" s="9" t="s">
        <v>153</v>
      </c>
      <c r="T296" s="9" t="s">
        <v>54</v>
      </c>
      <c r="W296" s="13">
        <v>0</v>
      </c>
      <c r="X296" s="14">
        <v>0</v>
      </c>
      <c r="Y296" s="13">
        <v>0</v>
      </c>
      <c r="Z296" s="10">
        <v>45364</v>
      </c>
      <c r="AA296" s="9">
        <v>-240</v>
      </c>
      <c r="AC296" s="9">
        <v>431347</v>
      </c>
      <c r="AD296" s="14">
        <v>27.588666666666665</v>
      </c>
      <c r="AF296" s="14">
        <v>0</v>
      </c>
      <c r="AH296" s="14">
        <v>27.588666666666665</v>
      </c>
      <c r="AI296" s="13">
        <v>-27.588666666666665</v>
      </c>
      <c r="AK296" s="9">
        <v>0</v>
      </c>
    </row>
    <row r="297" spans="1:37">
      <c r="A297" s="9">
        <v>9</v>
      </c>
      <c r="B297" s="9">
        <v>2024</v>
      </c>
      <c r="C297" s="9" t="s">
        <v>46</v>
      </c>
      <c r="D297" s="9" t="s">
        <v>47</v>
      </c>
      <c r="E297" s="9" t="s">
        <v>47</v>
      </c>
      <c r="F297" s="10">
        <v>45351</v>
      </c>
      <c r="G297" s="9" t="s">
        <v>154</v>
      </c>
      <c r="H297" s="9" t="s">
        <v>52</v>
      </c>
      <c r="I297" s="9">
        <v>1</v>
      </c>
      <c r="J297" s="9">
        <v>4.5</v>
      </c>
      <c r="K297" s="9">
        <v>120</v>
      </c>
      <c r="L297" s="9">
        <v>0.52</v>
      </c>
      <c r="M297" s="9">
        <v>62.4</v>
      </c>
      <c r="N297" s="9" t="s">
        <v>49</v>
      </c>
      <c r="Q297" s="9">
        <f>IF(Auction_Sales[[#This Row],[Payment Date]]=0,"",-1+WEEKNUM(Auction_Sales[[#This Row],[Payment Date]]))</f>
        <v>10</v>
      </c>
      <c r="R297" s="9">
        <v>120</v>
      </c>
      <c r="S297" s="9" t="s">
        <v>154</v>
      </c>
      <c r="T297" s="9" t="s">
        <v>52</v>
      </c>
      <c r="W297" s="13">
        <v>0</v>
      </c>
      <c r="X297" s="14">
        <v>0</v>
      </c>
      <c r="Y297" s="13">
        <v>0</v>
      </c>
      <c r="Z297" s="10">
        <v>45364</v>
      </c>
      <c r="AA297" s="9">
        <v>-120</v>
      </c>
      <c r="AC297" s="9">
        <v>431347</v>
      </c>
      <c r="AD297" s="14">
        <v>15.518624999999998</v>
      </c>
      <c r="AF297" s="14">
        <v>0</v>
      </c>
      <c r="AH297" s="14">
        <v>15.518624999999998</v>
      </c>
      <c r="AI297" s="13">
        <v>-15.518624999999998</v>
      </c>
      <c r="AK297" s="9">
        <v>0</v>
      </c>
    </row>
    <row r="298" spans="1:37">
      <c r="A298" s="9">
        <v>9</v>
      </c>
      <c r="B298" s="9">
        <v>2024</v>
      </c>
      <c r="C298" s="9" t="s">
        <v>46</v>
      </c>
      <c r="D298" s="9" t="s">
        <v>47</v>
      </c>
      <c r="E298" s="9" t="s">
        <v>47</v>
      </c>
      <c r="F298" s="10">
        <v>45351</v>
      </c>
      <c r="G298" s="9" t="s">
        <v>154</v>
      </c>
      <c r="H298" s="9" t="s">
        <v>54</v>
      </c>
      <c r="J298" s="9">
        <v>7.5</v>
      </c>
      <c r="K298" s="9">
        <v>200</v>
      </c>
      <c r="L298" s="9">
        <v>0.56999999999999995</v>
      </c>
      <c r="M298" s="9">
        <v>114</v>
      </c>
      <c r="N298" s="9" t="s">
        <v>49</v>
      </c>
      <c r="Q298" s="9">
        <f>IF(Auction_Sales[[#This Row],[Payment Date]]=0,"",-1+WEEKNUM(Auction_Sales[[#This Row],[Payment Date]]))</f>
        <v>10</v>
      </c>
      <c r="R298" s="9">
        <v>40</v>
      </c>
      <c r="S298" s="9" t="s">
        <v>154</v>
      </c>
      <c r="T298" s="9" t="s">
        <v>54</v>
      </c>
      <c r="U298" s="9">
        <v>160</v>
      </c>
      <c r="V298" s="13">
        <v>0.77</v>
      </c>
      <c r="W298" s="13">
        <v>123.2</v>
      </c>
      <c r="X298" s="14">
        <v>-7.932291666666667</v>
      </c>
      <c r="Y298" s="13">
        <v>115.26770833333333</v>
      </c>
      <c r="Z298" s="10">
        <v>45364</v>
      </c>
      <c r="AA298" s="9">
        <v>-40</v>
      </c>
      <c r="AC298" s="9">
        <v>431347</v>
      </c>
      <c r="AD298" s="14">
        <v>25.864374999999999</v>
      </c>
      <c r="AF298" s="14">
        <v>3.2</v>
      </c>
      <c r="AH298" s="14">
        <v>29.064374999999998</v>
      </c>
      <c r="AI298" s="13">
        <v>86.203333333333333</v>
      </c>
      <c r="AK298" s="9">
        <v>160</v>
      </c>
    </row>
    <row r="299" spans="1:37">
      <c r="A299" s="9">
        <v>8</v>
      </c>
      <c r="B299" s="9">
        <v>2024</v>
      </c>
      <c r="C299" s="9" t="s">
        <v>46</v>
      </c>
      <c r="D299" s="9" t="s">
        <v>47</v>
      </c>
      <c r="E299" s="9" t="s">
        <v>47</v>
      </c>
      <c r="F299" s="10">
        <v>45339</v>
      </c>
      <c r="G299" s="9" t="s">
        <v>153</v>
      </c>
      <c r="H299" s="9" t="s">
        <v>48</v>
      </c>
      <c r="I299" s="9">
        <v>1</v>
      </c>
      <c r="J299" s="9">
        <v>12</v>
      </c>
      <c r="K299" s="9">
        <v>720</v>
      </c>
      <c r="L299" s="9">
        <v>0.24</v>
      </c>
      <c r="M299" s="9">
        <v>172.8</v>
      </c>
      <c r="N299" s="9" t="s">
        <v>49</v>
      </c>
      <c r="Q299" s="9">
        <f>IF(Auction_Sales[[#This Row],[Payment Date]]=0,"",-1+WEEKNUM(Auction_Sales[[#This Row],[Payment Date]]))</f>
        <v>8</v>
      </c>
      <c r="R299" s="9">
        <v>-520</v>
      </c>
      <c r="S299" s="9" t="s">
        <v>153</v>
      </c>
      <c r="T299" s="9" t="s">
        <v>48</v>
      </c>
      <c r="U299" s="9">
        <v>1240</v>
      </c>
      <c r="V299" s="13">
        <v>0.46612903225806451</v>
      </c>
      <c r="W299" s="13">
        <v>578</v>
      </c>
      <c r="X299" s="14">
        <v>-50.572575107296096</v>
      </c>
      <c r="Y299" s="13">
        <v>527.42742489270393</v>
      </c>
      <c r="Z299" s="10">
        <v>45350</v>
      </c>
      <c r="AA299" s="9">
        <v>520</v>
      </c>
      <c r="AC299" s="9" t="s">
        <v>75</v>
      </c>
      <c r="AD299" s="14">
        <v>39.929473684210521</v>
      </c>
      <c r="AF299" s="14">
        <v>24.8</v>
      </c>
      <c r="AH299" s="14">
        <v>64.729473684210518</v>
      </c>
      <c r="AI299" s="13">
        <v>462.69795120849341</v>
      </c>
      <c r="AK299" s="9">
        <v>1240</v>
      </c>
    </row>
    <row r="300" spans="1:37">
      <c r="A300" s="9">
        <v>8</v>
      </c>
      <c r="B300" s="9">
        <v>2024</v>
      </c>
      <c r="C300" s="9" t="s">
        <v>46</v>
      </c>
      <c r="D300" s="9" t="s">
        <v>47</v>
      </c>
      <c r="E300" s="9" t="s">
        <v>47</v>
      </c>
      <c r="F300" s="10">
        <v>45339</v>
      </c>
      <c r="G300" s="9" t="s">
        <v>153</v>
      </c>
      <c r="H300" s="9" t="s">
        <v>52</v>
      </c>
      <c r="I300" s="9">
        <v>1</v>
      </c>
      <c r="J300" s="9">
        <v>12</v>
      </c>
      <c r="K300" s="9">
        <v>520</v>
      </c>
      <c r="L300" s="9">
        <v>0.28000000000000003</v>
      </c>
      <c r="M300" s="9">
        <v>145.6</v>
      </c>
      <c r="N300" s="9" t="s">
        <v>49</v>
      </c>
      <c r="Q300" s="9">
        <f>IF(Auction_Sales[[#This Row],[Payment Date]]=0,"",-1+WEEKNUM(Auction_Sales[[#This Row],[Payment Date]]))</f>
        <v>8</v>
      </c>
      <c r="R300" s="9">
        <v>-280</v>
      </c>
      <c r="S300" s="9" t="s">
        <v>153</v>
      </c>
      <c r="T300" s="9" t="s">
        <v>52</v>
      </c>
      <c r="U300" s="9">
        <v>800</v>
      </c>
      <c r="V300" s="13">
        <v>0.36</v>
      </c>
      <c r="W300" s="13">
        <v>288</v>
      </c>
      <c r="X300" s="14">
        <v>-32.627467811158773</v>
      </c>
      <c r="Y300" s="13">
        <v>255.37253218884123</v>
      </c>
      <c r="Z300" s="10">
        <v>45350</v>
      </c>
      <c r="AA300" s="9">
        <v>280</v>
      </c>
      <c r="AC300" s="9" t="s">
        <v>75</v>
      </c>
      <c r="AD300" s="14">
        <v>39.929473684210521</v>
      </c>
      <c r="AF300" s="14">
        <v>16</v>
      </c>
      <c r="AH300" s="14">
        <v>55.929473684210521</v>
      </c>
      <c r="AI300" s="13">
        <v>199.4430585046307</v>
      </c>
      <c r="AK300" s="9">
        <v>800</v>
      </c>
    </row>
    <row r="301" spans="1:37">
      <c r="A301" s="9">
        <v>8</v>
      </c>
      <c r="B301" s="9">
        <v>2024</v>
      </c>
      <c r="C301" s="9" t="s">
        <v>46</v>
      </c>
      <c r="D301" s="9" t="s">
        <v>47</v>
      </c>
      <c r="E301" s="9" t="s">
        <v>47</v>
      </c>
      <c r="F301" s="10">
        <v>45339</v>
      </c>
      <c r="G301" s="9" t="s">
        <v>153</v>
      </c>
      <c r="H301" s="9" t="s">
        <v>54</v>
      </c>
      <c r="I301" s="9">
        <v>1</v>
      </c>
      <c r="J301" s="9">
        <v>12</v>
      </c>
      <c r="K301" s="9">
        <v>480</v>
      </c>
      <c r="L301" s="9">
        <v>0.33</v>
      </c>
      <c r="M301" s="9">
        <v>158.4</v>
      </c>
      <c r="N301" s="9" t="s">
        <v>49</v>
      </c>
      <c r="Q301" s="9">
        <f>IF(Auction_Sales[[#This Row],[Payment Date]]=0,"",-1+WEEKNUM(Auction_Sales[[#This Row],[Payment Date]]))</f>
        <v>8</v>
      </c>
      <c r="R301" s="9">
        <v>-80</v>
      </c>
      <c r="S301" s="9" t="s">
        <v>153</v>
      </c>
      <c r="T301" s="9" t="s">
        <v>54</v>
      </c>
      <c r="U301" s="9">
        <v>560</v>
      </c>
      <c r="V301" s="13">
        <v>0.45928571428571424</v>
      </c>
      <c r="W301" s="13">
        <v>257.2</v>
      </c>
      <c r="X301" s="14">
        <v>-22.839227467811138</v>
      </c>
      <c r="Y301" s="13">
        <v>234.36077253218886</v>
      </c>
      <c r="Z301" s="10">
        <v>45350</v>
      </c>
      <c r="AA301" s="9">
        <v>80</v>
      </c>
      <c r="AC301" s="9" t="s">
        <v>75</v>
      </c>
      <c r="AD301" s="14">
        <v>39.929473684210521</v>
      </c>
      <c r="AF301" s="14">
        <v>11.200000000000001</v>
      </c>
      <c r="AH301" s="14">
        <v>51.129473684210524</v>
      </c>
      <c r="AI301" s="13">
        <v>183.23129884797834</v>
      </c>
      <c r="AK301" s="9">
        <v>560</v>
      </c>
    </row>
    <row r="302" spans="1:37">
      <c r="A302" s="9">
        <v>8</v>
      </c>
      <c r="B302" s="9">
        <v>2024</v>
      </c>
      <c r="C302" s="9" t="s">
        <v>46</v>
      </c>
      <c r="D302" s="9" t="s">
        <v>47</v>
      </c>
      <c r="E302" s="9" t="s">
        <v>47</v>
      </c>
      <c r="F302" s="10">
        <v>45339</v>
      </c>
      <c r="G302" s="9" t="s">
        <v>153</v>
      </c>
      <c r="H302" s="9" t="s">
        <v>56</v>
      </c>
      <c r="I302" s="9">
        <v>1</v>
      </c>
      <c r="J302" s="9">
        <v>12</v>
      </c>
      <c r="K302" s="9">
        <v>320</v>
      </c>
      <c r="L302" s="9">
        <v>0.38</v>
      </c>
      <c r="M302" s="9">
        <v>121.6</v>
      </c>
      <c r="N302" s="9" t="s">
        <v>49</v>
      </c>
      <c r="Q302" s="9">
        <f>IF(Auction_Sales[[#This Row],[Payment Date]]=0,"",-1+WEEKNUM(Auction_Sales[[#This Row],[Payment Date]]))</f>
        <v>8</v>
      </c>
      <c r="R302" s="9">
        <v>0</v>
      </c>
      <c r="S302" s="9" t="s">
        <v>153</v>
      </c>
      <c r="T302" s="9" t="s">
        <v>56</v>
      </c>
      <c r="U302" s="9">
        <v>320</v>
      </c>
      <c r="V302" s="13">
        <v>0.58499999999999996</v>
      </c>
      <c r="W302" s="13">
        <v>187.2</v>
      </c>
      <c r="X302" s="14">
        <v>-13.050987124463509</v>
      </c>
      <c r="Y302" s="13">
        <v>174.14901287553647</v>
      </c>
      <c r="Z302" s="10">
        <v>45350</v>
      </c>
      <c r="AA302" s="9">
        <v>0</v>
      </c>
      <c r="AC302" s="9" t="s">
        <v>75</v>
      </c>
      <c r="AD302" s="14">
        <v>39.929473684210521</v>
      </c>
      <c r="AF302" s="14">
        <v>6.4</v>
      </c>
      <c r="AH302" s="14">
        <v>46.329473684210519</v>
      </c>
      <c r="AI302" s="13">
        <v>127.81953919132596</v>
      </c>
      <c r="AK302" s="9">
        <v>320</v>
      </c>
    </row>
    <row r="303" spans="1:37">
      <c r="A303" s="9">
        <v>8</v>
      </c>
      <c r="B303" s="9">
        <v>2024</v>
      </c>
      <c r="C303" s="9" t="s">
        <v>46</v>
      </c>
      <c r="D303" s="9" t="s">
        <v>47</v>
      </c>
      <c r="E303" s="9" t="s">
        <v>47</v>
      </c>
      <c r="F303" s="10">
        <v>45339</v>
      </c>
      <c r="G303" s="9" t="s">
        <v>153</v>
      </c>
      <c r="H303" s="9" t="s">
        <v>57</v>
      </c>
      <c r="I303" s="9">
        <v>1</v>
      </c>
      <c r="J303" s="9">
        <v>12</v>
      </c>
      <c r="K303" s="9">
        <v>280</v>
      </c>
      <c r="L303" s="9">
        <v>0.47</v>
      </c>
      <c r="M303" s="9">
        <v>131.6</v>
      </c>
      <c r="N303" s="9" t="s">
        <v>49</v>
      </c>
      <c r="Q303" s="9">
        <f>IF(Auction_Sales[[#This Row],[Payment Date]]=0,"",-1+WEEKNUM(Auction_Sales[[#This Row],[Payment Date]]))</f>
        <v>8</v>
      </c>
      <c r="R303" s="9">
        <v>0</v>
      </c>
      <c r="S303" s="9" t="s">
        <v>153</v>
      </c>
      <c r="T303" s="9" t="s">
        <v>57</v>
      </c>
      <c r="U303" s="9">
        <v>280</v>
      </c>
      <c r="V303" s="13">
        <v>0.72714285714285709</v>
      </c>
      <c r="W303" s="13">
        <v>203.6</v>
      </c>
      <c r="X303" s="14">
        <v>-11.419613733905569</v>
      </c>
      <c r="Y303" s="13">
        <v>192.18038626609442</v>
      </c>
      <c r="Z303" s="10">
        <v>45350</v>
      </c>
      <c r="AA303" s="9">
        <v>0</v>
      </c>
      <c r="AC303" s="9" t="s">
        <v>75</v>
      </c>
      <c r="AD303" s="14">
        <v>39.929473684210521</v>
      </c>
      <c r="AF303" s="14">
        <v>5.6000000000000005</v>
      </c>
      <c r="AH303" s="14">
        <v>45.529473684210522</v>
      </c>
      <c r="AI303" s="13">
        <v>146.65091258188389</v>
      </c>
      <c r="AK303" s="9">
        <v>280</v>
      </c>
    </row>
    <row r="304" spans="1:37">
      <c r="A304" s="9">
        <v>8</v>
      </c>
      <c r="B304" s="9">
        <v>2024</v>
      </c>
      <c r="C304" s="9" t="s">
        <v>46</v>
      </c>
      <c r="D304" s="9" t="s">
        <v>47</v>
      </c>
      <c r="E304" s="9" t="s">
        <v>47</v>
      </c>
      <c r="F304" s="10">
        <v>45339</v>
      </c>
      <c r="G304" s="9" t="s">
        <v>154</v>
      </c>
      <c r="H304" s="9" t="s">
        <v>52</v>
      </c>
      <c r="I304" s="9">
        <v>1</v>
      </c>
      <c r="J304" s="9">
        <v>12</v>
      </c>
      <c r="K304" s="9">
        <v>400</v>
      </c>
      <c r="L304" s="9">
        <v>0.52</v>
      </c>
      <c r="M304" s="9">
        <v>208</v>
      </c>
      <c r="N304" s="9" t="s">
        <v>49</v>
      </c>
      <c r="Q304" s="9">
        <f>IF(Auction_Sales[[#This Row],[Payment Date]]=0,"",-1+WEEKNUM(Auction_Sales[[#This Row],[Payment Date]]))</f>
        <v>8</v>
      </c>
      <c r="R304" s="9">
        <v>-320</v>
      </c>
      <c r="S304" s="9" t="s">
        <v>154</v>
      </c>
      <c r="T304" s="9" t="s">
        <v>52</v>
      </c>
      <c r="U304" s="9">
        <v>720</v>
      </c>
      <c r="V304" s="13">
        <v>0.65</v>
      </c>
      <c r="W304" s="13">
        <v>468</v>
      </c>
      <c r="X304" s="14">
        <v>-29.364721030042894</v>
      </c>
      <c r="Y304" s="13">
        <v>438.63527896995708</v>
      </c>
      <c r="Z304" s="10">
        <v>45350</v>
      </c>
      <c r="AA304" s="9">
        <v>320</v>
      </c>
      <c r="AC304" s="9" t="s">
        <v>75</v>
      </c>
      <c r="AD304" s="14">
        <v>39.929473684210521</v>
      </c>
      <c r="AF304" s="14">
        <v>14.4</v>
      </c>
      <c r="AH304" s="14">
        <v>54.329473684210519</v>
      </c>
      <c r="AI304" s="13">
        <v>384.30580528574654</v>
      </c>
      <c r="AK304" s="9">
        <v>720</v>
      </c>
    </row>
    <row r="305" spans="1:37">
      <c r="A305" s="9">
        <v>8</v>
      </c>
      <c r="B305" s="9">
        <v>2024</v>
      </c>
      <c r="C305" s="9" t="s">
        <v>46</v>
      </c>
      <c r="D305" s="9" t="s">
        <v>47</v>
      </c>
      <c r="E305" s="9" t="s">
        <v>47</v>
      </c>
      <c r="F305" s="10">
        <v>45339</v>
      </c>
      <c r="G305" s="9" t="s">
        <v>154</v>
      </c>
      <c r="H305" s="9" t="s">
        <v>54</v>
      </c>
      <c r="I305" s="9">
        <v>1</v>
      </c>
      <c r="J305" s="9">
        <v>12</v>
      </c>
      <c r="K305" s="9">
        <v>320</v>
      </c>
      <c r="L305" s="9">
        <v>0.56999999999999995</v>
      </c>
      <c r="M305" s="9">
        <v>182.4</v>
      </c>
      <c r="N305" s="9" t="s">
        <v>49</v>
      </c>
      <c r="Q305" s="9">
        <f>IF(Auction_Sales[[#This Row],[Payment Date]]=0,"",-1+WEEKNUM(Auction_Sales[[#This Row],[Payment Date]]))</f>
        <v>8</v>
      </c>
      <c r="R305" s="9">
        <v>-80</v>
      </c>
      <c r="S305" s="9" t="s">
        <v>154</v>
      </c>
      <c r="T305" s="9" t="s">
        <v>54</v>
      </c>
      <c r="U305" s="9">
        <v>400</v>
      </c>
      <c r="V305" s="13">
        <v>0.40100000000000002</v>
      </c>
      <c r="W305" s="13">
        <v>160.4</v>
      </c>
      <c r="X305" s="14">
        <v>-16.313733905579387</v>
      </c>
      <c r="Y305" s="13">
        <v>144.08626609442061</v>
      </c>
      <c r="Z305" s="10">
        <v>45350</v>
      </c>
      <c r="AA305" s="9">
        <v>80</v>
      </c>
      <c r="AC305" s="9" t="s">
        <v>75</v>
      </c>
      <c r="AD305" s="14">
        <v>39.929473684210521</v>
      </c>
      <c r="AF305" s="14">
        <v>8</v>
      </c>
      <c r="AH305" s="14">
        <v>47.929473684210521</v>
      </c>
      <c r="AI305" s="13">
        <v>96.156792410210087</v>
      </c>
      <c r="AK305" s="9">
        <v>400</v>
      </c>
    </row>
    <row r="306" spans="1:37">
      <c r="A306" s="9">
        <v>8</v>
      </c>
      <c r="B306" s="9">
        <v>2024</v>
      </c>
      <c r="C306" s="9" t="s">
        <v>46</v>
      </c>
      <c r="D306" s="9" t="s">
        <v>47</v>
      </c>
      <c r="E306" s="9" t="s">
        <v>47</v>
      </c>
      <c r="F306" s="10">
        <v>45339</v>
      </c>
      <c r="G306" s="9" t="s">
        <v>155</v>
      </c>
      <c r="H306" s="9" t="s">
        <v>51</v>
      </c>
      <c r="I306" s="9">
        <v>3</v>
      </c>
      <c r="J306" s="9">
        <v>36</v>
      </c>
      <c r="K306" s="9">
        <v>1800</v>
      </c>
      <c r="L306" s="9">
        <v>0.38</v>
      </c>
      <c r="M306" s="9">
        <v>684</v>
      </c>
      <c r="N306" s="9" t="s">
        <v>49</v>
      </c>
      <c r="Q306" s="9">
        <f>IF(Auction_Sales[[#This Row],[Payment Date]]=0,"",-1+WEEKNUM(Auction_Sales[[#This Row],[Payment Date]]))</f>
        <v>8</v>
      </c>
      <c r="R306" s="9">
        <v>0</v>
      </c>
      <c r="S306" s="9" t="s">
        <v>155</v>
      </c>
      <c r="T306" s="9" t="s">
        <v>51</v>
      </c>
      <c r="U306" s="9">
        <v>1800</v>
      </c>
      <c r="V306" s="13">
        <v>0.40133333333333332</v>
      </c>
      <c r="W306" s="13">
        <v>722.4</v>
      </c>
      <c r="X306" s="14">
        <v>-73.411802575107231</v>
      </c>
      <c r="Y306" s="13">
        <v>648.98819742489275</v>
      </c>
      <c r="Z306" s="10">
        <v>45350</v>
      </c>
      <c r="AA306" s="9">
        <v>0</v>
      </c>
      <c r="AC306" s="9" t="s">
        <v>75</v>
      </c>
      <c r="AD306" s="14">
        <v>119.78842105263156</v>
      </c>
      <c r="AF306" s="14">
        <v>36</v>
      </c>
      <c r="AH306" s="14">
        <v>155.78842105263158</v>
      </c>
      <c r="AI306" s="13">
        <v>493.19977637226117</v>
      </c>
      <c r="AK306" s="9">
        <v>1800</v>
      </c>
    </row>
    <row r="307" spans="1:37">
      <c r="A307" s="9">
        <v>8</v>
      </c>
      <c r="B307" s="9">
        <v>2024</v>
      </c>
      <c r="C307" s="9" t="s">
        <v>46</v>
      </c>
      <c r="D307" s="9" t="s">
        <v>47</v>
      </c>
      <c r="E307" s="9" t="s">
        <v>47</v>
      </c>
      <c r="F307" s="10">
        <v>45339</v>
      </c>
      <c r="G307" s="9" t="s">
        <v>155</v>
      </c>
      <c r="H307" s="9" t="s">
        <v>48</v>
      </c>
      <c r="I307" s="9">
        <v>2</v>
      </c>
      <c r="J307" s="9">
        <v>24</v>
      </c>
      <c r="K307" s="9">
        <v>1040</v>
      </c>
      <c r="L307" s="9">
        <v>0.47</v>
      </c>
      <c r="M307" s="9">
        <v>488.8</v>
      </c>
      <c r="N307" s="9" t="s">
        <v>49</v>
      </c>
      <c r="Q307" s="9">
        <f>IF(Auction_Sales[[#This Row],[Payment Date]]=0,"",-1+WEEKNUM(Auction_Sales[[#This Row],[Payment Date]]))</f>
        <v>8</v>
      </c>
      <c r="R307" s="9">
        <v>0</v>
      </c>
      <c r="S307" s="9" t="s">
        <v>155</v>
      </c>
      <c r="T307" s="9" t="s">
        <v>48</v>
      </c>
      <c r="U307" s="9">
        <v>1040</v>
      </c>
      <c r="V307" s="13">
        <v>0.60923076923076924</v>
      </c>
      <c r="W307" s="13">
        <v>633.6</v>
      </c>
      <c r="X307" s="14">
        <v>-42.415708154506405</v>
      </c>
      <c r="Y307" s="13">
        <v>591.18429184549359</v>
      </c>
      <c r="Z307" s="10">
        <v>45350</v>
      </c>
      <c r="AA307" s="9">
        <v>0</v>
      </c>
      <c r="AC307" s="9" t="s">
        <v>75</v>
      </c>
      <c r="AD307" s="14">
        <v>79.858947368421042</v>
      </c>
      <c r="AF307" s="14">
        <v>20.8</v>
      </c>
      <c r="AH307" s="14">
        <v>100.65894736842104</v>
      </c>
      <c r="AI307" s="13">
        <v>490.52534447707257</v>
      </c>
      <c r="AK307" s="9">
        <v>1040</v>
      </c>
    </row>
    <row r="308" spans="1:37">
      <c r="A308" s="9">
        <v>8</v>
      </c>
      <c r="B308" s="9">
        <v>2024</v>
      </c>
      <c r="C308" s="9" t="s">
        <v>46</v>
      </c>
      <c r="D308" s="9" t="s">
        <v>47</v>
      </c>
      <c r="E308" s="9" t="s">
        <v>47</v>
      </c>
      <c r="F308" s="10">
        <v>45339</v>
      </c>
      <c r="G308" s="9" t="s">
        <v>154</v>
      </c>
      <c r="H308" s="9" t="s">
        <v>52</v>
      </c>
      <c r="I308" s="9">
        <v>1</v>
      </c>
      <c r="J308" s="9">
        <v>12</v>
      </c>
      <c r="K308" s="9">
        <v>320</v>
      </c>
      <c r="L308" s="9">
        <v>0.52</v>
      </c>
      <c r="M308" s="9">
        <v>166.4</v>
      </c>
      <c r="N308" s="9" t="s">
        <v>49</v>
      </c>
      <c r="Q308" s="9">
        <f>IF(Auction_Sales[[#This Row],[Payment Date]]=0,"",-1+WEEKNUM(Auction_Sales[[#This Row],[Payment Date]]))</f>
        <v>8</v>
      </c>
      <c r="R308" s="9">
        <v>320</v>
      </c>
      <c r="S308" s="9" t="s">
        <v>154</v>
      </c>
      <c r="T308" s="9" t="s">
        <v>52</v>
      </c>
      <c r="W308" s="13">
        <v>0</v>
      </c>
      <c r="X308" s="14">
        <v>0</v>
      </c>
      <c r="Y308" s="13">
        <v>0</v>
      </c>
      <c r="Z308" s="10">
        <v>45350</v>
      </c>
      <c r="AA308" s="9">
        <v>-320</v>
      </c>
      <c r="AC308" s="9" t="s">
        <v>75</v>
      </c>
      <c r="AD308" s="14">
        <v>39.929473684210521</v>
      </c>
      <c r="AF308" s="14">
        <v>0</v>
      </c>
      <c r="AH308" s="14">
        <v>39.929473684210521</v>
      </c>
      <c r="AI308" s="13">
        <v>-39.929473684210521</v>
      </c>
      <c r="AK308" s="9">
        <v>0</v>
      </c>
    </row>
    <row r="309" spans="1:37">
      <c r="A309" s="9">
        <v>8</v>
      </c>
      <c r="B309" s="9">
        <v>2024</v>
      </c>
      <c r="C309" s="9" t="s">
        <v>46</v>
      </c>
      <c r="D309" s="9" t="s">
        <v>47</v>
      </c>
      <c r="E309" s="9" t="s">
        <v>47</v>
      </c>
      <c r="F309" s="10">
        <v>45339</v>
      </c>
      <c r="G309" s="9" t="s">
        <v>155</v>
      </c>
      <c r="H309" s="9" t="s">
        <v>54</v>
      </c>
      <c r="I309" s="9">
        <v>1</v>
      </c>
      <c r="J309" s="9">
        <v>12</v>
      </c>
      <c r="K309" s="9">
        <v>320</v>
      </c>
      <c r="L309" s="9">
        <v>0.56999999999999995</v>
      </c>
      <c r="M309" s="9">
        <v>182.4</v>
      </c>
      <c r="N309" s="9" t="s">
        <v>49</v>
      </c>
      <c r="Q309" s="9">
        <f>IF(Auction_Sales[[#This Row],[Payment Date]]=0,"",-1+WEEKNUM(Auction_Sales[[#This Row],[Payment Date]]))</f>
        <v>8</v>
      </c>
      <c r="R309" s="9">
        <v>0</v>
      </c>
      <c r="S309" s="9" t="s">
        <v>155</v>
      </c>
      <c r="T309" s="9" t="s">
        <v>54</v>
      </c>
      <c r="U309" s="9">
        <v>320</v>
      </c>
      <c r="V309" s="13">
        <v>0.63</v>
      </c>
      <c r="W309" s="13">
        <v>201.6</v>
      </c>
      <c r="X309" s="14">
        <v>-13.050987124463509</v>
      </c>
      <c r="Y309" s="13">
        <v>188.54901287553648</v>
      </c>
      <c r="Z309" s="10">
        <v>45350</v>
      </c>
      <c r="AA309" s="9">
        <v>0</v>
      </c>
      <c r="AC309" s="9" t="s">
        <v>75</v>
      </c>
      <c r="AD309" s="14">
        <v>39.929473684210521</v>
      </c>
      <c r="AF309" s="14">
        <v>6.4</v>
      </c>
      <c r="AH309" s="14">
        <v>46.329473684210519</v>
      </c>
      <c r="AI309" s="13">
        <v>142.21953919132596</v>
      </c>
      <c r="AK309" s="9">
        <v>320</v>
      </c>
    </row>
    <row r="310" spans="1:37">
      <c r="A310" s="9">
        <v>8</v>
      </c>
      <c r="B310" s="9">
        <v>2024</v>
      </c>
      <c r="C310" s="9" t="s">
        <v>46</v>
      </c>
      <c r="D310" s="9" t="s">
        <v>47</v>
      </c>
      <c r="E310" s="9" t="s">
        <v>47</v>
      </c>
      <c r="F310" s="10">
        <v>45339</v>
      </c>
      <c r="G310" s="9" t="s">
        <v>154</v>
      </c>
      <c r="H310" s="9" t="s">
        <v>57</v>
      </c>
      <c r="I310" s="9">
        <v>1</v>
      </c>
      <c r="J310" s="9">
        <v>7.1999999999999993</v>
      </c>
      <c r="K310" s="9">
        <v>120</v>
      </c>
      <c r="L310" s="9">
        <v>0.94</v>
      </c>
      <c r="M310" s="9">
        <v>112.8</v>
      </c>
      <c r="N310" s="9" t="s">
        <v>49</v>
      </c>
      <c r="Q310" s="9">
        <f>IF(Auction_Sales[[#This Row],[Payment Date]]=0,"",-1+WEEKNUM(Auction_Sales[[#This Row],[Payment Date]]))</f>
        <v>8</v>
      </c>
      <c r="R310" s="9">
        <v>0</v>
      </c>
      <c r="S310" s="9" t="s">
        <v>154</v>
      </c>
      <c r="T310" s="9" t="s">
        <v>57</v>
      </c>
      <c r="U310" s="9">
        <v>120</v>
      </c>
      <c r="V310" s="13">
        <v>0.49333333333333335</v>
      </c>
      <c r="W310" s="13">
        <v>59.2</v>
      </c>
      <c r="X310" s="14">
        <v>-4.8941201716738156</v>
      </c>
      <c r="Y310" s="13">
        <v>54.305879828326184</v>
      </c>
      <c r="Z310" s="10">
        <v>45350</v>
      </c>
      <c r="AA310" s="9">
        <v>0</v>
      </c>
      <c r="AC310" s="9" t="s">
        <v>75</v>
      </c>
      <c r="AD310" s="14">
        <v>23.95768421052631</v>
      </c>
      <c r="AF310" s="14">
        <v>2.4</v>
      </c>
      <c r="AH310" s="14">
        <v>26.357684210526308</v>
      </c>
      <c r="AI310" s="13">
        <v>27.948195617799875</v>
      </c>
      <c r="AK310" s="9">
        <v>120</v>
      </c>
    </row>
    <row r="311" spans="1:37">
      <c r="A311" s="9">
        <v>8</v>
      </c>
      <c r="B311" s="9">
        <v>2024</v>
      </c>
      <c r="C311" s="9" t="s">
        <v>46</v>
      </c>
      <c r="D311" s="9" t="s">
        <v>47</v>
      </c>
      <c r="E311" s="9" t="s">
        <v>47</v>
      </c>
      <c r="F311" s="10">
        <v>45339</v>
      </c>
      <c r="G311" s="9" t="s">
        <v>154</v>
      </c>
      <c r="H311" s="9" t="s">
        <v>54</v>
      </c>
      <c r="J311" s="9">
        <v>4.8000000000000007</v>
      </c>
      <c r="K311" s="9">
        <v>80</v>
      </c>
      <c r="L311" s="9">
        <v>0.56999999999999995</v>
      </c>
      <c r="M311" s="9">
        <v>45.6</v>
      </c>
      <c r="N311" s="9" t="s">
        <v>49</v>
      </c>
      <c r="Q311" s="9">
        <f>IF(Auction_Sales[[#This Row],[Payment Date]]=0,"",-1+WEEKNUM(Auction_Sales[[#This Row],[Payment Date]]))</f>
        <v>8</v>
      </c>
      <c r="R311" s="9">
        <v>80</v>
      </c>
      <c r="S311" s="9" t="s">
        <v>154</v>
      </c>
      <c r="T311" s="9" t="s">
        <v>54</v>
      </c>
      <c r="W311" s="13">
        <v>0</v>
      </c>
      <c r="X311" s="14">
        <v>0</v>
      </c>
      <c r="Y311" s="13">
        <v>0</v>
      </c>
      <c r="Z311" s="10">
        <v>45350</v>
      </c>
      <c r="AA311" s="9">
        <v>-80</v>
      </c>
      <c r="AC311" s="9" t="s">
        <v>75</v>
      </c>
      <c r="AD311" s="14">
        <v>15.971789473684213</v>
      </c>
      <c r="AF311" s="14">
        <v>0</v>
      </c>
      <c r="AH311" s="14">
        <v>15.971789473684213</v>
      </c>
      <c r="AI311" s="13">
        <v>-15.971789473684213</v>
      </c>
      <c r="AK311" s="9">
        <v>0</v>
      </c>
    </row>
    <row r="312" spans="1:37">
      <c r="A312" s="9">
        <v>8</v>
      </c>
      <c r="B312" s="9">
        <v>2024</v>
      </c>
      <c r="C312" s="9" t="s">
        <v>46</v>
      </c>
      <c r="D312" s="9" t="s">
        <v>47</v>
      </c>
      <c r="E312" s="9" t="s">
        <v>47</v>
      </c>
      <c r="F312" s="10">
        <v>45339</v>
      </c>
      <c r="G312" s="9" t="s">
        <v>154</v>
      </c>
      <c r="H312" s="9" t="s">
        <v>51</v>
      </c>
      <c r="I312" s="9">
        <v>1</v>
      </c>
      <c r="J312" s="9">
        <v>5.6</v>
      </c>
      <c r="K312" s="9">
        <v>280</v>
      </c>
      <c r="L312" s="9">
        <v>0.38</v>
      </c>
      <c r="M312" s="9">
        <v>106.4</v>
      </c>
      <c r="N312" s="9" t="s">
        <v>49</v>
      </c>
      <c r="Q312" s="9">
        <f>IF(Auction_Sales[[#This Row],[Payment Date]]=0,"",-1+WEEKNUM(Auction_Sales[[#This Row],[Payment Date]]))</f>
        <v>8</v>
      </c>
      <c r="R312" s="9">
        <v>0</v>
      </c>
      <c r="S312" s="9" t="s">
        <v>154</v>
      </c>
      <c r="T312" s="9" t="s">
        <v>51</v>
      </c>
      <c r="U312" s="9">
        <v>280</v>
      </c>
      <c r="V312" s="13">
        <v>0.37</v>
      </c>
      <c r="W312" s="13">
        <v>103.6</v>
      </c>
      <c r="X312" s="14">
        <v>-11.419613733905569</v>
      </c>
      <c r="Y312" s="13">
        <v>92.18038626609443</v>
      </c>
      <c r="Z312" s="10">
        <v>45350</v>
      </c>
      <c r="AA312" s="9">
        <v>0</v>
      </c>
      <c r="AC312" s="9" t="s">
        <v>75</v>
      </c>
      <c r="AD312" s="14">
        <v>18.633754385964913</v>
      </c>
      <c r="AF312" s="14">
        <v>5.6000000000000005</v>
      </c>
      <c r="AH312" s="14">
        <v>24.233754385964914</v>
      </c>
      <c r="AI312" s="13">
        <v>67.946631880129516</v>
      </c>
      <c r="AK312" s="9">
        <v>280</v>
      </c>
    </row>
    <row r="313" spans="1:37">
      <c r="A313" s="9">
        <v>8</v>
      </c>
      <c r="B313" s="9">
        <v>2024</v>
      </c>
      <c r="C313" s="9" t="s">
        <v>46</v>
      </c>
      <c r="D313" s="9" t="s">
        <v>47</v>
      </c>
      <c r="E313" s="9" t="s">
        <v>47</v>
      </c>
      <c r="F313" s="10">
        <v>45339</v>
      </c>
      <c r="G313" s="9" t="s">
        <v>154</v>
      </c>
      <c r="H313" s="9" t="s">
        <v>48</v>
      </c>
      <c r="J313" s="9">
        <v>6.4</v>
      </c>
      <c r="K313" s="9">
        <v>320</v>
      </c>
      <c r="L313" s="9">
        <v>0.47</v>
      </c>
      <c r="M313" s="9">
        <v>150.4</v>
      </c>
      <c r="N313" s="9" t="s">
        <v>49</v>
      </c>
      <c r="Q313" s="9">
        <f>IF(Auction_Sales[[#This Row],[Payment Date]]=0,"",-1+WEEKNUM(Auction_Sales[[#This Row],[Payment Date]]))</f>
        <v>8</v>
      </c>
      <c r="R313" s="9">
        <v>0</v>
      </c>
      <c r="S313" s="9" t="s">
        <v>154</v>
      </c>
      <c r="T313" s="9" t="s">
        <v>48</v>
      </c>
      <c r="U313" s="9">
        <v>320</v>
      </c>
      <c r="V313" s="13">
        <v>0.61124999999999996</v>
      </c>
      <c r="W313" s="13">
        <v>195.6</v>
      </c>
      <c r="X313" s="14">
        <v>-13.050987124463509</v>
      </c>
      <c r="Y313" s="13">
        <v>182.54901287553648</v>
      </c>
      <c r="Z313" s="10">
        <v>45350</v>
      </c>
      <c r="AA313" s="9">
        <v>0</v>
      </c>
      <c r="AC313" s="9" t="s">
        <v>75</v>
      </c>
      <c r="AD313" s="14">
        <v>21.295719298245615</v>
      </c>
      <c r="AF313" s="14">
        <v>6.4</v>
      </c>
      <c r="AH313" s="14">
        <v>27.695719298245614</v>
      </c>
      <c r="AI313" s="13">
        <v>154.85329357729086</v>
      </c>
      <c r="AK313" s="9">
        <v>320</v>
      </c>
    </row>
    <row r="314" spans="1:37">
      <c r="A314" s="9">
        <v>8</v>
      </c>
      <c r="B314" s="9">
        <v>2024</v>
      </c>
      <c r="C314" s="9" t="s">
        <v>46</v>
      </c>
      <c r="D314" s="9" t="s">
        <v>47</v>
      </c>
      <c r="E314" s="9" t="s">
        <v>47</v>
      </c>
      <c r="F314" s="10">
        <v>45339</v>
      </c>
      <c r="G314" s="9" t="s">
        <v>153</v>
      </c>
      <c r="H314" s="9" t="s">
        <v>51</v>
      </c>
      <c r="I314" s="9">
        <v>1</v>
      </c>
      <c r="J314" s="9">
        <v>10.666666666666666</v>
      </c>
      <c r="K314" s="9">
        <v>640</v>
      </c>
      <c r="L314" s="9">
        <v>0.14000000000000001</v>
      </c>
      <c r="M314" s="9">
        <v>89.6</v>
      </c>
      <c r="N314" s="9" t="s">
        <v>49</v>
      </c>
      <c r="Q314" s="9">
        <f>IF(Auction_Sales[[#This Row],[Payment Date]]=0,"",-1+WEEKNUM(Auction_Sales[[#This Row],[Payment Date]]))</f>
        <v>8</v>
      </c>
      <c r="R314" s="9">
        <v>0</v>
      </c>
      <c r="S314" s="9" t="s">
        <v>153</v>
      </c>
      <c r="T314" s="9" t="s">
        <v>51</v>
      </c>
      <c r="U314" s="9">
        <v>640</v>
      </c>
      <c r="V314" s="13">
        <v>0.28187499999999999</v>
      </c>
      <c r="W314" s="13">
        <v>180.39999999999998</v>
      </c>
      <c r="X314" s="14">
        <v>-26.101974248927018</v>
      </c>
      <c r="Y314" s="13">
        <v>154.29802575107297</v>
      </c>
      <c r="Z314" s="10">
        <v>45350</v>
      </c>
      <c r="AA314" s="9">
        <v>0</v>
      </c>
      <c r="AC314" s="9" t="s">
        <v>75</v>
      </c>
      <c r="AD314" s="14">
        <v>35.492865497076018</v>
      </c>
      <c r="AF314" s="14">
        <v>12.8</v>
      </c>
      <c r="AH314" s="14">
        <v>48.292865497076022</v>
      </c>
      <c r="AI314" s="13">
        <v>106.00516025399695</v>
      </c>
      <c r="AK314" s="9">
        <v>640</v>
      </c>
    </row>
    <row r="315" spans="1:37">
      <c r="A315" s="9">
        <v>8</v>
      </c>
      <c r="B315" s="9">
        <v>2024</v>
      </c>
      <c r="C315" s="9" t="s">
        <v>46</v>
      </c>
      <c r="D315" s="9" t="s">
        <v>47</v>
      </c>
      <c r="E315" s="9" t="s">
        <v>47</v>
      </c>
      <c r="F315" s="10">
        <v>45339</v>
      </c>
      <c r="G315" s="9" t="s">
        <v>153</v>
      </c>
      <c r="H315" s="9" t="s">
        <v>54</v>
      </c>
      <c r="J315" s="9">
        <v>1.3333333333333333</v>
      </c>
      <c r="K315" s="9">
        <v>80</v>
      </c>
      <c r="L315" s="9">
        <v>0.33</v>
      </c>
      <c r="M315" s="9">
        <v>26.4</v>
      </c>
      <c r="N315" s="9" t="s">
        <v>49</v>
      </c>
      <c r="Q315" s="9">
        <f>IF(Auction_Sales[[#This Row],[Payment Date]]=0,"",-1+WEEKNUM(Auction_Sales[[#This Row],[Payment Date]]))</f>
        <v>8</v>
      </c>
      <c r="R315" s="9">
        <v>80</v>
      </c>
      <c r="S315" s="9" t="s">
        <v>153</v>
      </c>
      <c r="T315" s="9" t="s">
        <v>54</v>
      </c>
      <c r="W315" s="13">
        <v>0</v>
      </c>
      <c r="X315" s="14">
        <v>0</v>
      </c>
      <c r="Y315" s="13">
        <v>0</v>
      </c>
      <c r="Z315" s="10">
        <v>45350</v>
      </c>
      <c r="AA315" s="9">
        <v>-80</v>
      </c>
      <c r="AC315" s="9" t="s">
        <v>75</v>
      </c>
      <c r="AD315" s="14">
        <v>4.4366081871345022</v>
      </c>
      <c r="AF315" s="14">
        <v>0</v>
      </c>
      <c r="AH315" s="14">
        <v>4.4366081871345022</v>
      </c>
      <c r="AI315" s="13">
        <v>-4.4366081871345022</v>
      </c>
      <c r="AK315" s="9">
        <v>0</v>
      </c>
    </row>
    <row r="316" spans="1:37">
      <c r="A316" s="9">
        <v>8</v>
      </c>
      <c r="B316" s="9">
        <v>2024</v>
      </c>
      <c r="C316" s="9" t="s">
        <v>46</v>
      </c>
      <c r="D316" s="9" t="s">
        <v>47</v>
      </c>
      <c r="E316" s="9" t="s">
        <v>47</v>
      </c>
      <c r="F316" s="10">
        <v>45339</v>
      </c>
      <c r="G316" s="9" t="s">
        <v>153</v>
      </c>
      <c r="H316" s="9" t="s">
        <v>48</v>
      </c>
      <c r="I316" s="9">
        <v>1</v>
      </c>
      <c r="J316" s="9">
        <v>7.8000000000000007</v>
      </c>
      <c r="K316" s="9">
        <v>520</v>
      </c>
      <c r="L316" s="9">
        <v>0.24</v>
      </c>
      <c r="M316" s="9">
        <v>124.8</v>
      </c>
      <c r="N316" s="9" t="s">
        <v>49</v>
      </c>
      <c r="Q316" s="9">
        <f>IF(Auction_Sales[[#This Row],[Payment Date]]=0,"",-1+WEEKNUM(Auction_Sales[[#This Row],[Payment Date]]))</f>
        <v>8</v>
      </c>
      <c r="R316" s="9">
        <v>520</v>
      </c>
      <c r="S316" s="9" t="s">
        <v>153</v>
      </c>
      <c r="T316" s="9" t="s">
        <v>48</v>
      </c>
      <c r="W316" s="13">
        <v>0</v>
      </c>
      <c r="X316" s="14">
        <v>0</v>
      </c>
      <c r="Y316" s="13">
        <v>0</v>
      </c>
      <c r="Z316" s="10">
        <v>45350</v>
      </c>
      <c r="AA316" s="9">
        <v>-520</v>
      </c>
      <c r="AC316" s="9" t="s">
        <v>75</v>
      </c>
      <c r="AD316" s="14">
        <v>25.954157894736841</v>
      </c>
      <c r="AF316" s="14">
        <v>0</v>
      </c>
      <c r="AH316" s="14">
        <v>25.954157894736841</v>
      </c>
      <c r="AI316" s="13">
        <v>-25.954157894736841</v>
      </c>
      <c r="AK316" s="9">
        <v>0</v>
      </c>
    </row>
    <row r="317" spans="1:37">
      <c r="A317" s="9">
        <v>8</v>
      </c>
      <c r="B317" s="9">
        <v>2024</v>
      </c>
      <c r="C317" s="9" t="s">
        <v>46</v>
      </c>
      <c r="D317" s="9" t="s">
        <v>47</v>
      </c>
      <c r="E317" s="9" t="s">
        <v>47</v>
      </c>
      <c r="F317" s="10">
        <v>45339</v>
      </c>
      <c r="G317" s="9" t="s">
        <v>153</v>
      </c>
      <c r="H317" s="9" t="s">
        <v>52</v>
      </c>
      <c r="J317" s="9">
        <v>4.1999999999999993</v>
      </c>
      <c r="K317" s="9">
        <v>280</v>
      </c>
      <c r="L317" s="9">
        <v>0.28000000000000003</v>
      </c>
      <c r="M317" s="9">
        <v>78.400000000000006</v>
      </c>
      <c r="N317" s="9" t="s">
        <v>49</v>
      </c>
      <c r="Q317" s="9">
        <f>IF(Auction_Sales[[#This Row],[Payment Date]]=0,"",-1+WEEKNUM(Auction_Sales[[#This Row],[Payment Date]]))</f>
        <v>8</v>
      </c>
      <c r="R317" s="9">
        <v>280</v>
      </c>
      <c r="S317" s="9" t="s">
        <v>153</v>
      </c>
      <c r="T317" s="9" t="s">
        <v>52</v>
      </c>
      <c r="W317" s="13">
        <v>0</v>
      </c>
      <c r="X317" s="14">
        <v>0</v>
      </c>
      <c r="Y317" s="13">
        <v>0</v>
      </c>
      <c r="Z317" s="10">
        <v>45350</v>
      </c>
      <c r="AA317" s="9">
        <v>-280</v>
      </c>
      <c r="AC317" s="9" t="s">
        <v>75</v>
      </c>
      <c r="AD317" s="14">
        <v>13.975315789473683</v>
      </c>
      <c r="AF317" s="14">
        <v>0</v>
      </c>
      <c r="AH317" s="14">
        <v>13.975315789473683</v>
      </c>
      <c r="AI317" s="13">
        <v>-13.975315789473683</v>
      </c>
      <c r="AK317" s="9">
        <v>0</v>
      </c>
    </row>
    <row r="318" spans="1:37">
      <c r="A318" s="9">
        <v>8</v>
      </c>
      <c r="B318" s="9">
        <v>2024</v>
      </c>
      <c r="C318" s="9" t="s">
        <v>46</v>
      </c>
      <c r="D318" s="9" t="s">
        <v>47</v>
      </c>
      <c r="E318" s="9" t="s">
        <v>47</v>
      </c>
      <c r="F318" s="10">
        <v>45339</v>
      </c>
      <c r="G318" s="9" t="s">
        <v>156</v>
      </c>
      <c r="H318" s="9" t="s">
        <v>48</v>
      </c>
      <c r="I318" s="9">
        <v>1</v>
      </c>
      <c r="J318" s="9">
        <v>9</v>
      </c>
      <c r="K318" s="9">
        <v>360</v>
      </c>
      <c r="L318" s="9">
        <v>0.52</v>
      </c>
      <c r="M318" s="9">
        <v>187.2</v>
      </c>
      <c r="N318" s="9" t="s">
        <v>49</v>
      </c>
      <c r="Q318" s="9">
        <f>IF(Auction_Sales[[#This Row],[Payment Date]]=0,"",-1+WEEKNUM(Auction_Sales[[#This Row],[Payment Date]]))</f>
        <v>8</v>
      </c>
      <c r="R318" s="9">
        <v>0</v>
      </c>
      <c r="S318" s="9" t="s">
        <v>156</v>
      </c>
      <c r="T318" s="9" t="s">
        <v>48</v>
      </c>
      <c r="U318" s="9">
        <v>360</v>
      </c>
      <c r="V318" s="13">
        <v>0.7566666666666666</v>
      </c>
      <c r="W318" s="13">
        <v>272.39999999999998</v>
      </c>
      <c r="X318" s="14">
        <v>-14.682360515021447</v>
      </c>
      <c r="Y318" s="13">
        <v>257.71763948497852</v>
      </c>
      <c r="Z318" s="10">
        <v>45350</v>
      </c>
      <c r="AA318" s="9">
        <v>0</v>
      </c>
      <c r="AC318" s="9" t="s">
        <v>75</v>
      </c>
      <c r="AD318" s="14">
        <v>29.947105263157891</v>
      </c>
      <c r="AF318" s="14">
        <v>7.2</v>
      </c>
      <c r="AH318" s="14">
        <v>37.14710526315789</v>
      </c>
      <c r="AI318" s="13">
        <v>220.57053422182062</v>
      </c>
      <c r="AK318" s="9">
        <v>360</v>
      </c>
    </row>
    <row r="319" spans="1:37">
      <c r="A319" s="9">
        <v>8</v>
      </c>
      <c r="B319" s="9">
        <v>2024</v>
      </c>
      <c r="C319" s="9" t="s">
        <v>46</v>
      </c>
      <c r="D319" s="9" t="s">
        <v>47</v>
      </c>
      <c r="E319" s="9" t="s">
        <v>47</v>
      </c>
      <c r="F319" s="10">
        <v>45339</v>
      </c>
      <c r="G319" s="9" t="s">
        <v>156</v>
      </c>
      <c r="H319" s="9" t="s">
        <v>52</v>
      </c>
      <c r="J319" s="9">
        <v>2</v>
      </c>
      <c r="K319" s="9">
        <v>80</v>
      </c>
      <c r="L319" s="9">
        <v>0.61</v>
      </c>
      <c r="M319" s="9">
        <v>48.8</v>
      </c>
      <c r="N319" s="9" t="s">
        <v>49</v>
      </c>
      <c r="Q319" s="9">
        <f>IF(Auction_Sales[[#This Row],[Payment Date]]=0,"",-1+WEEKNUM(Auction_Sales[[#This Row],[Payment Date]]))</f>
        <v>8</v>
      </c>
      <c r="R319" s="9">
        <v>0</v>
      </c>
      <c r="S319" s="9" t="s">
        <v>156</v>
      </c>
      <c r="T319" s="9" t="s">
        <v>52</v>
      </c>
      <c r="U319" s="9">
        <v>80</v>
      </c>
      <c r="V319" s="13">
        <v>0.86999999999999988</v>
      </c>
      <c r="W319" s="13">
        <v>69.599999999999994</v>
      </c>
      <c r="X319" s="14">
        <v>-3.2627467811158772</v>
      </c>
      <c r="Y319" s="13">
        <v>66.337253218884115</v>
      </c>
      <c r="Z319" s="10">
        <v>45350</v>
      </c>
      <c r="AA319" s="9">
        <v>0</v>
      </c>
      <c r="AC319" s="9" t="s">
        <v>75</v>
      </c>
      <c r="AD319" s="14">
        <v>6.6549122807017538</v>
      </c>
      <c r="AF319" s="14">
        <v>1.6</v>
      </c>
      <c r="AH319" s="14">
        <v>8.2549122807017543</v>
      </c>
      <c r="AI319" s="13">
        <v>58.082340938182362</v>
      </c>
      <c r="AK319" s="9">
        <v>80</v>
      </c>
    </row>
    <row r="320" spans="1:37">
      <c r="A320" s="9">
        <v>8</v>
      </c>
      <c r="B320" s="9">
        <v>2024</v>
      </c>
      <c r="C320" s="9" t="s">
        <v>46</v>
      </c>
      <c r="D320" s="9" t="s">
        <v>47</v>
      </c>
      <c r="E320" s="9" t="s">
        <v>47</v>
      </c>
      <c r="F320" s="10">
        <v>45339</v>
      </c>
      <c r="G320" s="9" t="s">
        <v>156</v>
      </c>
      <c r="H320" s="9" t="s">
        <v>51</v>
      </c>
      <c r="J320" s="9">
        <v>1</v>
      </c>
      <c r="K320" s="9">
        <v>40</v>
      </c>
      <c r="L320" s="9">
        <v>0.42</v>
      </c>
      <c r="M320" s="9">
        <v>16.8</v>
      </c>
      <c r="N320" s="9" t="s">
        <v>49</v>
      </c>
      <c r="Q320" s="9">
        <f>IF(Auction_Sales[[#This Row],[Payment Date]]=0,"",-1+WEEKNUM(Auction_Sales[[#This Row],[Payment Date]]))</f>
        <v>8</v>
      </c>
      <c r="R320" s="9">
        <v>0</v>
      </c>
      <c r="S320" s="9" t="s">
        <v>156</v>
      </c>
      <c r="T320" s="9" t="s">
        <v>51</v>
      </c>
      <c r="U320" s="9">
        <v>40</v>
      </c>
      <c r="V320" s="13">
        <v>0.45999999999999996</v>
      </c>
      <c r="W320" s="13">
        <v>18.399999999999999</v>
      </c>
      <c r="X320" s="14">
        <v>-1.6313733905579386</v>
      </c>
      <c r="Y320" s="13">
        <v>16.768626609442059</v>
      </c>
      <c r="Z320" s="10">
        <v>45350</v>
      </c>
      <c r="AA320" s="9">
        <v>0</v>
      </c>
      <c r="AC320" s="9" t="s">
        <v>75</v>
      </c>
      <c r="AD320" s="14">
        <v>3.3274561403508769</v>
      </c>
      <c r="AF320" s="14">
        <v>0.8</v>
      </c>
      <c r="AH320" s="14">
        <v>4.1274561403508772</v>
      </c>
      <c r="AI320" s="13">
        <v>12.641170469091183</v>
      </c>
      <c r="AK320" s="9">
        <v>40</v>
      </c>
    </row>
    <row r="321" spans="1:37">
      <c r="F321" s="10"/>
      <c r="G321" s="9" t="s">
        <v>155</v>
      </c>
      <c r="H321" s="9" t="s">
        <v>52</v>
      </c>
      <c r="N321" s="9" t="s">
        <v>49</v>
      </c>
      <c r="Q321" s="9">
        <f>IF(Auction_Sales[[#This Row],[Payment Date]]=0,"",-1+WEEKNUM(Auction_Sales[[#This Row],[Payment Date]]))</f>
        <v>8</v>
      </c>
      <c r="R321" s="9">
        <v>0</v>
      </c>
      <c r="S321" s="9" t="s">
        <v>155</v>
      </c>
      <c r="T321" s="9" t="s">
        <v>52</v>
      </c>
      <c r="U321" s="9">
        <v>0</v>
      </c>
      <c r="V321" s="13">
        <v>-0.63</v>
      </c>
      <c r="W321" s="13">
        <v>-226.8</v>
      </c>
      <c r="X321" s="14">
        <v>0</v>
      </c>
      <c r="Y321" s="13">
        <v>-226.8</v>
      </c>
      <c r="Z321" s="10">
        <v>45350</v>
      </c>
      <c r="AA321" s="9">
        <v>0</v>
      </c>
      <c r="AC321" s="9" t="s">
        <v>75</v>
      </c>
      <c r="AD321" s="14">
        <v>0</v>
      </c>
      <c r="AF321" s="14">
        <v>0</v>
      </c>
      <c r="AH321" s="14">
        <v>0</v>
      </c>
      <c r="AI321" s="13">
        <v>-226.8</v>
      </c>
      <c r="AK321" s="9">
        <v>0</v>
      </c>
    </row>
    <row r="322" spans="1:37">
      <c r="F322" s="10"/>
      <c r="G322" s="9" t="s">
        <v>155</v>
      </c>
      <c r="H322" s="9" t="s">
        <v>51</v>
      </c>
      <c r="N322" s="9" t="s">
        <v>49</v>
      </c>
      <c r="Q322" s="9">
        <f>IF(Auction_Sales[[#This Row],[Payment Date]]=0,"",-1+WEEKNUM(Auction_Sales[[#This Row],[Payment Date]]))</f>
        <v>8</v>
      </c>
      <c r="R322" s="9">
        <v>0</v>
      </c>
      <c r="S322" s="9" t="s">
        <v>155</v>
      </c>
      <c r="T322" s="9" t="s">
        <v>51</v>
      </c>
      <c r="U322" s="9">
        <v>0</v>
      </c>
      <c r="V322" s="13">
        <v>-0.27999999999999997</v>
      </c>
      <c r="W322" s="13">
        <v>-246.39999999999998</v>
      </c>
      <c r="X322" s="14">
        <v>-3.4899999999999807</v>
      </c>
      <c r="Y322" s="13">
        <v>-249.88999999999996</v>
      </c>
      <c r="Z322" s="10">
        <v>45350</v>
      </c>
      <c r="AA322" s="9">
        <v>0</v>
      </c>
      <c r="AC322" s="9" t="s">
        <v>75</v>
      </c>
      <c r="AD322" s="14">
        <v>0</v>
      </c>
      <c r="AF322" s="14">
        <v>0</v>
      </c>
      <c r="AH322" s="14">
        <v>0</v>
      </c>
      <c r="AI322" s="13">
        <v>-249.88999999999996</v>
      </c>
      <c r="AK322" s="9">
        <v>0</v>
      </c>
    </row>
    <row r="323" spans="1:37">
      <c r="A323" s="9">
        <v>8</v>
      </c>
      <c r="B323" s="9">
        <v>2024</v>
      </c>
      <c r="C323" s="9" t="s">
        <v>46</v>
      </c>
      <c r="D323" s="9" t="s">
        <v>47</v>
      </c>
      <c r="E323" s="9" t="s">
        <v>47</v>
      </c>
      <c r="F323" s="10">
        <v>45341</v>
      </c>
      <c r="G323" s="9" t="s">
        <v>153</v>
      </c>
      <c r="H323" s="9" t="s">
        <v>48</v>
      </c>
      <c r="I323" s="9">
        <v>1</v>
      </c>
      <c r="J323" s="9">
        <v>12</v>
      </c>
      <c r="K323" s="9">
        <v>720</v>
      </c>
      <c r="L323" s="9">
        <v>0.24</v>
      </c>
      <c r="M323" s="9">
        <v>172.8</v>
      </c>
      <c r="N323" s="9" t="s">
        <v>49</v>
      </c>
      <c r="Q323" s="9">
        <f>IF(Auction_Sales[[#This Row],[Payment Date]]=0,"",-1+WEEKNUM(Auction_Sales[[#This Row],[Payment Date]]))</f>
        <v>8</v>
      </c>
      <c r="R323" s="9">
        <v>-520</v>
      </c>
      <c r="S323" s="9" t="s">
        <v>153</v>
      </c>
      <c r="T323" s="9" t="s">
        <v>48</v>
      </c>
      <c r="U323" s="9">
        <v>1240</v>
      </c>
      <c r="V323" s="13">
        <v>0.31193548387096776</v>
      </c>
      <c r="W323" s="13">
        <v>386.8</v>
      </c>
      <c r="X323" s="14">
        <v>-52.067641196013234</v>
      </c>
      <c r="Y323" s="13">
        <v>334.73235880398676</v>
      </c>
      <c r="Z323" s="10">
        <v>45350</v>
      </c>
      <c r="AA323" s="9">
        <v>520</v>
      </c>
      <c r="AC323" s="9" t="s">
        <v>76</v>
      </c>
      <c r="AD323" s="14">
        <v>38.898888888888884</v>
      </c>
      <c r="AF323" s="14">
        <v>24.8</v>
      </c>
      <c r="AH323" s="14">
        <v>63.698888888888888</v>
      </c>
      <c r="AI323" s="13">
        <v>271.03346991509784</v>
      </c>
      <c r="AK323" s="9">
        <v>1240</v>
      </c>
    </row>
    <row r="324" spans="1:37">
      <c r="A324" s="9">
        <v>8</v>
      </c>
      <c r="B324" s="9">
        <v>2024</v>
      </c>
      <c r="C324" s="9" t="s">
        <v>46</v>
      </c>
      <c r="D324" s="9" t="s">
        <v>47</v>
      </c>
      <c r="E324" s="9" t="s">
        <v>47</v>
      </c>
      <c r="F324" s="10">
        <v>45341</v>
      </c>
      <c r="G324" s="9" t="s">
        <v>153</v>
      </c>
      <c r="H324" s="9" t="s">
        <v>52</v>
      </c>
      <c r="I324" s="9">
        <v>1</v>
      </c>
      <c r="J324" s="9">
        <v>12</v>
      </c>
      <c r="K324" s="9">
        <v>520</v>
      </c>
      <c r="L324" s="9">
        <v>0.28000000000000003</v>
      </c>
      <c r="M324" s="9">
        <v>145.6</v>
      </c>
      <c r="N324" s="9" t="s">
        <v>49</v>
      </c>
      <c r="Q324" s="9">
        <f>IF(Auction_Sales[[#This Row],[Payment Date]]=0,"",-1+WEEKNUM(Auction_Sales[[#This Row],[Payment Date]]))</f>
        <v>8</v>
      </c>
      <c r="R324" s="9">
        <v>-240</v>
      </c>
      <c r="S324" s="9" t="s">
        <v>153</v>
      </c>
      <c r="T324" s="9" t="s">
        <v>52</v>
      </c>
      <c r="U324" s="9">
        <v>760</v>
      </c>
      <c r="V324" s="13">
        <v>0.43842105263157893</v>
      </c>
      <c r="W324" s="13">
        <v>333.2</v>
      </c>
      <c r="X324" s="14">
        <v>-31.912425249169406</v>
      </c>
      <c r="Y324" s="13">
        <v>301.28757475083057</v>
      </c>
      <c r="Z324" s="10">
        <v>45350</v>
      </c>
      <c r="AA324" s="9">
        <v>240</v>
      </c>
      <c r="AC324" s="9" t="s">
        <v>76</v>
      </c>
      <c r="AD324" s="14">
        <v>38.898888888888884</v>
      </c>
      <c r="AF324" s="14">
        <v>15.200000000000001</v>
      </c>
      <c r="AH324" s="14">
        <v>54.098888888888887</v>
      </c>
      <c r="AI324" s="13">
        <v>247.18868586194168</v>
      </c>
      <c r="AK324" s="9">
        <v>760</v>
      </c>
    </row>
    <row r="325" spans="1:37">
      <c r="A325" s="9">
        <v>8</v>
      </c>
      <c r="B325" s="9">
        <v>2024</v>
      </c>
      <c r="C325" s="9" t="s">
        <v>46</v>
      </c>
      <c r="D325" s="9" t="s">
        <v>47</v>
      </c>
      <c r="E325" s="9" t="s">
        <v>47</v>
      </c>
      <c r="F325" s="10">
        <v>45341</v>
      </c>
      <c r="G325" s="9" t="s">
        <v>153</v>
      </c>
      <c r="H325" s="9" t="s">
        <v>54</v>
      </c>
      <c r="I325" s="9">
        <v>1</v>
      </c>
      <c r="J325" s="9">
        <v>12</v>
      </c>
      <c r="K325" s="9">
        <v>480</v>
      </c>
      <c r="L325" s="9">
        <v>0.33</v>
      </c>
      <c r="M325" s="9">
        <v>158.4</v>
      </c>
      <c r="N325" s="9" t="s">
        <v>49</v>
      </c>
      <c r="Q325" s="9">
        <f>IF(Auction_Sales[[#This Row],[Payment Date]]=0,"",-1+WEEKNUM(Auction_Sales[[#This Row],[Payment Date]]))</f>
        <v>8</v>
      </c>
      <c r="R325" s="9">
        <v>-40</v>
      </c>
      <c r="S325" s="9" t="s">
        <v>153</v>
      </c>
      <c r="T325" s="9" t="s">
        <v>54</v>
      </c>
      <c r="U325" s="9">
        <v>520</v>
      </c>
      <c r="V325" s="13">
        <v>0.57692307692307687</v>
      </c>
      <c r="W325" s="13">
        <v>300</v>
      </c>
      <c r="X325" s="14">
        <v>-21.834817275747486</v>
      </c>
      <c r="Y325" s="13">
        <v>278.16518272425253</v>
      </c>
      <c r="Z325" s="10">
        <v>45350</v>
      </c>
      <c r="AA325" s="9">
        <v>40</v>
      </c>
      <c r="AC325" s="9" t="s">
        <v>76</v>
      </c>
      <c r="AD325" s="14">
        <v>38.898888888888884</v>
      </c>
      <c r="AF325" s="14">
        <v>10.4</v>
      </c>
      <c r="AH325" s="14">
        <v>49.298888888888882</v>
      </c>
      <c r="AI325" s="13">
        <v>228.86629383536365</v>
      </c>
      <c r="AK325" s="9">
        <v>520</v>
      </c>
    </row>
    <row r="326" spans="1:37">
      <c r="A326" s="9">
        <v>8</v>
      </c>
      <c r="B326" s="9">
        <v>2024</v>
      </c>
      <c r="C326" s="9" t="s">
        <v>46</v>
      </c>
      <c r="D326" s="9" t="s">
        <v>47</v>
      </c>
      <c r="E326" s="9" t="s">
        <v>47</v>
      </c>
      <c r="F326" s="10">
        <v>45341</v>
      </c>
      <c r="G326" s="9" t="s">
        <v>153</v>
      </c>
      <c r="H326" s="9" t="s">
        <v>56</v>
      </c>
      <c r="I326" s="9">
        <v>1</v>
      </c>
      <c r="J326" s="9">
        <v>12</v>
      </c>
      <c r="K326" s="9">
        <v>320</v>
      </c>
      <c r="L326" s="9">
        <v>0.38</v>
      </c>
      <c r="M326" s="9">
        <v>121.6</v>
      </c>
      <c r="N326" s="9" t="s">
        <v>49</v>
      </c>
      <c r="Q326" s="9">
        <f>IF(Auction_Sales[[#This Row],[Payment Date]]=0,"",-1+WEEKNUM(Auction_Sales[[#This Row],[Payment Date]]))</f>
        <v>8</v>
      </c>
      <c r="R326" s="9">
        <v>0</v>
      </c>
      <c r="S326" s="9" t="s">
        <v>153</v>
      </c>
      <c r="T326" s="9" t="s">
        <v>56</v>
      </c>
      <c r="U326" s="9">
        <v>320</v>
      </c>
      <c r="V326" s="13">
        <v>0.72625000000000006</v>
      </c>
      <c r="W326" s="13">
        <v>232.40000000000003</v>
      </c>
      <c r="X326" s="14">
        <v>-13.436810631229223</v>
      </c>
      <c r="Y326" s="13">
        <v>218.9631893687708</v>
      </c>
      <c r="Z326" s="10">
        <v>45350</v>
      </c>
      <c r="AA326" s="9">
        <v>0</v>
      </c>
      <c r="AC326" s="9" t="s">
        <v>76</v>
      </c>
      <c r="AD326" s="14">
        <v>38.898888888888884</v>
      </c>
      <c r="AF326" s="14">
        <v>6.4</v>
      </c>
      <c r="AH326" s="14">
        <v>45.298888888888882</v>
      </c>
      <c r="AI326" s="13">
        <v>173.66430047988192</v>
      </c>
      <c r="AK326" s="9">
        <v>320</v>
      </c>
    </row>
    <row r="327" spans="1:37">
      <c r="A327" s="9">
        <v>8</v>
      </c>
      <c r="B327" s="9">
        <v>2024</v>
      </c>
      <c r="C327" s="9" t="s">
        <v>46</v>
      </c>
      <c r="D327" s="9" t="s">
        <v>47</v>
      </c>
      <c r="E327" s="9" t="s">
        <v>47</v>
      </c>
      <c r="F327" s="10">
        <v>45341</v>
      </c>
      <c r="G327" s="9" t="s">
        <v>153</v>
      </c>
      <c r="H327" s="9" t="s">
        <v>57</v>
      </c>
      <c r="I327" s="9">
        <v>1</v>
      </c>
      <c r="J327" s="9">
        <v>12</v>
      </c>
      <c r="K327" s="9">
        <v>240</v>
      </c>
      <c r="L327" s="9">
        <v>0.47</v>
      </c>
      <c r="M327" s="9">
        <v>112.8</v>
      </c>
      <c r="N327" s="9" t="s">
        <v>49</v>
      </c>
      <c r="Q327" s="9">
        <f>IF(Auction_Sales[[#This Row],[Payment Date]]=0,"",-1+WEEKNUM(Auction_Sales[[#This Row],[Payment Date]]))</f>
        <v>8</v>
      </c>
      <c r="R327" s="9">
        <v>0</v>
      </c>
      <c r="S327" s="9" t="s">
        <v>153</v>
      </c>
      <c r="T327" s="9" t="s">
        <v>57</v>
      </c>
      <c r="U327" s="9">
        <v>240</v>
      </c>
      <c r="V327" s="13">
        <v>0.77833333333333343</v>
      </c>
      <c r="W327" s="13">
        <v>186.8</v>
      </c>
      <c r="X327" s="14">
        <v>-10.077607973421916</v>
      </c>
      <c r="Y327" s="13">
        <v>176.72239202657809</v>
      </c>
      <c r="Z327" s="10">
        <v>45350</v>
      </c>
      <c r="AA327" s="9">
        <v>0</v>
      </c>
      <c r="AC327" s="9" t="s">
        <v>76</v>
      </c>
      <c r="AD327" s="14">
        <v>38.898888888888884</v>
      </c>
      <c r="AF327" s="14">
        <v>4.8</v>
      </c>
      <c r="AH327" s="14">
        <v>43.698888888888881</v>
      </c>
      <c r="AI327" s="13">
        <v>133.0235031376892</v>
      </c>
      <c r="AK327" s="9">
        <v>240</v>
      </c>
    </row>
    <row r="328" spans="1:37">
      <c r="A328" s="9">
        <v>8</v>
      </c>
      <c r="B328" s="9">
        <v>2024</v>
      </c>
      <c r="C328" s="9" t="s">
        <v>46</v>
      </c>
      <c r="D328" s="9" t="s">
        <v>47</v>
      </c>
      <c r="E328" s="9" t="s">
        <v>47</v>
      </c>
      <c r="F328" s="10">
        <v>45341</v>
      </c>
      <c r="G328" s="9" t="s">
        <v>154</v>
      </c>
      <c r="H328" s="9" t="s">
        <v>51</v>
      </c>
      <c r="I328" s="9">
        <v>1</v>
      </c>
      <c r="J328" s="9">
        <v>12</v>
      </c>
      <c r="K328" s="9">
        <v>520</v>
      </c>
      <c r="L328" s="9">
        <v>0.38</v>
      </c>
      <c r="M328" s="9">
        <v>197.6</v>
      </c>
      <c r="N328" s="9" t="s">
        <v>49</v>
      </c>
      <c r="Q328" s="9">
        <f>IF(Auction_Sales[[#This Row],[Payment Date]]=0,"",-1+WEEKNUM(Auction_Sales[[#This Row],[Payment Date]]))</f>
        <v>8</v>
      </c>
      <c r="R328" s="9">
        <v>0</v>
      </c>
      <c r="S328" s="9" t="s">
        <v>154</v>
      </c>
      <c r="T328" s="9" t="s">
        <v>51</v>
      </c>
      <c r="U328" s="9">
        <v>520</v>
      </c>
      <c r="V328" s="13">
        <v>0.26923076923076922</v>
      </c>
      <c r="W328" s="13">
        <v>140</v>
      </c>
      <c r="X328" s="14">
        <v>-21.834817275747486</v>
      </c>
      <c r="Y328" s="13">
        <v>118.16518272425252</v>
      </c>
      <c r="Z328" s="10">
        <v>45350</v>
      </c>
      <c r="AA328" s="9">
        <v>0</v>
      </c>
      <c r="AC328" s="9" t="s">
        <v>76</v>
      </c>
      <c r="AD328" s="14">
        <v>38.898888888888884</v>
      </c>
      <c r="AF328" s="14">
        <v>10.4</v>
      </c>
      <c r="AH328" s="14">
        <v>49.298888888888882</v>
      </c>
      <c r="AI328" s="13">
        <v>68.866293835363635</v>
      </c>
      <c r="AK328" s="9">
        <v>520</v>
      </c>
    </row>
    <row r="329" spans="1:37">
      <c r="A329" s="9">
        <v>8</v>
      </c>
      <c r="B329" s="9">
        <v>2024</v>
      </c>
      <c r="C329" s="9" t="s">
        <v>46</v>
      </c>
      <c r="D329" s="9" t="s">
        <v>47</v>
      </c>
      <c r="E329" s="9" t="s">
        <v>47</v>
      </c>
      <c r="F329" s="10">
        <v>45341</v>
      </c>
      <c r="G329" s="9" t="s">
        <v>154</v>
      </c>
      <c r="H329" s="9" t="s">
        <v>48</v>
      </c>
      <c r="I329" s="9">
        <v>1</v>
      </c>
      <c r="J329" s="9">
        <v>12</v>
      </c>
      <c r="K329" s="9">
        <v>440</v>
      </c>
      <c r="L329" s="9">
        <v>0.47</v>
      </c>
      <c r="M329" s="9">
        <v>206.8</v>
      </c>
      <c r="N329" s="9" t="s">
        <v>49</v>
      </c>
      <c r="Q329" s="9">
        <f>IF(Auction_Sales[[#This Row],[Payment Date]]=0,"",-1+WEEKNUM(Auction_Sales[[#This Row],[Payment Date]]))</f>
        <v>8</v>
      </c>
      <c r="R329" s="9">
        <v>440</v>
      </c>
      <c r="S329" s="9" t="s">
        <v>154</v>
      </c>
      <c r="T329" s="9" t="s">
        <v>48</v>
      </c>
      <c r="W329" s="13">
        <v>0</v>
      </c>
      <c r="X329" s="14">
        <v>0</v>
      </c>
      <c r="Y329" s="13">
        <v>0</v>
      </c>
      <c r="Z329" s="10">
        <v>45350</v>
      </c>
      <c r="AA329" s="9">
        <v>-440</v>
      </c>
      <c r="AC329" s="9" t="s">
        <v>76</v>
      </c>
      <c r="AD329" s="14">
        <v>38.898888888888884</v>
      </c>
      <c r="AF329" s="14">
        <v>0</v>
      </c>
      <c r="AH329" s="14">
        <v>38.898888888888884</v>
      </c>
      <c r="AI329" s="13">
        <v>-38.898888888888884</v>
      </c>
      <c r="AK329" s="9">
        <v>0</v>
      </c>
    </row>
    <row r="330" spans="1:37">
      <c r="A330" s="9">
        <v>8</v>
      </c>
      <c r="B330" s="9">
        <v>2024</v>
      </c>
      <c r="C330" s="9" t="s">
        <v>46</v>
      </c>
      <c r="D330" s="9" t="s">
        <v>47</v>
      </c>
      <c r="E330" s="9" t="s">
        <v>47</v>
      </c>
      <c r="F330" s="10">
        <v>45341</v>
      </c>
      <c r="G330" s="9" t="s">
        <v>154</v>
      </c>
      <c r="H330" s="9" t="s">
        <v>48</v>
      </c>
      <c r="I330" s="9">
        <v>1</v>
      </c>
      <c r="J330" s="9">
        <v>12</v>
      </c>
      <c r="K330" s="9">
        <v>480</v>
      </c>
      <c r="L330" s="9">
        <v>0.47</v>
      </c>
      <c r="M330" s="9">
        <v>225.6</v>
      </c>
      <c r="N330" s="9" t="s">
        <v>49</v>
      </c>
      <c r="Q330" s="9">
        <f>IF(Auction_Sales[[#This Row],[Payment Date]]=0,"",-1+WEEKNUM(Auction_Sales[[#This Row],[Payment Date]]))</f>
        <v>8</v>
      </c>
      <c r="R330" s="9">
        <v>-440</v>
      </c>
      <c r="S330" s="9" t="s">
        <v>154</v>
      </c>
      <c r="T330" s="9" t="s">
        <v>48</v>
      </c>
      <c r="U330" s="9">
        <v>920</v>
      </c>
      <c r="V330" s="13">
        <v>0.44521739130434784</v>
      </c>
      <c r="W330" s="13">
        <v>409.6</v>
      </c>
      <c r="X330" s="14">
        <v>-38.630830564784013</v>
      </c>
      <c r="Y330" s="13">
        <v>370.96916943521603</v>
      </c>
      <c r="Z330" s="10">
        <v>45350</v>
      </c>
      <c r="AA330" s="9">
        <v>440</v>
      </c>
      <c r="AC330" s="9" t="s">
        <v>76</v>
      </c>
      <c r="AD330" s="14">
        <v>38.898888888888884</v>
      </c>
      <c r="AF330" s="14">
        <v>18.400000000000002</v>
      </c>
      <c r="AH330" s="14">
        <v>57.298888888888882</v>
      </c>
      <c r="AI330" s="13">
        <v>313.67028054632715</v>
      </c>
      <c r="AK330" s="9">
        <v>920</v>
      </c>
    </row>
    <row r="331" spans="1:37">
      <c r="A331" s="9">
        <v>8</v>
      </c>
      <c r="B331" s="9">
        <v>2024</v>
      </c>
      <c r="C331" s="9" t="s">
        <v>46</v>
      </c>
      <c r="D331" s="9" t="s">
        <v>47</v>
      </c>
      <c r="E331" s="9" t="s">
        <v>47</v>
      </c>
      <c r="F331" s="10">
        <v>45341</v>
      </c>
      <c r="G331" s="9" t="s">
        <v>154</v>
      </c>
      <c r="H331" s="9" t="s">
        <v>52</v>
      </c>
      <c r="I331" s="9">
        <v>2</v>
      </c>
      <c r="J331" s="9">
        <v>24</v>
      </c>
      <c r="K331" s="9">
        <v>800</v>
      </c>
      <c r="L331" s="9">
        <v>0.52</v>
      </c>
      <c r="M331" s="9">
        <v>416</v>
      </c>
      <c r="N331" s="9" t="s">
        <v>49</v>
      </c>
      <c r="Q331" s="9">
        <f>IF(Auction_Sales[[#This Row],[Payment Date]]=0,"",-1+WEEKNUM(Auction_Sales[[#This Row],[Payment Date]]))</f>
        <v>8</v>
      </c>
      <c r="R331" s="9">
        <v>0</v>
      </c>
      <c r="S331" s="9" t="s">
        <v>154</v>
      </c>
      <c r="T331" s="9" t="s">
        <v>52</v>
      </c>
      <c r="U331" s="9">
        <v>800</v>
      </c>
      <c r="V331" s="13">
        <v>0.55200000000000005</v>
      </c>
      <c r="W331" s="13">
        <v>441.6</v>
      </c>
      <c r="X331" s="14">
        <v>-33.592026578073053</v>
      </c>
      <c r="Y331" s="13">
        <v>408.00797342192698</v>
      </c>
      <c r="Z331" s="10">
        <v>45350</v>
      </c>
      <c r="AA331" s="9">
        <v>0</v>
      </c>
      <c r="AC331" s="9" t="s">
        <v>76</v>
      </c>
      <c r="AD331" s="14">
        <v>77.797777777777767</v>
      </c>
      <c r="AF331" s="14">
        <v>16</v>
      </c>
      <c r="AH331" s="14">
        <v>93.797777777777767</v>
      </c>
      <c r="AI331" s="13">
        <v>314.21019564414922</v>
      </c>
      <c r="AK331" s="9">
        <v>800</v>
      </c>
    </row>
    <row r="332" spans="1:37">
      <c r="A332" s="9">
        <v>8</v>
      </c>
      <c r="B332" s="9">
        <v>2024</v>
      </c>
      <c r="C332" s="9" t="s">
        <v>46</v>
      </c>
      <c r="D332" s="9" t="s">
        <v>47</v>
      </c>
      <c r="E332" s="9" t="s">
        <v>47</v>
      </c>
      <c r="F332" s="10">
        <v>45341</v>
      </c>
      <c r="G332" s="9" t="s">
        <v>154</v>
      </c>
      <c r="H332" s="9" t="s">
        <v>54</v>
      </c>
      <c r="I332" s="9">
        <v>1</v>
      </c>
      <c r="J332" s="9">
        <v>12</v>
      </c>
      <c r="K332" s="9">
        <v>280</v>
      </c>
      <c r="L332" s="9">
        <v>0.56999999999999995</v>
      </c>
      <c r="M332" s="9">
        <v>159.6</v>
      </c>
      <c r="N332" s="9" t="s">
        <v>49</v>
      </c>
      <c r="Q332" s="9">
        <f>IF(Auction_Sales[[#This Row],[Payment Date]]=0,"",-1+WEEKNUM(Auction_Sales[[#This Row],[Payment Date]]))</f>
        <v>8</v>
      </c>
      <c r="R332" s="9">
        <v>280</v>
      </c>
      <c r="S332" s="9" t="s">
        <v>154</v>
      </c>
      <c r="T332" s="9" t="s">
        <v>54</v>
      </c>
      <c r="W332" s="13">
        <v>0</v>
      </c>
      <c r="X332" s="14">
        <v>0</v>
      </c>
      <c r="Y332" s="13">
        <v>0</v>
      </c>
      <c r="Z332" s="10">
        <v>45350</v>
      </c>
      <c r="AA332" s="9">
        <v>-280</v>
      </c>
      <c r="AC332" s="9" t="s">
        <v>76</v>
      </c>
      <c r="AD332" s="14">
        <v>38.898888888888884</v>
      </c>
      <c r="AF332" s="14">
        <v>0</v>
      </c>
      <c r="AH332" s="14">
        <v>38.898888888888884</v>
      </c>
      <c r="AI332" s="13">
        <v>-38.898888888888884</v>
      </c>
      <c r="AK332" s="9">
        <v>0</v>
      </c>
    </row>
    <row r="333" spans="1:37">
      <c r="A333" s="9">
        <v>8</v>
      </c>
      <c r="B333" s="9">
        <v>2024</v>
      </c>
      <c r="C333" s="9" t="s">
        <v>46</v>
      </c>
      <c r="D333" s="9" t="s">
        <v>47</v>
      </c>
      <c r="E333" s="9" t="s">
        <v>47</v>
      </c>
      <c r="F333" s="10">
        <v>45341</v>
      </c>
      <c r="G333" s="9" t="s">
        <v>154</v>
      </c>
      <c r="H333" s="9" t="s">
        <v>54</v>
      </c>
      <c r="I333" s="9">
        <v>1</v>
      </c>
      <c r="J333" s="9">
        <v>12</v>
      </c>
      <c r="K333" s="9">
        <v>320</v>
      </c>
      <c r="L333" s="9">
        <v>0.56999999999999995</v>
      </c>
      <c r="M333" s="9">
        <v>182.4</v>
      </c>
      <c r="N333" s="9" t="s">
        <v>49</v>
      </c>
      <c r="Q333" s="9">
        <f>IF(Auction_Sales[[#This Row],[Payment Date]]=0,"",-1+WEEKNUM(Auction_Sales[[#This Row],[Payment Date]]))</f>
        <v>8</v>
      </c>
      <c r="R333" s="9">
        <v>-280</v>
      </c>
      <c r="S333" s="9" t="s">
        <v>154</v>
      </c>
      <c r="T333" s="9" t="s">
        <v>54</v>
      </c>
      <c r="U333" s="9">
        <v>600</v>
      </c>
      <c r="V333" s="13">
        <v>0.6</v>
      </c>
      <c r="W333" s="13">
        <v>360</v>
      </c>
      <c r="X333" s="14">
        <v>-25.194019933554792</v>
      </c>
      <c r="Y333" s="13">
        <v>334.80598006644522</v>
      </c>
      <c r="Z333" s="10">
        <v>45350</v>
      </c>
      <c r="AA333" s="9">
        <v>280</v>
      </c>
      <c r="AC333" s="9" t="s">
        <v>76</v>
      </c>
      <c r="AD333" s="14">
        <v>38.898888888888884</v>
      </c>
      <c r="AF333" s="14">
        <v>12</v>
      </c>
      <c r="AH333" s="14">
        <v>50.898888888888884</v>
      </c>
      <c r="AI333" s="13">
        <v>283.90709117755631</v>
      </c>
      <c r="AK333" s="9">
        <v>600</v>
      </c>
    </row>
    <row r="334" spans="1:37">
      <c r="A334" s="9">
        <v>8</v>
      </c>
      <c r="B334" s="9">
        <v>2024</v>
      </c>
      <c r="C334" s="9" t="s">
        <v>46</v>
      </c>
      <c r="D334" s="9" t="s">
        <v>47</v>
      </c>
      <c r="E334" s="9" t="s">
        <v>47</v>
      </c>
      <c r="F334" s="10">
        <v>45341</v>
      </c>
      <c r="G334" s="9" t="s">
        <v>154</v>
      </c>
      <c r="H334" s="9" t="s">
        <v>56</v>
      </c>
      <c r="I334" s="9">
        <v>1</v>
      </c>
      <c r="J334" s="9">
        <v>12</v>
      </c>
      <c r="K334" s="9">
        <v>200</v>
      </c>
      <c r="L334" s="9">
        <v>0.75</v>
      </c>
      <c r="M334" s="9">
        <v>150</v>
      </c>
      <c r="N334" s="9" t="s">
        <v>49</v>
      </c>
      <c r="Q334" s="9">
        <f>IF(Auction_Sales[[#This Row],[Payment Date]]=0,"",-1+WEEKNUM(Auction_Sales[[#This Row],[Payment Date]]))</f>
        <v>8</v>
      </c>
      <c r="R334" s="9">
        <v>-240</v>
      </c>
      <c r="S334" s="9" t="s">
        <v>154</v>
      </c>
      <c r="T334" s="9" t="s">
        <v>56</v>
      </c>
      <c r="U334" s="9">
        <v>440</v>
      </c>
      <c r="V334" s="13">
        <v>0.62</v>
      </c>
      <c r="W334" s="13">
        <v>272.8</v>
      </c>
      <c r="X334" s="14">
        <v>-18.475614617940181</v>
      </c>
      <c r="Y334" s="13">
        <v>254.32438538205983</v>
      </c>
      <c r="Z334" s="10">
        <v>45350</v>
      </c>
      <c r="AA334" s="9">
        <v>240</v>
      </c>
      <c r="AC334" s="9" t="s">
        <v>76</v>
      </c>
      <c r="AD334" s="14">
        <v>38.898888888888884</v>
      </c>
      <c r="AF334" s="14">
        <v>8.8000000000000007</v>
      </c>
      <c r="AH334" s="14">
        <v>47.698888888888888</v>
      </c>
      <c r="AI334" s="13">
        <v>206.62549649317094</v>
      </c>
      <c r="AK334" s="9">
        <v>440</v>
      </c>
    </row>
    <row r="335" spans="1:37">
      <c r="A335" s="9">
        <v>8</v>
      </c>
      <c r="B335" s="9">
        <v>2024</v>
      </c>
      <c r="C335" s="9" t="s">
        <v>46</v>
      </c>
      <c r="D335" s="9" t="s">
        <v>47</v>
      </c>
      <c r="E335" s="9" t="s">
        <v>47</v>
      </c>
      <c r="F335" s="10">
        <v>45341</v>
      </c>
      <c r="G335" s="9" t="s">
        <v>154</v>
      </c>
      <c r="H335" s="9" t="s">
        <v>56</v>
      </c>
      <c r="I335" s="9">
        <v>1</v>
      </c>
      <c r="J335" s="9">
        <v>12</v>
      </c>
      <c r="K335" s="9">
        <v>240</v>
      </c>
      <c r="L335" s="9">
        <v>0.75</v>
      </c>
      <c r="M335" s="9">
        <v>180</v>
      </c>
      <c r="N335" s="9" t="s">
        <v>49</v>
      </c>
      <c r="Q335" s="9">
        <f>IF(Auction_Sales[[#This Row],[Payment Date]]=0,"",-1+WEEKNUM(Auction_Sales[[#This Row],[Payment Date]]))</f>
        <v>8</v>
      </c>
      <c r="R335" s="9">
        <v>240</v>
      </c>
      <c r="S335" s="9" t="s">
        <v>154</v>
      </c>
      <c r="T335" s="9" t="s">
        <v>56</v>
      </c>
      <c r="W335" s="13">
        <v>0</v>
      </c>
      <c r="X335" s="14">
        <v>0</v>
      </c>
      <c r="Y335" s="13">
        <v>0</v>
      </c>
      <c r="Z335" s="10">
        <v>45350</v>
      </c>
      <c r="AA335" s="9">
        <v>-240</v>
      </c>
      <c r="AC335" s="9" t="s">
        <v>76</v>
      </c>
      <c r="AD335" s="14">
        <v>38.898888888888884</v>
      </c>
      <c r="AF335" s="14">
        <v>0</v>
      </c>
      <c r="AH335" s="14">
        <v>38.898888888888884</v>
      </c>
      <c r="AI335" s="13">
        <v>-38.898888888888884</v>
      </c>
      <c r="AK335" s="9">
        <v>0</v>
      </c>
    </row>
    <row r="336" spans="1:37">
      <c r="A336" s="9">
        <v>8</v>
      </c>
      <c r="B336" s="9">
        <v>2024</v>
      </c>
      <c r="C336" s="9" t="s">
        <v>46</v>
      </c>
      <c r="D336" s="9" t="s">
        <v>47</v>
      </c>
      <c r="E336" s="9" t="s">
        <v>47</v>
      </c>
      <c r="F336" s="10">
        <v>45341</v>
      </c>
      <c r="G336" s="9" t="s">
        <v>154</v>
      </c>
      <c r="H336" s="9" t="s">
        <v>57</v>
      </c>
      <c r="I336" s="9">
        <v>1</v>
      </c>
      <c r="J336" s="9">
        <v>12</v>
      </c>
      <c r="K336" s="9">
        <v>200</v>
      </c>
      <c r="L336" s="9">
        <v>0.94</v>
      </c>
      <c r="M336" s="9">
        <v>188</v>
      </c>
      <c r="N336" s="9" t="s">
        <v>49</v>
      </c>
      <c r="Q336" s="9">
        <f>IF(Auction_Sales[[#This Row],[Payment Date]]=0,"",-1+WEEKNUM(Auction_Sales[[#This Row],[Payment Date]]))</f>
        <v>8</v>
      </c>
      <c r="R336" s="9">
        <v>0</v>
      </c>
      <c r="S336" s="9" t="s">
        <v>154</v>
      </c>
      <c r="T336" s="9" t="s">
        <v>57</v>
      </c>
      <c r="U336" s="9">
        <v>200</v>
      </c>
      <c r="V336" s="13">
        <v>0.80799999999999994</v>
      </c>
      <c r="W336" s="13">
        <v>161.6</v>
      </c>
      <c r="X336" s="14">
        <v>-8.3980066445182633</v>
      </c>
      <c r="Y336" s="13">
        <v>153.20199335548173</v>
      </c>
      <c r="Z336" s="10">
        <v>45350</v>
      </c>
      <c r="AA336" s="9">
        <v>0</v>
      </c>
      <c r="AC336" s="9" t="s">
        <v>76</v>
      </c>
      <c r="AD336" s="14">
        <v>38.898888888888884</v>
      </c>
      <c r="AF336" s="14">
        <v>4</v>
      </c>
      <c r="AH336" s="14">
        <v>42.898888888888884</v>
      </c>
      <c r="AI336" s="13">
        <v>110.30310446659286</v>
      </c>
      <c r="AK336" s="9">
        <v>200</v>
      </c>
    </row>
    <row r="337" spans="1:37">
      <c r="A337" s="9">
        <v>8</v>
      </c>
      <c r="B337" s="9">
        <v>2024</v>
      </c>
      <c r="C337" s="9" t="s">
        <v>46</v>
      </c>
      <c r="D337" s="9" t="s">
        <v>47</v>
      </c>
      <c r="E337" s="9" t="s">
        <v>47</v>
      </c>
      <c r="F337" s="10">
        <v>45341</v>
      </c>
      <c r="G337" s="9" t="s">
        <v>155</v>
      </c>
      <c r="H337" s="9" t="s">
        <v>51</v>
      </c>
      <c r="I337" s="9">
        <v>2</v>
      </c>
      <c r="J337" s="9">
        <v>24</v>
      </c>
      <c r="K337" s="9">
        <v>1200</v>
      </c>
      <c r="L337" s="9">
        <v>0.38</v>
      </c>
      <c r="M337" s="9">
        <v>456</v>
      </c>
      <c r="N337" s="9" t="s">
        <v>49</v>
      </c>
      <c r="Q337" s="9">
        <f>IF(Auction_Sales[[#This Row],[Payment Date]]=0,"",-1+WEEKNUM(Auction_Sales[[#This Row],[Payment Date]]))</f>
        <v>8</v>
      </c>
      <c r="R337" s="9">
        <v>-480</v>
      </c>
      <c r="S337" s="9" t="s">
        <v>155</v>
      </c>
      <c r="T337" s="9" t="s">
        <v>51</v>
      </c>
      <c r="U337" s="9">
        <v>1680</v>
      </c>
      <c r="V337" s="13">
        <v>0.25166666666666665</v>
      </c>
      <c r="W337" s="13">
        <v>422.79999999999995</v>
      </c>
      <c r="X337" s="14">
        <v>-70.543255813953408</v>
      </c>
      <c r="Y337" s="13">
        <v>352.25674418604655</v>
      </c>
      <c r="Z337" s="10">
        <v>45350</v>
      </c>
      <c r="AA337" s="9">
        <v>480</v>
      </c>
      <c r="AC337" s="9" t="s">
        <v>76</v>
      </c>
      <c r="AD337" s="14">
        <v>77.797777777777767</v>
      </c>
      <c r="AF337" s="14">
        <v>33.6</v>
      </c>
      <c r="AH337" s="14">
        <v>111.39777777777778</v>
      </c>
      <c r="AI337" s="13">
        <v>240.85896640826877</v>
      </c>
      <c r="AK337" s="9">
        <v>1680</v>
      </c>
    </row>
    <row r="338" spans="1:37">
      <c r="A338" s="9">
        <v>8</v>
      </c>
      <c r="B338" s="9">
        <v>2024</v>
      </c>
      <c r="C338" s="9" t="s">
        <v>46</v>
      </c>
      <c r="D338" s="9" t="s">
        <v>47</v>
      </c>
      <c r="E338" s="9" t="s">
        <v>47</v>
      </c>
      <c r="F338" s="10">
        <v>45341</v>
      </c>
      <c r="G338" s="9" t="s">
        <v>155</v>
      </c>
      <c r="H338" s="9" t="s">
        <v>48</v>
      </c>
      <c r="I338" s="9">
        <v>3</v>
      </c>
      <c r="J338" s="9">
        <v>36</v>
      </c>
      <c r="K338" s="9">
        <v>1560</v>
      </c>
      <c r="L338" s="9">
        <v>0.47</v>
      </c>
      <c r="M338" s="9">
        <v>733.2</v>
      </c>
      <c r="N338" s="9" t="s">
        <v>49</v>
      </c>
      <c r="Q338" s="9">
        <f>IF(Auction_Sales[[#This Row],[Payment Date]]=0,"",-1+WEEKNUM(Auction_Sales[[#This Row],[Payment Date]]))</f>
        <v>8</v>
      </c>
      <c r="R338" s="9">
        <v>-120</v>
      </c>
      <c r="S338" s="9" t="s">
        <v>155</v>
      </c>
      <c r="T338" s="9" t="s">
        <v>48</v>
      </c>
      <c r="U338" s="9">
        <v>1680</v>
      </c>
      <c r="V338" s="13">
        <v>0.54619047619047623</v>
      </c>
      <c r="W338" s="13">
        <v>917.6</v>
      </c>
      <c r="X338" s="14">
        <v>-70.543255813953408</v>
      </c>
      <c r="Y338" s="13">
        <v>847.05674418604667</v>
      </c>
      <c r="Z338" s="10">
        <v>45350</v>
      </c>
      <c r="AA338" s="9">
        <v>120</v>
      </c>
      <c r="AC338" s="9" t="s">
        <v>76</v>
      </c>
      <c r="AD338" s="14">
        <v>116.69666666666666</v>
      </c>
      <c r="AF338" s="14">
        <v>33.6</v>
      </c>
      <c r="AH338" s="14">
        <v>150.29666666666665</v>
      </c>
      <c r="AI338" s="13">
        <v>696.76007751938005</v>
      </c>
      <c r="AK338" s="9">
        <v>1680</v>
      </c>
    </row>
    <row r="339" spans="1:37">
      <c r="A339" s="9">
        <v>8</v>
      </c>
      <c r="B339" s="9">
        <v>2024</v>
      </c>
      <c r="C339" s="9" t="s">
        <v>46</v>
      </c>
      <c r="D339" s="9" t="s">
        <v>47</v>
      </c>
      <c r="E339" s="9" t="s">
        <v>47</v>
      </c>
      <c r="F339" s="10">
        <v>45341</v>
      </c>
      <c r="G339" s="9" t="s">
        <v>155</v>
      </c>
      <c r="H339" s="9" t="s">
        <v>52</v>
      </c>
      <c r="I339" s="9">
        <v>2</v>
      </c>
      <c r="J339" s="9">
        <v>24</v>
      </c>
      <c r="K339" s="9">
        <v>800</v>
      </c>
      <c r="L339" s="9">
        <v>0.52</v>
      </c>
      <c r="M339" s="9">
        <v>416</v>
      </c>
      <c r="N339" s="9" t="s">
        <v>49</v>
      </c>
      <c r="Q339" s="9">
        <f>IF(Auction_Sales[[#This Row],[Payment Date]]=0,"",-1+WEEKNUM(Auction_Sales[[#This Row],[Payment Date]]))</f>
        <v>8</v>
      </c>
      <c r="R339" s="9">
        <v>-160</v>
      </c>
      <c r="S339" s="9" t="s">
        <v>155</v>
      </c>
      <c r="T339" s="9" t="s">
        <v>52</v>
      </c>
      <c r="U339" s="9">
        <v>960</v>
      </c>
      <c r="V339" s="13">
        <v>0.75541666666666674</v>
      </c>
      <c r="W339" s="13">
        <v>725.2</v>
      </c>
      <c r="X339" s="14">
        <v>-40.310431893687664</v>
      </c>
      <c r="Y339" s="13">
        <v>684.88956810631237</v>
      </c>
      <c r="Z339" s="10">
        <v>45350</v>
      </c>
      <c r="AA339" s="9">
        <v>160</v>
      </c>
      <c r="AC339" s="9" t="s">
        <v>76</v>
      </c>
      <c r="AD339" s="14">
        <v>77.797777777777767</v>
      </c>
      <c r="AF339" s="14">
        <v>19.2</v>
      </c>
      <c r="AH339" s="14">
        <v>96.99777777777777</v>
      </c>
      <c r="AI339" s="13">
        <v>587.89179032853463</v>
      </c>
      <c r="AK339" s="9">
        <v>960</v>
      </c>
    </row>
    <row r="340" spans="1:37">
      <c r="A340" s="9">
        <v>8</v>
      </c>
      <c r="B340" s="9">
        <v>2024</v>
      </c>
      <c r="C340" s="9" t="s">
        <v>46</v>
      </c>
      <c r="D340" s="9" t="s">
        <v>47</v>
      </c>
      <c r="E340" s="9" t="s">
        <v>47</v>
      </c>
      <c r="F340" s="10">
        <v>45341</v>
      </c>
      <c r="G340" s="9" t="s">
        <v>155</v>
      </c>
      <c r="H340" s="9" t="s">
        <v>51</v>
      </c>
      <c r="I340" s="9">
        <v>1</v>
      </c>
      <c r="J340" s="9">
        <v>9.6000000000000014</v>
      </c>
      <c r="K340" s="9">
        <v>480</v>
      </c>
      <c r="L340" s="9">
        <v>0.38</v>
      </c>
      <c r="M340" s="9">
        <v>182.4</v>
      </c>
      <c r="N340" s="9" t="s">
        <v>49</v>
      </c>
      <c r="Q340" s="9">
        <f>IF(Auction_Sales[[#This Row],[Payment Date]]=0,"",-1+WEEKNUM(Auction_Sales[[#This Row],[Payment Date]]))</f>
        <v>8</v>
      </c>
      <c r="R340" s="9">
        <v>480</v>
      </c>
      <c r="S340" s="9" t="s">
        <v>155</v>
      </c>
      <c r="T340" s="9" t="s">
        <v>51</v>
      </c>
      <c r="W340" s="13">
        <v>0</v>
      </c>
      <c r="X340" s="14">
        <v>0</v>
      </c>
      <c r="Y340" s="13">
        <v>0</v>
      </c>
      <c r="Z340" s="10">
        <v>45350</v>
      </c>
      <c r="AA340" s="9">
        <v>-480</v>
      </c>
      <c r="AC340" s="9" t="s">
        <v>76</v>
      </c>
      <c r="AD340" s="14">
        <v>31.119111111111117</v>
      </c>
      <c r="AF340" s="14">
        <v>0</v>
      </c>
      <c r="AH340" s="14">
        <v>31.119111111111117</v>
      </c>
      <c r="AI340" s="13">
        <v>-31.119111111111117</v>
      </c>
      <c r="AK340" s="9">
        <v>0</v>
      </c>
    </row>
    <row r="341" spans="1:37">
      <c r="A341" s="9">
        <v>8</v>
      </c>
      <c r="B341" s="9">
        <v>2024</v>
      </c>
      <c r="C341" s="9" t="s">
        <v>46</v>
      </c>
      <c r="D341" s="9" t="s">
        <v>47</v>
      </c>
      <c r="E341" s="9" t="s">
        <v>47</v>
      </c>
      <c r="F341" s="10">
        <v>45341</v>
      </c>
      <c r="G341" s="9" t="s">
        <v>155</v>
      </c>
      <c r="H341" s="9" t="s">
        <v>48</v>
      </c>
      <c r="J341" s="9">
        <v>2.4000000000000004</v>
      </c>
      <c r="K341" s="9">
        <v>120</v>
      </c>
      <c r="L341" s="9">
        <v>0.47</v>
      </c>
      <c r="M341" s="9">
        <v>56.4</v>
      </c>
      <c r="N341" s="9" t="s">
        <v>49</v>
      </c>
      <c r="Q341" s="9">
        <f>IF(Auction_Sales[[#This Row],[Payment Date]]=0,"",-1+WEEKNUM(Auction_Sales[[#This Row],[Payment Date]]))</f>
        <v>8</v>
      </c>
      <c r="R341" s="9">
        <v>120</v>
      </c>
      <c r="S341" s="9" t="s">
        <v>155</v>
      </c>
      <c r="T341" s="9" t="s">
        <v>48</v>
      </c>
      <c r="W341" s="13">
        <v>0</v>
      </c>
      <c r="X341" s="14">
        <v>0</v>
      </c>
      <c r="Y341" s="13">
        <v>0</v>
      </c>
      <c r="Z341" s="10">
        <v>45350</v>
      </c>
      <c r="AA341" s="9">
        <v>-120</v>
      </c>
      <c r="AC341" s="9" t="s">
        <v>76</v>
      </c>
      <c r="AD341" s="14">
        <v>7.7797777777777792</v>
      </c>
      <c r="AF341" s="14">
        <v>0</v>
      </c>
      <c r="AH341" s="14">
        <v>7.7797777777777792</v>
      </c>
      <c r="AI341" s="13">
        <v>-7.7797777777777792</v>
      </c>
      <c r="AK341" s="9">
        <v>0</v>
      </c>
    </row>
    <row r="342" spans="1:37">
      <c r="A342" s="9">
        <v>8</v>
      </c>
      <c r="B342" s="9">
        <v>2024</v>
      </c>
      <c r="C342" s="9" t="s">
        <v>46</v>
      </c>
      <c r="D342" s="9" t="s">
        <v>47</v>
      </c>
      <c r="E342" s="9" t="s">
        <v>47</v>
      </c>
      <c r="F342" s="10">
        <v>45341</v>
      </c>
      <c r="G342" s="9" t="s">
        <v>155</v>
      </c>
      <c r="H342" s="9" t="s">
        <v>52</v>
      </c>
      <c r="I342" s="9">
        <v>1</v>
      </c>
      <c r="J342" s="9">
        <v>4.8000000000000007</v>
      </c>
      <c r="K342" s="9">
        <v>160</v>
      </c>
      <c r="L342" s="9">
        <v>0.52</v>
      </c>
      <c r="M342" s="9">
        <v>83.2</v>
      </c>
      <c r="N342" s="9" t="s">
        <v>49</v>
      </c>
      <c r="Q342" s="9">
        <f>IF(Auction_Sales[[#This Row],[Payment Date]]=0,"",-1+WEEKNUM(Auction_Sales[[#This Row],[Payment Date]]))</f>
        <v>8</v>
      </c>
      <c r="R342" s="9">
        <v>160</v>
      </c>
      <c r="S342" s="9" t="s">
        <v>155</v>
      </c>
      <c r="T342" s="9" t="s">
        <v>52</v>
      </c>
      <c r="W342" s="13">
        <v>0</v>
      </c>
      <c r="X342" s="14">
        <v>0</v>
      </c>
      <c r="Y342" s="13">
        <v>0</v>
      </c>
      <c r="Z342" s="10">
        <v>45350</v>
      </c>
      <c r="AA342" s="9">
        <v>-160</v>
      </c>
      <c r="AC342" s="9" t="s">
        <v>76</v>
      </c>
      <c r="AD342" s="14">
        <v>15.559555555555558</v>
      </c>
      <c r="AF342" s="14">
        <v>0</v>
      </c>
      <c r="AH342" s="14">
        <v>15.559555555555558</v>
      </c>
      <c r="AI342" s="13">
        <v>-15.559555555555558</v>
      </c>
      <c r="AK342" s="9">
        <v>0</v>
      </c>
    </row>
    <row r="343" spans="1:37">
      <c r="A343" s="9">
        <v>8</v>
      </c>
      <c r="B343" s="9">
        <v>2024</v>
      </c>
      <c r="C343" s="9" t="s">
        <v>46</v>
      </c>
      <c r="D343" s="9" t="s">
        <v>47</v>
      </c>
      <c r="E343" s="9" t="s">
        <v>47</v>
      </c>
      <c r="F343" s="10">
        <v>45341</v>
      </c>
      <c r="G343" s="9" t="s">
        <v>155</v>
      </c>
      <c r="H343" s="9" t="s">
        <v>54</v>
      </c>
      <c r="J343" s="9">
        <v>3.5999999999999996</v>
      </c>
      <c r="K343" s="9">
        <v>120</v>
      </c>
      <c r="L343" s="9">
        <v>0.56999999999999995</v>
      </c>
      <c r="M343" s="9">
        <v>68.400000000000006</v>
      </c>
      <c r="N343" s="9" t="s">
        <v>49</v>
      </c>
      <c r="Q343" s="9">
        <f>IF(Auction_Sales[[#This Row],[Payment Date]]=0,"",-1+WEEKNUM(Auction_Sales[[#This Row],[Payment Date]]))</f>
        <v>8</v>
      </c>
      <c r="R343" s="9">
        <v>0</v>
      </c>
      <c r="S343" s="9" t="s">
        <v>155</v>
      </c>
      <c r="T343" s="9" t="s">
        <v>54</v>
      </c>
      <c r="U343" s="9">
        <v>120</v>
      </c>
      <c r="V343" s="13">
        <v>0.81</v>
      </c>
      <c r="W343" s="13">
        <v>97.2</v>
      </c>
      <c r="X343" s="14">
        <v>-5.038803986710958</v>
      </c>
      <c r="Y343" s="13">
        <v>92.161196013289043</v>
      </c>
      <c r="Z343" s="10">
        <v>45350</v>
      </c>
      <c r="AA343" s="9">
        <v>0</v>
      </c>
      <c r="AC343" s="9" t="s">
        <v>76</v>
      </c>
      <c r="AD343" s="14">
        <v>11.669666666666664</v>
      </c>
      <c r="AF343" s="14">
        <v>2.4</v>
      </c>
      <c r="AH343" s="14">
        <v>14.069666666666665</v>
      </c>
      <c r="AI343" s="13">
        <v>78.09152934662238</v>
      </c>
      <c r="AK343" s="9">
        <v>120</v>
      </c>
    </row>
    <row r="344" spans="1:37">
      <c r="A344" s="9">
        <v>8</v>
      </c>
      <c r="B344" s="9">
        <v>2024</v>
      </c>
      <c r="C344" s="9" t="s">
        <v>46</v>
      </c>
      <c r="D344" s="9" t="s">
        <v>47</v>
      </c>
      <c r="E344" s="9" t="s">
        <v>47</v>
      </c>
      <c r="F344" s="10">
        <v>45341</v>
      </c>
      <c r="G344" s="9" t="s">
        <v>155</v>
      </c>
      <c r="H344" s="9" t="s">
        <v>56</v>
      </c>
      <c r="J344" s="9">
        <v>3.5999999999999996</v>
      </c>
      <c r="K344" s="9">
        <v>120</v>
      </c>
      <c r="L344" s="9">
        <v>0.75</v>
      </c>
      <c r="M344" s="9">
        <v>90</v>
      </c>
      <c r="N344" s="9" t="s">
        <v>49</v>
      </c>
      <c r="Q344" s="9">
        <f>IF(Auction_Sales[[#This Row],[Payment Date]]=0,"",-1+WEEKNUM(Auction_Sales[[#This Row],[Payment Date]]))</f>
        <v>8</v>
      </c>
      <c r="R344" s="9">
        <v>0</v>
      </c>
      <c r="S344" s="9" t="s">
        <v>155</v>
      </c>
      <c r="T344" s="9" t="s">
        <v>56</v>
      </c>
      <c r="U344" s="9">
        <v>120</v>
      </c>
      <c r="V344" s="13">
        <v>0.88</v>
      </c>
      <c r="W344" s="13">
        <v>105.6</v>
      </c>
      <c r="X344" s="14">
        <v>-5.038803986710958</v>
      </c>
      <c r="Y344" s="13">
        <v>100.56119601328903</v>
      </c>
      <c r="Z344" s="10">
        <v>45350</v>
      </c>
      <c r="AA344" s="9">
        <v>0</v>
      </c>
      <c r="AC344" s="9" t="s">
        <v>76</v>
      </c>
      <c r="AD344" s="14">
        <v>11.669666666666664</v>
      </c>
      <c r="AF344" s="14">
        <v>2.4</v>
      </c>
      <c r="AH344" s="14">
        <v>14.069666666666665</v>
      </c>
      <c r="AI344" s="13">
        <v>86.491529346622372</v>
      </c>
      <c r="AK344" s="9">
        <v>120</v>
      </c>
    </row>
    <row r="345" spans="1:37">
      <c r="A345" s="9">
        <v>8</v>
      </c>
      <c r="B345" s="9">
        <v>2024</v>
      </c>
      <c r="C345" s="9" t="s">
        <v>46</v>
      </c>
      <c r="D345" s="9" t="s">
        <v>47</v>
      </c>
      <c r="E345" s="9" t="s">
        <v>47</v>
      </c>
      <c r="F345" s="10">
        <v>45341</v>
      </c>
      <c r="G345" s="9" t="s">
        <v>153</v>
      </c>
      <c r="H345" s="9" t="s">
        <v>48</v>
      </c>
      <c r="I345" s="9">
        <v>1</v>
      </c>
      <c r="J345" s="9">
        <v>9.75</v>
      </c>
      <c r="K345" s="9">
        <v>520</v>
      </c>
      <c r="L345" s="9">
        <v>0.24</v>
      </c>
      <c r="M345" s="9">
        <v>124.8</v>
      </c>
      <c r="N345" s="9" t="s">
        <v>49</v>
      </c>
      <c r="Q345" s="9">
        <f>IF(Auction_Sales[[#This Row],[Payment Date]]=0,"",-1+WEEKNUM(Auction_Sales[[#This Row],[Payment Date]]))</f>
        <v>8</v>
      </c>
      <c r="R345" s="9">
        <v>520</v>
      </c>
      <c r="S345" s="9" t="s">
        <v>153</v>
      </c>
      <c r="T345" s="9" t="s">
        <v>48</v>
      </c>
      <c r="W345" s="13">
        <v>0</v>
      </c>
      <c r="X345" s="14">
        <v>0</v>
      </c>
      <c r="Y345" s="13">
        <v>0</v>
      </c>
      <c r="Z345" s="10">
        <v>45350</v>
      </c>
      <c r="AA345" s="9">
        <v>-520</v>
      </c>
      <c r="AC345" s="9" t="s">
        <v>76</v>
      </c>
      <c r="AD345" s="14">
        <v>31.605347222222221</v>
      </c>
      <c r="AF345" s="14">
        <v>0</v>
      </c>
      <c r="AH345" s="14">
        <v>31.605347222222221</v>
      </c>
      <c r="AI345" s="13">
        <v>-31.605347222222221</v>
      </c>
      <c r="AK345" s="9">
        <v>0</v>
      </c>
    </row>
    <row r="346" spans="1:37">
      <c r="A346" s="9">
        <v>8</v>
      </c>
      <c r="B346" s="9">
        <v>2024</v>
      </c>
      <c r="C346" s="9" t="s">
        <v>46</v>
      </c>
      <c r="D346" s="9" t="s">
        <v>47</v>
      </c>
      <c r="E346" s="9" t="s">
        <v>47</v>
      </c>
      <c r="F346" s="10">
        <v>45341</v>
      </c>
      <c r="G346" s="9" t="s">
        <v>153</v>
      </c>
      <c r="H346" s="9" t="s">
        <v>54</v>
      </c>
      <c r="J346" s="9">
        <v>2.25</v>
      </c>
      <c r="K346" s="9">
        <v>120</v>
      </c>
      <c r="L346" s="9">
        <v>0.33</v>
      </c>
      <c r="M346" s="9">
        <v>39.6</v>
      </c>
      <c r="N346" s="9" t="s">
        <v>49</v>
      </c>
      <c r="Q346" s="9">
        <f>IF(Auction_Sales[[#This Row],[Payment Date]]=0,"",-1+WEEKNUM(Auction_Sales[[#This Row],[Payment Date]]))</f>
        <v>8</v>
      </c>
      <c r="R346" s="9">
        <v>120</v>
      </c>
      <c r="S346" s="9" t="s">
        <v>153</v>
      </c>
      <c r="T346" s="9" t="s">
        <v>54</v>
      </c>
      <c r="W346" s="13">
        <v>0</v>
      </c>
      <c r="X346" s="14">
        <v>0</v>
      </c>
      <c r="Y346" s="13">
        <v>0</v>
      </c>
      <c r="Z346" s="10">
        <v>45350</v>
      </c>
      <c r="AA346" s="9">
        <v>-120</v>
      </c>
      <c r="AC346" s="9" t="s">
        <v>76</v>
      </c>
      <c r="AD346" s="14">
        <v>7.2935416666666661</v>
      </c>
      <c r="AF346" s="14">
        <v>0</v>
      </c>
      <c r="AH346" s="14">
        <v>7.2935416666666661</v>
      </c>
      <c r="AI346" s="13">
        <v>-7.2935416666666661</v>
      </c>
      <c r="AK346" s="9">
        <v>0</v>
      </c>
    </row>
    <row r="347" spans="1:37">
      <c r="A347" s="9">
        <v>8</v>
      </c>
      <c r="B347" s="9">
        <v>2024</v>
      </c>
      <c r="C347" s="9" t="s">
        <v>46</v>
      </c>
      <c r="D347" s="9" t="s">
        <v>47</v>
      </c>
      <c r="E347" s="9" t="s">
        <v>47</v>
      </c>
      <c r="F347" s="10">
        <v>45341</v>
      </c>
      <c r="G347" s="9" t="s">
        <v>153</v>
      </c>
      <c r="H347" s="9" t="s">
        <v>51</v>
      </c>
      <c r="I347" s="9">
        <v>1</v>
      </c>
      <c r="J347" s="9">
        <v>9</v>
      </c>
      <c r="K347" s="9">
        <v>480</v>
      </c>
      <c r="L347" s="9">
        <v>0.14000000000000001</v>
      </c>
      <c r="M347" s="9">
        <v>67.2</v>
      </c>
      <c r="N347" s="9" t="s">
        <v>49</v>
      </c>
      <c r="Q347" s="9">
        <f>IF(Auction_Sales[[#This Row],[Payment Date]]=0,"",-1+WEEKNUM(Auction_Sales[[#This Row],[Payment Date]]))</f>
        <v>8</v>
      </c>
      <c r="R347" s="9">
        <v>0</v>
      </c>
      <c r="S347" s="9" t="s">
        <v>153</v>
      </c>
      <c r="T347" s="9" t="s">
        <v>51</v>
      </c>
      <c r="U347" s="9">
        <v>480</v>
      </c>
      <c r="V347" s="13">
        <v>0.22</v>
      </c>
      <c r="W347" s="13">
        <v>105.6</v>
      </c>
      <c r="X347" s="14">
        <v>-20.155215946843832</v>
      </c>
      <c r="Y347" s="13">
        <v>85.444784053156155</v>
      </c>
      <c r="Z347" s="10">
        <v>45350</v>
      </c>
      <c r="AA347" s="9">
        <v>0</v>
      </c>
      <c r="AC347" s="9" t="s">
        <v>76</v>
      </c>
      <c r="AD347" s="14">
        <v>29.174166666666665</v>
      </c>
      <c r="AF347" s="14">
        <v>9.6</v>
      </c>
      <c r="AH347" s="14">
        <v>38.774166666666666</v>
      </c>
      <c r="AI347" s="13">
        <v>46.670617386489489</v>
      </c>
      <c r="AK347" s="9">
        <v>480</v>
      </c>
    </row>
    <row r="348" spans="1:37">
      <c r="A348" s="9">
        <v>8</v>
      </c>
      <c r="B348" s="9">
        <v>2024</v>
      </c>
      <c r="C348" s="9" t="s">
        <v>46</v>
      </c>
      <c r="D348" s="9" t="s">
        <v>47</v>
      </c>
      <c r="E348" s="9" t="s">
        <v>47</v>
      </c>
      <c r="F348" s="10">
        <v>45341</v>
      </c>
      <c r="G348" s="9" t="s">
        <v>153</v>
      </c>
      <c r="H348" s="9" t="s">
        <v>52</v>
      </c>
      <c r="J348" s="9">
        <v>3</v>
      </c>
      <c r="K348" s="9">
        <v>160</v>
      </c>
      <c r="L348" s="9">
        <v>0.28000000000000003</v>
      </c>
      <c r="M348" s="9">
        <v>44.8</v>
      </c>
      <c r="N348" s="9" t="s">
        <v>49</v>
      </c>
      <c r="Q348" s="9">
        <f>IF(Auction_Sales[[#This Row],[Payment Date]]=0,"",-1+WEEKNUM(Auction_Sales[[#This Row],[Payment Date]]))</f>
        <v>8</v>
      </c>
      <c r="R348" s="9">
        <v>160</v>
      </c>
      <c r="S348" s="9" t="s">
        <v>153</v>
      </c>
      <c r="T348" s="9" t="s">
        <v>52</v>
      </c>
      <c r="W348" s="13">
        <v>0</v>
      </c>
      <c r="X348" s="14">
        <v>0</v>
      </c>
      <c r="Y348" s="13">
        <v>0</v>
      </c>
      <c r="Z348" s="10">
        <v>45350</v>
      </c>
      <c r="AA348" s="9">
        <v>-160</v>
      </c>
      <c r="AC348" s="9" t="s">
        <v>76</v>
      </c>
      <c r="AD348" s="14">
        <v>9.7247222222222209</v>
      </c>
      <c r="AF348" s="14">
        <v>0</v>
      </c>
      <c r="AH348" s="14">
        <v>9.7247222222222209</v>
      </c>
      <c r="AI348" s="13">
        <v>-9.7247222222222209</v>
      </c>
      <c r="AK348" s="9">
        <v>0</v>
      </c>
    </row>
    <row r="349" spans="1:37">
      <c r="A349" s="9">
        <v>8</v>
      </c>
      <c r="B349" s="9">
        <v>2024</v>
      </c>
      <c r="C349" s="9" t="s">
        <v>46</v>
      </c>
      <c r="D349" s="9" t="s">
        <v>47</v>
      </c>
      <c r="E349" s="9" t="s">
        <v>47</v>
      </c>
      <c r="F349" s="10">
        <v>45341</v>
      </c>
      <c r="G349" s="9" t="s">
        <v>157</v>
      </c>
      <c r="H349" s="9" t="s">
        <v>51</v>
      </c>
      <c r="I349" s="9">
        <v>1</v>
      </c>
      <c r="J349" s="9">
        <v>1.0909090909090908</v>
      </c>
      <c r="K349" s="9">
        <v>40</v>
      </c>
      <c r="L349" s="9">
        <v>0.14000000000000001</v>
      </c>
      <c r="M349" s="9">
        <v>5.6</v>
      </c>
      <c r="N349" s="9" t="s">
        <v>49</v>
      </c>
      <c r="Q349" s="9">
        <f>IF(Auction_Sales[[#This Row],[Payment Date]]=0,"",-1+WEEKNUM(Auction_Sales[[#This Row],[Payment Date]]))</f>
        <v>8</v>
      </c>
      <c r="R349" s="9">
        <v>0</v>
      </c>
      <c r="S349" s="9" t="s">
        <v>157</v>
      </c>
      <c r="T349" s="9" t="s">
        <v>51</v>
      </c>
      <c r="U349" s="9">
        <v>40</v>
      </c>
      <c r="V349" s="13">
        <v>0.57999999999999996</v>
      </c>
      <c r="W349" s="13">
        <v>23.2</v>
      </c>
      <c r="X349" s="14">
        <v>-1.6796013289036529</v>
      </c>
      <c r="Y349" s="13">
        <v>21.520398671096345</v>
      </c>
      <c r="Z349" s="10">
        <v>45350</v>
      </c>
      <c r="AA349" s="9">
        <v>0</v>
      </c>
      <c r="AC349" s="9" t="s">
        <v>76</v>
      </c>
      <c r="AD349" s="14">
        <v>3.536262626262626</v>
      </c>
      <c r="AF349" s="14">
        <v>0.8</v>
      </c>
      <c r="AH349" s="14">
        <v>4.3362626262626263</v>
      </c>
      <c r="AI349" s="13">
        <v>17.184136044833718</v>
      </c>
      <c r="AK349" s="9">
        <v>40</v>
      </c>
    </row>
    <row r="350" spans="1:37">
      <c r="A350" s="9">
        <v>8</v>
      </c>
      <c r="B350" s="9">
        <v>2024</v>
      </c>
      <c r="C350" s="9" t="s">
        <v>46</v>
      </c>
      <c r="D350" s="9" t="s">
        <v>47</v>
      </c>
      <c r="E350" s="9" t="s">
        <v>47</v>
      </c>
      <c r="F350" s="10">
        <v>45341</v>
      </c>
      <c r="G350" s="9" t="s">
        <v>157</v>
      </c>
      <c r="H350" s="9" t="s">
        <v>48</v>
      </c>
      <c r="J350" s="9">
        <v>5.4545454545454541</v>
      </c>
      <c r="K350" s="9">
        <v>200</v>
      </c>
      <c r="L350" s="9">
        <v>0.24</v>
      </c>
      <c r="M350" s="9">
        <v>48</v>
      </c>
      <c r="N350" s="9" t="s">
        <v>49</v>
      </c>
      <c r="Q350" s="9">
        <f>IF(Auction_Sales[[#This Row],[Payment Date]]=0,"",-1+WEEKNUM(Auction_Sales[[#This Row],[Payment Date]]))</f>
        <v>8</v>
      </c>
      <c r="R350" s="9">
        <v>0</v>
      </c>
      <c r="S350" s="9" t="s">
        <v>157</v>
      </c>
      <c r="T350" s="9" t="s">
        <v>48</v>
      </c>
      <c r="U350" s="9">
        <v>200</v>
      </c>
      <c r="V350" s="13">
        <v>0.79</v>
      </c>
      <c r="W350" s="13">
        <v>158</v>
      </c>
      <c r="X350" s="14">
        <v>-8.3980066445182633</v>
      </c>
      <c r="Y350" s="13">
        <v>149.60199335548174</v>
      </c>
      <c r="Z350" s="10">
        <v>45350</v>
      </c>
      <c r="AA350" s="9">
        <v>0</v>
      </c>
      <c r="AC350" s="9" t="s">
        <v>76</v>
      </c>
      <c r="AD350" s="14">
        <v>17.681313131313132</v>
      </c>
      <c r="AF350" s="14">
        <v>4</v>
      </c>
      <c r="AH350" s="14">
        <v>21.681313131313132</v>
      </c>
      <c r="AI350" s="13">
        <v>127.92068022416861</v>
      </c>
      <c r="AK350" s="9">
        <v>200</v>
      </c>
    </row>
    <row r="351" spans="1:37">
      <c r="A351" s="9">
        <v>8</v>
      </c>
      <c r="B351" s="9">
        <v>2024</v>
      </c>
      <c r="C351" s="9" t="s">
        <v>46</v>
      </c>
      <c r="D351" s="9" t="s">
        <v>47</v>
      </c>
      <c r="E351" s="9" t="s">
        <v>47</v>
      </c>
      <c r="F351" s="10">
        <v>45341</v>
      </c>
      <c r="G351" s="9" t="s">
        <v>157</v>
      </c>
      <c r="H351" s="9" t="s">
        <v>52</v>
      </c>
      <c r="J351" s="9">
        <v>4.3636363636363633</v>
      </c>
      <c r="K351" s="9">
        <v>160</v>
      </c>
      <c r="L351" s="9">
        <v>0.28000000000000003</v>
      </c>
      <c r="M351" s="9">
        <v>44.8</v>
      </c>
      <c r="N351" s="9" t="s">
        <v>49</v>
      </c>
      <c r="Q351" s="9">
        <f>IF(Auction_Sales[[#This Row],[Payment Date]]=0,"",-1+WEEKNUM(Auction_Sales[[#This Row],[Payment Date]]))</f>
        <v>8</v>
      </c>
      <c r="R351" s="9">
        <v>0</v>
      </c>
      <c r="S351" s="9" t="s">
        <v>157</v>
      </c>
      <c r="T351" s="9" t="s">
        <v>52</v>
      </c>
      <c r="U351" s="9">
        <v>160</v>
      </c>
      <c r="V351" s="13">
        <v>0.79</v>
      </c>
      <c r="W351" s="13">
        <v>126.4</v>
      </c>
      <c r="X351" s="14">
        <v>-6.7184053156146115</v>
      </c>
      <c r="Y351" s="13">
        <v>119.68159468438539</v>
      </c>
      <c r="Z351" s="10">
        <v>45350</v>
      </c>
      <c r="AA351" s="9">
        <v>0</v>
      </c>
      <c r="AC351" s="9" t="s">
        <v>76</v>
      </c>
      <c r="AD351" s="14">
        <v>14.145050505050504</v>
      </c>
      <c r="AF351" s="14">
        <v>3.2</v>
      </c>
      <c r="AH351" s="14">
        <v>17.345050505050505</v>
      </c>
      <c r="AI351" s="13">
        <v>102.33654417933488</v>
      </c>
      <c r="AK351" s="9">
        <v>160</v>
      </c>
    </row>
    <row r="352" spans="1:37">
      <c r="A352" s="9">
        <v>8</v>
      </c>
      <c r="B352" s="9">
        <v>2024</v>
      </c>
      <c r="C352" s="9" t="s">
        <v>46</v>
      </c>
      <c r="D352" s="9" t="s">
        <v>47</v>
      </c>
      <c r="E352" s="9" t="s">
        <v>47</v>
      </c>
      <c r="F352" s="10">
        <v>45341</v>
      </c>
      <c r="G352" s="9" t="s">
        <v>157</v>
      </c>
      <c r="H352" s="9" t="s">
        <v>56</v>
      </c>
      <c r="J352" s="9">
        <v>1.0909090909090908</v>
      </c>
      <c r="K352" s="9">
        <v>40</v>
      </c>
      <c r="L352" s="9">
        <v>0.38</v>
      </c>
      <c r="M352" s="9">
        <v>15.2</v>
      </c>
      <c r="N352" s="9" t="s">
        <v>49</v>
      </c>
      <c r="Q352" s="9">
        <f>IF(Auction_Sales[[#This Row],[Payment Date]]=0,"",-1+WEEKNUM(Auction_Sales[[#This Row],[Payment Date]]))</f>
        <v>8</v>
      </c>
      <c r="R352" s="9">
        <v>0</v>
      </c>
      <c r="S352" s="9" t="s">
        <v>157</v>
      </c>
      <c r="T352" s="9" t="s">
        <v>56</v>
      </c>
      <c r="U352" s="9">
        <v>40</v>
      </c>
      <c r="V352" s="13">
        <v>0.85</v>
      </c>
      <c r="W352" s="13">
        <v>34</v>
      </c>
      <c r="X352" s="14">
        <v>-1.6796013289036529</v>
      </c>
      <c r="Y352" s="13">
        <v>32.320398671096349</v>
      </c>
      <c r="Z352" s="10">
        <v>45350</v>
      </c>
      <c r="AA352" s="9">
        <v>0</v>
      </c>
      <c r="AC352" s="9" t="s">
        <v>76</v>
      </c>
      <c r="AD352" s="14">
        <v>3.536262626262626</v>
      </c>
      <c r="AF352" s="14">
        <v>0.8</v>
      </c>
      <c r="AH352" s="14">
        <v>4.3362626262626263</v>
      </c>
      <c r="AI352" s="13">
        <v>27.984136044833722</v>
      </c>
      <c r="AK352" s="9">
        <v>40</v>
      </c>
    </row>
    <row r="353" spans="1:37">
      <c r="A353" s="9">
        <v>8</v>
      </c>
      <c r="B353" s="9">
        <v>2024</v>
      </c>
      <c r="C353" s="9" t="s">
        <v>46</v>
      </c>
      <c r="D353" s="9" t="s">
        <v>47</v>
      </c>
      <c r="E353" s="9" t="s">
        <v>47</v>
      </c>
      <c r="F353" s="10">
        <v>45342</v>
      </c>
      <c r="G353" s="9" t="s">
        <v>155</v>
      </c>
      <c r="H353" s="9" t="s">
        <v>51</v>
      </c>
      <c r="I353" s="9">
        <v>1</v>
      </c>
      <c r="J353" s="9">
        <v>12</v>
      </c>
      <c r="K353" s="9">
        <v>600</v>
      </c>
      <c r="L353" s="9">
        <v>0.38</v>
      </c>
      <c r="M353" s="9">
        <v>228</v>
      </c>
      <c r="N353" s="9" t="s">
        <v>49</v>
      </c>
      <c r="Q353" s="9">
        <f>IF(Auction_Sales[[#This Row],[Payment Date]]=0,"",-1+WEEKNUM(Auction_Sales[[#This Row],[Payment Date]]))</f>
        <v>8</v>
      </c>
      <c r="R353" s="9">
        <v>-440</v>
      </c>
      <c r="S353" s="9" t="s">
        <v>155</v>
      </c>
      <c r="T353" s="9" t="s">
        <v>51</v>
      </c>
      <c r="U353" s="9">
        <v>1040</v>
      </c>
      <c r="V353" s="13">
        <v>0.56999999999999995</v>
      </c>
      <c r="W353" s="13">
        <v>592.79999999999995</v>
      </c>
      <c r="X353" s="14">
        <v>-46.660823529411715</v>
      </c>
      <c r="Y353" s="13">
        <v>546.13917647058827</v>
      </c>
      <c r="Z353" s="10">
        <v>45350</v>
      </c>
      <c r="AA353" s="9">
        <v>440</v>
      </c>
      <c r="AC353" s="9" t="s">
        <v>77</v>
      </c>
      <c r="AD353" s="14">
        <v>43.1</v>
      </c>
      <c r="AF353" s="14">
        <v>20.8</v>
      </c>
      <c r="AH353" s="14">
        <v>63.900000000000006</v>
      </c>
      <c r="AI353" s="13">
        <v>482.23917647058829</v>
      </c>
      <c r="AK353" s="9">
        <v>1040</v>
      </c>
    </row>
    <row r="354" spans="1:37">
      <c r="A354" s="9">
        <v>8</v>
      </c>
      <c r="B354" s="9">
        <v>2024</v>
      </c>
      <c r="C354" s="9" t="s">
        <v>46</v>
      </c>
      <c r="D354" s="9" t="s">
        <v>47</v>
      </c>
      <c r="E354" s="9" t="s">
        <v>47</v>
      </c>
      <c r="F354" s="10">
        <v>45342</v>
      </c>
      <c r="G354" s="9" t="s">
        <v>155</v>
      </c>
      <c r="H354" s="9" t="s">
        <v>48</v>
      </c>
      <c r="I354" s="9">
        <v>1</v>
      </c>
      <c r="J354" s="9">
        <v>12</v>
      </c>
      <c r="K354" s="9">
        <v>520</v>
      </c>
      <c r="L354" s="9">
        <v>0.47</v>
      </c>
      <c r="M354" s="9">
        <v>244.4</v>
      </c>
      <c r="N354" s="9" t="s">
        <v>49</v>
      </c>
      <c r="Q354" s="9">
        <f>IF(Auction_Sales[[#This Row],[Payment Date]]=0,"",-1+WEEKNUM(Auction_Sales[[#This Row],[Payment Date]]))</f>
        <v>8</v>
      </c>
      <c r="R354" s="9">
        <v>-360</v>
      </c>
      <c r="S354" s="9" t="s">
        <v>155</v>
      </c>
      <c r="T354" s="9" t="s">
        <v>48</v>
      </c>
      <c r="U354" s="9">
        <v>880</v>
      </c>
      <c r="V354" s="13">
        <v>0.75136363636363646</v>
      </c>
      <c r="W354" s="13">
        <v>661.2</v>
      </c>
      <c r="X354" s="14">
        <v>-39.482235294117608</v>
      </c>
      <c r="Y354" s="13">
        <v>621.71776470588247</v>
      </c>
      <c r="Z354" s="10">
        <v>45350</v>
      </c>
      <c r="AA354" s="9">
        <v>360</v>
      </c>
      <c r="AC354" s="9" t="s">
        <v>77</v>
      </c>
      <c r="AD354" s="14">
        <v>43.1</v>
      </c>
      <c r="AF354" s="14">
        <v>17.600000000000001</v>
      </c>
      <c r="AH354" s="14">
        <v>60.7</v>
      </c>
      <c r="AI354" s="13">
        <v>561.01776470588243</v>
      </c>
      <c r="AK354" s="9">
        <v>880</v>
      </c>
    </row>
    <row r="355" spans="1:37">
      <c r="A355" s="9">
        <v>8</v>
      </c>
      <c r="B355" s="9">
        <v>2024</v>
      </c>
      <c r="C355" s="9" t="s">
        <v>46</v>
      </c>
      <c r="D355" s="9" t="s">
        <v>47</v>
      </c>
      <c r="E355" s="9" t="s">
        <v>47</v>
      </c>
      <c r="F355" s="10">
        <v>45342</v>
      </c>
      <c r="G355" s="9" t="s">
        <v>154</v>
      </c>
      <c r="H355" s="9" t="s">
        <v>51</v>
      </c>
      <c r="I355" s="9">
        <v>1</v>
      </c>
      <c r="J355" s="9">
        <v>12</v>
      </c>
      <c r="K355" s="9">
        <v>520</v>
      </c>
      <c r="L355" s="9">
        <v>0.38</v>
      </c>
      <c r="M355" s="9">
        <v>197.6</v>
      </c>
      <c r="N355" s="9" t="s">
        <v>49</v>
      </c>
      <c r="Q355" s="9">
        <f>IF(Auction_Sales[[#This Row],[Payment Date]]=0,"",-1+WEEKNUM(Auction_Sales[[#This Row],[Payment Date]]))</f>
        <v>8</v>
      </c>
      <c r="R355" s="9">
        <v>-40</v>
      </c>
      <c r="S355" s="9" t="s">
        <v>154</v>
      </c>
      <c r="T355" s="9" t="s">
        <v>51</v>
      </c>
      <c r="U355" s="9">
        <v>560</v>
      </c>
      <c r="V355" s="13">
        <v>0.29642857142857143</v>
      </c>
      <c r="W355" s="13">
        <v>166</v>
      </c>
      <c r="X355" s="14">
        <v>-25.125058823529386</v>
      </c>
      <c r="Y355" s="13">
        <v>140.8749411764706</v>
      </c>
      <c r="Z355" s="10">
        <v>45350</v>
      </c>
      <c r="AA355" s="9">
        <v>40</v>
      </c>
      <c r="AC355" s="9" t="s">
        <v>77</v>
      </c>
      <c r="AD355" s="14">
        <v>43.1</v>
      </c>
      <c r="AF355" s="14">
        <v>11.200000000000001</v>
      </c>
      <c r="AH355" s="14">
        <v>54.300000000000004</v>
      </c>
      <c r="AI355" s="13">
        <v>86.574941176470588</v>
      </c>
      <c r="AK355" s="9">
        <v>560</v>
      </c>
    </row>
    <row r="356" spans="1:37">
      <c r="A356" s="9">
        <v>8</v>
      </c>
      <c r="B356" s="9">
        <v>2024</v>
      </c>
      <c r="C356" s="9" t="s">
        <v>46</v>
      </c>
      <c r="D356" s="9" t="s">
        <v>47</v>
      </c>
      <c r="E356" s="9" t="s">
        <v>47</v>
      </c>
      <c r="F356" s="10">
        <v>45342</v>
      </c>
      <c r="G356" s="9" t="s">
        <v>154</v>
      </c>
      <c r="H356" s="9" t="s">
        <v>48</v>
      </c>
      <c r="I356" s="9">
        <v>1</v>
      </c>
      <c r="J356" s="9">
        <v>12</v>
      </c>
      <c r="K356" s="9">
        <v>480</v>
      </c>
      <c r="L356" s="9">
        <v>0.47</v>
      </c>
      <c r="M356" s="9">
        <v>225.6</v>
      </c>
      <c r="N356" s="9" t="s">
        <v>49</v>
      </c>
      <c r="Q356" s="9">
        <f>IF(Auction_Sales[[#This Row],[Payment Date]]=0,"",-1+WEEKNUM(Auction_Sales[[#This Row],[Payment Date]]))</f>
        <v>8</v>
      </c>
      <c r="R356" s="9">
        <v>-320</v>
      </c>
      <c r="S356" s="9" t="s">
        <v>154</v>
      </c>
      <c r="T356" s="9" t="s">
        <v>48</v>
      </c>
      <c r="U356" s="9">
        <v>800</v>
      </c>
      <c r="V356" s="13">
        <v>0.38900000000000001</v>
      </c>
      <c r="W356" s="13">
        <v>311.2</v>
      </c>
      <c r="X356" s="14">
        <v>-35.892941176470551</v>
      </c>
      <c r="Y356" s="13">
        <v>275.30705882352942</v>
      </c>
      <c r="Z356" s="10">
        <v>45350</v>
      </c>
      <c r="AA356" s="9">
        <v>320</v>
      </c>
      <c r="AC356" s="9" t="s">
        <v>77</v>
      </c>
      <c r="AD356" s="14">
        <v>43.1</v>
      </c>
      <c r="AF356" s="14">
        <v>16</v>
      </c>
      <c r="AH356" s="14">
        <v>59.1</v>
      </c>
      <c r="AI356" s="13">
        <v>216.20705882352942</v>
      </c>
      <c r="AK356" s="9">
        <v>800</v>
      </c>
    </row>
    <row r="357" spans="1:37">
      <c r="A357" s="9">
        <v>8</v>
      </c>
      <c r="B357" s="9">
        <v>2024</v>
      </c>
      <c r="C357" s="9" t="s">
        <v>46</v>
      </c>
      <c r="D357" s="9" t="s">
        <v>47</v>
      </c>
      <c r="E357" s="9" t="s">
        <v>47</v>
      </c>
      <c r="F357" s="10">
        <v>45342</v>
      </c>
      <c r="G357" s="9" t="s">
        <v>154</v>
      </c>
      <c r="H357" s="9" t="s">
        <v>52</v>
      </c>
      <c r="I357" s="9">
        <v>1</v>
      </c>
      <c r="J357" s="9">
        <v>12</v>
      </c>
      <c r="K357" s="9">
        <v>400</v>
      </c>
      <c r="L357" s="9">
        <v>0.52</v>
      </c>
      <c r="M357" s="9">
        <v>208</v>
      </c>
      <c r="N357" s="9" t="s">
        <v>49</v>
      </c>
      <c r="Q357" s="9">
        <f>IF(Auction_Sales[[#This Row],[Payment Date]]=0,"",-1+WEEKNUM(Auction_Sales[[#This Row],[Payment Date]]))</f>
        <v>8</v>
      </c>
      <c r="R357" s="9">
        <v>-80</v>
      </c>
      <c r="S357" s="9" t="s">
        <v>154</v>
      </c>
      <c r="T357" s="9" t="s">
        <v>52</v>
      </c>
      <c r="U357" s="9">
        <v>480</v>
      </c>
      <c r="V357" s="13">
        <v>0.53</v>
      </c>
      <c r="W357" s="13">
        <v>254.4</v>
      </c>
      <c r="X357" s="14">
        <v>-21.535764705882329</v>
      </c>
      <c r="Y357" s="13">
        <v>232.86423529411769</v>
      </c>
      <c r="Z357" s="10">
        <v>45350</v>
      </c>
      <c r="AA357" s="9">
        <v>80</v>
      </c>
      <c r="AC357" s="9" t="s">
        <v>77</v>
      </c>
      <c r="AD357" s="14">
        <v>43.1</v>
      </c>
      <c r="AF357" s="14">
        <v>9.6</v>
      </c>
      <c r="AH357" s="14">
        <v>52.7</v>
      </c>
      <c r="AI357" s="13">
        <v>180.1642352941177</v>
      </c>
      <c r="AK357" s="9">
        <v>480</v>
      </c>
    </row>
    <row r="358" spans="1:37">
      <c r="A358" s="9">
        <v>8</v>
      </c>
      <c r="B358" s="9">
        <v>2024</v>
      </c>
      <c r="C358" s="9" t="s">
        <v>46</v>
      </c>
      <c r="D358" s="9" t="s">
        <v>47</v>
      </c>
      <c r="E358" s="9" t="s">
        <v>47</v>
      </c>
      <c r="F358" s="10">
        <v>45342</v>
      </c>
      <c r="G358" s="9" t="s">
        <v>154</v>
      </c>
      <c r="H358" s="9" t="s">
        <v>56</v>
      </c>
      <c r="I358" s="9">
        <v>1</v>
      </c>
      <c r="J358" s="9">
        <v>12</v>
      </c>
      <c r="K358" s="9">
        <v>240</v>
      </c>
      <c r="L358" s="9">
        <v>0.75</v>
      </c>
      <c r="M358" s="9">
        <v>180</v>
      </c>
      <c r="N358" s="9" t="s">
        <v>49</v>
      </c>
      <c r="Q358" s="9">
        <f>IF(Auction_Sales[[#This Row],[Payment Date]]=0,"",-1+WEEKNUM(Auction_Sales[[#This Row],[Payment Date]]))</f>
        <v>8</v>
      </c>
      <c r="R358" s="9">
        <v>-80</v>
      </c>
      <c r="S358" s="9" t="s">
        <v>154</v>
      </c>
      <c r="T358" s="9" t="s">
        <v>56</v>
      </c>
      <c r="U358" s="9">
        <v>320</v>
      </c>
      <c r="V358" s="13">
        <v>0.45</v>
      </c>
      <c r="W358" s="13">
        <v>144</v>
      </c>
      <c r="X358" s="14">
        <v>-14.35717647058822</v>
      </c>
      <c r="Y358" s="13">
        <v>129.64282352941177</v>
      </c>
      <c r="Z358" s="10">
        <v>45350</v>
      </c>
      <c r="AA358" s="9">
        <v>80</v>
      </c>
      <c r="AC358" s="9" t="s">
        <v>77</v>
      </c>
      <c r="AD358" s="14">
        <v>43.1</v>
      </c>
      <c r="AF358" s="14">
        <v>6.4</v>
      </c>
      <c r="AH358" s="14">
        <v>49.5</v>
      </c>
      <c r="AI358" s="13">
        <v>80.142823529411771</v>
      </c>
      <c r="AK358" s="9">
        <v>320</v>
      </c>
    </row>
    <row r="359" spans="1:37">
      <c r="A359" s="9">
        <v>8</v>
      </c>
      <c r="B359" s="9">
        <v>2024</v>
      </c>
      <c r="C359" s="9" t="s">
        <v>46</v>
      </c>
      <c r="D359" s="9" t="s">
        <v>47</v>
      </c>
      <c r="E359" s="9" t="s">
        <v>47</v>
      </c>
      <c r="F359" s="10">
        <v>45342</v>
      </c>
      <c r="G359" s="9" t="s">
        <v>154</v>
      </c>
      <c r="H359" s="9" t="s">
        <v>57</v>
      </c>
      <c r="I359" s="9">
        <v>1</v>
      </c>
      <c r="J359" s="9">
        <v>12</v>
      </c>
      <c r="K359" s="9">
        <v>200</v>
      </c>
      <c r="L359" s="9">
        <v>0.94</v>
      </c>
      <c r="M359" s="9">
        <v>188</v>
      </c>
      <c r="N359" s="9" t="s">
        <v>49</v>
      </c>
      <c r="Q359" s="9">
        <f>IF(Auction_Sales[[#This Row],[Payment Date]]=0,"",-1+WEEKNUM(Auction_Sales[[#This Row],[Payment Date]]))</f>
        <v>8</v>
      </c>
      <c r="R359" s="9">
        <v>-120</v>
      </c>
      <c r="S359" s="9" t="s">
        <v>154</v>
      </c>
      <c r="T359" s="9" t="s">
        <v>57</v>
      </c>
      <c r="U359" s="9">
        <v>320</v>
      </c>
      <c r="V359" s="13">
        <v>0.42374999999999996</v>
      </c>
      <c r="W359" s="13">
        <v>135.6</v>
      </c>
      <c r="X359" s="14">
        <v>-14.35717647058822</v>
      </c>
      <c r="Y359" s="13">
        <v>121.24282352941178</v>
      </c>
      <c r="Z359" s="10">
        <v>45350</v>
      </c>
      <c r="AA359" s="9">
        <v>120</v>
      </c>
      <c r="AC359" s="9" t="s">
        <v>77</v>
      </c>
      <c r="AD359" s="14">
        <v>43.1</v>
      </c>
      <c r="AF359" s="14">
        <v>6.4</v>
      </c>
      <c r="AH359" s="14">
        <v>49.5</v>
      </c>
      <c r="AI359" s="13">
        <v>71.74282352941178</v>
      </c>
      <c r="AK359" s="9">
        <v>320</v>
      </c>
    </row>
    <row r="360" spans="1:37">
      <c r="A360" s="9">
        <v>8</v>
      </c>
      <c r="B360" s="9">
        <v>2024</v>
      </c>
      <c r="C360" s="9" t="s">
        <v>46</v>
      </c>
      <c r="D360" s="9" t="s">
        <v>47</v>
      </c>
      <c r="E360" s="9" t="s">
        <v>47</v>
      </c>
      <c r="F360" s="10">
        <v>45342</v>
      </c>
      <c r="G360" s="9" t="s">
        <v>154</v>
      </c>
      <c r="H360" s="9" t="s">
        <v>57</v>
      </c>
      <c r="I360" s="9">
        <v>1</v>
      </c>
      <c r="J360" s="9">
        <v>12</v>
      </c>
      <c r="K360" s="9">
        <v>160</v>
      </c>
      <c r="L360" s="9">
        <v>0.94</v>
      </c>
      <c r="M360" s="9">
        <v>150.4</v>
      </c>
      <c r="N360" s="9" t="s">
        <v>49</v>
      </c>
      <c r="Q360" s="9">
        <f>IF(Auction_Sales[[#This Row],[Payment Date]]=0,"",-1+WEEKNUM(Auction_Sales[[#This Row],[Payment Date]]))</f>
        <v>8</v>
      </c>
      <c r="R360" s="9">
        <v>160</v>
      </c>
      <c r="S360" s="9" t="s">
        <v>154</v>
      </c>
      <c r="T360" s="9" t="s">
        <v>57</v>
      </c>
      <c r="W360" s="13">
        <v>0</v>
      </c>
      <c r="X360" s="14">
        <v>0</v>
      </c>
      <c r="Y360" s="13">
        <v>0</v>
      </c>
      <c r="Z360" s="10">
        <v>45350</v>
      </c>
      <c r="AA360" s="9">
        <v>-160</v>
      </c>
      <c r="AC360" s="9" t="s">
        <v>77</v>
      </c>
      <c r="AD360" s="14">
        <v>43.1</v>
      </c>
      <c r="AF360" s="14">
        <v>0</v>
      </c>
      <c r="AH360" s="14">
        <v>43.1</v>
      </c>
      <c r="AI360" s="13">
        <v>-43.1</v>
      </c>
      <c r="AK360" s="9">
        <v>0</v>
      </c>
    </row>
    <row r="361" spans="1:37">
      <c r="A361" s="9">
        <v>8</v>
      </c>
      <c r="B361" s="9">
        <v>2024</v>
      </c>
      <c r="C361" s="9" t="s">
        <v>46</v>
      </c>
      <c r="D361" s="9" t="s">
        <v>47</v>
      </c>
      <c r="E361" s="9" t="s">
        <v>47</v>
      </c>
      <c r="F361" s="10">
        <v>45342</v>
      </c>
      <c r="G361" s="9" t="s">
        <v>155</v>
      </c>
      <c r="H361" s="9" t="s">
        <v>51</v>
      </c>
      <c r="I361" s="9">
        <v>1</v>
      </c>
      <c r="J361" s="9">
        <v>6.3157894736842106</v>
      </c>
      <c r="K361" s="9">
        <v>400</v>
      </c>
      <c r="L361" s="9">
        <v>0.38</v>
      </c>
      <c r="M361" s="9">
        <v>152</v>
      </c>
      <c r="N361" s="9" t="s">
        <v>49</v>
      </c>
      <c r="Q361" s="9">
        <f>IF(Auction_Sales[[#This Row],[Payment Date]]=0,"",-1+WEEKNUM(Auction_Sales[[#This Row],[Payment Date]]))</f>
        <v>8</v>
      </c>
      <c r="R361" s="9">
        <v>400</v>
      </c>
      <c r="S361" s="9" t="s">
        <v>155</v>
      </c>
      <c r="T361" s="9" t="s">
        <v>51</v>
      </c>
      <c r="W361" s="13">
        <v>0</v>
      </c>
      <c r="X361" s="14">
        <v>0</v>
      </c>
      <c r="Y361" s="13">
        <v>0</v>
      </c>
      <c r="Z361" s="10">
        <v>45350</v>
      </c>
      <c r="AA361" s="9">
        <v>-400</v>
      </c>
      <c r="AC361" s="9" t="s">
        <v>77</v>
      </c>
      <c r="AD361" s="14">
        <v>22.684210526315788</v>
      </c>
      <c r="AF361" s="14">
        <v>0</v>
      </c>
      <c r="AH361" s="14">
        <v>22.684210526315788</v>
      </c>
      <c r="AI361" s="13">
        <v>-22.684210526315788</v>
      </c>
      <c r="AK361" s="9">
        <v>0</v>
      </c>
    </row>
    <row r="362" spans="1:37">
      <c r="A362" s="9">
        <v>8</v>
      </c>
      <c r="B362" s="9">
        <v>2024</v>
      </c>
      <c r="C362" s="9" t="s">
        <v>46</v>
      </c>
      <c r="D362" s="9" t="s">
        <v>47</v>
      </c>
      <c r="E362" s="9" t="s">
        <v>47</v>
      </c>
      <c r="F362" s="10">
        <v>45342</v>
      </c>
      <c r="G362" s="9" t="s">
        <v>155</v>
      </c>
      <c r="H362" s="9" t="s">
        <v>48</v>
      </c>
      <c r="J362" s="9">
        <v>5.6842105263157894</v>
      </c>
      <c r="K362" s="9">
        <v>360</v>
      </c>
      <c r="L362" s="9">
        <v>0.47</v>
      </c>
      <c r="M362" s="9">
        <v>169.2</v>
      </c>
      <c r="N362" s="9" t="s">
        <v>49</v>
      </c>
      <c r="Q362" s="9">
        <f>IF(Auction_Sales[[#This Row],[Payment Date]]=0,"",-1+WEEKNUM(Auction_Sales[[#This Row],[Payment Date]]))</f>
        <v>8</v>
      </c>
      <c r="R362" s="9">
        <v>360</v>
      </c>
      <c r="S362" s="9" t="s">
        <v>155</v>
      </c>
      <c r="T362" s="9" t="s">
        <v>48</v>
      </c>
      <c r="W362" s="13">
        <v>0</v>
      </c>
      <c r="X362" s="14">
        <v>0</v>
      </c>
      <c r="Y362" s="13">
        <v>0</v>
      </c>
      <c r="Z362" s="10">
        <v>45350</v>
      </c>
      <c r="AA362" s="9">
        <v>-360</v>
      </c>
      <c r="AC362" s="9" t="s">
        <v>77</v>
      </c>
      <c r="AD362" s="14">
        <v>20.41578947368421</v>
      </c>
      <c r="AF362" s="14">
        <v>0</v>
      </c>
      <c r="AH362" s="14">
        <v>20.41578947368421</v>
      </c>
      <c r="AI362" s="13">
        <v>-20.41578947368421</v>
      </c>
      <c r="AK362" s="9">
        <v>0</v>
      </c>
    </row>
    <row r="363" spans="1:37">
      <c r="A363" s="9">
        <v>8</v>
      </c>
      <c r="B363" s="9">
        <v>2024</v>
      </c>
      <c r="C363" s="9" t="s">
        <v>46</v>
      </c>
      <c r="D363" s="9" t="s">
        <v>47</v>
      </c>
      <c r="E363" s="9" t="s">
        <v>47</v>
      </c>
      <c r="F363" s="10">
        <v>45342</v>
      </c>
      <c r="G363" s="9" t="s">
        <v>155</v>
      </c>
      <c r="H363" s="9" t="s">
        <v>52</v>
      </c>
      <c r="I363" s="9">
        <v>1</v>
      </c>
      <c r="J363" s="9">
        <v>7.5</v>
      </c>
      <c r="K363" s="9">
        <v>200</v>
      </c>
      <c r="L363" s="9">
        <v>0.52</v>
      </c>
      <c r="M363" s="9">
        <v>104</v>
      </c>
      <c r="N363" s="9" t="s">
        <v>49</v>
      </c>
      <c r="Q363" s="9">
        <f>IF(Auction_Sales[[#This Row],[Payment Date]]=0,"",-1+WEEKNUM(Auction_Sales[[#This Row],[Payment Date]]))</f>
        <v>8</v>
      </c>
      <c r="R363" s="9">
        <v>0</v>
      </c>
      <c r="S363" s="9" t="s">
        <v>155</v>
      </c>
      <c r="T363" s="9" t="s">
        <v>52</v>
      </c>
      <c r="U363" s="9">
        <v>200</v>
      </c>
      <c r="V363" s="13">
        <v>0.59399999999999997</v>
      </c>
      <c r="W363" s="13">
        <v>118.8</v>
      </c>
      <c r="X363" s="14">
        <v>-8.9732352941176377</v>
      </c>
      <c r="Y363" s="13">
        <v>109.82676470588235</v>
      </c>
      <c r="Z363" s="10">
        <v>45350</v>
      </c>
      <c r="AA363" s="9">
        <v>0</v>
      </c>
      <c r="AC363" s="9" t="s">
        <v>77</v>
      </c>
      <c r="AD363" s="14">
        <v>26.9375</v>
      </c>
      <c r="AF363" s="14">
        <v>4</v>
      </c>
      <c r="AH363" s="14">
        <v>30.9375</v>
      </c>
      <c r="AI363" s="13">
        <v>78.889264705882354</v>
      </c>
      <c r="AK363" s="9">
        <v>200</v>
      </c>
    </row>
    <row r="364" spans="1:37">
      <c r="A364" s="9">
        <v>8</v>
      </c>
      <c r="B364" s="9">
        <v>2024</v>
      </c>
      <c r="C364" s="9" t="s">
        <v>46</v>
      </c>
      <c r="D364" s="9" t="s">
        <v>47</v>
      </c>
      <c r="E364" s="9" t="s">
        <v>47</v>
      </c>
      <c r="F364" s="10">
        <v>45342</v>
      </c>
      <c r="G364" s="9" t="s">
        <v>155</v>
      </c>
      <c r="H364" s="9" t="s">
        <v>56</v>
      </c>
      <c r="J364" s="9">
        <v>4.5</v>
      </c>
      <c r="K364" s="9">
        <v>120</v>
      </c>
      <c r="L364" s="9">
        <v>0.75</v>
      </c>
      <c r="M364" s="9">
        <v>90</v>
      </c>
      <c r="N364" s="9" t="s">
        <v>49</v>
      </c>
      <c r="Q364" s="9">
        <f>IF(Auction_Sales[[#This Row],[Payment Date]]=0,"",-1+WEEKNUM(Auction_Sales[[#This Row],[Payment Date]]))</f>
        <v>8</v>
      </c>
      <c r="R364" s="9">
        <v>0</v>
      </c>
      <c r="S364" s="9" t="s">
        <v>155</v>
      </c>
      <c r="T364" s="9" t="s">
        <v>56</v>
      </c>
      <c r="U364" s="9">
        <v>120</v>
      </c>
      <c r="V364" s="13">
        <v>0.69</v>
      </c>
      <c r="W364" s="13">
        <v>82.8</v>
      </c>
      <c r="X364" s="14">
        <v>-5.3839411764705822</v>
      </c>
      <c r="Y364" s="13">
        <v>77.416058823529411</v>
      </c>
      <c r="Z364" s="10">
        <v>45350</v>
      </c>
      <c r="AA364" s="9">
        <v>0</v>
      </c>
      <c r="AC364" s="9" t="s">
        <v>77</v>
      </c>
      <c r="AD364" s="14">
        <v>16.162500000000001</v>
      </c>
      <c r="AF364" s="14">
        <v>2.4</v>
      </c>
      <c r="AH364" s="14">
        <v>18.5625</v>
      </c>
      <c r="AI364" s="13">
        <v>58.853558823529411</v>
      </c>
      <c r="AK364" s="9">
        <v>120</v>
      </c>
    </row>
    <row r="365" spans="1:37">
      <c r="A365" s="9">
        <v>8</v>
      </c>
      <c r="B365" s="9">
        <v>2024</v>
      </c>
      <c r="C365" s="9" t="s">
        <v>46</v>
      </c>
      <c r="D365" s="9" t="s">
        <v>47</v>
      </c>
      <c r="E365" s="9" t="s">
        <v>47</v>
      </c>
      <c r="F365" s="10">
        <v>45342</v>
      </c>
      <c r="G365" s="9" t="s">
        <v>153</v>
      </c>
      <c r="H365" s="9" t="s">
        <v>51</v>
      </c>
      <c r="I365" s="9">
        <v>1</v>
      </c>
      <c r="J365" s="9">
        <v>3.3333333333333335</v>
      </c>
      <c r="K365" s="9">
        <v>200</v>
      </c>
      <c r="L365" s="9">
        <v>0.14000000000000001</v>
      </c>
      <c r="M365" s="9">
        <v>28</v>
      </c>
      <c r="N365" s="9" t="s">
        <v>49</v>
      </c>
      <c r="Q365" s="9">
        <f>IF(Auction_Sales[[#This Row],[Payment Date]]=0,"",-1+WEEKNUM(Auction_Sales[[#This Row],[Payment Date]]))</f>
        <v>8</v>
      </c>
      <c r="R365" s="9">
        <v>0</v>
      </c>
      <c r="S365" s="9" t="s">
        <v>153</v>
      </c>
      <c r="T365" s="9" t="s">
        <v>51</v>
      </c>
      <c r="U365" s="9">
        <v>200</v>
      </c>
      <c r="V365" s="13">
        <v>0.23199999999999998</v>
      </c>
      <c r="W365" s="13">
        <v>46.4</v>
      </c>
      <c r="X365" s="14">
        <v>-8.9732352941176377</v>
      </c>
      <c r="Y365" s="13">
        <v>37.426764705882363</v>
      </c>
      <c r="Z365" s="10">
        <v>45350</v>
      </c>
      <c r="AA365" s="9">
        <v>0</v>
      </c>
      <c r="AC365" s="9" t="s">
        <v>77</v>
      </c>
      <c r="AD365" s="14">
        <v>11.972222222222223</v>
      </c>
      <c r="AF365" s="14">
        <v>4</v>
      </c>
      <c r="AH365" s="14">
        <v>15.972222222222223</v>
      </c>
      <c r="AI365" s="13">
        <v>21.454542483660141</v>
      </c>
      <c r="AK365" s="9">
        <v>200</v>
      </c>
    </row>
    <row r="366" spans="1:37">
      <c r="A366" s="9">
        <v>8</v>
      </c>
      <c r="B366" s="9">
        <v>2024</v>
      </c>
      <c r="C366" s="9" t="s">
        <v>46</v>
      </c>
      <c r="D366" s="9" t="s">
        <v>47</v>
      </c>
      <c r="E366" s="9" t="s">
        <v>47</v>
      </c>
      <c r="F366" s="10">
        <v>45342</v>
      </c>
      <c r="G366" s="9" t="s">
        <v>153</v>
      </c>
      <c r="H366" s="9" t="s">
        <v>48</v>
      </c>
      <c r="J366" s="9">
        <v>8.6666666666666661</v>
      </c>
      <c r="K366" s="9">
        <v>520</v>
      </c>
      <c r="L366" s="9">
        <v>0.24</v>
      </c>
      <c r="M366" s="9">
        <v>124.8</v>
      </c>
      <c r="N366" s="9" t="s">
        <v>49</v>
      </c>
      <c r="Q366" s="9">
        <f>IF(Auction_Sales[[#This Row],[Payment Date]]=0,"",-1+WEEKNUM(Auction_Sales[[#This Row],[Payment Date]]))</f>
        <v>8</v>
      </c>
      <c r="R366" s="9">
        <v>0</v>
      </c>
      <c r="S366" s="9" t="s">
        <v>153</v>
      </c>
      <c r="T366" s="9" t="s">
        <v>48</v>
      </c>
      <c r="U366" s="9">
        <v>520</v>
      </c>
      <c r="V366" s="13">
        <v>0.41230769230769232</v>
      </c>
      <c r="W366" s="13">
        <v>214.4</v>
      </c>
      <c r="X366" s="14">
        <v>-23.330411764705858</v>
      </c>
      <c r="Y366" s="13">
        <v>191.06958823529413</v>
      </c>
      <c r="Z366" s="10">
        <v>45350</v>
      </c>
      <c r="AA366" s="9">
        <v>0</v>
      </c>
      <c r="AC366" s="9" t="s">
        <v>77</v>
      </c>
      <c r="AD366" s="14">
        <v>31.127777777777776</v>
      </c>
      <c r="AF366" s="14">
        <v>10.4</v>
      </c>
      <c r="AH366" s="14">
        <v>41.527777777777779</v>
      </c>
      <c r="AI366" s="13">
        <v>149.54181045751636</v>
      </c>
      <c r="AK366" s="9">
        <v>520</v>
      </c>
    </row>
    <row r="367" spans="1:37">
      <c r="A367" s="9">
        <v>8</v>
      </c>
      <c r="B367" s="9">
        <v>2024</v>
      </c>
      <c r="C367" s="9" t="s">
        <v>46</v>
      </c>
      <c r="D367" s="9" t="s">
        <v>47</v>
      </c>
      <c r="E367" s="9" t="s">
        <v>47</v>
      </c>
      <c r="F367" s="10">
        <v>45342</v>
      </c>
      <c r="G367" s="9" t="s">
        <v>153</v>
      </c>
      <c r="H367" s="9" t="s">
        <v>52</v>
      </c>
      <c r="I367" s="9">
        <v>1</v>
      </c>
      <c r="J367" s="9">
        <v>8</v>
      </c>
      <c r="K367" s="9">
        <v>400</v>
      </c>
      <c r="L367" s="9">
        <v>0.28000000000000003</v>
      </c>
      <c r="M367" s="9">
        <v>112</v>
      </c>
      <c r="N367" s="9" t="s">
        <v>49</v>
      </c>
      <c r="Q367" s="9">
        <f>IF(Auction_Sales[[#This Row],[Payment Date]]=0,"",-1+WEEKNUM(Auction_Sales[[#This Row],[Payment Date]]))</f>
        <v>8</v>
      </c>
      <c r="R367" s="9">
        <v>0</v>
      </c>
      <c r="S367" s="9" t="s">
        <v>153</v>
      </c>
      <c r="T367" s="9" t="s">
        <v>52</v>
      </c>
      <c r="U367" s="9">
        <v>400</v>
      </c>
      <c r="V367" s="13">
        <v>0.56600000000000006</v>
      </c>
      <c r="W367" s="13">
        <v>226.40000000000003</v>
      </c>
      <c r="X367" s="14">
        <v>-17.946470588235275</v>
      </c>
      <c r="Y367" s="13">
        <v>208.45352941176475</v>
      </c>
      <c r="Z367" s="10">
        <v>45350</v>
      </c>
      <c r="AA367" s="9">
        <v>0</v>
      </c>
      <c r="AC367" s="9" t="s">
        <v>77</v>
      </c>
      <c r="AD367" s="14">
        <v>28.733333333333334</v>
      </c>
      <c r="AF367" s="14">
        <v>8</v>
      </c>
      <c r="AH367" s="14">
        <v>36.733333333333334</v>
      </c>
      <c r="AI367" s="13">
        <v>171.7201960784314</v>
      </c>
      <c r="AK367" s="9">
        <v>400</v>
      </c>
    </row>
    <row r="368" spans="1:37">
      <c r="A368" s="9">
        <v>8</v>
      </c>
      <c r="B368" s="9">
        <v>2024</v>
      </c>
      <c r="C368" s="9" t="s">
        <v>46</v>
      </c>
      <c r="D368" s="9" t="s">
        <v>47</v>
      </c>
      <c r="E368" s="9" t="s">
        <v>47</v>
      </c>
      <c r="F368" s="10">
        <v>45342</v>
      </c>
      <c r="G368" s="9" t="s">
        <v>153</v>
      </c>
      <c r="H368" s="9" t="s">
        <v>54</v>
      </c>
      <c r="J368" s="9">
        <v>4</v>
      </c>
      <c r="K368" s="9">
        <v>200</v>
      </c>
      <c r="L368" s="9">
        <v>0.33</v>
      </c>
      <c r="M368" s="9">
        <v>66</v>
      </c>
      <c r="N368" s="9" t="s">
        <v>49</v>
      </c>
      <c r="Q368" s="9">
        <f>IF(Auction_Sales[[#This Row],[Payment Date]]=0,"",-1+WEEKNUM(Auction_Sales[[#This Row],[Payment Date]]))</f>
        <v>8</v>
      </c>
      <c r="R368" s="9">
        <v>0</v>
      </c>
      <c r="S368" s="9" t="s">
        <v>153</v>
      </c>
      <c r="T368" s="9" t="s">
        <v>54</v>
      </c>
      <c r="U368" s="9">
        <v>200</v>
      </c>
      <c r="V368" s="13">
        <v>0.54400000000000004</v>
      </c>
      <c r="W368" s="13">
        <v>108.80000000000001</v>
      </c>
      <c r="X368" s="14">
        <v>-8.9732352941176377</v>
      </c>
      <c r="Y368" s="13">
        <v>99.826764705882368</v>
      </c>
      <c r="Z368" s="10">
        <v>45350</v>
      </c>
      <c r="AA368" s="9">
        <v>0</v>
      </c>
      <c r="AC368" s="9" t="s">
        <v>77</v>
      </c>
      <c r="AD368" s="14">
        <v>14.366666666666667</v>
      </c>
      <c r="AF368" s="14">
        <v>4</v>
      </c>
      <c r="AH368" s="14">
        <v>18.366666666666667</v>
      </c>
      <c r="AI368" s="13">
        <v>81.460098039215694</v>
      </c>
      <c r="AK368" s="9">
        <v>200</v>
      </c>
    </row>
    <row r="369" spans="1:37">
      <c r="A369" s="9">
        <v>8</v>
      </c>
      <c r="B369" s="9">
        <v>2024</v>
      </c>
      <c r="C369" s="9" t="s">
        <v>46</v>
      </c>
      <c r="D369" s="9" t="s">
        <v>47</v>
      </c>
      <c r="E369" s="9" t="s">
        <v>47</v>
      </c>
      <c r="F369" s="10">
        <v>45342</v>
      </c>
      <c r="G369" s="9" t="s">
        <v>153</v>
      </c>
      <c r="H369" s="9" t="s">
        <v>56</v>
      </c>
      <c r="I369" s="9">
        <v>1</v>
      </c>
      <c r="J369" s="9">
        <v>7.5</v>
      </c>
      <c r="K369" s="9">
        <v>200</v>
      </c>
      <c r="L369" s="9">
        <v>0.38</v>
      </c>
      <c r="M369" s="9">
        <v>76</v>
      </c>
      <c r="N369" s="9" t="s">
        <v>49</v>
      </c>
      <c r="Q369" s="9">
        <f>IF(Auction_Sales[[#This Row],[Payment Date]]=0,"",-1+WEEKNUM(Auction_Sales[[#This Row],[Payment Date]]))</f>
        <v>8</v>
      </c>
      <c r="R369" s="9">
        <v>0</v>
      </c>
      <c r="S369" s="9" t="s">
        <v>153</v>
      </c>
      <c r="T369" s="9" t="s">
        <v>56</v>
      </c>
      <c r="U369" s="9">
        <v>200</v>
      </c>
      <c r="V369" s="13">
        <v>0.80200000000000005</v>
      </c>
      <c r="W369" s="13">
        <v>160.4</v>
      </c>
      <c r="X369" s="14">
        <v>-8.9732352941176377</v>
      </c>
      <c r="Y369" s="13">
        <v>151.42676470588236</v>
      </c>
      <c r="Z369" s="10">
        <v>45350</v>
      </c>
      <c r="AA369" s="9">
        <v>0</v>
      </c>
      <c r="AC369" s="9" t="s">
        <v>77</v>
      </c>
      <c r="AD369" s="14">
        <v>26.9375</v>
      </c>
      <c r="AF369" s="14">
        <v>4</v>
      </c>
      <c r="AH369" s="14">
        <v>30.9375</v>
      </c>
      <c r="AI369" s="13">
        <v>120.48926470588236</v>
      </c>
      <c r="AK369" s="9">
        <v>200</v>
      </c>
    </row>
    <row r="370" spans="1:37">
      <c r="A370" s="9">
        <v>8</v>
      </c>
      <c r="B370" s="9">
        <v>2024</v>
      </c>
      <c r="C370" s="9" t="s">
        <v>46</v>
      </c>
      <c r="D370" s="9" t="s">
        <v>47</v>
      </c>
      <c r="E370" s="9" t="s">
        <v>47</v>
      </c>
      <c r="F370" s="10">
        <v>45342</v>
      </c>
      <c r="G370" s="9" t="s">
        <v>153</v>
      </c>
      <c r="H370" s="9" t="s">
        <v>57</v>
      </c>
      <c r="J370" s="9">
        <v>4.5</v>
      </c>
      <c r="K370" s="9">
        <v>120</v>
      </c>
      <c r="L370" s="9">
        <v>0.47</v>
      </c>
      <c r="M370" s="9">
        <v>56.4</v>
      </c>
      <c r="N370" s="9" t="s">
        <v>49</v>
      </c>
      <c r="Q370" s="9">
        <f>IF(Auction_Sales[[#This Row],[Payment Date]]=0,"",-1+WEEKNUM(Auction_Sales[[#This Row],[Payment Date]]))</f>
        <v>8</v>
      </c>
      <c r="R370" s="9">
        <v>0</v>
      </c>
      <c r="S370" s="9" t="s">
        <v>153</v>
      </c>
      <c r="T370" s="9" t="s">
        <v>57</v>
      </c>
      <c r="U370" s="9">
        <v>120</v>
      </c>
      <c r="V370" s="13">
        <v>0.88</v>
      </c>
      <c r="W370" s="13">
        <v>105.6</v>
      </c>
      <c r="X370" s="14">
        <v>-5.3839411764705822</v>
      </c>
      <c r="Y370" s="13">
        <v>100.21605882352941</v>
      </c>
      <c r="Z370" s="10">
        <v>45350</v>
      </c>
      <c r="AA370" s="9">
        <v>0</v>
      </c>
      <c r="AC370" s="9" t="s">
        <v>77</v>
      </c>
      <c r="AD370" s="14">
        <v>16.162500000000001</v>
      </c>
      <c r="AF370" s="14">
        <v>2.4</v>
      </c>
      <c r="AH370" s="14">
        <v>18.5625</v>
      </c>
      <c r="AI370" s="13">
        <v>81.653558823529409</v>
      </c>
      <c r="AK370" s="9">
        <v>120</v>
      </c>
    </row>
    <row r="371" spans="1:37">
      <c r="A371" s="9">
        <v>8</v>
      </c>
      <c r="B371" s="9">
        <v>2024</v>
      </c>
      <c r="C371" s="9" t="s">
        <v>46</v>
      </c>
      <c r="D371" s="9" t="s">
        <v>47</v>
      </c>
      <c r="E371" s="9" t="s">
        <v>47</v>
      </c>
      <c r="F371" s="10">
        <v>45342</v>
      </c>
      <c r="G371" s="9" t="s">
        <v>154</v>
      </c>
      <c r="H371" s="9" t="s">
        <v>48</v>
      </c>
      <c r="I371" s="9">
        <v>1</v>
      </c>
      <c r="J371" s="9">
        <v>9</v>
      </c>
      <c r="K371" s="9">
        <v>360</v>
      </c>
      <c r="L371" s="9">
        <v>0.47</v>
      </c>
      <c r="M371" s="9">
        <v>169.2</v>
      </c>
      <c r="N371" s="9" t="s">
        <v>49</v>
      </c>
      <c r="Q371" s="9">
        <f>IF(Auction_Sales[[#This Row],[Payment Date]]=0,"",-1+WEEKNUM(Auction_Sales[[#This Row],[Payment Date]]))</f>
        <v>8</v>
      </c>
      <c r="R371" s="9">
        <v>360</v>
      </c>
      <c r="S371" s="9" t="s">
        <v>154</v>
      </c>
      <c r="T371" s="9" t="s">
        <v>48</v>
      </c>
      <c r="W371" s="13">
        <v>0</v>
      </c>
      <c r="X371" s="14">
        <v>0</v>
      </c>
      <c r="Y371" s="13">
        <v>0</v>
      </c>
      <c r="Z371" s="10">
        <v>45350</v>
      </c>
      <c r="AA371" s="9">
        <v>-360</v>
      </c>
      <c r="AC371" s="9" t="s">
        <v>77</v>
      </c>
      <c r="AD371" s="14">
        <v>32.325000000000003</v>
      </c>
      <c r="AF371" s="14">
        <v>0</v>
      </c>
      <c r="AH371" s="14">
        <v>32.325000000000003</v>
      </c>
      <c r="AI371" s="13">
        <v>-32.325000000000003</v>
      </c>
      <c r="AK371" s="9">
        <v>0</v>
      </c>
    </row>
    <row r="372" spans="1:37">
      <c r="A372" s="9">
        <v>8</v>
      </c>
      <c r="B372" s="9">
        <v>2024</v>
      </c>
      <c r="C372" s="9" t="s">
        <v>46</v>
      </c>
      <c r="D372" s="9" t="s">
        <v>47</v>
      </c>
      <c r="E372" s="9" t="s">
        <v>47</v>
      </c>
      <c r="F372" s="10">
        <v>45342</v>
      </c>
      <c r="G372" s="9" t="s">
        <v>154</v>
      </c>
      <c r="H372" s="9" t="s">
        <v>56</v>
      </c>
      <c r="J372" s="9">
        <v>3</v>
      </c>
      <c r="K372" s="9">
        <v>120</v>
      </c>
      <c r="L372" s="9">
        <v>0.75</v>
      </c>
      <c r="M372" s="9">
        <v>90</v>
      </c>
      <c r="N372" s="9" t="s">
        <v>49</v>
      </c>
      <c r="Q372" s="9">
        <f>IF(Auction_Sales[[#This Row],[Payment Date]]=0,"",-1+WEEKNUM(Auction_Sales[[#This Row],[Payment Date]]))</f>
        <v>8</v>
      </c>
      <c r="R372" s="9">
        <v>120</v>
      </c>
      <c r="S372" s="9" t="s">
        <v>154</v>
      </c>
      <c r="T372" s="9" t="s">
        <v>56</v>
      </c>
      <c r="W372" s="13">
        <v>0</v>
      </c>
      <c r="X372" s="14">
        <v>0</v>
      </c>
      <c r="Y372" s="13">
        <v>0</v>
      </c>
      <c r="Z372" s="10">
        <v>45350</v>
      </c>
      <c r="AA372" s="9">
        <v>-120</v>
      </c>
      <c r="AC372" s="9" t="s">
        <v>77</v>
      </c>
      <c r="AD372" s="14">
        <v>10.775</v>
      </c>
      <c r="AF372" s="14">
        <v>0</v>
      </c>
      <c r="AH372" s="14">
        <v>10.775</v>
      </c>
      <c r="AI372" s="13">
        <v>-10.775</v>
      </c>
      <c r="AK372" s="9">
        <v>0</v>
      </c>
    </row>
    <row r="373" spans="1:37">
      <c r="A373" s="9">
        <v>8</v>
      </c>
      <c r="B373" s="9">
        <v>2024</v>
      </c>
      <c r="C373" s="9" t="s">
        <v>46</v>
      </c>
      <c r="D373" s="9" t="s">
        <v>47</v>
      </c>
      <c r="E373" s="9" t="s">
        <v>47</v>
      </c>
      <c r="F373" s="10">
        <v>45342</v>
      </c>
      <c r="G373" s="9" t="s">
        <v>156</v>
      </c>
      <c r="H373" s="9" t="s">
        <v>51</v>
      </c>
      <c r="I373" s="9">
        <v>1</v>
      </c>
      <c r="J373" s="9">
        <v>2.1818181818181817</v>
      </c>
      <c r="K373" s="9">
        <v>80</v>
      </c>
      <c r="L373" s="9">
        <v>0.42</v>
      </c>
      <c r="M373" s="9">
        <v>33.6</v>
      </c>
      <c r="N373" s="9" t="s">
        <v>49</v>
      </c>
      <c r="Q373" s="9">
        <f>IF(Auction_Sales[[#This Row],[Payment Date]]=0,"",-1+WEEKNUM(Auction_Sales[[#This Row],[Payment Date]]))</f>
        <v>8</v>
      </c>
      <c r="R373" s="9">
        <v>0</v>
      </c>
      <c r="S373" s="9" t="s">
        <v>156</v>
      </c>
      <c r="T373" s="9" t="s">
        <v>51</v>
      </c>
      <c r="U373" s="9">
        <v>80</v>
      </c>
      <c r="V373" s="13">
        <v>0.45</v>
      </c>
      <c r="W373" s="13">
        <v>36</v>
      </c>
      <c r="X373" s="14">
        <v>-3.589294117647055</v>
      </c>
      <c r="Y373" s="13">
        <v>32.410705882352943</v>
      </c>
      <c r="Z373" s="10">
        <v>45350</v>
      </c>
      <c r="AA373" s="9">
        <v>0</v>
      </c>
      <c r="AC373" s="9" t="s">
        <v>77</v>
      </c>
      <c r="AD373" s="14">
        <v>7.8363636363636351</v>
      </c>
      <c r="AF373" s="14">
        <v>1.6</v>
      </c>
      <c r="AH373" s="14">
        <v>9.4363636363636356</v>
      </c>
      <c r="AI373" s="13">
        <v>22.974342245989305</v>
      </c>
      <c r="AK373" s="9">
        <v>80</v>
      </c>
    </row>
    <row r="374" spans="1:37">
      <c r="A374" s="9">
        <v>8</v>
      </c>
      <c r="B374" s="9">
        <v>2024</v>
      </c>
      <c r="C374" s="9" t="s">
        <v>46</v>
      </c>
      <c r="D374" s="9" t="s">
        <v>47</v>
      </c>
      <c r="E374" s="9" t="s">
        <v>47</v>
      </c>
      <c r="F374" s="10">
        <v>45342</v>
      </c>
      <c r="G374" s="9" t="s">
        <v>156</v>
      </c>
      <c r="H374" s="9" t="s">
        <v>48</v>
      </c>
      <c r="J374" s="9">
        <v>9.8181818181818183</v>
      </c>
      <c r="K374" s="9">
        <v>360</v>
      </c>
      <c r="L374" s="9">
        <v>0.52</v>
      </c>
      <c r="M374" s="9">
        <v>187.2</v>
      </c>
      <c r="N374" s="9" t="s">
        <v>49</v>
      </c>
      <c r="Q374" s="9">
        <f>IF(Auction_Sales[[#This Row],[Payment Date]]=0,"",-1+WEEKNUM(Auction_Sales[[#This Row],[Payment Date]]))</f>
        <v>8</v>
      </c>
      <c r="R374" s="9">
        <v>0</v>
      </c>
      <c r="S374" s="9" t="s">
        <v>156</v>
      </c>
      <c r="T374" s="9" t="s">
        <v>48</v>
      </c>
      <c r="U374" s="9">
        <v>360</v>
      </c>
      <c r="V374" s="13">
        <v>0.77333333333333332</v>
      </c>
      <c r="W374" s="13">
        <v>278.39999999999998</v>
      </c>
      <c r="X374" s="14">
        <v>-16.15182352941175</v>
      </c>
      <c r="Y374" s="13">
        <v>262.24817647058825</v>
      </c>
      <c r="Z374" s="10">
        <v>45350</v>
      </c>
      <c r="AA374" s="9">
        <v>0</v>
      </c>
      <c r="AC374" s="9" t="s">
        <v>77</v>
      </c>
      <c r="AD374" s="14">
        <v>35.263636363636365</v>
      </c>
      <c r="AF374" s="14">
        <v>7.2</v>
      </c>
      <c r="AH374" s="14">
        <v>42.463636363636368</v>
      </c>
      <c r="AI374" s="13">
        <v>219.78454010695188</v>
      </c>
      <c r="AK374" s="9">
        <v>360</v>
      </c>
    </row>
    <row r="375" spans="1:37">
      <c r="A375" s="9">
        <v>8</v>
      </c>
      <c r="B375" s="9">
        <v>2024</v>
      </c>
      <c r="C375" s="9" t="s">
        <v>46</v>
      </c>
      <c r="D375" s="9" t="s">
        <v>47</v>
      </c>
      <c r="E375" s="9" t="s">
        <v>47</v>
      </c>
      <c r="F375" s="10">
        <v>45344</v>
      </c>
      <c r="G375" s="9" t="s">
        <v>153</v>
      </c>
      <c r="H375" s="9" t="s">
        <v>48</v>
      </c>
      <c r="I375" s="9">
        <v>1</v>
      </c>
      <c r="J375" s="9">
        <v>12</v>
      </c>
      <c r="K375" s="9">
        <v>720</v>
      </c>
      <c r="L375" s="9">
        <v>0.24</v>
      </c>
      <c r="M375" s="9">
        <v>172.8</v>
      </c>
      <c r="N375" s="9" t="s">
        <v>49</v>
      </c>
      <c r="Q375" s="9">
        <f>IF(Auction_Sales[[#This Row],[Payment Date]]=0,"",-1+WEEKNUM(Auction_Sales[[#This Row],[Payment Date]]))</f>
        <v>9</v>
      </c>
      <c r="R375" s="9">
        <v>-120</v>
      </c>
      <c r="S375" s="9" t="s">
        <v>153</v>
      </c>
      <c r="T375" s="9" t="s">
        <v>48</v>
      </c>
      <c r="U375" s="9">
        <v>840</v>
      </c>
      <c r="V375" s="13">
        <v>0.46142857142857147</v>
      </c>
      <c r="W375" s="13">
        <v>387.6</v>
      </c>
      <c r="X375" s="14">
        <v>-36.172313167259823</v>
      </c>
      <c r="Y375" s="13">
        <v>351.42768683274022</v>
      </c>
      <c r="Z375" s="10">
        <v>45357</v>
      </c>
      <c r="AA375" s="9">
        <v>120</v>
      </c>
      <c r="AC375" s="9">
        <v>430498</v>
      </c>
      <c r="AD375" s="14">
        <v>39.825555555555553</v>
      </c>
      <c r="AF375" s="14">
        <v>16.8</v>
      </c>
      <c r="AH375" s="14">
        <v>56.62555555555555</v>
      </c>
      <c r="AI375" s="13">
        <v>294.80213127718469</v>
      </c>
      <c r="AK375" s="9">
        <v>840</v>
      </c>
    </row>
    <row r="376" spans="1:37">
      <c r="A376" s="9">
        <v>8</v>
      </c>
      <c r="B376" s="9">
        <v>2024</v>
      </c>
      <c r="C376" s="9" t="s">
        <v>46</v>
      </c>
      <c r="D376" s="9" t="s">
        <v>47</v>
      </c>
      <c r="E376" s="9" t="s">
        <v>47</v>
      </c>
      <c r="F376" s="10">
        <v>45344</v>
      </c>
      <c r="G376" s="9" t="s">
        <v>153</v>
      </c>
      <c r="H376" s="9" t="s">
        <v>52</v>
      </c>
      <c r="I376" s="9">
        <v>1</v>
      </c>
      <c r="J376" s="9">
        <v>12</v>
      </c>
      <c r="K376" s="9">
        <v>520</v>
      </c>
      <c r="L376" s="9">
        <v>0.28000000000000003</v>
      </c>
      <c r="M376" s="9">
        <v>145.6</v>
      </c>
      <c r="N376" s="9" t="s">
        <v>49</v>
      </c>
      <c r="Q376" s="9">
        <f>IF(Auction_Sales[[#This Row],[Payment Date]]=0,"",-1+WEEKNUM(Auction_Sales[[#This Row],[Payment Date]]))</f>
        <v>9</v>
      </c>
      <c r="R376" s="9">
        <v>-120</v>
      </c>
      <c r="S376" s="9" t="s">
        <v>153</v>
      </c>
      <c r="T376" s="9" t="s">
        <v>52</v>
      </c>
      <c r="U376" s="9">
        <v>640</v>
      </c>
      <c r="V376" s="13">
        <v>0.484375</v>
      </c>
      <c r="W376" s="13">
        <v>310</v>
      </c>
      <c r="X376" s="14">
        <v>-27.559857651245576</v>
      </c>
      <c r="Y376" s="13">
        <v>282.44014234875442</v>
      </c>
      <c r="Z376" s="10">
        <v>45357</v>
      </c>
      <c r="AA376" s="9">
        <v>120</v>
      </c>
      <c r="AC376" s="9">
        <v>430498</v>
      </c>
      <c r="AD376" s="14">
        <v>39.825555555555553</v>
      </c>
      <c r="AF376" s="14">
        <v>12.8</v>
      </c>
      <c r="AH376" s="14">
        <v>52.62555555555555</v>
      </c>
      <c r="AI376" s="13">
        <v>229.81458679319888</v>
      </c>
      <c r="AK376" s="9">
        <v>640</v>
      </c>
    </row>
    <row r="377" spans="1:37">
      <c r="A377" s="9">
        <v>8</v>
      </c>
      <c r="B377" s="9">
        <v>2024</v>
      </c>
      <c r="C377" s="9" t="s">
        <v>46</v>
      </c>
      <c r="D377" s="9" t="s">
        <v>47</v>
      </c>
      <c r="E377" s="9" t="s">
        <v>47</v>
      </c>
      <c r="F377" s="10">
        <v>45344</v>
      </c>
      <c r="G377" s="9" t="s">
        <v>153</v>
      </c>
      <c r="H377" s="9" t="s">
        <v>54</v>
      </c>
      <c r="I377" s="9">
        <v>1</v>
      </c>
      <c r="J377" s="9">
        <v>12</v>
      </c>
      <c r="K377" s="9">
        <v>480</v>
      </c>
      <c r="L377" s="9">
        <v>0.33</v>
      </c>
      <c r="M377" s="9">
        <v>158.4</v>
      </c>
      <c r="N377" s="9" t="s">
        <v>49</v>
      </c>
      <c r="Q377" s="9">
        <f>IF(Auction_Sales[[#This Row],[Payment Date]]=0,"",-1+WEEKNUM(Auction_Sales[[#This Row],[Payment Date]]))</f>
        <v>9</v>
      </c>
      <c r="R377" s="9">
        <v>-160</v>
      </c>
      <c r="S377" s="9" t="s">
        <v>153</v>
      </c>
      <c r="T377" s="9" t="s">
        <v>54</v>
      </c>
      <c r="U377" s="9">
        <v>640</v>
      </c>
      <c r="V377" s="13">
        <v>0.61749999999999994</v>
      </c>
      <c r="W377" s="13">
        <v>395.19999999999993</v>
      </c>
      <c r="X377" s="14">
        <v>-27.559857651245576</v>
      </c>
      <c r="Y377" s="13">
        <v>367.64014234875435</v>
      </c>
      <c r="Z377" s="10">
        <v>45357</v>
      </c>
      <c r="AA377" s="9">
        <v>160</v>
      </c>
      <c r="AC377" s="9">
        <v>430498</v>
      </c>
      <c r="AD377" s="14">
        <v>39.825555555555553</v>
      </c>
      <c r="AF377" s="14">
        <v>12.8</v>
      </c>
      <c r="AH377" s="14">
        <v>52.62555555555555</v>
      </c>
      <c r="AI377" s="13">
        <v>315.01458679319882</v>
      </c>
      <c r="AK377" s="9">
        <v>640</v>
      </c>
    </row>
    <row r="378" spans="1:37">
      <c r="A378" s="9">
        <v>8</v>
      </c>
      <c r="B378" s="9">
        <v>2024</v>
      </c>
      <c r="C378" s="9" t="s">
        <v>46</v>
      </c>
      <c r="D378" s="9" t="s">
        <v>47</v>
      </c>
      <c r="E378" s="9" t="s">
        <v>47</v>
      </c>
      <c r="F378" s="10">
        <v>45344</v>
      </c>
      <c r="G378" s="9" t="s">
        <v>153</v>
      </c>
      <c r="H378" s="9" t="s">
        <v>56</v>
      </c>
      <c r="I378" s="9">
        <v>1</v>
      </c>
      <c r="J378" s="9">
        <v>12</v>
      </c>
      <c r="K378" s="9">
        <v>360</v>
      </c>
      <c r="L378" s="9">
        <v>0.38</v>
      </c>
      <c r="M378" s="9">
        <v>136.80000000000001</v>
      </c>
      <c r="N378" s="9" t="s">
        <v>49</v>
      </c>
      <c r="Q378" s="9">
        <f>IF(Auction_Sales[[#This Row],[Payment Date]]=0,"",-1+WEEKNUM(Auction_Sales[[#This Row],[Payment Date]]))</f>
        <v>9</v>
      </c>
      <c r="R378" s="9">
        <v>-120</v>
      </c>
      <c r="S378" s="9" t="s">
        <v>153</v>
      </c>
      <c r="T378" s="9" t="s">
        <v>56</v>
      </c>
      <c r="U378" s="9">
        <v>480</v>
      </c>
      <c r="V378" s="13">
        <v>0.62666666666666671</v>
      </c>
      <c r="W378" s="13">
        <v>300.8</v>
      </c>
      <c r="X378" s="14">
        <v>-20.669893238434181</v>
      </c>
      <c r="Y378" s="13">
        <v>280.13010676156586</v>
      </c>
      <c r="Z378" s="10">
        <v>45357</v>
      </c>
      <c r="AA378" s="9">
        <v>120</v>
      </c>
      <c r="AC378" s="9">
        <v>430498</v>
      </c>
      <c r="AD378" s="14">
        <v>39.825555555555553</v>
      </c>
      <c r="AF378" s="14">
        <v>9.6</v>
      </c>
      <c r="AH378" s="14">
        <v>49.425555555555555</v>
      </c>
      <c r="AI378" s="13">
        <v>230.70455120601031</v>
      </c>
      <c r="AK378" s="9">
        <v>480</v>
      </c>
    </row>
    <row r="379" spans="1:37">
      <c r="A379" s="9">
        <v>8</v>
      </c>
      <c r="B379" s="9">
        <v>2024</v>
      </c>
      <c r="C379" s="9" t="s">
        <v>46</v>
      </c>
      <c r="D379" s="9" t="s">
        <v>47</v>
      </c>
      <c r="E379" s="9" t="s">
        <v>47</v>
      </c>
      <c r="F379" s="10">
        <v>45344</v>
      </c>
      <c r="G379" s="9" t="s">
        <v>153</v>
      </c>
      <c r="H379" s="9" t="s">
        <v>57</v>
      </c>
      <c r="I379" s="9">
        <v>1</v>
      </c>
      <c r="J379" s="9">
        <v>12</v>
      </c>
      <c r="K379" s="9">
        <v>320</v>
      </c>
      <c r="L379" s="9">
        <v>0.47</v>
      </c>
      <c r="M379" s="9">
        <v>150.4</v>
      </c>
      <c r="N379" s="9" t="s">
        <v>49</v>
      </c>
      <c r="Q379" s="9">
        <f>IF(Auction_Sales[[#This Row],[Payment Date]]=0,"",-1+WEEKNUM(Auction_Sales[[#This Row],[Payment Date]]))</f>
        <v>9</v>
      </c>
      <c r="R379" s="9">
        <v>-200</v>
      </c>
      <c r="S379" s="9" t="s">
        <v>153</v>
      </c>
      <c r="T379" s="9" t="s">
        <v>57</v>
      </c>
      <c r="U379" s="9">
        <v>520</v>
      </c>
      <c r="V379" s="13">
        <v>0.71307692307692305</v>
      </c>
      <c r="W379" s="13">
        <v>370.8</v>
      </c>
      <c r="X379" s="14">
        <v>-22.39238434163703</v>
      </c>
      <c r="Y379" s="13">
        <v>348.407615658363</v>
      </c>
      <c r="Z379" s="10">
        <v>45357</v>
      </c>
      <c r="AA379" s="9">
        <v>200</v>
      </c>
      <c r="AC379" s="9">
        <v>430498</v>
      </c>
      <c r="AD379" s="14">
        <v>39.825555555555553</v>
      </c>
      <c r="AF379" s="14">
        <v>10.4</v>
      </c>
      <c r="AH379" s="14">
        <v>50.225555555555552</v>
      </c>
      <c r="AI379" s="13">
        <v>298.18206010280744</v>
      </c>
      <c r="AK379" s="9">
        <v>520</v>
      </c>
    </row>
    <row r="380" spans="1:37">
      <c r="A380" s="9">
        <v>8</v>
      </c>
      <c r="B380" s="9">
        <v>2024</v>
      </c>
      <c r="C380" s="9" t="s">
        <v>46</v>
      </c>
      <c r="D380" s="9" t="s">
        <v>47</v>
      </c>
      <c r="E380" s="9" t="s">
        <v>47</v>
      </c>
      <c r="F380" s="10">
        <v>45344</v>
      </c>
      <c r="G380" s="9" t="s">
        <v>154</v>
      </c>
      <c r="H380" s="9" t="s">
        <v>51</v>
      </c>
      <c r="I380" s="9">
        <v>1</v>
      </c>
      <c r="J380" s="9">
        <v>12</v>
      </c>
      <c r="K380" s="9">
        <v>520</v>
      </c>
      <c r="L380" s="9">
        <v>0.38</v>
      </c>
      <c r="M380" s="9">
        <v>197.6</v>
      </c>
      <c r="N380" s="9" t="s">
        <v>49</v>
      </c>
      <c r="Q380" s="9">
        <f>IF(Auction_Sales[[#This Row],[Payment Date]]=0,"",-1+WEEKNUM(Auction_Sales[[#This Row],[Payment Date]]))</f>
        <v>9</v>
      </c>
      <c r="R380" s="9">
        <v>0</v>
      </c>
      <c r="S380" s="9" t="s">
        <v>154</v>
      </c>
      <c r="T380" s="9" t="s">
        <v>51</v>
      </c>
      <c r="U380" s="9">
        <v>520</v>
      </c>
      <c r="V380" s="13">
        <v>0.29846153846153844</v>
      </c>
      <c r="W380" s="13">
        <v>155.19999999999999</v>
      </c>
      <c r="X380" s="14">
        <v>-22.39238434163703</v>
      </c>
      <c r="Y380" s="13">
        <v>132.80761565836295</v>
      </c>
      <c r="Z380" s="10">
        <v>45357</v>
      </c>
      <c r="AA380" s="9">
        <v>0</v>
      </c>
      <c r="AC380" s="9">
        <v>430498</v>
      </c>
      <c r="AD380" s="14">
        <v>39.825555555555553</v>
      </c>
      <c r="AF380" s="14">
        <v>10.4</v>
      </c>
      <c r="AH380" s="14">
        <v>50.225555555555552</v>
      </c>
      <c r="AI380" s="13">
        <v>82.58206010280739</v>
      </c>
      <c r="AK380" s="9">
        <v>520</v>
      </c>
    </row>
    <row r="381" spans="1:37">
      <c r="A381" s="9">
        <v>8</v>
      </c>
      <c r="B381" s="9">
        <v>2024</v>
      </c>
      <c r="C381" s="9" t="s">
        <v>46</v>
      </c>
      <c r="D381" s="9" t="s">
        <v>47</v>
      </c>
      <c r="E381" s="9" t="s">
        <v>47</v>
      </c>
      <c r="F381" s="10">
        <v>45344</v>
      </c>
      <c r="G381" s="9" t="s">
        <v>154</v>
      </c>
      <c r="H381" s="9" t="s">
        <v>48</v>
      </c>
      <c r="I381" s="9">
        <v>1</v>
      </c>
      <c r="J381" s="9">
        <v>12</v>
      </c>
      <c r="K381" s="9">
        <v>480</v>
      </c>
      <c r="L381" s="9">
        <v>0.47</v>
      </c>
      <c r="M381" s="9">
        <v>225.6</v>
      </c>
      <c r="N381" s="9" t="s">
        <v>49</v>
      </c>
      <c r="Q381" s="9">
        <f>IF(Auction_Sales[[#This Row],[Payment Date]]=0,"",-1+WEEKNUM(Auction_Sales[[#This Row],[Payment Date]]))</f>
        <v>9</v>
      </c>
      <c r="R381" s="9">
        <v>-440</v>
      </c>
      <c r="S381" s="9" t="s">
        <v>154</v>
      </c>
      <c r="T381" s="9" t="s">
        <v>48</v>
      </c>
      <c r="U381" s="9">
        <v>920</v>
      </c>
      <c r="V381" s="13">
        <v>0.39478260869565218</v>
      </c>
      <c r="W381" s="13">
        <v>363.2</v>
      </c>
      <c r="X381" s="14">
        <v>-39.617295373665513</v>
      </c>
      <c r="Y381" s="13">
        <v>323.58270462633448</v>
      </c>
      <c r="Z381" s="10">
        <v>45357</v>
      </c>
      <c r="AA381" s="9">
        <v>440</v>
      </c>
      <c r="AC381" s="9">
        <v>430498</v>
      </c>
      <c r="AD381" s="14">
        <v>39.825555555555553</v>
      </c>
      <c r="AF381" s="14">
        <v>18.400000000000002</v>
      </c>
      <c r="AH381" s="14">
        <v>58.225555555555559</v>
      </c>
      <c r="AI381" s="13">
        <v>265.35714907077892</v>
      </c>
      <c r="AK381" s="9">
        <v>920</v>
      </c>
    </row>
    <row r="382" spans="1:37">
      <c r="A382" s="9">
        <v>8</v>
      </c>
      <c r="B382" s="9">
        <v>2024</v>
      </c>
      <c r="C382" s="9" t="s">
        <v>46</v>
      </c>
      <c r="D382" s="9" t="s">
        <v>47</v>
      </c>
      <c r="E382" s="9" t="s">
        <v>47</v>
      </c>
      <c r="F382" s="10">
        <v>45344</v>
      </c>
      <c r="G382" s="9" t="s">
        <v>154</v>
      </c>
      <c r="H382" s="9" t="s">
        <v>48</v>
      </c>
      <c r="I382" s="9">
        <v>1</v>
      </c>
      <c r="J382" s="9">
        <v>12</v>
      </c>
      <c r="K382" s="9">
        <v>440</v>
      </c>
      <c r="L382" s="9">
        <v>0.47</v>
      </c>
      <c r="M382" s="9">
        <v>206.8</v>
      </c>
      <c r="N382" s="9" t="s">
        <v>49</v>
      </c>
      <c r="Q382" s="9">
        <f>IF(Auction_Sales[[#This Row],[Payment Date]]=0,"",-1+WEEKNUM(Auction_Sales[[#This Row],[Payment Date]]))</f>
        <v>9</v>
      </c>
      <c r="R382" s="9">
        <v>440</v>
      </c>
      <c r="S382" s="9" t="s">
        <v>154</v>
      </c>
      <c r="T382" s="9" t="s">
        <v>48</v>
      </c>
      <c r="W382" s="13">
        <v>0</v>
      </c>
      <c r="X382" s="14">
        <v>0</v>
      </c>
      <c r="Y382" s="13">
        <v>0</v>
      </c>
      <c r="Z382" s="10">
        <v>45357</v>
      </c>
      <c r="AA382" s="9">
        <v>-440</v>
      </c>
      <c r="AC382" s="9">
        <v>430498</v>
      </c>
      <c r="AD382" s="14">
        <v>39.825555555555553</v>
      </c>
      <c r="AF382" s="14">
        <v>0</v>
      </c>
      <c r="AH382" s="14">
        <v>39.825555555555553</v>
      </c>
      <c r="AI382" s="13">
        <v>-39.825555555555553</v>
      </c>
      <c r="AK382" s="9">
        <v>0</v>
      </c>
    </row>
    <row r="383" spans="1:37">
      <c r="A383" s="9">
        <v>8</v>
      </c>
      <c r="B383" s="9">
        <v>2024</v>
      </c>
      <c r="C383" s="9" t="s">
        <v>46</v>
      </c>
      <c r="D383" s="9" t="s">
        <v>47</v>
      </c>
      <c r="E383" s="9" t="s">
        <v>47</v>
      </c>
      <c r="F383" s="10">
        <v>45344</v>
      </c>
      <c r="G383" s="9" t="s">
        <v>154</v>
      </c>
      <c r="H383" s="9" t="s">
        <v>52</v>
      </c>
      <c r="I383" s="9">
        <v>1</v>
      </c>
      <c r="J383" s="9">
        <v>12</v>
      </c>
      <c r="K383" s="9">
        <v>320</v>
      </c>
      <c r="L383" s="9">
        <v>0.52</v>
      </c>
      <c r="M383" s="9">
        <v>166.4</v>
      </c>
      <c r="N383" s="9" t="s">
        <v>49</v>
      </c>
      <c r="Q383" s="9">
        <f>IF(Auction_Sales[[#This Row],[Payment Date]]=0,"",-1+WEEKNUM(Auction_Sales[[#This Row],[Payment Date]]))</f>
        <v>9</v>
      </c>
      <c r="R383" s="9">
        <v>320</v>
      </c>
      <c r="S383" s="9" t="s">
        <v>154</v>
      </c>
      <c r="T383" s="9" t="s">
        <v>52</v>
      </c>
      <c r="W383" s="13">
        <v>0</v>
      </c>
      <c r="X383" s="14">
        <v>0</v>
      </c>
      <c r="Y383" s="13">
        <v>0</v>
      </c>
      <c r="Z383" s="10">
        <v>45357</v>
      </c>
      <c r="AA383" s="9">
        <v>-320</v>
      </c>
      <c r="AC383" s="9">
        <v>430498</v>
      </c>
      <c r="AD383" s="14">
        <v>39.825555555555553</v>
      </c>
      <c r="AF383" s="14">
        <v>0</v>
      </c>
      <c r="AH383" s="14">
        <v>39.825555555555553</v>
      </c>
      <c r="AI383" s="13">
        <v>-39.825555555555553</v>
      </c>
      <c r="AK383" s="9">
        <v>0</v>
      </c>
    </row>
    <row r="384" spans="1:37">
      <c r="A384" s="9">
        <v>8</v>
      </c>
      <c r="B384" s="9">
        <v>2024</v>
      </c>
      <c r="C384" s="9" t="s">
        <v>46</v>
      </c>
      <c r="D384" s="9" t="s">
        <v>47</v>
      </c>
      <c r="E384" s="9" t="s">
        <v>47</v>
      </c>
      <c r="F384" s="10">
        <v>45344</v>
      </c>
      <c r="G384" s="9" t="s">
        <v>154</v>
      </c>
      <c r="H384" s="9" t="s">
        <v>52</v>
      </c>
      <c r="I384" s="9">
        <v>1</v>
      </c>
      <c r="J384" s="9">
        <v>12</v>
      </c>
      <c r="K384" s="9">
        <v>400</v>
      </c>
      <c r="L384" s="9">
        <v>0.52</v>
      </c>
      <c r="M384" s="9">
        <v>208</v>
      </c>
      <c r="N384" s="9" t="s">
        <v>49</v>
      </c>
      <c r="Q384" s="9">
        <f>IF(Auction_Sales[[#This Row],[Payment Date]]=0,"",-1+WEEKNUM(Auction_Sales[[#This Row],[Payment Date]]))</f>
        <v>9</v>
      </c>
      <c r="R384" s="9">
        <v>-320</v>
      </c>
      <c r="S384" s="9" t="s">
        <v>154</v>
      </c>
      <c r="T384" s="9" t="s">
        <v>52</v>
      </c>
      <c r="U384" s="9">
        <v>720</v>
      </c>
      <c r="V384" s="13">
        <v>0.55111111111111111</v>
      </c>
      <c r="W384" s="13">
        <v>396.8</v>
      </c>
      <c r="X384" s="14">
        <v>-31.004839857651273</v>
      </c>
      <c r="Y384" s="13">
        <v>365.79516014234872</v>
      </c>
      <c r="Z384" s="10">
        <v>45357</v>
      </c>
      <c r="AA384" s="9">
        <v>320</v>
      </c>
      <c r="AC384" s="9">
        <v>430498</v>
      </c>
      <c r="AD384" s="14">
        <v>39.825555555555553</v>
      </c>
      <c r="AF384" s="14">
        <v>14.4</v>
      </c>
      <c r="AH384" s="14">
        <v>54.225555555555552</v>
      </c>
      <c r="AI384" s="13">
        <v>311.56960458679316</v>
      </c>
      <c r="AK384" s="9">
        <v>720</v>
      </c>
    </row>
    <row r="385" spans="1:37">
      <c r="A385" s="9">
        <v>8</v>
      </c>
      <c r="B385" s="9">
        <v>2024</v>
      </c>
      <c r="C385" s="9" t="s">
        <v>46</v>
      </c>
      <c r="D385" s="9" t="s">
        <v>47</v>
      </c>
      <c r="E385" s="9" t="s">
        <v>47</v>
      </c>
      <c r="F385" s="10">
        <v>45344</v>
      </c>
      <c r="G385" s="9" t="s">
        <v>154</v>
      </c>
      <c r="H385" s="9" t="s">
        <v>54</v>
      </c>
      <c r="I385" s="9">
        <v>1</v>
      </c>
      <c r="J385" s="9">
        <v>12</v>
      </c>
      <c r="K385" s="9">
        <v>320</v>
      </c>
      <c r="L385" s="9">
        <v>0.56999999999999995</v>
      </c>
      <c r="M385" s="9">
        <v>182.4</v>
      </c>
      <c r="N385" s="9" t="s">
        <v>49</v>
      </c>
      <c r="Q385" s="9">
        <f>IF(Auction_Sales[[#This Row],[Payment Date]]=0,"",-1+WEEKNUM(Auction_Sales[[#This Row],[Payment Date]]))</f>
        <v>9</v>
      </c>
      <c r="R385" s="9">
        <v>0</v>
      </c>
      <c r="S385" s="9" t="s">
        <v>154</v>
      </c>
      <c r="T385" s="9" t="s">
        <v>54</v>
      </c>
      <c r="U385" s="9">
        <v>320</v>
      </c>
      <c r="V385" s="13">
        <v>0.61375000000000002</v>
      </c>
      <c r="W385" s="13">
        <v>196.4</v>
      </c>
      <c r="X385" s="14">
        <v>-13.779928825622788</v>
      </c>
      <c r="Y385" s="13">
        <v>182.62007117437722</v>
      </c>
      <c r="Z385" s="10">
        <v>45357</v>
      </c>
      <c r="AA385" s="9">
        <v>0</v>
      </c>
      <c r="AC385" s="9">
        <v>430498</v>
      </c>
      <c r="AD385" s="14">
        <v>39.825555555555553</v>
      </c>
      <c r="AF385" s="14">
        <v>6.4</v>
      </c>
      <c r="AH385" s="14">
        <v>46.225555555555552</v>
      </c>
      <c r="AI385" s="13">
        <v>136.39451561882166</v>
      </c>
      <c r="AK385" s="9">
        <v>320</v>
      </c>
    </row>
    <row r="386" spans="1:37">
      <c r="A386" s="9">
        <v>8</v>
      </c>
      <c r="B386" s="9">
        <v>2024</v>
      </c>
      <c r="C386" s="9" t="s">
        <v>46</v>
      </c>
      <c r="D386" s="9" t="s">
        <v>47</v>
      </c>
      <c r="E386" s="9" t="s">
        <v>47</v>
      </c>
      <c r="F386" s="10">
        <v>45344</v>
      </c>
      <c r="G386" s="9" t="s">
        <v>154</v>
      </c>
      <c r="H386" s="9" t="s">
        <v>56</v>
      </c>
      <c r="I386" s="9">
        <v>2</v>
      </c>
      <c r="J386" s="9">
        <v>24</v>
      </c>
      <c r="K386" s="9">
        <v>480</v>
      </c>
      <c r="L386" s="9">
        <v>0.75</v>
      </c>
      <c r="M386" s="9">
        <v>360</v>
      </c>
      <c r="N386" s="9" t="s">
        <v>49</v>
      </c>
      <c r="Q386" s="9">
        <f>IF(Auction_Sales[[#This Row],[Payment Date]]=0,"",-1+WEEKNUM(Auction_Sales[[#This Row],[Payment Date]]))</f>
        <v>9</v>
      </c>
      <c r="R386" s="9">
        <v>0</v>
      </c>
      <c r="S386" s="9" t="s">
        <v>154</v>
      </c>
      <c r="T386" s="9" t="s">
        <v>56</v>
      </c>
      <c r="U386" s="9">
        <v>480</v>
      </c>
      <c r="V386" s="13">
        <v>0.47916666666666669</v>
      </c>
      <c r="W386" s="13">
        <v>230</v>
      </c>
      <c r="X386" s="14">
        <v>-20.669893238434181</v>
      </c>
      <c r="Y386" s="13">
        <v>209.33010676156582</v>
      </c>
      <c r="Z386" s="10">
        <v>45357</v>
      </c>
      <c r="AA386" s="9">
        <v>0</v>
      </c>
      <c r="AC386" s="9">
        <v>430498</v>
      </c>
      <c r="AD386" s="14">
        <v>79.651111111111106</v>
      </c>
      <c r="AF386" s="14">
        <v>9.6</v>
      </c>
      <c r="AH386" s="14">
        <v>89.251111111111101</v>
      </c>
      <c r="AI386" s="13">
        <v>120.07899565045471</v>
      </c>
      <c r="AK386" s="9">
        <v>480</v>
      </c>
    </row>
    <row r="387" spans="1:37">
      <c r="A387" s="9">
        <v>8</v>
      </c>
      <c r="B387" s="9">
        <v>2024</v>
      </c>
      <c r="C387" s="9" t="s">
        <v>46</v>
      </c>
      <c r="D387" s="9" t="s">
        <v>47</v>
      </c>
      <c r="E387" s="9" t="s">
        <v>47</v>
      </c>
      <c r="F387" s="10">
        <v>45344</v>
      </c>
      <c r="G387" s="9" t="s">
        <v>154</v>
      </c>
      <c r="H387" s="9" t="s">
        <v>57</v>
      </c>
      <c r="I387" s="9">
        <v>3</v>
      </c>
      <c r="J387" s="9">
        <v>36</v>
      </c>
      <c r="K387" s="9">
        <v>600</v>
      </c>
      <c r="L387" s="9">
        <v>0.94</v>
      </c>
      <c r="M387" s="9">
        <v>564</v>
      </c>
      <c r="N387" s="9" t="s">
        <v>49</v>
      </c>
      <c r="Q387" s="9">
        <f>IF(Auction_Sales[[#This Row],[Payment Date]]=0,"",-1+WEEKNUM(Auction_Sales[[#This Row],[Payment Date]]))</f>
        <v>9</v>
      </c>
      <c r="R387" s="9">
        <v>0</v>
      </c>
      <c r="S387" s="9" t="s">
        <v>154</v>
      </c>
      <c r="T387" s="9" t="s">
        <v>57</v>
      </c>
      <c r="U387" s="9">
        <v>600</v>
      </c>
      <c r="V387" s="13">
        <v>0.61399999999999999</v>
      </c>
      <c r="W387" s="13">
        <v>368.4</v>
      </c>
      <c r="X387" s="14">
        <v>-25.837366548042727</v>
      </c>
      <c r="Y387" s="13">
        <v>342.56263345195725</v>
      </c>
      <c r="Z387" s="10">
        <v>45357</v>
      </c>
      <c r="AA387" s="9">
        <v>0</v>
      </c>
      <c r="AC387" s="9">
        <v>430498</v>
      </c>
      <c r="AD387" s="14">
        <v>119.47666666666666</v>
      </c>
      <c r="AF387" s="14">
        <v>12</v>
      </c>
      <c r="AH387" s="14">
        <v>131.47666666666666</v>
      </c>
      <c r="AI387" s="13">
        <v>211.08596678529059</v>
      </c>
      <c r="AK387" s="9">
        <v>600</v>
      </c>
    </row>
    <row r="388" spans="1:37">
      <c r="A388" s="9">
        <v>8</v>
      </c>
      <c r="B388" s="9">
        <v>2024</v>
      </c>
      <c r="C388" s="9" t="s">
        <v>46</v>
      </c>
      <c r="D388" s="9" t="s">
        <v>47</v>
      </c>
      <c r="E388" s="9" t="s">
        <v>47</v>
      </c>
      <c r="F388" s="10">
        <v>45344</v>
      </c>
      <c r="G388" s="9" t="s">
        <v>155</v>
      </c>
      <c r="H388" s="9" t="s">
        <v>51</v>
      </c>
      <c r="I388" s="9">
        <v>2</v>
      </c>
      <c r="J388" s="9">
        <v>24</v>
      </c>
      <c r="K388" s="9">
        <v>1200</v>
      </c>
      <c r="L388" s="9">
        <v>0.38</v>
      </c>
      <c r="M388" s="9">
        <v>456</v>
      </c>
      <c r="N388" s="9" t="s">
        <v>49</v>
      </c>
      <c r="Q388" s="9">
        <f>IF(Auction_Sales[[#This Row],[Payment Date]]=0,"",-1+WEEKNUM(Auction_Sales[[#This Row],[Payment Date]]))</f>
        <v>9</v>
      </c>
      <c r="R388" s="9">
        <v>-240</v>
      </c>
      <c r="S388" s="9" t="s">
        <v>155</v>
      </c>
      <c r="T388" s="9" t="s">
        <v>51</v>
      </c>
      <c r="U388" s="9">
        <v>1440</v>
      </c>
      <c r="V388" s="13">
        <v>0.34805555555555556</v>
      </c>
      <c r="W388" s="13">
        <v>501.2</v>
      </c>
      <c r="X388" s="14">
        <v>-62.009679715302546</v>
      </c>
      <c r="Y388" s="13">
        <v>439.19032028469746</v>
      </c>
      <c r="Z388" s="10">
        <v>45357</v>
      </c>
      <c r="AA388" s="9">
        <v>240</v>
      </c>
      <c r="AC388" s="9">
        <v>430498</v>
      </c>
      <c r="AD388" s="14">
        <v>79.651111111111106</v>
      </c>
      <c r="AF388" s="14">
        <v>28.8</v>
      </c>
      <c r="AH388" s="14">
        <v>108.4511111111111</v>
      </c>
      <c r="AI388" s="13">
        <v>330.73920917358635</v>
      </c>
      <c r="AK388" s="9">
        <v>1440</v>
      </c>
    </row>
    <row r="389" spans="1:37">
      <c r="A389" s="9">
        <v>8</v>
      </c>
      <c r="B389" s="9">
        <v>2024</v>
      </c>
      <c r="C389" s="9" t="s">
        <v>46</v>
      </c>
      <c r="D389" s="9" t="s">
        <v>47</v>
      </c>
      <c r="E389" s="9" t="s">
        <v>47</v>
      </c>
      <c r="F389" s="10">
        <v>45344</v>
      </c>
      <c r="G389" s="9" t="s">
        <v>155</v>
      </c>
      <c r="H389" s="9" t="s">
        <v>48</v>
      </c>
      <c r="I389" s="9">
        <v>2</v>
      </c>
      <c r="J389" s="9">
        <v>31.200000000000003</v>
      </c>
      <c r="K389" s="9">
        <v>1040</v>
      </c>
      <c r="L389" s="9">
        <v>0.47</v>
      </c>
      <c r="M389" s="9">
        <v>488.8</v>
      </c>
      <c r="N389" s="9" t="s">
        <v>49</v>
      </c>
      <c r="Q389" s="9">
        <f>IF(Auction_Sales[[#This Row],[Payment Date]]=0,"",-1+WEEKNUM(Auction_Sales[[#This Row],[Payment Date]]))</f>
        <v>9</v>
      </c>
      <c r="R389" s="9">
        <v>-400</v>
      </c>
      <c r="S389" s="9" t="s">
        <v>155</v>
      </c>
      <c r="T389" s="9" t="s">
        <v>48</v>
      </c>
      <c r="U389" s="9">
        <v>1440</v>
      </c>
      <c r="V389" s="13">
        <v>0.66722222222222216</v>
      </c>
      <c r="W389" s="13">
        <v>960.8</v>
      </c>
      <c r="X389" s="14">
        <v>-62.009679715302546</v>
      </c>
      <c r="Y389" s="13">
        <v>898.79032028469737</v>
      </c>
      <c r="Z389" s="10">
        <v>45357</v>
      </c>
      <c r="AA389" s="9">
        <v>400</v>
      </c>
      <c r="AC389" s="9">
        <v>430498</v>
      </c>
      <c r="AD389" s="14">
        <v>103.54644444444446</v>
      </c>
      <c r="AF389" s="14">
        <v>28.8</v>
      </c>
      <c r="AH389" s="14">
        <v>132.34644444444447</v>
      </c>
      <c r="AI389" s="13">
        <v>766.44387584025287</v>
      </c>
      <c r="AK389" s="9">
        <v>1440</v>
      </c>
    </row>
    <row r="390" spans="1:37">
      <c r="A390" s="9">
        <v>8</v>
      </c>
      <c r="B390" s="9">
        <v>2024</v>
      </c>
      <c r="C390" s="9" t="s">
        <v>46</v>
      </c>
      <c r="D390" s="9" t="s">
        <v>47</v>
      </c>
      <c r="E390" s="9" t="s">
        <v>47</v>
      </c>
      <c r="F390" s="10">
        <v>45344</v>
      </c>
      <c r="G390" s="9" t="s">
        <v>155</v>
      </c>
      <c r="H390" s="9" t="s">
        <v>52</v>
      </c>
      <c r="I390" s="9">
        <v>1</v>
      </c>
      <c r="J390" s="9">
        <v>12</v>
      </c>
      <c r="K390" s="9">
        <v>400</v>
      </c>
      <c r="L390" s="9">
        <v>0.52</v>
      </c>
      <c r="M390" s="9">
        <v>208</v>
      </c>
      <c r="N390" s="9" t="s">
        <v>49</v>
      </c>
      <c r="Q390" s="9">
        <f>IF(Auction_Sales[[#This Row],[Payment Date]]=0,"",-1+WEEKNUM(Auction_Sales[[#This Row],[Payment Date]]))</f>
        <v>9</v>
      </c>
      <c r="R390" s="9">
        <v>-360</v>
      </c>
      <c r="S390" s="9" t="s">
        <v>155</v>
      </c>
      <c r="T390" s="9" t="s">
        <v>52</v>
      </c>
      <c r="U390" s="9">
        <v>760</v>
      </c>
      <c r="V390" s="13">
        <v>0.70789473684210524</v>
      </c>
      <c r="W390" s="13">
        <v>538</v>
      </c>
      <c r="X390" s="14">
        <v>-32.727330960854118</v>
      </c>
      <c r="Y390" s="13">
        <v>505.27266903914585</v>
      </c>
      <c r="Z390" s="10">
        <v>45357</v>
      </c>
      <c r="AA390" s="9">
        <v>360</v>
      </c>
      <c r="AC390" s="9">
        <v>430498</v>
      </c>
      <c r="AD390" s="14">
        <v>39.825555555555553</v>
      </c>
      <c r="AF390" s="14">
        <v>15.200000000000001</v>
      </c>
      <c r="AH390" s="14">
        <v>55.025555555555556</v>
      </c>
      <c r="AI390" s="13">
        <v>450.24711348359028</v>
      </c>
      <c r="AK390" s="9">
        <v>760</v>
      </c>
    </row>
    <row r="391" spans="1:37">
      <c r="A391" s="9">
        <v>8</v>
      </c>
      <c r="B391" s="9">
        <v>2024</v>
      </c>
      <c r="C391" s="9" t="s">
        <v>46</v>
      </c>
      <c r="D391" s="9" t="s">
        <v>47</v>
      </c>
      <c r="E391" s="9" t="s">
        <v>47</v>
      </c>
      <c r="F391" s="10">
        <v>45344</v>
      </c>
      <c r="G391" s="9" t="s">
        <v>155</v>
      </c>
      <c r="H391" s="9" t="s">
        <v>52</v>
      </c>
      <c r="I391" s="9">
        <v>1</v>
      </c>
      <c r="J391" s="9">
        <v>10.8</v>
      </c>
      <c r="K391" s="9">
        <v>360</v>
      </c>
      <c r="L391" s="9">
        <v>0.52</v>
      </c>
      <c r="M391" s="9">
        <v>187.2</v>
      </c>
      <c r="N391" s="9" t="s">
        <v>49</v>
      </c>
      <c r="Q391" s="9">
        <f>IF(Auction_Sales[[#This Row],[Payment Date]]=0,"",-1+WEEKNUM(Auction_Sales[[#This Row],[Payment Date]]))</f>
        <v>9</v>
      </c>
      <c r="R391" s="9">
        <v>360</v>
      </c>
      <c r="S391" s="9" t="s">
        <v>155</v>
      </c>
      <c r="T391" s="9" t="s">
        <v>52</v>
      </c>
      <c r="W391" s="13">
        <v>0</v>
      </c>
      <c r="X391" s="14">
        <v>0</v>
      </c>
      <c r="Y391" s="13">
        <v>0</v>
      </c>
      <c r="Z391" s="10">
        <v>45357</v>
      </c>
      <c r="AA391" s="9">
        <v>-360</v>
      </c>
      <c r="AC391" s="9">
        <v>430498</v>
      </c>
      <c r="AD391" s="14">
        <v>35.842999999999996</v>
      </c>
      <c r="AF391" s="14">
        <v>0</v>
      </c>
      <c r="AH391" s="14">
        <v>35.842999999999996</v>
      </c>
      <c r="AI391" s="13">
        <v>-35.842999999999996</v>
      </c>
      <c r="AK391" s="9">
        <v>0</v>
      </c>
    </row>
    <row r="392" spans="1:37">
      <c r="A392" s="9">
        <v>8</v>
      </c>
      <c r="B392" s="9">
        <v>2024</v>
      </c>
      <c r="C392" s="9" t="s">
        <v>46</v>
      </c>
      <c r="D392" s="9" t="s">
        <v>47</v>
      </c>
      <c r="E392" s="9" t="s">
        <v>47</v>
      </c>
      <c r="F392" s="10">
        <v>45344</v>
      </c>
      <c r="G392" s="9" t="s">
        <v>155</v>
      </c>
      <c r="H392" s="9" t="s">
        <v>56</v>
      </c>
      <c r="I392" s="9">
        <v>1</v>
      </c>
      <c r="J392" s="9">
        <v>4.2857142857142856</v>
      </c>
      <c r="K392" s="9">
        <v>200</v>
      </c>
      <c r="L392" s="9">
        <v>0.75</v>
      </c>
      <c r="M392" s="9">
        <v>150</v>
      </c>
      <c r="N392" s="9" t="s">
        <v>49</v>
      </c>
      <c r="Q392" s="9">
        <f>IF(Auction_Sales[[#This Row],[Payment Date]]=0,"",-1+WEEKNUM(Auction_Sales[[#This Row],[Payment Date]]))</f>
        <v>9</v>
      </c>
      <c r="R392" s="9">
        <v>0</v>
      </c>
      <c r="S392" s="9" t="s">
        <v>155</v>
      </c>
      <c r="T392" s="9" t="s">
        <v>56</v>
      </c>
      <c r="U392" s="9">
        <v>200</v>
      </c>
      <c r="V392" s="13">
        <v>1.0900000000000001</v>
      </c>
      <c r="W392" s="13">
        <v>218.00000000000003</v>
      </c>
      <c r="X392" s="14">
        <v>-8.6124555160142435</v>
      </c>
      <c r="Y392" s="13">
        <v>209.38754448398578</v>
      </c>
      <c r="Z392" s="10">
        <v>45357</v>
      </c>
      <c r="AA392" s="9">
        <v>0</v>
      </c>
      <c r="AC392" s="9">
        <v>430498</v>
      </c>
      <c r="AD392" s="14">
        <v>14.223412698412696</v>
      </c>
      <c r="AF392" s="14">
        <v>4</v>
      </c>
      <c r="AH392" s="14">
        <v>18.223412698412695</v>
      </c>
      <c r="AI392" s="13">
        <v>191.16413178557309</v>
      </c>
      <c r="AK392" s="9">
        <v>200</v>
      </c>
    </row>
    <row r="393" spans="1:37">
      <c r="A393" s="9">
        <v>8</v>
      </c>
      <c r="B393" s="9">
        <v>2024</v>
      </c>
      <c r="C393" s="9" t="s">
        <v>46</v>
      </c>
      <c r="D393" s="9" t="s">
        <v>47</v>
      </c>
      <c r="E393" s="9" t="s">
        <v>47</v>
      </c>
      <c r="F393" s="10">
        <v>45344</v>
      </c>
      <c r="G393" s="9" t="s">
        <v>155</v>
      </c>
      <c r="H393" s="9" t="s">
        <v>57</v>
      </c>
      <c r="I393" s="9">
        <v>1</v>
      </c>
      <c r="J393" s="9">
        <v>3.4285714285714284</v>
      </c>
      <c r="K393" s="9">
        <v>160</v>
      </c>
      <c r="L393" s="9">
        <v>0.94</v>
      </c>
      <c r="M393" s="9">
        <v>150.4</v>
      </c>
      <c r="N393" s="9" t="s">
        <v>49</v>
      </c>
      <c r="Q393" s="9">
        <f>IF(Auction_Sales[[#This Row],[Payment Date]]=0,"",-1+WEEKNUM(Auction_Sales[[#This Row],[Payment Date]]))</f>
        <v>9</v>
      </c>
      <c r="R393" s="9">
        <v>0</v>
      </c>
      <c r="S393" s="9" t="s">
        <v>155</v>
      </c>
      <c r="T393" s="9" t="s">
        <v>57</v>
      </c>
      <c r="U393" s="9">
        <v>160</v>
      </c>
      <c r="V393" s="13">
        <v>1.05</v>
      </c>
      <c r="W393" s="13">
        <v>168</v>
      </c>
      <c r="X393" s="14">
        <v>-6.8899644128113939</v>
      </c>
      <c r="Y393" s="13">
        <v>161.11003558718861</v>
      </c>
      <c r="Z393" s="10">
        <v>45357</v>
      </c>
      <c r="AA393" s="9">
        <v>0</v>
      </c>
      <c r="AC393" s="9">
        <v>430498</v>
      </c>
      <c r="AD393" s="14">
        <v>11.378730158730157</v>
      </c>
      <c r="AF393" s="14">
        <v>3.2</v>
      </c>
      <c r="AH393" s="14">
        <v>14.578730158730156</v>
      </c>
      <c r="AI393" s="13">
        <v>146.53130542845844</v>
      </c>
      <c r="AK393" s="9">
        <v>160</v>
      </c>
    </row>
    <row r="394" spans="1:37">
      <c r="A394" s="9">
        <v>8</v>
      </c>
      <c r="B394" s="9">
        <v>2024</v>
      </c>
      <c r="C394" s="9" t="s">
        <v>46</v>
      </c>
      <c r="D394" s="9" t="s">
        <v>47</v>
      </c>
      <c r="E394" s="9" t="s">
        <v>47</v>
      </c>
      <c r="F394" s="10">
        <v>45344</v>
      </c>
      <c r="G394" s="9" t="s">
        <v>155</v>
      </c>
      <c r="H394" s="9" t="s">
        <v>51</v>
      </c>
      <c r="I394" s="9">
        <v>1</v>
      </c>
      <c r="J394" s="9">
        <v>3.7894736842105261</v>
      </c>
      <c r="K394" s="9">
        <v>240</v>
      </c>
      <c r="L394" s="9">
        <v>0.38</v>
      </c>
      <c r="M394" s="9">
        <v>91.2</v>
      </c>
      <c r="N394" s="9" t="s">
        <v>49</v>
      </c>
      <c r="Q394" s="9">
        <f>IF(Auction_Sales[[#This Row],[Payment Date]]=0,"",-1+WEEKNUM(Auction_Sales[[#This Row],[Payment Date]]))</f>
        <v>9</v>
      </c>
      <c r="R394" s="9">
        <v>240</v>
      </c>
      <c r="S394" s="9" t="s">
        <v>155</v>
      </c>
      <c r="T394" s="9" t="s">
        <v>51</v>
      </c>
      <c r="W394" s="13">
        <v>0</v>
      </c>
      <c r="X394" s="14">
        <v>0</v>
      </c>
      <c r="Y394" s="13">
        <v>0</v>
      </c>
      <c r="Z394" s="10">
        <v>45357</v>
      </c>
      <c r="AA394" s="9">
        <v>-240</v>
      </c>
      <c r="AC394" s="9">
        <v>430498</v>
      </c>
      <c r="AD394" s="14">
        <v>12.576491228070175</v>
      </c>
      <c r="AF394" s="14">
        <v>0</v>
      </c>
      <c r="AH394" s="14">
        <v>12.576491228070175</v>
      </c>
      <c r="AI394" s="13">
        <v>-12.576491228070175</v>
      </c>
      <c r="AK394" s="9">
        <v>0</v>
      </c>
    </row>
    <row r="395" spans="1:37">
      <c r="A395" s="9">
        <v>8</v>
      </c>
      <c r="B395" s="9">
        <v>2024</v>
      </c>
      <c r="C395" s="9" t="s">
        <v>46</v>
      </c>
      <c r="D395" s="9" t="s">
        <v>47</v>
      </c>
      <c r="E395" s="9" t="s">
        <v>47</v>
      </c>
      <c r="F395" s="10">
        <v>45344</v>
      </c>
      <c r="G395" s="9" t="s">
        <v>155</v>
      </c>
      <c r="H395" s="9" t="s">
        <v>48</v>
      </c>
      <c r="J395" s="9">
        <v>6.3157894736842106</v>
      </c>
      <c r="K395" s="9">
        <v>400</v>
      </c>
      <c r="L395" s="9">
        <v>0.47</v>
      </c>
      <c r="M395" s="9">
        <v>188</v>
      </c>
      <c r="N395" s="9" t="s">
        <v>49</v>
      </c>
      <c r="Q395" s="9">
        <f>IF(Auction_Sales[[#This Row],[Payment Date]]=0,"",-1+WEEKNUM(Auction_Sales[[#This Row],[Payment Date]]))</f>
        <v>9</v>
      </c>
      <c r="R395" s="9">
        <v>400</v>
      </c>
      <c r="S395" s="9" t="s">
        <v>155</v>
      </c>
      <c r="T395" s="9" t="s">
        <v>48</v>
      </c>
      <c r="W395" s="13">
        <v>0</v>
      </c>
      <c r="X395" s="14">
        <v>0</v>
      </c>
      <c r="Y395" s="13">
        <v>0</v>
      </c>
      <c r="Z395" s="10">
        <v>45357</v>
      </c>
      <c r="AA395" s="9">
        <v>-400</v>
      </c>
      <c r="AC395" s="9">
        <v>430498</v>
      </c>
      <c r="AD395" s="14">
        <v>20.960818713450291</v>
      </c>
      <c r="AF395" s="14">
        <v>0</v>
      </c>
      <c r="AH395" s="14">
        <v>20.960818713450291</v>
      </c>
      <c r="AI395" s="13">
        <v>-20.960818713450291</v>
      </c>
      <c r="AK395" s="9">
        <v>0</v>
      </c>
    </row>
    <row r="396" spans="1:37">
      <c r="A396" s="9">
        <v>8</v>
      </c>
      <c r="B396" s="9">
        <v>2024</v>
      </c>
      <c r="C396" s="9" t="s">
        <v>46</v>
      </c>
      <c r="D396" s="9" t="s">
        <v>47</v>
      </c>
      <c r="E396" s="9" t="s">
        <v>47</v>
      </c>
      <c r="F396" s="10">
        <v>45344</v>
      </c>
      <c r="G396" s="9" t="s">
        <v>153</v>
      </c>
      <c r="H396" s="9" t="s">
        <v>57</v>
      </c>
      <c r="I396" s="9">
        <v>1</v>
      </c>
      <c r="J396" s="9">
        <v>6.666666666666667</v>
      </c>
      <c r="K396" s="9">
        <v>200</v>
      </c>
      <c r="L396" s="9">
        <v>0.47</v>
      </c>
      <c r="M396" s="9">
        <v>94</v>
      </c>
      <c r="N396" s="9" t="s">
        <v>49</v>
      </c>
      <c r="Q396" s="9">
        <f>IF(Auction_Sales[[#This Row],[Payment Date]]=0,"",-1+WEEKNUM(Auction_Sales[[#This Row],[Payment Date]]))</f>
        <v>9</v>
      </c>
      <c r="R396" s="9">
        <v>200</v>
      </c>
      <c r="S396" s="9" t="s">
        <v>153</v>
      </c>
      <c r="T396" s="9" t="s">
        <v>57</v>
      </c>
      <c r="W396" s="13">
        <v>0</v>
      </c>
      <c r="X396" s="14">
        <v>0</v>
      </c>
      <c r="Y396" s="13">
        <v>0</v>
      </c>
      <c r="Z396" s="10">
        <v>45357</v>
      </c>
      <c r="AA396" s="9">
        <v>-200</v>
      </c>
      <c r="AC396" s="9">
        <v>430498</v>
      </c>
      <c r="AD396" s="14">
        <v>22.125308641975309</v>
      </c>
      <c r="AF396" s="14">
        <v>0</v>
      </c>
      <c r="AH396" s="14">
        <v>22.125308641975309</v>
      </c>
      <c r="AI396" s="13">
        <v>-22.125308641975309</v>
      </c>
      <c r="AK396" s="9">
        <v>0</v>
      </c>
    </row>
    <row r="397" spans="1:37">
      <c r="A397" s="9">
        <v>8</v>
      </c>
      <c r="B397" s="9">
        <v>2024</v>
      </c>
      <c r="C397" s="9" t="s">
        <v>46</v>
      </c>
      <c r="D397" s="9" t="s">
        <v>47</v>
      </c>
      <c r="E397" s="9" t="s">
        <v>47</v>
      </c>
      <c r="F397" s="10">
        <v>45344</v>
      </c>
      <c r="G397" s="9" t="s">
        <v>153</v>
      </c>
      <c r="H397" s="9" t="s">
        <v>56</v>
      </c>
      <c r="J397" s="9">
        <v>4</v>
      </c>
      <c r="K397" s="9">
        <v>120</v>
      </c>
      <c r="L397" s="9">
        <v>0.38</v>
      </c>
      <c r="M397" s="9">
        <v>45.6</v>
      </c>
      <c r="N397" s="9" t="s">
        <v>49</v>
      </c>
      <c r="Q397" s="9">
        <f>IF(Auction_Sales[[#This Row],[Payment Date]]=0,"",-1+WEEKNUM(Auction_Sales[[#This Row],[Payment Date]]))</f>
        <v>9</v>
      </c>
      <c r="R397" s="9">
        <v>120</v>
      </c>
      <c r="S397" s="9" t="s">
        <v>153</v>
      </c>
      <c r="T397" s="9" t="s">
        <v>56</v>
      </c>
      <c r="W397" s="13">
        <v>0</v>
      </c>
      <c r="X397" s="14">
        <v>0</v>
      </c>
      <c r="Y397" s="13">
        <v>0</v>
      </c>
      <c r="Z397" s="10">
        <v>45357</v>
      </c>
      <c r="AA397" s="9">
        <v>-120</v>
      </c>
      <c r="AC397" s="9">
        <v>430498</v>
      </c>
      <c r="AD397" s="14">
        <v>13.275185185185183</v>
      </c>
      <c r="AF397" s="14">
        <v>0</v>
      </c>
      <c r="AH397" s="14">
        <v>13.275185185185183</v>
      </c>
      <c r="AI397" s="13">
        <v>-13.275185185185183</v>
      </c>
      <c r="AK397" s="9">
        <v>0</v>
      </c>
    </row>
    <row r="398" spans="1:37">
      <c r="A398" s="9">
        <v>8</v>
      </c>
      <c r="B398" s="9">
        <v>2024</v>
      </c>
      <c r="C398" s="9" t="s">
        <v>46</v>
      </c>
      <c r="D398" s="9" t="s">
        <v>47</v>
      </c>
      <c r="E398" s="9" t="s">
        <v>47</v>
      </c>
      <c r="F398" s="10">
        <v>45344</v>
      </c>
      <c r="G398" s="9" t="s">
        <v>153</v>
      </c>
      <c r="H398" s="9" t="s">
        <v>51</v>
      </c>
      <c r="I398" s="9">
        <v>1</v>
      </c>
      <c r="K398" s="9">
        <v>560</v>
      </c>
      <c r="L398" s="9">
        <v>0.14000000000000001</v>
      </c>
      <c r="M398" s="9">
        <v>78.400000000000006</v>
      </c>
      <c r="N398" s="9" t="s">
        <v>49</v>
      </c>
      <c r="Q398" s="9">
        <f>IF(Auction_Sales[[#This Row],[Payment Date]]=0,"",-1+WEEKNUM(Auction_Sales[[#This Row],[Payment Date]]))</f>
        <v>9</v>
      </c>
      <c r="R398" s="9">
        <v>0</v>
      </c>
      <c r="S398" s="9" t="s">
        <v>153</v>
      </c>
      <c r="T398" s="9" t="s">
        <v>51</v>
      </c>
      <c r="U398" s="9">
        <v>560</v>
      </c>
      <c r="V398" s="13">
        <v>0.28499999999999998</v>
      </c>
      <c r="W398" s="13">
        <v>159.6</v>
      </c>
      <c r="X398" s="14">
        <v>-24.114875444839878</v>
      </c>
      <c r="Y398" s="13">
        <v>135.48512455516013</v>
      </c>
      <c r="Z398" s="10">
        <v>45357</v>
      </c>
      <c r="AA398" s="9">
        <v>0</v>
      </c>
      <c r="AC398" s="9">
        <v>430498</v>
      </c>
      <c r="AD398" s="14">
        <v>0</v>
      </c>
      <c r="AF398" s="14">
        <v>11.200000000000001</v>
      </c>
      <c r="AH398" s="14">
        <v>11.200000000000001</v>
      </c>
      <c r="AI398" s="13">
        <v>124.28512455516012</v>
      </c>
      <c r="AK398" s="9">
        <v>560</v>
      </c>
    </row>
    <row r="399" spans="1:37">
      <c r="A399" s="9">
        <v>8</v>
      </c>
      <c r="B399" s="9">
        <v>2024</v>
      </c>
      <c r="C399" s="9" t="s">
        <v>46</v>
      </c>
      <c r="D399" s="9" t="s">
        <v>47</v>
      </c>
      <c r="E399" s="9" t="s">
        <v>47</v>
      </c>
      <c r="F399" s="10">
        <v>45344</v>
      </c>
      <c r="G399" s="9" t="s">
        <v>153</v>
      </c>
      <c r="H399" s="9" t="s">
        <v>54</v>
      </c>
      <c r="K399" s="9">
        <v>160</v>
      </c>
      <c r="L399" s="9">
        <v>0.33</v>
      </c>
      <c r="M399" s="9">
        <v>52.8</v>
      </c>
      <c r="N399" s="9" t="s">
        <v>49</v>
      </c>
      <c r="Q399" s="9">
        <f>IF(Auction_Sales[[#This Row],[Payment Date]]=0,"",-1+WEEKNUM(Auction_Sales[[#This Row],[Payment Date]]))</f>
        <v>9</v>
      </c>
      <c r="R399" s="9">
        <v>160</v>
      </c>
      <c r="S399" s="9" t="s">
        <v>153</v>
      </c>
      <c r="T399" s="9" t="s">
        <v>54</v>
      </c>
      <c r="W399" s="13">
        <v>0</v>
      </c>
      <c r="X399" s="14">
        <v>0</v>
      </c>
      <c r="Y399" s="13">
        <v>0</v>
      </c>
      <c r="Z399" s="10">
        <v>45357</v>
      </c>
      <c r="AA399" s="9">
        <v>-160</v>
      </c>
      <c r="AC399" s="9">
        <v>430498</v>
      </c>
      <c r="AD399" s="14">
        <v>0</v>
      </c>
      <c r="AF399" s="14">
        <v>0</v>
      </c>
      <c r="AH399" s="14">
        <v>0</v>
      </c>
      <c r="AI399" s="13">
        <v>0</v>
      </c>
      <c r="AK399" s="9">
        <v>0</v>
      </c>
    </row>
    <row r="400" spans="1:37">
      <c r="A400" s="9">
        <v>8</v>
      </c>
      <c r="B400" s="9">
        <v>2024</v>
      </c>
      <c r="C400" s="9" t="s">
        <v>46</v>
      </c>
      <c r="D400" s="9" t="s">
        <v>47</v>
      </c>
      <c r="E400" s="9" t="s">
        <v>47</v>
      </c>
      <c r="F400" s="10">
        <v>45344</v>
      </c>
      <c r="G400" s="9" t="s">
        <v>153</v>
      </c>
      <c r="H400" s="9" t="s">
        <v>48</v>
      </c>
      <c r="K400" s="9">
        <v>120</v>
      </c>
      <c r="L400" s="9">
        <v>0.24</v>
      </c>
      <c r="M400" s="9">
        <v>28.8</v>
      </c>
      <c r="N400" s="9" t="s">
        <v>49</v>
      </c>
      <c r="Q400" s="9">
        <f>IF(Auction_Sales[[#This Row],[Payment Date]]=0,"",-1+WEEKNUM(Auction_Sales[[#This Row],[Payment Date]]))</f>
        <v>9</v>
      </c>
      <c r="R400" s="9">
        <v>120</v>
      </c>
      <c r="S400" s="9" t="s">
        <v>153</v>
      </c>
      <c r="T400" s="9" t="s">
        <v>48</v>
      </c>
      <c r="W400" s="13">
        <v>0</v>
      </c>
      <c r="X400" s="14">
        <v>0</v>
      </c>
      <c r="Y400" s="13">
        <v>0</v>
      </c>
      <c r="Z400" s="10">
        <v>45357</v>
      </c>
      <c r="AA400" s="9">
        <v>-120</v>
      </c>
      <c r="AC400" s="9">
        <v>430498</v>
      </c>
      <c r="AD400" s="14">
        <v>0</v>
      </c>
      <c r="AF400" s="14">
        <v>0</v>
      </c>
      <c r="AH400" s="14">
        <v>0</v>
      </c>
      <c r="AI400" s="13">
        <v>0</v>
      </c>
      <c r="AK400" s="9">
        <v>0</v>
      </c>
    </row>
    <row r="401" spans="1:37">
      <c r="A401" s="9">
        <v>8</v>
      </c>
      <c r="B401" s="9">
        <v>2024</v>
      </c>
      <c r="C401" s="9" t="s">
        <v>46</v>
      </c>
      <c r="D401" s="9" t="s">
        <v>47</v>
      </c>
      <c r="E401" s="9" t="s">
        <v>47</v>
      </c>
      <c r="F401" s="10">
        <v>45344</v>
      </c>
      <c r="G401" s="9" t="s">
        <v>153</v>
      </c>
      <c r="H401" s="9" t="s">
        <v>52</v>
      </c>
      <c r="K401" s="9">
        <v>120</v>
      </c>
      <c r="L401" s="9">
        <v>0.28000000000000003</v>
      </c>
      <c r="M401" s="9">
        <v>33.6</v>
      </c>
      <c r="N401" s="9" t="s">
        <v>49</v>
      </c>
      <c r="Q401" s="9">
        <f>IF(Auction_Sales[[#This Row],[Payment Date]]=0,"",-1+WEEKNUM(Auction_Sales[[#This Row],[Payment Date]]))</f>
        <v>9</v>
      </c>
      <c r="R401" s="9">
        <v>120</v>
      </c>
      <c r="S401" s="9" t="s">
        <v>153</v>
      </c>
      <c r="T401" s="9" t="s">
        <v>52</v>
      </c>
      <c r="W401" s="13">
        <v>0</v>
      </c>
      <c r="X401" s="14">
        <v>0</v>
      </c>
      <c r="Y401" s="13">
        <v>0</v>
      </c>
      <c r="Z401" s="10">
        <v>45357</v>
      </c>
      <c r="AA401" s="9">
        <v>-120</v>
      </c>
      <c r="AC401" s="9">
        <v>430498</v>
      </c>
      <c r="AD401" s="14">
        <v>0</v>
      </c>
      <c r="AF401" s="14">
        <v>0</v>
      </c>
      <c r="AH401" s="14">
        <v>0</v>
      </c>
      <c r="AI401" s="13">
        <v>0</v>
      </c>
      <c r="AK401" s="9">
        <v>0</v>
      </c>
    </row>
    <row r="402" spans="1:37">
      <c r="A402" s="9">
        <v>7</v>
      </c>
      <c r="B402" s="9">
        <v>2024</v>
      </c>
      <c r="C402" s="9" t="s">
        <v>46</v>
      </c>
      <c r="D402" s="9" t="s">
        <v>47</v>
      </c>
      <c r="E402" s="9" t="s">
        <v>47</v>
      </c>
      <c r="F402" s="10">
        <v>45332</v>
      </c>
      <c r="G402" s="9" t="s">
        <v>154</v>
      </c>
      <c r="H402" s="9" t="s">
        <v>51</v>
      </c>
      <c r="I402" s="9">
        <v>1</v>
      </c>
      <c r="J402" s="9">
        <v>12</v>
      </c>
      <c r="K402" s="9">
        <v>440</v>
      </c>
      <c r="L402" s="9">
        <v>0.38</v>
      </c>
      <c r="M402" s="9">
        <v>167.2</v>
      </c>
      <c r="N402" s="9" t="s">
        <v>49</v>
      </c>
      <c r="Q402" s="9">
        <f>IF(Auction_Sales[[#This Row],[Payment Date]]=0,"",-1+WEEKNUM(Auction_Sales[[#This Row],[Payment Date]]))</f>
        <v>7</v>
      </c>
      <c r="R402" s="9">
        <v>0</v>
      </c>
      <c r="S402" s="9" t="s">
        <v>154</v>
      </c>
      <c r="T402" s="9" t="s">
        <v>51</v>
      </c>
      <c r="U402" s="9">
        <v>440</v>
      </c>
      <c r="V402" s="13">
        <v>0.2290909090909091</v>
      </c>
      <c r="W402" s="13">
        <v>100.8</v>
      </c>
      <c r="X402" s="14">
        <v>-18.276569037656923</v>
      </c>
      <c r="Y402" s="13">
        <v>82.52343096234307</v>
      </c>
      <c r="Z402" s="10">
        <v>45343</v>
      </c>
      <c r="AA402" s="9">
        <v>0</v>
      </c>
      <c r="AC402" s="9">
        <v>428849</v>
      </c>
      <c r="AD402" s="14">
        <v>38.43</v>
      </c>
      <c r="AF402" s="14">
        <v>8.8000000000000007</v>
      </c>
      <c r="AH402" s="14">
        <v>47.230000000000004</v>
      </c>
      <c r="AI402" s="13">
        <v>35.293430962343066</v>
      </c>
      <c r="AK402" s="9">
        <v>440</v>
      </c>
    </row>
    <row r="403" spans="1:37">
      <c r="A403" s="9">
        <v>7</v>
      </c>
      <c r="B403" s="9">
        <v>2024</v>
      </c>
      <c r="C403" s="9" t="s">
        <v>46</v>
      </c>
      <c r="D403" s="9" t="s">
        <v>47</v>
      </c>
      <c r="E403" s="9" t="s">
        <v>47</v>
      </c>
      <c r="F403" s="10">
        <v>45332</v>
      </c>
      <c r="G403" s="9" t="s">
        <v>154</v>
      </c>
      <c r="H403" s="9" t="s">
        <v>48</v>
      </c>
      <c r="I403" s="9">
        <v>1</v>
      </c>
      <c r="J403" s="9">
        <v>12</v>
      </c>
      <c r="K403" s="9">
        <v>480</v>
      </c>
      <c r="L403" s="9">
        <v>0.47</v>
      </c>
      <c r="M403" s="9">
        <v>225.6</v>
      </c>
      <c r="N403" s="9" t="s">
        <v>49</v>
      </c>
      <c r="Q403" s="9">
        <f>IF(Auction_Sales[[#This Row],[Payment Date]]=0,"",-1+WEEKNUM(Auction_Sales[[#This Row],[Payment Date]]))</f>
        <v>7</v>
      </c>
      <c r="R403" s="9">
        <v>0</v>
      </c>
      <c r="S403" s="9" t="s">
        <v>154</v>
      </c>
      <c r="T403" s="9" t="s">
        <v>48</v>
      </c>
      <c r="U403" s="9">
        <v>480</v>
      </c>
      <c r="V403" s="13">
        <v>0.47166666666666668</v>
      </c>
      <c r="W403" s="13">
        <v>226.4</v>
      </c>
      <c r="X403" s="14">
        <v>-19.938075313807548</v>
      </c>
      <c r="Y403" s="13">
        <v>206.46192468619245</v>
      </c>
      <c r="Z403" s="10">
        <v>45343</v>
      </c>
      <c r="AA403" s="9">
        <v>0</v>
      </c>
      <c r="AC403" s="9">
        <v>428849</v>
      </c>
      <c r="AD403" s="14">
        <v>38.43</v>
      </c>
      <c r="AF403" s="14">
        <v>9.6</v>
      </c>
      <c r="AH403" s="14">
        <v>48.03</v>
      </c>
      <c r="AI403" s="13">
        <v>158.43192468619245</v>
      </c>
      <c r="AK403" s="9">
        <v>480</v>
      </c>
    </row>
    <row r="404" spans="1:37">
      <c r="A404" s="9">
        <v>7</v>
      </c>
      <c r="B404" s="9">
        <v>2024</v>
      </c>
      <c r="C404" s="9" t="s">
        <v>46</v>
      </c>
      <c r="D404" s="9" t="s">
        <v>47</v>
      </c>
      <c r="E404" s="9" t="s">
        <v>47</v>
      </c>
      <c r="F404" s="10">
        <v>45332</v>
      </c>
      <c r="G404" s="9" t="s">
        <v>154</v>
      </c>
      <c r="H404" s="9" t="s">
        <v>52</v>
      </c>
      <c r="I404" s="9">
        <v>1</v>
      </c>
      <c r="J404" s="9">
        <v>12</v>
      </c>
      <c r="K404" s="9">
        <v>400</v>
      </c>
      <c r="L404" s="9">
        <v>0.52</v>
      </c>
      <c r="M404" s="9">
        <v>208</v>
      </c>
      <c r="N404" s="9" t="s">
        <v>49</v>
      </c>
      <c r="Q404" s="9">
        <f>IF(Auction_Sales[[#This Row],[Payment Date]]=0,"",-1+WEEKNUM(Auction_Sales[[#This Row],[Payment Date]]))</f>
        <v>7</v>
      </c>
      <c r="R404" s="9">
        <v>80</v>
      </c>
      <c r="S404" s="9" t="s">
        <v>154</v>
      </c>
      <c r="T404" s="9" t="s">
        <v>52</v>
      </c>
      <c r="U404" s="9">
        <v>320</v>
      </c>
      <c r="V404" s="13">
        <v>0.42000000000000004</v>
      </c>
      <c r="W404" s="13">
        <v>134.4</v>
      </c>
      <c r="X404" s="14">
        <v>-13.292050209205033</v>
      </c>
      <c r="Y404" s="13">
        <v>121.10794979079498</v>
      </c>
      <c r="Z404" s="10">
        <v>45343</v>
      </c>
      <c r="AA404" s="9">
        <v>-80</v>
      </c>
      <c r="AC404" s="9">
        <v>428849</v>
      </c>
      <c r="AD404" s="14">
        <v>38.43</v>
      </c>
      <c r="AF404" s="14">
        <v>6.4</v>
      </c>
      <c r="AH404" s="14">
        <v>44.83</v>
      </c>
      <c r="AI404" s="13">
        <v>76.277949790794978</v>
      </c>
      <c r="AK404" s="9">
        <v>320</v>
      </c>
    </row>
    <row r="405" spans="1:37">
      <c r="A405" s="9">
        <v>7</v>
      </c>
      <c r="B405" s="9">
        <v>2024</v>
      </c>
      <c r="C405" s="9" t="s">
        <v>46</v>
      </c>
      <c r="D405" s="9" t="s">
        <v>47</v>
      </c>
      <c r="E405" s="9" t="s">
        <v>47</v>
      </c>
      <c r="F405" s="10">
        <v>45332</v>
      </c>
      <c r="G405" s="9" t="s">
        <v>154</v>
      </c>
      <c r="H405" s="9" t="s">
        <v>54</v>
      </c>
      <c r="I405" s="9">
        <v>1</v>
      </c>
      <c r="J405" s="9">
        <v>12</v>
      </c>
      <c r="K405" s="9">
        <v>320</v>
      </c>
      <c r="L405" s="9">
        <v>0.56999999999999995</v>
      </c>
      <c r="M405" s="9">
        <v>182.4</v>
      </c>
      <c r="N405" s="9" t="s">
        <v>49</v>
      </c>
      <c r="Q405" s="9">
        <f>IF(Auction_Sales[[#This Row],[Payment Date]]=0,"",-1+WEEKNUM(Auction_Sales[[#This Row],[Payment Date]]))</f>
        <v>7</v>
      </c>
      <c r="R405" s="9">
        <v>-160</v>
      </c>
      <c r="S405" s="9" t="s">
        <v>154</v>
      </c>
      <c r="T405" s="9" t="s">
        <v>54</v>
      </c>
      <c r="U405" s="9">
        <v>480</v>
      </c>
      <c r="V405" s="13">
        <v>0.5033333333333333</v>
      </c>
      <c r="W405" s="13">
        <v>241.6</v>
      </c>
      <c r="X405" s="14">
        <v>-19.938075313807548</v>
      </c>
      <c r="Y405" s="13">
        <v>221.66192468619244</v>
      </c>
      <c r="Z405" s="10">
        <v>45343</v>
      </c>
      <c r="AA405" s="9">
        <v>160</v>
      </c>
      <c r="AC405" s="9">
        <v>428849</v>
      </c>
      <c r="AD405" s="14">
        <v>38.43</v>
      </c>
      <c r="AF405" s="14">
        <v>9.6</v>
      </c>
      <c r="AH405" s="14">
        <v>48.03</v>
      </c>
      <c r="AI405" s="13">
        <v>173.63192468619243</v>
      </c>
      <c r="AK405" s="9">
        <v>480</v>
      </c>
    </row>
    <row r="406" spans="1:37">
      <c r="A406" s="9">
        <v>7</v>
      </c>
      <c r="B406" s="9">
        <v>2024</v>
      </c>
      <c r="C406" s="9" t="s">
        <v>46</v>
      </c>
      <c r="D406" s="9" t="s">
        <v>47</v>
      </c>
      <c r="E406" s="9" t="s">
        <v>47</v>
      </c>
      <c r="F406" s="10">
        <v>45332</v>
      </c>
      <c r="G406" s="9" t="s">
        <v>154</v>
      </c>
      <c r="H406" s="9" t="s">
        <v>56</v>
      </c>
      <c r="I406" s="9">
        <v>1</v>
      </c>
      <c r="J406" s="9">
        <v>12</v>
      </c>
      <c r="K406" s="9">
        <v>200</v>
      </c>
      <c r="L406" s="9">
        <v>0.75</v>
      </c>
      <c r="M406" s="9">
        <v>150</v>
      </c>
      <c r="N406" s="9" t="s">
        <v>49</v>
      </c>
      <c r="Q406" s="9">
        <f>IF(Auction_Sales[[#This Row],[Payment Date]]=0,"",-1+WEEKNUM(Auction_Sales[[#This Row],[Payment Date]]))</f>
        <v>7</v>
      </c>
      <c r="R406" s="9">
        <v>0</v>
      </c>
      <c r="S406" s="9" t="s">
        <v>154</v>
      </c>
      <c r="T406" s="9" t="s">
        <v>56</v>
      </c>
      <c r="U406" s="9">
        <v>200</v>
      </c>
      <c r="V406" s="13">
        <v>0.48799999999999999</v>
      </c>
      <c r="W406" s="13">
        <v>97.6</v>
      </c>
      <c r="X406" s="14">
        <v>-8.3075313807531455</v>
      </c>
      <c r="Y406" s="13">
        <v>89.292468619246847</v>
      </c>
      <c r="Z406" s="10">
        <v>45343</v>
      </c>
      <c r="AA406" s="9">
        <v>0</v>
      </c>
      <c r="AC406" s="9">
        <v>428849</v>
      </c>
      <c r="AD406" s="14">
        <v>38.43</v>
      </c>
      <c r="AF406" s="14">
        <v>4</v>
      </c>
      <c r="AH406" s="14">
        <v>42.43</v>
      </c>
      <c r="AI406" s="13">
        <v>46.862468619246847</v>
      </c>
      <c r="AK406" s="9">
        <v>200</v>
      </c>
    </row>
    <row r="407" spans="1:37">
      <c r="A407" s="9">
        <v>7</v>
      </c>
      <c r="B407" s="9">
        <v>2024</v>
      </c>
      <c r="C407" s="9" t="s">
        <v>46</v>
      </c>
      <c r="D407" s="9" t="s">
        <v>47</v>
      </c>
      <c r="E407" s="9" t="s">
        <v>47</v>
      </c>
      <c r="F407" s="10">
        <v>45332</v>
      </c>
      <c r="G407" s="9" t="s">
        <v>155</v>
      </c>
      <c r="H407" s="9" t="s">
        <v>51</v>
      </c>
      <c r="I407" s="9">
        <v>2</v>
      </c>
      <c r="J407" s="9">
        <v>24</v>
      </c>
      <c r="K407" s="9">
        <v>1200</v>
      </c>
      <c r="L407" s="9">
        <v>0.38</v>
      </c>
      <c r="M407" s="9">
        <v>456</v>
      </c>
      <c r="N407" s="9" t="s">
        <v>49</v>
      </c>
      <c r="Q407" s="9">
        <f>IF(Auction_Sales[[#This Row],[Payment Date]]=0,"",-1+WEEKNUM(Auction_Sales[[#This Row],[Payment Date]]))</f>
        <v>7</v>
      </c>
      <c r="R407" s="9">
        <v>-40</v>
      </c>
      <c r="S407" s="9" t="s">
        <v>155</v>
      </c>
      <c r="T407" s="9" t="s">
        <v>51</v>
      </c>
      <c r="U407" s="9">
        <v>1240</v>
      </c>
      <c r="V407" s="13">
        <v>0.29000000000000004</v>
      </c>
      <c r="W407" s="13">
        <v>359.6</v>
      </c>
      <c r="X407" s="14">
        <v>-51.506694560669501</v>
      </c>
      <c r="Y407" s="13">
        <v>308.09330543933049</v>
      </c>
      <c r="Z407" s="10">
        <v>45343</v>
      </c>
      <c r="AA407" s="9">
        <v>40</v>
      </c>
      <c r="AC407" s="9">
        <v>428849</v>
      </c>
      <c r="AD407" s="14">
        <v>76.86</v>
      </c>
      <c r="AF407" s="14">
        <v>24.8</v>
      </c>
      <c r="AH407" s="14">
        <v>101.66</v>
      </c>
      <c r="AI407" s="13">
        <v>206.4333054393305</v>
      </c>
      <c r="AK407" s="9">
        <v>1240</v>
      </c>
    </row>
    <row r="408" spans="1:37">
      <c r="A408" s="9">
        <v>7</v>
      </c>
      <c r="B408" s="9">
        <v>2024</v>
      </c>
      <c r="C408" s="9" t="s">
        <v>46</v>
      </c>
      <c r="D408" s="9" t="s">
        <v>47</v>
      </c>
      <c r="E408" s="9" t="s">
        <v>47</v>
      </c>
      <c r="F408" s="10">
        <v>45332</v>
      </c>
      <c r="G408" s="9" t="s">
        <v>155</v>
      </c>
      <c r="H408" s="9" t="s">
        <v>48</v>
      </c>
      <c r="I408" s="9">
        <v>3</v>
      </c>
      <c r="J408" s="9">
        <v>36</v>
      </c>
      <c r="K408" s="9">
        <v>1560</v>
      </c>
      <c r="L408" s="9">
        <v>0.47</v>
      </c>
      <c r="M408" s="9">
        <v>733.2</v>
      </c>
      <c r="N408" s="9" t="s">
        <v>49</v>
      </c>
      <c r="Q408" s="9">
        <f>IF(Auction_Sales[[#This Row],[Payment Date]]=0,"",-1+WEEKNUM(Auction_Sales[[#This Row],[Payment Date]]))</f>
        <v>7</v>
      </c>
      <c r="R408" s="9">
        <v>40</v>
      </c>
      <c r="S408" s="9" t="s">
        <v>155</v>
      </c>
      <c r="T408" s="9" t="s">
        <v>48</v>
      </c>
      <c r="U408" s="9">
        <v>1520</v>
      </c>
      <c r="V408" s="13">
        <v>0.44526315789473681</v>
      </c>
      <c r="W408" s="13">
        <v>676.8</v>
      </c>
      <c r="X408" s="14">
        <v>-63.137238493723913</v>
      </c>
      <c r="Y408" s="13">
        <v>613.66276150627607</v>
      </c>
      <c r="Z408" s="10">
        <v>45343</v>
      </c>
      <c r="AA408" s="9">
        <v>-40</v>
      </c>
      <c r="AC408" s="9">
        <v>428849</v>
      </c>
      <c r="AD408" s="14">
        <v>115.28999999999999</v>
      </c>
      <c r="AF408" s="14">
        <v>30.400000000000002</v>
      </c>
      <c r="AH408" s="14">
        <v>145.69</v>
      </c>
      <c r="AI408" s="13">
        <v>467.97276150627607</v>
      </c>
      <c r="AK408" s="9">
        <v>1520</v>
      </c>
    </row>
    <row r="409" spans="1:37">
      <c r="A409" s="9">
        <v>7</v>
      </c>
      <c r="B409" s="9">
        <v>2024</v>
      </c>
      <c r="C409" s="9" t="s">
        <v>46</v>
      </c>
      <c r="D409" s="9" t="s">
        <v>47</v>
      </c>
      <c r="E409" s="9" t="s">
        <v>47</v>
      </c>
      <c r="F409" s="10">
        <v>45332</v>
      </c>
      <c r="G409" s="9" t="s">
        <v>155</v>
      </c>
      <c r="H409" s="9" t="s">
        <v>52</v>
      </c>
      <c r="I409" s="9">
        <v>2</v>
      </c>
      <c r="J409" s="9">
        <v>24</v>
      </c>
      <c r="K409" s="9">
        <v>800</v>
      </c>
      <c r="L409" s="9">
        <v>0.52</v>
      </c>
      <c r="M409" s="9">
        <v>416</v>
      </c>
      <c r="N409" s="9" t="s">
        <v>49</v>
      </c>
      <c r="Q409" s="9">
        <f>IF(Auction_Sales[[#This Row],[Payment Date]]=0,"",-1+WEEKNUM(Auction_Sales[[#This Row],[Payment Date]]))</f>
        <v>7</v>
      </c>
      <c r="R409" s="9">
        <v>0</v>
      </c>
      <c r="S409" s="9" t="s">
        <v>155</v>
      </c>
      <c r="T409" s="9" t="s">
        <v>52</v>
      </c>
      <c r="U409" s="9">
        <v>800</v>
      </c>
      <c r="V409" s="13">
        <v>0.60299999999999998</v>
      </c>
      <c r="W409" s="13">
        <v>482.4</v>
      </c>
      <c r="X409" s="14">
        <v>-33.230125523012582</v>
      </c>
      <c r="Y409" s="13">
        <v>449.16987447698739</v>
      </c>
      <c r="Z409" s="10">
        <v>45343</v>
      </c>
      <c r="AA409" s="9">
        <v>0</v>
      </c>
      <c r="AC409" s="9">
        <v>428849</v>
      </c>
      <c r="AD409" s="14">
        <v>76.86</v>
      </c>
      <c r="AF409" s="14">
        <v>16</v>
      </c>
      <c r="AH409" s="14">
        <v>92.86</v>
      </c>
      <c r="AI409" s="13">
        <v>356.30987447698737</v>
      </c>
      <c r="AK409" s="9">
        <v>800</v>
      </c>
    </row>
    <row r="410" spans="1:37">
      <c r="A410" s="9">
        <v>7</v>
      </c>
      <c r="B410" s="9">
        <v>2024</v>
      </c>
      <c r="C410" s="9" t="s">
        <v>46</v>
      </c>
      <c r="D410" s="9" t="s">
        <v>47</v>
      </c>
      <c r="E410" s="9" t="s">
        <v>47</v>
      </c>
      <c r="F410" s="10">
        <v>45332</v>
      </c>
      <c r="G410" s="9" t="s">
        <v>155</v>
      </c>
      <c r="H410" s="9" t="s">
        <v>54</v>
      </c>
      <c r="I410" s="9">
        <v>1</v>
      </c>
      <c r="J410" s="9">
        <v>12</v>
      </c>
      <c r="K410" s="9">
        <v>320</v>
      </c>
      <c r="L410" s="9">
        <v>0.56999999999999995</v>
      </c>
      <c r="M410" s="9">
        <v>182.4</v>
      </c>
      <c r="N410" s="9" t="s">
        <v>49</v>
      </c>
      <c r="Q410" s="9">
        <f>IF(Auction_Sales[[#This Row],[Payment Date]]=0,"",-1+WEEKNUM(Auction_Sales[[#This Row],[Payment Date]]))</f>
        <v>7</v>
      </c>
      <c r="R410" s="9">
        <v>0</v>
      </c>
      <c r="S410" s="9" t="s">
        <v>155</v>
      </c>
      <c r="T410" s="9" t="s">
        <v>54</v>
      </c>
      <c r="U410" s="9">
        <v>320</v>
      </c>
      <c r="V410" s="13">
        <v>0.80374999999999996</v>
      </c>
      <c r="W410" s="13">
        <v>257.2</v>
      </c>
      <c r="X410" s="14">
        <v>-13.292050209205033</v>
      </c>
      <c r="Y410" s="13">
        <v>243.90794979079496</v>
      </c>
      <c r="Z410" s="10">
        <v>45343</v>
      </c>
      <c r="AA410" s="9">
        <v>0</v>
      </c>
      <c r="AC410" s="9">
        <v>428849</v>
      </c>
      <c r="AD410" s="14">
        <v>38.43</v>
      </c>
      <c r="AF410" s="14">
        <v>6.4</v>
      </c>
      <c r="AH410" s="14">
        <v>44.83</v>
      </c>
      <c r="AI410" s="13">
        <v>199.07794979079495</v>
      </c>
      <c r="AK410" s="9">
        <v>320</v>
      </c>
    </row>
    <row r="411" spans="1:37">
      <c r="A411" s="9">
        <v>7</v>
      </c>
      <c r="B411" s="9">
        <v>2024</v>
      </c>
      <c r="C411" s="9" t="s">
        <v>46</v>
      </c>
      <c r="D411" s="9" t="s">
        <v>47</v>
      </c>
      <c r="E411" s="9" t="s">
        <v>47</v>
      </c>
      <c r="F411" s="10">
        <v>45332</v>
      </c>
      <c r="G411" s="9" t="s">
        <v>155</v>
      </c>
      <c r="H411" s="9" t="s">
        <v>56</v>
      </c>
      <c r="I411" s="9">
        <v>1</v>
      </c>
      <c r="J411" s="9">
        <v>12</v>
      </c>
      <c r="K411" s="9">
        <v>200</v>
      </c>
      <c r="L411" s="9">
        <v>0.75</v>
      </c>
      <c r="M411" s="9">
        <v>150</v>
      </c>
      <c r="N411" s="9" t="s">
        <v>49</v>
      </c>
      <c r="Q411" s="9">
        <f>IF(Auction_Sales[[#This Row],[Payment Date]]=0,"",-1+WEEKNUM(Auction_Sales[[#This Row],[Payment Date]]))</f>
        <v>7</v>
      </c>
      <c r="R411" s="9">
        <v>0</v>
      </c>
      <c r="S411" s="9" t="s">
        <v>155</v>
      </c>
      <c r="T411" s="9" t="s">
        <v>56</v>
      </c>
      <c r="U411" s="9">
        <v>200</v>
      </c>
      <c r="V411" s="13">
        <v>0.84400000000000008</v>
      </c>
      <c r="W411" s="13">
        <v>168.8</v>
      </c>
      <c r="X411" s="14">
        <v>-8.3075313807531455</v>
      </c>
      <c r="Y411" s="13">
        <v>160.49246861924686</v>
      </c>
      <c r="Z411" s="10">
        <v>45343</v>
      </c>
      <c r="AA411" s="9">
        <v>0</v>
      </c>
      <c r="AC411" s="9">
        <v>428849</v>
      </c>
      <c r="AD411" s="14">
        <v>38.43</v>
      </c>
      <c r="AF411" s="14">
        <v>4</v>
      </c>
      <c r="AH411" s="14">
        <v>42.43</v>
      </c>
      <c r="AI411" s="13">
        <v>118.06246861924686</v>
      </c>
      <c r="AK411" s="9">
        <v>200</v>
      </c>
    </row>
    <row r="412" spans="1:37">
      <c r="A412" s="9">
        <v>7</v>
      </c>
      <c r="B412" s="9">
        <v>2024</v>
      </c>
      <c r="C412" s="9" t="s">
        <v>46</v>
      </c>
      <c r="D412" s="9" t="s">
        <v>47</v>
      </c>
      <c r="E412" s="9" t="s">
        <v>47</v>
      </c>
      <c r="F412" s="10">
        <v>45332</v>
      </c>
      <c r="G412" s="9" t="s">
        <v>153</v>
      </c>
      <c r="H412" s="9" t="s">
        <v>48</v>
      </c>
      <c r="I412" s="9">
        <v>1</v>
      </c>
      <c r="J412" s="9">
        <v>12</v>
      </c>
      <c r="K412" s="9">
        <v>720</v>
      </c>
      <c r="L412" s="9">
        <v>0.24</v>
      </c>
      <c r="M412" s="9">
        <v>172.8</v>
      </c>
      <c r="N412" s="9" t="s">
        <v>49</v>
      </c>
      <c r="Q412" s="9">
        <f>IF(Auction_Sales[[#This Row],[Payment Date]]=0,"",-1+WEEKNUM(Auction_Sales[[#This Row],[Payment Date]]))</f>
        <v>7</v>
      </c>
      <c r="R412" s="9">
        <v>280</v>
      </c>
      <c r="S412" s="9" t="s">
        <v>153</v>
      </c>
      <c r="T412" s="9" t="s">
        <v>48</v>
      </c>
      <c r="U412" s="9">
        <v>440</v>
      </c>
      <c r="V412" s="13">
        <v>0.35</v>
      </c>
      <c r="W412" s="13">
        <v>154</v>
      </c>
      <c r="X412" s="14">
        <v>-18.276569037656923</v>
      </c>
      <c r="Y412" s="13">
        <v>135.72343096234309</v>
      </c>
      <c r="Z412" s="10">
        <v>45343</v>
      </c>
      <c r="AA412" s="9">
        <v>-280</v>
      </c>
      <c r="AC412" s="9">
        <v>428849</v>
      </c>
      <c r="AD412" s="14">
        <v>38.43</v>
      </c>
      <c r="AF412" s="14">
        <v>8.8000000000000007</v>
      </c>
      <c r="AH412" s="14">
        <v>47.230000000000004</v>
      </c>
      <c r="AI412" s="13">
        <v>88.493430962343083</v>
      </c>
      <c r="AK412" s="9">
        <v>440</v>
      </c>
    </row>
    <row r="413" spans="1:37">
      <c r="A413" s="9">
        <v>7</v>
      </c>
      <c r="B413" s="9">
        <v>2024</v>
      </c>
      <c r="C413" s="9" t="s">
        <v>46</v>
      </c>
      <c r="D413" s="9" t="s">
        <v>47</v>
      </c>
      <c r="E413" s="9" t="s">
        <v>47</v>
      </c>
      <c r="F413" s="10">
        <v>45332</v>
      </c>
      <c r="G413" s="9" t="s">
        <v>153</v>
      </c>
      <c r="H413" s="9" t="s">
        <v>52</v>
      </c>
      <c r="I413" s="9">
        <v>1</v>
      </c>
      <c r="J413" s="9">
        <v>12</v>
      </c>
      <c r="K413" s="9">
        <v>640</v>
      </c>
      <c r="L413" s="9">
        <v>0.28000000000000003</v>
      </c>
      <c r="M413" s="9">
        <v>179.2</v>
      </c>
      <c r="N413" s="9" t="s">
        <v>49</v>
      </c>
      <c r="Q413" s="9">
        <f>IF(Auction_Sales[[#This Row],[Payment Date]]=0,"",-1+WEEKNUM(Auction_Sales[[#This Row],[Payment Date]]))</f>
        <v>7</v>
      </c>
      <c r="R413" s="9">
        <v>0</v>
      </c>
      <c r="S413" s="9" t="s">
        <v>153</v>
      </c>
      <c r="T413" s="9" t="s">
        <v>52</v>
      </c>
      <c r="U413" s="9">
        <v>640</v>
      </c>
      <c r="V413" s="13">
        <v>0.44374999999999998</v>
      </c>
      <c r="W413" s="13">
        <v>284</v>
      </c>
      <c r="X413" s="14">
        <v>-26.584100418410067</v>
      </c>
      <c r="Y413" s="13">
        <v>257.41589958158994</v>
      </c>
      <c r="Z413" s="10">
        <v>45343</v>
      </c>
      <c r="AA413" s="9">
        <v>0</v>
      </c>
      <c r="AC413" s="9">
        <v>428849</v>
      </c>
      <c r="AD413" s="14">
        <v>38.43</v>
      </c>
      <c r="AF413" s="14">
        <v>12.8</v>
      </c>
      <c r="AH413" s="14">
        <v>51.230000000000004</v>
      </c>
      <c r="AI413" s="13">
        <v>206.18589958158992</v>
      </c>
      <c r="AK413" s="9">
        <v>640</v>
      </c>
    </row>
    <row r="414" spans="1:37">
      <c r="A414" s="9">
        <v>7</v>
      </c>
      <c r="B414" s="9">
        <v>2024</v>
      </c>
      <c r="C414" s="9" t="s">
        <v>46</v>
      </c>
      <c r="D414" s="9" t="s">
        <v>47</v>
      </c>
      <c r="E414" s="9" t="s">
        <v>47</v>
      </c>
      <c r="F414" s="10">
        <v>45332</v>
      </c>
      <c r="G414" s="9" t="s">
        <v>153</v>
      </c>
      <c r="H414" s="9" t="s">
        <v>54</v>
      </c>
      <c r="I414" s="9">
        <v>1</v>
      </c>
      <c r="J414" s="9">
        <v>12</v>
      </c>
      <c r="K414" s="9">
        <v>360</v>
      </c>
      <c r="L414" s="9">
        <v>0.33</v>
      </c>
      <c r="M414" s="9">
        <v>118.8</v>
      </c>
      <c r="N414" s="9" t="s">
        <v>49</v>
      </c>
      <c r="Q414" s="9">
        <f>IF(Auction_Sales[[#This Row],[Payment Date]]=0,"",-1+WEEKNUM(Auction_Sales[[#This Row],[Payment Date]]))</f>
        <v>7</v>
      </c>
      <c r="R414" s="9">
        <v>0</v>
      </c>
      <c r="S414" s="9" t="s">
        <v>153</v>
      </c>
      <c r="T414" s="9" t="s">
        <v>54</v>
      </c>
      <c r="U414" s="9">
        <v>360</v>
      </c>
      <c r="V414" s="13">
        <v>0.5444444444444444</v>
      </c>
      <c r="W414" s="13">
        <v>195.99999999999997</v>
      </c>
      <c r="X414" s="14">
        <v>-14.95355648535566</v>
      </c>
      <c r="Y414" s="13">
        <v>181.04644351464432</v>
      </c>
      <c r="Z414" s="10">
        <v>45343</v>
      </c>
      <c r="AA414" s="9">
        <v>0</v>
      </c>
      <c r="AC414" s="9">
        <v>428849</v>
      </c>
      <c r="AD414" s="14">
        <v>38.43</v>
      </c>
      <c r="AF414" s="14">
        <v>7.2</v>
      </c>
      <c r="AH414" s="14">
        <v>45.63</v>
      </c>
      <c r="AI414" s="13">
        <v>135.41644351464433</v>
      </c>
      <c r="AK414" s="9">
        <v>360</v>
      </c>
    </row>
    <row r="415" spans="1:37">
      <c r="A415" s="9">
        <v>7</v>
      </c>
      <c r="B415" s="9">
        <v>2024</v>
      </c>
      <c r="C415" s="9" t="s">
        <v>46</v>
      </c>
      <c r="D415" s="9" t="s">
        <v>47</v>
      </c>
      <c r="E415" s="9" t="s">
        <v>47</v>
      </c>
      <c r="F415" s="10">
        <v>45332</v>
      </c>
      <c r="G415" s="9" t="s">
        <v>153</v>
      </c>
      <c r="H415" s="9" t="s">
        <v>56</v>
      </c>
      <c r="I415" s="9">
        <v>1</v>
      </c>
      <c r="J415" s="9">
        <v>12</v>
      </c>
      <c r="K415" s="9">
        <v>320</v>
      </c>
      <c r="L415" s="9">
        <v>0.38</v>
      </c>
      <c r="M415" s="9">
        <v>121.6</v>
      </c>
      <c r="N415" s="9" t="s">
        <v>49</v>
      </c>
      <c r="Q415" s="9">
        <f>IF(Auction_Sales[[#This Row],[Payment Date]]=0,"",-1+WEEKNUM(Auction_Sales[[#This Row],[Payment Date]]))</f>
        <v>7</v>
      </c>
      <c r="R415" s="9">
        <v>0</v>
      </c>
      <c r="S415" s="9" t="s">
        <v>153</v>
      </c>
      <c r="T415" s="9" t="s">
        <v>56</v>
      </c>
      <c r="U415" s="9">
        <v>320</v>
      </c>
      <c r="V415" s="13">
        <v>0.69000000000000006</v>
      </c>
      <c r="W415" s="13">
        <v>220.8</v>
      </c>
      <c r="X415" s="14">
        <v>-13.292050209205033</v>
      </c>
      <c r="Y415" s="13">
        <v>207.50794979079498</v>
      </c>
      <c r="Z415" s="10">
        <v>45343</v>
      </c>
      <c r="AA415" s="9">
        <v>0</v>
      </c>
      <c r="AC415" s="9">
        <v>428849</v>
      </c>
      <c r="AD415" s="14">
        <v>38.43</v>
      </c>
      <c r="AF415" s="14">
        <v>6.4</v>
      </c>
      <c r="AH415" s="14">
        <v>44.83</v>
      </c>
      <c r="AI415" s="13">
        <v>162.67794979079497</v>
      </c>
      <c r="AK415" s="9">
        <v>320</v>
      </c>
    </row>
    <row r="416" spans="1:37">
      <c r="A416" s="9">
        <v>7</v>
      </c>
      <c r="B416" s="9">
        <v>2024</v>
      </c>
      <c r="C416" s="9" t="s">
        <v>46</v>
      </c>
      <c r="D416" s="9" t="s">
        <v>47</v>
      </c>
      <c r="E416" s="9" t="s">
        <v>47</v>
      </c>
      <c r="F416" s="10">
        <v>45332</v>
      </c>
      <c r="G416" s="9" t="s">
        <v>153</v>
      </c>
      <c r="H416" s="9" t="s">
        <v>57</v>
      </c>
      <c r="I416" s="9">
        <v>1</v>
      </c>
      <c r="J416" s="9">
        <v>12</v>
      </c>
      <c r="K416" s="9">
        <v>320</v>
      </c>
      <c r="L416" s="9">
        <v>0.47</v>
      </c>
      <c r="M416" s="9">
        <v>150.4</v>
      </c>
      <c r="N416" s="9" t="s">
        <v>49</v>
      </c>
      <c r="Q416" s="9">
        <f>IF(Auction_Sales[[#This Row],[Payment Date]]=0,"",-1+WEEKNUM(Auction_Sales[[#This Row],[Payment Date]]))</f>
        <v>7</v>
      </c>
      <c r="R416" s="9">
        <v>0</v>
      </c>
      <c r="S416" s="9" t="s">
        <v>153</v>
      </c>
      <c r="T416" s="9" t="s">
        <v>57</v>
      </c>
      <c r="U416" s="9">
        <v>320</v>
      </c>
      <c r="V416" s="13">
        <v>0.66749999999999998</v>
      </c>
      <c r="W416" s="13">
        <v>213.6</v>
      </c>
      <c r="X416" s="14">
        <v>-13.292050209205033</v>
      </c>
      <c r="Y416" s="13">
        <v>200.30794979079496</v>
      </c>
      <c r="Z416" s="10">
        <v>45343</v>
      </c>
      <c r="AA416" s="9">
        <v>0</v>
      </c>
      <c r="AC416" s="9">
        <v>428849</v>
      </c>
      <c r="AD416" s="14">
        <v>38.43</v>
      </c>
      <c r="AF416" s="14">
        <v>6.4</v>
      </c>
      <c r="AH416" s="14">
        <v>44.83</v>
      </c>
      <c r="AI416" s="13">
        <v>155.47794979079498</v>
      </c>
      <c r="AK416" s="9">
        <v>320</v>
      </c>
    </row>
    <row r="417" spans="1:37">
      <c r="A417" s="9">
        <v>7</v>
      </c>
      <c r="B417" s="9">
        <v>2024</v>
      </c>
      <c r="C417" s="9" t="s">
        <v>46</v>
      </c>
      <c r="D417" s="9" t="s">
        <v>47</v>
      </c>
      <c r="E417" s="9" t="s">
        <v>47</v>
      </c>
      <c r="F417" s="10">
        <v>45332</v>
      </c>
      <c r="G417" s="9" t="s">
        <v>154</v>
      </c>
      <c r="H417" s="9" t="s">
        <v>52</v>
      </c>
      <c r="I417" s="9">
        <v>1</v>
      </c>
      <c r="J417" s="9">
        <v>6</v>
      </c>
      <c r="K417" s="9">
        <v>200</v>
      </c>
      <c r="L417" s="9">
        <v>0.52</v>
      </c>
      <c r="M417" s="9">
        <v>104</v>
      </c>
      <c r="N417" s="9" t="s">
        <v>49</v>
      </c>
      <c r="Q417" s="9">
        <f>IF(Auction_Sales[[#This Row],[Payment Date]]=0,"",-1+WEEKNUM(Auction_Sales[[#This Row],[Payment Date]]))</f>
        <v>7</v>
      </c>
      <c r="R417" s="9">
        <v>-120</v>
      </c>
      <c r="S417" s="9" t="s">
        <v>154</v>
      </c>
      <c r="T417" s="9" t="s">
        <v>52</v>
      </c>
      <c r="U417" s="9">
        <v>320</v>
      </c>
      <c r="V417" s="13">
        <v>0.57000000000000006</v>
      </c>
      <c r="W417" s="13">
        <v>182.40000000000003</v>
      </c>
      <c r="X417" s="14">
        <v>-13.292050209205033</v>
      </c>
      <c r="Y417" s="13">
        <v>169.107949790795</v>
      </c>
      <c r="Z417" s="10">
        <v>45343</v>
      </c>
      <c r="AA417" s="9">
        <v>120</v>
      </c>
      <c r="AC417" s="9">
        <v>428849</v>
      </c>
      <c r="AD417" s="14">
        <v>19.215</v>
      </c>
      <c r="AF417" s="14">
        <v>6.4</v>
      </c>
      <c r="AH417" s="14">
        <v>25.615000000000002</v>
      </c>
      <c r="AI417" s="13">
        <v>143.492949790795</v>
      </c>
      <c r="AK417" s="9">
        <v>320</v>
      </c>
    </row>
    <row r="418" spans="1:37">
      <c r="A418" s="9">
        <v>7</v>
      </c>
      <c r="B418" s="9">
        <v>2024</v>
      </c>
      <c r="C418" s="9" t="s">
        <v>46</v>
      </c>
      <c r="D418" s="9" t="s">
        <v>47</v>
      </c>
      <c r="E418" s="9" t="s">
        <v>47</v>
      </c>
      <c r="F418" s="10">
        <v>45332</v>
      </c>
      <c r="G418" s="9" t="s">
        <v>154</v>
      </c>
      <c r="H418" s="9" t="s">
        <v>54</v>
      </c>
      <c r="J418" s="9">
        <v>6</v>
      </c>
      <c r="K418" s="9">
        <v>200</v>
      </c>
      <c r="L418" s="9">
        <v>0.56999999999999995</v>
      </c>
      <c r="M418" s="9">
        <v>114</v>
      </c>
      <c r="N418" s="9" t="s">
        <v>49</v>
      </c>
      <c r="Q418" s="9">
        <f>IF(Auction_Sales[[#This Row],[Payment Date]]=0,"",-1+WEEKNUM(Auction_Sales[[#This Row],[Payment Date]]))</f>
        <v>7</v>
      </c>
      <c r="R418" s="9">
        <v>200</v>
      </c>
      <c r="S418" s="9" t="s">
        <v>154</v>
      </c>
      <c r="T418" s="9" t="s">
        <v>54</v>
      </c>
      <c r="W418" s="13">
        <v>0</v>
      </c>
      <c r="X418" s="14">
        <v>0</v>
      </c>
      <c r="Y418" s="13">
        <v>0</v>
      </c>
      <c r="Z418" s="10">
        <v>45343</v>
      </c>
      <c r="AA418" s="9">
        <v>-200</v>
      </c>
      <c r="AC418" s="9">
        <v>428849</v>
      </c>
      <c r="AD418" s="14">
        <v>19.215</v>
      </c>
      <c r="AF418" s="14">
        <v>0</v>
      </c>
      <c r="AH418" s="14">
        <v>19.215</v>
      </c>
      <c r="AI418" s="13">
        <v>-19.215</v>
      </c>
      <c r="AK418" s="9">
        <v>0</v>
      </c>
    </row>
    <row r="419" spans="1:37">
      <c r="A419" s="9">
        <v>7</v>
      </c>
      <c r="B419" s="9">
        <v>2024</v>
      </c>
      <c r="C419" s="9" t="s">
        <v>46</v>
      </c>
      <c r="D419" s="9" t="s">
        <v>47</v>
      </c>
      <c r="E419" s="9" t="s">
        <v>47</v>
      </c>
      <c r="F419" s="10">
        <v>45332</v>
      </c>
      <c r="G419" s="9" t="s">
        <v>153</v>
      </c>
      <c r="H419" s="9" t="s">
        <v>51</v>
      </c>
      <c r="I419" s="9">
        <v>1</v>
      </c>
      <c r="J419" s="9">
        <v>9.2727272727272734</v>
      </c>
      <c r="K419" s="9">
        <v>680</v>
      </c>
      <c r="L419" s="9">
        <v>0.14000000000000001</v>
      </c>
      <c r="M419" s="9">
        <v>95.2</v>
      </c>
      <c r="N419" s="9" t="s">
        <v>49</v>
      </c>
      <c r="Q419" s="9">
        <f>IF(Auction_Sales[[#This Row],[Payment Date]]=0,"",-1+WEEKNUM(Auction_Sales[[#This Row],[Payment Date]]))</f>
        <v>7</v>
      </c>
      <c r="R419" s="9">
        <v>-40</v>
      </c>
      <c r="S419" s="9" t="s">
        <v>153</v>
      </c>
      <c r="T419" s="9" t="s">
        <v>51</v>
      </c>
      <c r="U419" s="9">
        <v>720</v>
      </c>
      <c r="V419" s="13">
        <v>0.22777777777777777</v>
      </c>
      <c r="W419" s="13">
        <v>164</v>
      </c>
      <c r="X419" s="14">
        <v>-29.907112970711321</v>
      </c>
      <c r="Y419" s="13">
        <v>134.09288702928868</v>
      </c>
      <c r="Z419" s="10">
        <v>45343</v>
      </c>
      <c r="AA419" s="9">
        <v>40</v>
      </c>
      <c r="AC419" s="9">
        <v>428849</v>
      </c>
      <c r="AD419" s="14">
        <v>29.695909090909094</v>
      </c>
      <c r="AF419" s="14">
        <v>14.4</v>
      </c>
      <c r="AH419" s="14">
        <v>44.095909090909096</v>
      </c>
      <c r="AI419" s="13">
        <v>89.996977938379587</v>
      </c>
      <c r="AK419" s="9">
        <v>720</v>
      </c>
    </row>
    <row r="420" spans="1:37">
      <c r="A420" s="9">
        <v>7</v>
      </c>
      <c r="B420" s="9">
        <v>2024</v>
      </c>
      <c r="C420" s="9" t="s">
        <v>46</v>
      </c>
      <c r="D420" s="9" t="s">
        <v>47</v>
      </c>
      <c r="E420" s="9" t="s">
        <v>47</v>
      </c>
      <c r="F420" s="10">
        <v>45332</v>
      </c>
      <c r="G420" s="9" t="s">
        <v>153</v>
      </c>
      <c r="H420" s="9" t="s">
        <v>48</v>
      </c>
      <c r="J420" s="9">
        <v>2.7272727272727271</v>
      </c>
      <c r="K420" s="9">
        <v>200</v>
      </c>
      <c r="L420" s="9">
        <v>0.24</v>
      </c>
      <c r="M420" s="9">
        <v>48</v>
      </c>
      <c r="N420" s="9" t="s">
        <v>49</v>
      </c>
      <c r="Q420" s="9">
        <f>IF(Auction_Sales[[#This Row],[Payment Date]]=0,"",-1+WEEKNUM(Auction_Sales[[#This Row],[Payment Date]]))</f>
        <v>7</v>
      </c>
      <c r="R420" s="9">
        <v>-240</v>
      </c>
      <c r="S420" s="9" t="s">
        <v>153</v>
      </c>
      <c r="T420" s="9" t="s">
        <v>48</v>
      </c>
      <c r="U420" s="9">
        <v>440</v>
      </c>
      <c r="V420" s="13">
        <v>0.43</v>
      </c>
      <c r="W420" s="13">
        <v>189.2</v>
      </c>
      <c r="X420" s="14">
        <v>-18.276569037656923</v>
      </c>
      <c r="Y420" s="13">
        <v>170.92343096234308</v>
      </c>
      <c r="Z420" s="10">
        <v>45343</v>
      </c>
      <c r="AA420" s="9">
        <v>240</v>
      </c>
      <c r="AC420" s="9">
        <v>428849</v>
      </c>
      <c r="AD420" s="14">
        <v>8.7340909090909076</v>
      </c>
      <c r="AF420" s="14">
        <v>8.8000000000000007</v>
      </c>
      <c r="AH420" s="14">
        <v>17.534090909090907</v>
      </c>
      <c r="AI420" s="13">
        <v>153.38934005325217</v>
      </c>
      <c r="AK420" s="9">
        <v>440</v>
      </c>
    </row>
    <row r="421" spans="1:37">
      <c r="A421" s="9">
        <v>7</v>
      </c>
      <c r="B421" s="9">
        <v>2024</v>
      </c>
      <c r="C421" s="9" t="s">
        <v>46</v>
      </c>
      <c r="D421" s="9" t="s">
        <v>47</v>
      </c>
      <c r="E421" s="9" t="s">
        <v>47</v>
      </c>
      <c r="F421" s="10">
        <v>45334</v>
      </c>
      <c r="G421" s="9" t="s">
        <v>154</v>
      </c>
      <c r="H421" s="9" t="s">
        <v>51</v>
      </c>
      <c r="I421" s="9">
        <v>1</v>
      </c>
      <c r="J421" s="9">
        <v>12</v>
      </c>
      <c r="K421" s="9">
        <v>520</v>
      </c>
      <c r="L421" s="9">
        <v>0.38</v>
      </c>
      <c r="M421" s="9">
        <v>197.6</v>
      </c>
      <c r="N421" s="9" t="s">
        <v>49</v>
      </c>
      <c r="Q421" s="9">
        <f>IF(Auction_Sales[[#This Row],[Payment Date]]=0,"",-1+WEEKNUM(Auction_Sales[[#This Row],[Payment Date]]))</f>
        <v>7</v>
      </c>
      <c r="R421" s="9">
        <v>0</v>
      </c>
      <c r="S421" s="9" t="s">
        <v>154</v>
      </c>
      <c r="T421" s="9" t="s">
        <v>51</v>
      </c>
      <c r="U421" s="9">
        <v>520</v>
      </c>
      <c r="V421" s="13">
        <v>0.25999999999999995</v>
      </c>
      <c r="W421" s="13">
        <v>135.19999999999999</v>
      </c>
      <c r="X421" s="14">
        <v>-21.984908256880736</v>
      </c>
      <c r="Y421" s="13">
        <v>113.21509174311925</v>
      </c>
      <c r="Z421" s="10">
        <v>45343</v>
      </c>
      <c r="AA421" s="9">
        <v>0</v>
      </c>
      <c r="AC421" s="9" t="s">
        <v>78</v>
      </c>
      <c r="AD421" s="14">
        <v>40.924000000000007</v>
      </c>
      <c r="AF421" s="14">
        <v>10.4</v>
      </c>
      <c r="AH421" s="14">
        <v>51.324000000000005</v>
      </c>
      <c r="AI421" s="13">
        <v>61.89109174311924</v>
      </c>
      <c r="AK421" s="9">
        <v>520</v>
      </c>
    </row>
    <row r="422" spans="1:37">
      <c r="A422" s="9">
        <v>7</v>
      </c>
      <c r="B422" s="9">
        <v>2024</v>
      </c>
      <c r="C422" s="9" t="s">
        <v>46</v>
      </c>
      <c r="D422" s="9" t="s">
        <v>47</v>
      </c>
      <c r="E422" s="9" t="s">
        <v>47</v>
      </c>
      <c r="F422" s="10">
        <v>45334</v>
      </c>
      <c r="G422" s="9" t="s">
        <v>154</v>
      </c>
      <c r="H422" s="9" t="s">
        <v>48</v>
      </c>
      <c r="I422" s="9">
        <v>2</v>
      </c>
      <c r="J422" s="9">
        <v>24</v>
      </c>
      <c r="K422" s="9">
        <v>960</v>
      </c>
      <c r="L422" s="9">
        <v>0.47</v>
      </c>
      <c r="M422" s="9">
        <v>451.2</v>
      </c>
      <c r="N422" s="9" t="s">
        <v>49</v>
      </c>
      <c r="Q422" s="9">
        <f>IF(Auction_Sales[[#This Row],[Payment Date]]=0,"",-1+WEEKNUM(Auction_Sales[[#This Row],[Payment Date]]))</f>
        <v>7</v>
      </c>
      <c r="R422" s="9">
        <v>0</v>
      </c>
      <c r="S422" s="9" t="s">
        <v>154</v>
      </c>
      <c r="T422" s="9" t="s">
        <v>48</v>
      </c>
      <c r="U422" s="9">
        <v>960</v>
      </c>
      <c r="V422" s="13">
        <v>0.3841666666666666</v>
      </c>
      <c r="W422" s="13">
        <v>368.79999999999995</v>
      </c>
      <c r="X422" s="14">
        <v>-40.587522935779823</v>
      </c>
      <c r="Y422" s="13">
        <v>328.21247706422014</v>
      </c>
      <c r="Z422" s="10">
        <v>45343</v>
      </c>
      <c r="AA422" s="9">
        <v>0</v>
      </c>
      <c r="AC422" s="9" t="s">
        <v>78</v>
      </c>
      <c r="AD422" s="14">
        <v>81.848000000000013</v>
      </c>
      <c r="AF422" s="14">
        <v>19.2</v>
      </c>
      <c r="AH422" s="14">
        <v>101.04800000000002</v>
      </c>
      <c r="AI422" s="13">
        <v>227.16447706422014</v>
      </c>
      <c r="AK422" s="9">
        <v>960</v>
      </c>
    </row>
    <row r="423" spans="1:37">
      <c r="A423" s="9">
        <v>7</v>
      </c>
      <c r="B423" s="9">
        <v>2024</v>
      </c>
      <c r="C423" s="9" t="s">
        <v>46</v>
      </c>
      <c r="D423" s="9" t="s">
        <v>47</v>
      </c>
      <c r="E423" s="9" t="s">
        <v>47</v>
      </c>
      <c r="F423" s="10">
        <v>45334</v>
      </c>
      <c r="G423" s="9" t="s">
        <v>154</v>
      </c>
      <c r="H423" s="9" t="s">
        <v>52</v>
      </c>
      <c r="I423" s="9">
        <v>2</v>
      </c>
      <c r="J423" s="9">
        <v>24</v>
      </c>
      <c r="K423" s="9">
        <v>800</v>
      </c>
      <c r="L423" s="9">
        <v>0.52</v>
      </c>
      <c r="M423" s="9">
        <v>416</v>
      </c>
      <c r="N423" s="9" t="s">
        <v>49</v>
      </c>
      <c r="Q423" s="9">
        <f>IF(Auction_Sales[[#This Row],[Payment Date]]=0,"",-1+WEEKNUM(Auction_Sales[[#This Row],[Payment Date]]))</f>
        <v>7</v>
      </c>
      <c r="R423" s="9">
        <v>0</v>
      </c>
      <c r="S423" s="9" t="s">
        <v>154</v>
      </c>
      <c r="T423" s="9" t="s">
        <v>52</v>
      </c>
      <c r="U423" s="9">
        <v>800</v>
      </c>
      <c r="V423" s="13">
        <v>0.46250000000000002</v>
      </c>
      <c r="W423" s="13">
        <v>370</v>
      </c>
      <c r="X423" s="14">
        <v>-33.822935779816518</v>
      </c>
      <c r="Y423" s="13">
        <v>336.17706422018347</v>
      </c>
      <c r="Z423" s="10">
        <v>45343</v>
      </c>
      <c r="AA423" s="9">
        <v>0</v>
      </c>
      <c r="AC423" s="9" t="s">
        <v>78</v>
      </c>
      <c r="AD423" s="14">
        <v>81.848000000000013</v>
      </c>
      <c r="AF423" s="14">
        <v>16</v>
      </c>
      <c r="AH423" s="14">
        <v>97.848000000000013</v>
      </c>
      <c r="AI423" s="13">
        <v>238.32906422018345</v>
      </c>
      <c r="AK423" s="9">
        <v>800</v>
      </c>
    </row>
    <row r="424" spans="1:37">
      <c r="A424" s="9">
        <v>7</v>
      </c>
      <c r="B424" s="9">
        <v>2024</v>
      </c>
      <c r="C424" s="9" t="s">
        <v>46</v>
      </c>
      <c r="D424" s="9" t="s">
        <v>47</v>
      </c>
      <c r="E424" s="9" t="s">
        <v>47</v>
      </c>
      <c r="F424" s="10">
        <v>45334</v>
      </c>
      <c r="G424" s="9" t="s">
        <v>154</v>
      </c>
      <c r="H424" s="9" t="s">
        <v>54</v>
      </c>
      <c r="I424" s="9">
        <v>2</v>
      </c>
      <c r="J424" s="9">
        <v>24</v>
      </c>
      <c r="K424" s="9">
        <v>640</v>
      </c>
      <c r="L424" s="9">
        <v>0.56999999999999995</v>
      </c>
      <c r="M424" s="9">
        <v>364.8</v>
      </c>
      <c r="N424" s="9" t="s">
        <v>49</v>
      </c>
      <c r="Q424" s="9">
        <f>IF(Auction_Sales[[#This Row],[Payment Date]]=0,"",-1+WEEKNUM(Auction_Sales[[#This Row],[Payment Date]]))</f>
        <v>7</v>
      </c>
      <c r="R424" s="9">
        <v>0</v>
      </c>
      <c r="S424" s="9" t="s">
        <v>154</v>
      </c>
      <c r="T424" s="9" t="s">
        <v>54</v>
      </c>
      <c r="U424" s="9">
        <v>640</v>
      </c>
      <c r="V424" s="13">
        <v>0.49375000000000002</v>
      </c>
      <c r="W424" s="13">
        <v>316</v>
      </c>
      <c r="X424" s="14">
        <v>-27.058348623853217</v>
      </c>
      <c r="Y424" s="13">
        <v>288.94165137614681</v>
      </c>
      <c r="Z424" s="10">
        <v>45343</v>
      </c>
      <c r="AA424" s="9">
        <v>0</v>
      </c>
      <c r="AC424" s="9" t="s">
        <v>78</v>
      </c>
      <c r="AD424" s="14">
        <v>81.848000000000013</v>
      </c>
      <c r="AF424" s="14">
        <v>12.8</v>
      </c>
      <c r="AH424" s="14">
        <v>94.64800000000001</v>
      </c>
      <c r="AI424" s="13">
        <v>194.29365137614678</v>
      </c>
      <c r="AK424" s="9">
        <v>640</v>
      </c>
    </row>
    <row r="425" spans="1:37">
      <c r="A425" s="9">
        <v>7</v>
      </c>
      <c r="B425" s="9">
        <v>2024</v>
      </c>
      <c r="C425" s="9" t="s">
        <v>46</v>
      </c>
      <c r="D425" s="9" t="s">
        <v>47</v>
      </c>
      <c r="E425" s="9" t="s">
        <v>47</v>
      </c>
      <c r="F425" s="10">
        <v>45334</v>
      </c>
      <c r="G425" s="9" t="s">
        <v>154</v>
      </c>
      <c r="H425" s="9" t="s">
        <v>56</v>
      </c>
      <c r="I425" s="9">
        <v>1</v>
      </c>
      <c r="J425" s="9">
        <v>12</v>
      </c>
      <c r="K425" s="9">
        <v>240</v>
      </c>
      <c r="L425" s="9">
        <v>0.75</v>
      </c>
      <c r="M425" s="9">
        <v>180</v>
      </c>
      <c r="N425" s="9" t="s">
        <v>49</v>
      </c>
      <c r="Q425" s="9">
        <f>IF(Auction_Sales[[#This Row],[Payment Date]]=0,"",-1+WEEKNUM(Auction_Sales[[#This Row],[Payment Date]]))</f>
        <v>7</v>
      </c>
      <c r="R425" s="9">
        <v>0</v>
      </c>
      <c r="S425" s="9" t="s">
        <v>154</v>
      </c>
      <c r="T425" s="9" t="s">
        <v>56</v>
      </c>
      <c r="U425" s="9">
        <v>240</v>
      </c>
      <c r="V425" s="13">
        <v>0.43666666666666665</v>
      </c>
      <c r="W425" s="13">
        <v>104.8</v>
      </c>
      <c r="X425" s="14">
        <v>-10.146880733944956</v>
      </c>
      <c r="Y425" s="13">
        <v>94.653119266055043</v>
      </c>
      <c r="Z425" s="10">
        <v>45343</v>
      </c>
      <c r="AA425" s="9">
        <v>0</v>
      </c>
      <c r="AC425" s="9" t="s">
        <v>78</v>
      </c>
      <c r="AD425" s="14">
        <v>40.924000000000007</v>
      </c>
      <c r="AF425" s="14">
        <v>4.8</v>
      </c>
      <c r="AH425" s="14">
        <v>45.724000000000004</v>
      </c>
      <c r="AI425" s="13">
        <v>48.929119266055039</v>
      </c>
      <c r="AK425" s="9">
        <v>240</v>
      </c>
    </row>
    <row r="426" spans="1:37">
      <c r="A426" s="9">
        <v>7</v>
      </c>
      <c r="B426" s="9">
        <v>2024</v>
      </c>
      <c r="C426" s="9" t="s">
        <v>46</v>
      </c>
      <c r="D426" s="9" t="s">
        <v>47</v>
      </c>
      <c r="E426" s="9" t="s">
        <v>47</v>
      </c>
      <c r="F426" s="10">
        <v>45334</v>
      </c>
      <c r="G426" s="9" t="s">
        <v>154</v>
      </c>
      <c r="H426" s="9" t="s">
        <v>57</v>
      </c>
      <c r="I426" s="9">
        <v>1</v>
      </c>
      <c r="J426" s="9">
        <v>12</v>
      </c>
      <c r="K426" s="9">
        <v>200</v>
      </c>
      <c r="L426" s="9">
        <v>0.94</v>
      </c>
      <c r="M426" s="9">
        <v>188</v>
      </c>
      <c r="N426" s="9" t="s">
        <v>49</v>
      </c>
      <c r="Q426" s="9">
        <f>IF(Auction_Sales[[#This Row],[Payment Date]]=0,"",-1+WEEKNUM(Auction_Sales[[#This Row],[Payment Date]]))</f>
        <v>7</v>
      </c>
      <c r="R426" s="9">
        <v>0</v>
      </c>
      <c r="S426" s="9" t="s">
        <v>154</v>
      </c>
      <c r="T426" s="9" t="s">
        <v>57</v>
      </c>
      <c r="U426" s="9">
        <v>200</v>
      </c>
      <c r="V426" s="13">
        <v>0.52200000000000002</v>
      </c>
      <c r="W426" s="13">
        <v>104.4</v>
      </c>
      <c r="X426" s="14">
        <v>-8.4557339449541296</v>
      </c>
      <c r="Y426" s="13">
        <v>95.944266055045873</v>
      </c>
      <c r="Z426" s="10">
        <v>45343</v>
      </c>
      <c r="AA426" s="9">
        <v>0</v>
      </c>
      <c r="AC426" s="9" t="s">
        <v>78</v>
      </c>
      <c r="AD426" s="14">
        <v>40.924000000000007</v>
      </c>
      <c r="AF426" s="14">
        <v>4</v>
      </c>
      <c r="AH426" s="14">
        <v>44.924000000000007</v>
      </c>
      <c r="AI426" s="13">
        <v>51.020266055045866</v>
      </c>
      <c r="AK426" s="9">
        <v>200</v>
      </c>
    </row>
    <row r="427" spans="1:37">
      <c r="A427" s="9">
        <v>7</v>
      </c>
      <c r="B427" s="9">
        <v>2024</v>
      </c>
      <c r="C427" s="9" t="s">
        <v>46</v>
      </c>
      <c r="D427" s="9" t="s">
        <v>47</v>
      </c>
      <c r="E427" s="9" t="s">
        <v>47</v>
      </c>
      <c r="F427" s="10">
        <v>45334</v>
      </c>
      <c r="G427" s="9" t="s">
        <v>155</v>
      </c>
      <c r="H427" s="9" t="s">
        <v>51</v>
      </c>
      <c r="I427" s="9">
        <v>2</v>
      </c>
      <c r="J427" s="9">
        <v>24</v>
      </c>
      <c r="K427" s="9">
        <v>1200</v>
      </c>
      <c r="L427" s="9">
        <v>0.38</v>
      </c>
      <c r="M427" s="9">
        <v>456</v>
      </c>
      <c r="N427" s="9" t="s">
        <v>49</v>
      </c>
      <c r="Q427" s="9">
        <f>IF(Auction_Sales[[#This Row],[Payment Date]]=0,"",-1+WEEKNUM(Auction_Sales[[#This Row],[Payment Date]]))</f>
        <v>7</v>
      </c>
      <c r="R427" s="9">
        <v>0</v>
      </c>
      <c r="S427" s="9" t="s">
        <v>155</v>
      </c>
      <c r="T427" s="9" t="s">
        <v>51</v>
      </c>
      <c r="U427" s="9">
        <v>1200</v>
      </c>
      <c r="V427" s="13">
        <v>0.31466666666666671</v>
      </c>
      <c r="W427" s="13">
        <v>377.6</v>
      </c>
      <c r="X427" s="14">
        <v>-50.734403669724784</v>
      </c>
      <c r="Y427" s="13">
        <v>326.86559633027525</v>
      </c>
      <c r="Z427" s="10">
        <v>45343</v>
      </c>
      <c r="AA427" s="9">
        <v>0</v>
      </c>
      <c r="AC427" s="9" t="s">
        <v>78</v>
      </c>
      <c r="AD427" s="14">
        <v>81.848000000000013</v>
      </c>
      <c r="AF427" s="14">
        <v>24</v>
      </c>
      <c r="AH427" s="14">
        <v>105.84800000000001</v>
      </c>
      <c r="AI427" s="13">
        <v>221.01759633027524</v>
      </c>
      <c r="AK427" s="9">
        <v>1200</v>
      </c>
    </row>
    <row r="428" spans="1:37">
      <c r="A428" s="9">
        <v>7</v>
      </c>
      <c r="B428" s="9">
        <v>2024</v>
      </c>
      <c r="C428" s="9" t="s">
        <v>46</v>
      </c>
      <c r="D428" s="9" t="s">
        <v>47</v>
      </c>
      <c r="E428" s="9" t="s">
        <v>47</v>
      </c>
      <c r="F428" s="10">
        <v>45334</v>
      </c>
      <c r="G428" s="9" t="s">
        <v>155</v>
      </c>
      <c r="H428" s="9" t="s">
        <v>54</v>
      </c>
      <c r="I428" s="9">
        <v>1</v>
      </c>
      <c r="J428" s="9">
        <v>12</v>
      </c>
      <c r="K428" s="9">
        <v>360</v>
      </c>
      <c r="L428" s="9">
        <v>0.56999999999999995</v>
      </c>
      <c r="M428" s="9">
        <v>205.2</v>
      </c>
      <c r="N428" s="9" t="s">
        <v>49</v>
      </c>
      <c r="Q428" s="9">
        <f>IF(Auction_Sales[[#This Row],[Payment Date]]=0,"",-1+WEEKNUM(Auction_Sales[[#This Row],[Payment Date]]))</f>
        <v>7</v>
      </c>
      <c r="R428" s="9">
        <v>80</v>
      </c>
      <c r="S428" s="9" t="s">
        <v>155</v>
      </c>
      <c r="T428" s="9" t="s">
        <v>54</v>
      </c>
      <c r="U428" s="9">
        <v>280</v>
      </c>
      <c r="V428" s="13">
        <v>0.76571428571428568</v>
      </c>
      <c r="W428" s="13">
        <v>214.39999999999998</v>
      </c>
      <c r="X428" s="14">
        <v>-11.838027522935782</v>
      </c>
      <c r="Y428" s="13">
        <v>202.56197247706419</v>
      </c>
      <c r="Z428" s="10">
        <v>45343</v>
      </c>
      <c r="AA428" s="9">
        <v>-80</v>
      </c>
      <c r="AC428" s="9" t="s">
        <v>78</v>
      </c>
      <c r="AD428" s="14">
        <v>40.924000000000007</v>
      </c>
      <c r="AF428" s="14">
        <v>5.6000000000000005</v>
      </c>
      <c r="AH428" s="14">
        <v>46.524000000000008</v>
      </c>
      <c r="AI428" s="13">
        <v>156.03797247706419</v>
      </c>
      <c r="AK428" s="9">
        <v>280</v>
      </c>
    </row>
    <row r="429" spans="1:37">
      <c r="A429" s="9">
        <v>7</v>
      </c>
      <c r="B429" s="9">
        <v>2024</v>
      </c>
      <c r="C429" s="9" t="s">
        <v>46</v>
      </c>
      <c r="D429" s="9" t="s">
        <v>47</v>
      </c>
      <c r="E429" s="9" t="s">
        <v>47</v>
      </c>
      <c r="F429" s="10">
        <v>45334</v>
      </c>
      <c r="G429" s="9" t="s">
        <v>155</v>
      </c>
      <c r="H429" s="9" t="s">
        <v>48</v>
      </c>
      <c r="I429" s="9">
        <v>2</v>
      </c>
      <c r="J429" s="9">
        <v>24</v>
      </c>
      <c r="K429" s="9">
        <v>1040</v>
      </c>
      <c r="L429" s="9">
        <v>0.47</v>
      </c>
      <c r="M429" s="9">
        <v>488.8</v>
      </c>
      <c r="N429" s="9" t="s">
        <v>49</v>
      </c>
      <c r="Q429" s="9">
        <f>IF(Auction_Sales[[#This Row],[Payment Date]]=0,"",-1+WEEKNUM(Auction_Sales[[#This Row],[Payment Date]]))</f>
        <v>7</v>
      </c>
      <c r="R429" s="9">
        <v>0</v>
      </c>
      <c r="S429" s="9" t="s">
        <v>155</v>
      </c>
      <c r="T429" s="9" t="s">
        <v>48</v>
      </c>
      <c r="U429" s="9">
        <v>1040</v>
      </c>
      <c r="V429" s="13">
        <v>0.5757692307692307</v>
      </c>
      <c r="W429" s="13">
        <v>598.79999999999995</v>
      </c>
      <c r="X429" s="14">
        <v>-43.969816513761472</v>
      </c>
      <c r="Y429" s="13">
        <v>554.83018348623852</v>
      </c>
      <c r="Z429" s="10">
        <v>45343</v>
      </c>
      <c r="AA429" s="9">
        <v>0</v>
      </c>
      <c r="AC429" s="9" t="s">
        <v>78</v>
      </c>
      <c r="AD429" s="14">
        <v>81.848000000000013</v>
      </c>
      <c r="AF429" s="14">
        <v>20.8</v>
      </c>
      <c r="AH429" s="14">
        <v>102.64800000000001</v>
      </c>
      <c r="AI429" s="13">
        <v>452.1821834862385</v>
      </c>
      <c r="AK429" s="9">
        <v>1040</v>
      </c>
    </row>
    <row r="430" spans="1:37">
      <c r="A430" s="9">
        <v>7</v>
      </c>
      <c r="B430" s="9">
        <v>2024</v>
      </c>
      <c r="C430" s="9" t="s">
        <v>46</v>
      </c>
      <c r="D430" s="9" t="s">
        <v>47</v>
      </c>
      <c r="E430" s="9" t="s">
        <v>47</v>
      </c>
      <c r="F430" s="10">
        <v>45334</v>
      </c>
      <c r="G430" s="9" t="s">
        <v>155</v>
      </c>
      <c r="H430" s="9" t="s">
        <v>52</v>
      </c>
      <c r="I430" s="9">
        <v>1</v>
      </c>
      <c r="J430" s="9">
        <v>12</v>
      </c>
      <c r="K430" s="9">
        <v>400</v>
      </c>
      <c r="L430" s="9">
        <v>0.52</v>
      </c>
      <c r="M430" s="9">
        <v>208</v>
      </c>
      <c r="N430" s="9" t="s">
        <v>49</v>
      </c>
      <c r="Q430" s="9">
        <f>IF(Auction_Sales[[#This Row],[Payment Date]]=0,"",-1+WEEKNUM(Auction_Sales[[#This Row],[Payment Date]]))</f>
        <v>7</v>
      </c>
      <c r="R430" s="9">
        <v>-80</v>
      </c>
      <c r="S430" s="9" t="s">
        <v>155</v>
      </c>
      <c r="T430" s="9" t="s">
        <v>52</v>
      </c>
      <c r="U430" s="9">
        <v>480</v>
      </c>
      <c r="V430" s="13">
        <v>0.71166666666666667</v>
      </c>
      <c r="W430" s="13">
        <v>341.6</v>
      </c>
      <c r="X430" s="14">
        <v>-20.293761467889912</v>
      </c>
      <c r="Y430" s="13">
        <v>321.30623853211011</v>
      </c>
      <c r="Z430" s="10">
        <v>45343</v>
      </c>
      <c r="AA430" s="9">
        <v>80</v>
      </c>
      <c r="AC430" s="9" t="s">
        <v>78</v>
      </c>
      <c r="AD430" s="14">
        <v>40.924000000000007</v>
      </c>
      <c r="AF430" s="14">
        <v>9.6</v>
      </c>
      <c r="AH430" s="14">
        <v>50.524000000000008</v>
      </c>
      <c r="AI430" s="13">
        <v>270.78223853211011</v>
      </c>
      <c r="AK430" s="9">
        <v>480</v>
      </c>
    </row>
    <row r="431" spans="1:37">
      <c r="A431" s="9">
        <v>7</v>
      </c>
      <c r="B431" s="9">
        <v>2024</v>
      </c>
      <c r="C431" s="9" t="s">
        <v>46</v>
      </c>
      <c r="D431" s="9" t="s">
        <v>47</v>
      </c>
      <c r="E431" s="9" t="s">
        <v>47</v>
      </c>
      <c r="F431" s="10">
        <v>45334</v>
      </c>
      <c r="G431" s="9" t="s">
        <v>153</v>
      </c>
      <c r="H431" s="9" t="s">
        <v>54</v>
      </c>
      <c r="I431" s="9">
        <v>1</v>
      </c>
      <c r="J431" s="9">
        <v>12</v>
      </c>
      <c r="K431" s="9">
        <v>480</v>
      </c>
      <c r="L431" s="9">
        <v>0.33</v>
      </c>
      <c r="M431" s="9">
        <v>158.4</v>
      </c>
      <c r="N431" s="9" t="s">
        <v>49</v>
      </c>
      <c r="Q431" s="9">
        <f>IF(Auction_Sales[[#This Row],[Payment Date]]=0,"",-1+WEEKNUM(Auction_Sales[[#This Row],[Payment Date]]))</f>
        <v>7</v>
      </c>
      <c r="R431" s="9">
        <v>0</v>
      </c>
      <c r="S431" s="9" t="s">
        <v>153</v>
      </c>
      <c r="T431" s="9" t="s">
        <v>54</v>
      </c>
      <c r="U431" s="9">
        <v>480</v>
      </c>
      <c r="V431" s="13">
        <v>0.76166666666666671</v>
      </c>
      <c r="W431" s="13">
        <v>365.6</v>
      </c>
      <c r="X431" s="14">
        <v>-20.293761467889912</v>
      </c>
      <c r="Y431" s="13">
        <v>345.30623853211011</v>
      </c>
      <c r="Z431" s="10">
        <v>45343</v>
      </c>
      <c r="AA431" s="9">
        <v>0</v>
      </c>
      <c r="AC431" s="9" t="s">
        <v>78</v>
      </c>
      <c r="AD431" s="14">
        <v>40.924000000000007</v>
      </c>
      <c r="AF431" s="14">
        <v>9.6</v>
      </c>
      <c r="AH431" s="14">
        <v>50.524000000000008</v>
      </c>
      <c r="AI431" s="13">
        <v>294.78223853211011</v>
      </c>
      <c r="AK431" s="9">
        <v>480</v>
      </c>
    </row>
    <row r="432" spans="1:37">
      <c r="A432" s="9">
        <v>7</v>
      </c>
      <c r="B432" s="9">
        <v>2024</v>
      </c>
      <c r="C432" s="9" t="s">
        <v>46</v>
      </c>
      <c r="D432" s="9" t="s">
        <v>47</v>
      </c>
      <c r="E432" s="9" t="s">
        <v>47</v>
      </c>
      <c r="F432" s="10">
        <v>45334</v>
      </c>
      <c r="G432" s="9" t="s">
        <v>153</v>
      </c>
      <c r="H432" s="9" t="s">
        <v>57</v>
      </c>
      <c r="I432" s="9">
        <v>1</v>
      </c>
      <c r="J432" s="9">
        <v>12</v>
      </c>
      <c r="K432" s="9">
        <v>240</v>
      </c>
      <c r="L432" s="9">
        <v>0.47</v>
      </c>
      <c r="M432" s="9">
        <v>112.8</v>
      </c>
      <c r="N432" s="9" t="s">
        <v>49</v>
      </c>
      <c r="Q432" s="9">
        <f>IF(Auction_Sales[[#This Row],[Payment Date]]=0,"",-1+WEEKNUM(Auction_Sales[[#This Row],[Payment Date]]))</f>
        <v>7</v>
      </c>
      <c r="R432" s="9">
        <v>0</v>
      </c>
      <c r="S432" s="9" t="s">
        <v>153</v>
      </c>
      <c r="T432" s="9" t="s">
        <v>57</v>
      </c>
      <c r="U432" s="9">
        <v>240</v>
      </c>
      <c r="V432" s="13">
        <v>0.86</v>
      </c>
      <c r="W432" s="13">
        <v>206.4</v>
      </c>
      <c r="X432" s="14">
        <v>-10.146880733944956</v>
      </c>
      <c r="Y432" s="13">
        <v>196.25311926605505</v>
      </c>
      <c r="Z432" s="10">
        <v>45343</v>
      </c>
      <c r="AA432" s="9">
        <v>0</v>
      </c>
      <c r="AC432" s="9" t="s">
        <v>78</v>
      </c>
      <c r="AD432" s="14">
        <v>40.924000000000007</v>
      </c>
      <c r="AF432" s="14">
        <v>4.8</v>
      </c>
      <c r="AH432" s="14">
        <v>45.724000000000004</v>
      </c>
      <c r="AI432" s="13">
        <v>150.52911926605503</v>
      </c>
      <c r="AK432" s="9">
        <v>240</v>
      </c>
    </row>
    <row r="433" spans="1:37">
      <c r="A433" s="9">
        <v>7</v>
      </c>
      <c r="B433" s="9">
        <v>2024</v>
      </c>
      <c r="C433" s="9" t="s">
        <v>46</v>
      </c>
      <c r="D433" s="9" t="s">
        <v>47</v>
      </c>
      <c r="E433" s="9" t="s">
        <v>47</v>
      </c>
      <c r="F433" s="10">
        <v>45334</v>
      </c>
      <c r="G433" s="9" t="s">
        <v>153</v>
      </c>
      <c r="H433" s="9" t="s">
        <v>48</v>
      </c>
      <c r="I433" s="9">
        <v>1</v>
      </c>
      <c r="J433" s="9">
        <v>12</v>
      </c>
      <c r="K433" s="9">
        <v>680</v>
      </c>
      <c r="L433" s="9">
        <v>0.24</v>
      </c>
      <c r="M433" s="9">
        <v>163.19999999999999</v>
      </c>
      <c r="N433" s="9" t="s">
        <v>49</v>
      </c>
      <c r="Q433" s="9">
        <f>IF(Auction_Sales[[#This Row],[Payment Date]]=0,"",-1+WEEKNUM(Auction_Sales[[#This Row],[Payment Date]]))</f>
        <v>7</v>
      </c>
      <c r="R433" s="9">
        <v>0</v>
      </c>
      <c r="S433" s="9" t="s">
        <v>153</v>
      </c>
      <c r="T433" s="9" t="s">
        <v>48</v>
      </c>
      <c r="U433" s="9">
        <v>680</v>
      </c>
      <c r="V433" s="13">
        <v>0.40352941176470586</v>
      </c>
      <c r="W433" s="13">
        <v>274.39999999999998</v>
      </c>
      <c r="X433" s="14">
        <v>-28.749495412844041</v>
      </c>
      <c r="Y433" s="13">
        <v>245.65050458715592</v>
      </c>
      <c r="Z433" s="10">
        <v>45343</v>
      </c>
      <c r="AA433" s="9">
        <v>0</v>
      </c>
      <c r="AC433" s="9" t="s">
        <v>78</v>
      </c>
      <c r="AD433" s="14">
        <v>40.924000000000007</v>
      </c>
      <c r="AF433" s="14">
        <v>13.6</v>
      </c>
      <c r="AH433" s="14">
        <v>54.524000000000008</v>
      </c>
      <c r="AI433" s="13">
        <v>191.12650458715592</v>
      </c>
      <c r="AK433" s="9">
        <v>680</v>
      </c>
    </row>
    <row r="434" spans="1:37">
      <c r="A434" s="9">
        <v>7</v>
      </c>
      <c r="B434" s="9">
        <v>2024</v>
      </c>
      <c r="C434" s="9" t="s">
        <v>46</v>
      </c>
      <c r="D434" s="9" t="s">
        <v>47</v>
      </c>
      <c r="E434" s="9" t="s">
        <v>47</v>
      </c>
      <c r="F434" s="10">
        <v>45334</v>
      </c>
      <c r="G434" s="9" t="s">
        <v>153</v>
      </c>
      <c r="H434" s="9" t="s">
        <v>52</v>
      </c>
      <c r="I434" s="9">
        <v>1</v>
      </c>
      <c r="J434" s="9">
        <v>12</v>
      </c>
      <c r="K434" s="9">
        <v>520</v>
      </c>
      <c r="L434" s="9">
        <v>0.28000000000000003</v>
      </c>
      <c r="M434" s="9">
        <v>145.6</v>
      </c>
      <c r="N434" s="9" t="s">
        <v>49</v>
      </c>
      <c r="Q434" s="9">
        <f>IF(Auction_Sales[[#This Row],[Payment Date]]=0,"",-1+WEEKNUM(Auction_Sales[[#This Row],[Payment Date]]))</f>
        <v>7</v>
      </c>
      <c r="R434" s="9">
        <v>0</v>
      </c>
      <c r="S434" s="9" t="s">
        <v>153</v>
      </c>
      <c r="T434" s="9" t="s">
        <v>52</v>
      </c>
      <c r="U434" s="9">
        <v>520</v>
      </c>
      <c r="V434" s="13">
        <v>0.6892307692307692</v>
      </c>
      <c r="W434" s="13">
        <v>358.4</v>
      </c>
      <c r="X434" s="14">
        <v>-21.984908256880736</v>
      </c>
      <c r="Y434" s="13">
        <v>336.41509174311926</v>
      </c>
      <c r="Z434" s="10">
        <v>45343</v>
      </c>
      <c r="AA434" s="9">
        <v>0</v>
      </c>
      <c r="AC434" s="9" t="s">
        <v>78</v>
      </c>
      <c r="AD434" s="14">
        <v>40.924000000000007</v>
      </c>
      <c r="AF434" s="14">
        <v>10.4</v>
      </c>
      <c r="AH434" s="14">
        <v>51.324000000000005</v>
      </c>
      <c r="AI434" s="13">
        <v>285.09109174311925</v>
      </c>
      <c r="AK434" s="9">
        <v>520</v>
      </c>
    </row>
    <row r="435" spans="1:37">
      <c r="A435" s="9">
        <v>7</v>
      </c>
      <c r="B435" s="9">
        <v>2024</v>
      </c>
      <c r="C435" s="9" t="s">
        <v>46</v>
      </c>
      <c r="D435" s="9" t="s">
        <v>47</v>
      </c>
      <c r="E435" s="9" t="s">
        <v>47</v>
      </c>
      <c r="F435" s="10">
        <v>45334</v>
      </c>
      <c r="G435" s="9" t="s">
        <v>153</v>
      </c>
      <c r="H435" s="9" t="s">
        <v>56</v>
      </c>
      <c r="I435" s="9">
        <v>1</v>
      </c>
      <c r="J435" s="9">
        <v>4.3636363636363633</v>
      </c>
      <c r="K435" s="9">
        <v>160</v>
      </c>
      <c r="L435" s="9">
        <v>0.38</v>
      </c>
      <c r="M435" s="9">
        <v>60.8</v>
      </c>
      <c r="N435" s="9" t="s">
        <v>49</v>
      </c>
      <c r="Q435" s="9">
        <f>IF(Auction_Sales[[#This Row],[Payment Date]]=0,"",-1+WEEKNUM(Auction_Sales[[#This Row],[Payment Date]]))</f>
        <v>7</v>
      </c>
      <c r="R435" s="9">
        <v>0</v>
      </c>
      <c r="S435" s="9" t="s">
        <v>153</v>
      </c>
      <c r="T435" s="9" t="s">
        <v>56</v>
      </c>
      <c r="U435" s="9">
        <v>160</v>
      </c>
      <c r="V435" s="13">
        <v>0.82</v>
      </c>
      <c r="W435" s="13">
        <v>131.19999999999999</v>
      </c>
      <c r="X435" s="14">
        <v>-6.7645871559633042</v>
      </c>
      <c r="Y435" s="13">
        <v>124.43541284403669</v>
      </c>
      <c r="Z435" s="10">
        <v>45343</v>
      </c>
      <c r="AA435" s="9">
        <v>0</v>
      </c>
      <c r="AC435" s="9" t="s">
        <v>78</v>
      </c>
      <c r="AD435" s="14">
        <v>14.881454545454545</v>
      </c>
      <c r="AF435" s="14">
        <v>3.2</v>
      </c>
      <c r="AH435" s="14">
        <v>18.081454545454545</v>
      </c>
      <c r="AI435" s="13">
        <v>106.35395829858214</v>
      </c>
      <c r="AK435" s="9">
        <v>160</v>
      </c>
    </row>
    <row r="436" spans="1:37">
      <c r="A436" s="9">
        <v>7</v>
      </c>
      <c r="B436" s="9">
        <v>2024</v>
      </c>
      <c r="C436" s="9" t="s">
        <v>46</v>
      </c>
      <c r="D436" s="9" t="s">
        <v>47</v>
      </c>
      <c r="E436" s="9" t="s">
        <v>47</v>
      </c>
      <c r="F436" s="10">
        <v>45334</v>
      </c>
      <c r="G436" s="9" t="s">
        <v>153</v>
      </c>
      <c r="H436" s="9" t="s">
        <v>51</v>
      </c>
      <c r="J436" s="9">
        <v>7.6363636363636367</v>
      </c>
      <c r="K436" s="9">
        <v>280</v>
      </c>
      <c r="L436" s="9">
        <v>0.14000000000000001</v>
      </c>
      <c r="M436" s="9">
        <v>39.200000000000003</v>
      </c>
      <c r="N436" s="9" t="s">
        <v>49</v>
      </c>
      <c r="Q436" s="9">
        <f>IF(Auction_Sales[[#This Row],[Payment Date]]=0,"",-1+WEEKNUM(Auction_Sales[[#This Row],[Payment Date]]))</f>
        <v>7</v>
      </c>
      <c r="R436" s="9">
        <v>0</v>
      </c>
      <c r="S436" s="9" t="s">
        <v>153</v>
      </c>
      <c r="T436" s="9" t="s">
        <v>51</v>
      </c>
      <c r="U436" s="9">
        <v>280</v>
      </c>
      <c r="V436" s="13">
        <v>0.20428571428571429</v>
      </c>
      <c r="W436" s="13">
        <v>57.2</v>
      </c>
      <c r="X436" s="14">
        <v>-11.838027522935782</v>
      </c>
      <c r="Y436" s="13">
        <v>45.361972477064221</v>
      </c>
      <c r="Z436" s="10">
        <v>45343</v>
      </c>
      <c r="AA436" s="9">
        <v>0</v>
      </c>
      <c r="AC436" s="9" t="s">
        <v>78</v>
      </c>
      <c r="AD436" s="14">
        <v>26.042545454545458</v>
      </c>
      <c r="AF436" s="14">
        <v>5.6000000000000005</v>
      </c>
      <c r="AH436" s="14">
        <v>31.642545454545459</v>
      </c>
      <c r="AI436" s="13">
        <v>13.719427022518762</v>
      </c>
      <c r="AK436" s="9">
        <v>280</v>
      </c>
    </row>
    <row r="437" spans="1:37">
      <c r="A437" s="9">
        <v>7</v>
      </c>
      <c r="B437" s="9">
        <v>2024</v>
      </c>
      <c r="C437" s="9" t="s">
        <v>46</v>
      </c>
      <c r="D437" s="9" t="s">
        <v>47</v>
      </c>
      <c r="E437" s="9" t="s">
        <v>47</v>
      </c>
      <c r="F437" s="10">
        <v>45335</v>
      </c>
      <c r="G437" s="9" t="s">
        <v>153</v>
      </c>
      <c r="H437" s="9" t="s">
        <v>52</v>
      </c>
      <c r="I437" s="9">
        <v>1</v>
      </c>
      <c r="J437" s="9">
        <v>12</v>
      </c>
      <c r="K437" s="9">
        <v>520</v>
      </c>
      <c r="L437" s="9">
        <v>0.28000000000000003</v>
      </c>
      <c r="M437" s="9">
        <v>145.6</v>
      </c>
      <c r="N437" s="9" t="s">
        <v>49</v>
      </c>
      <c r="Q437" s="9">
        <f>IF(Auction_Sales[[#This Row],[Payment Date]]=0,"",-1+WEEKNUM(Auction_Sales[[#This Row],[Payment Date]]))</f>
        <v>7</v>
      </c>
      <c r="R437" s="9">
        <v>0</v>
      </c>
      <c r="S437" s="9" t="s">
        <v>153</v>
      </c>
      <c r="T437" s="9" t="s">
        <v>52</v>
      </c>
      <c r="U437" s="9">
        <v>520</v>
      </c>
      <c r="V437" s="13">
        <v>0.58000000000000007</v>
      </c>
      <c r="W437" s="13">
        <v>301.60000000000002</v>
      </c>
      <c r="X437" s="14">
        <v>-26.42691358024689</v>
      </c>
      <c r="Y437" s="13">
        <v>275.17308641975313</v>
      </c>
      <c r="Z437" s="10">
        <v>45343</v>
      </c>
      <c r="AA437" s="9">
        <v>0</v>
      </c>
      <c r="AC437" s="9" t="s">
        <v>79</v>
      </c>
      <c r="AD437" s="14">
        <v>42.796428571428571</v>
      </c>
      <c r="AF437" s="14">
        <v>10.4</v>
      </c>
      <c r="AH437" s="14">
        <v>53.196428571428569</v>
      </c>
      <c r="AI437" s="13">
        <v>221.97665784832458</v>
      </c>
      <c r="AK437" s="9">
        <v>520</v>
      </c>
    </row>
    <row r="438" spans="1:37">
      <c r="A438" s="9">
        <v>7</v>
      </c>
      <c r="B438" s="9">
        <v>2024</v>
      </c>
      <c r="C438" s="9" t="s">
        <v>46</v>
      </c>
      <c r="D438" s="9" t="s">
        <v>47</v>
      </c>
      <c r="E438" s="9" t="s">
        <v>47</v>
      </c>
      <c r="F438" s="10">
        <v>45335</v>
      </c>
      <c r="G438" s="9" t="s">
        <v>153</v>
      </c>
      <c r="H438" s="9" t="s">
        <v>54</v>
      </c>
      <c r="I438" s="9">
        <v>1</v>
      </c>
      <c r="J438" s="9">
        <v>12</v>
      </c>
      <c r="K438" s="9">
        <v>440</v>
      </c>
      <c r="L438" s="9">
        <v>0.33</v>
      </c>
      <c r="M438" s="9">
        <v>145.19999999999999</v>
      </c>
      <c r="N438" s="9" t="s">
        <v>49</v>
      </c>
      <c r="Q438" s="9">
        <f>IF(Auction_Sales[[#This Row],[Payment Date]]=0,"",-1+WEEKNUM(Auction_Sales[[#This Row],[Payment Date]]))</f>
        <v>7</v>
      </c>
      <c r="R438" s="9">
        <v>0</v>
      </c>
      <c r="S438" s="9" t="s">
        <v>153</v>
      </c>
      <c r="T438" s="9" t="s">
        <v>54</v>
      </c>
      <c r="U438" s="9">
        <v>440</v>
      </c>
      <c r="V438" s="13">
        <v>0.70454545454545459</v>
      </c>
      <c r="W438" s="13">
        <v>310</v>
      </c>
      <c r="X438" s="14">
        <v>-22.361234567901214</v>
      </c>
      <c r="Y438" s="13">
        <v>287.63876543209881</v>
      </c>
      <c r="Z438" s="10">
        <v>45343</v>
      </c>
      <c r="AA438" s="9">
        <v>0</v>
      </c>
      <c r="AC438" s="9" t="s">
        <v>79</v>
      </c>
      <c r="AD438" s="14">
        <v>42.796428571428571</v>
      </c>
      <c r="AF438" s="14">
        <v>8.8000000000000007</v>
      </c>
      <c r="AH438" s="14">
        <v>51.596428571428575</v>
      </c>
      <c r="AI438" s="13">
        <v>236.04233686067022</v>
      </c>
      <c r="AK438" s="9">
        <v>440</v>
      </c>
    </row>
    <row r="439" spans="1:37">
      <c r="A439" s="9">
        <v>7</v>
      </c>
      <c r="B439" s="9">
        <v>2024</v>
      </c>
      <c r="C439" s="9" t="s">
        <v>46</v>
      </c>
      <c r="D439" s="9" t="s">
        <v>47</v>
      </c>
      <c r="E439" s="9" t="s">
        <v>47</v>
      </c>
      <c r="F439" s="10">
        <v>45335</v>
      </c>
      <c r="G439" s="9" t="s">
        <v>155</v>
      </c>
      <c r="H439" s="9" t="s">
        <v>51</v>
      </c>
      <c r="I439" s="9">
        <v>1</v>
      </c>
      <c r="J439" s="9">
        <v>12</v>
      </c>
      <c r="K439" s="9">
        <v>600</v>
      </c>
      <c r="L439" s="9">
        <v>0.38</v>
      </c>
      <c r="M439" s="9">
        <v>228</v>
      </c>
      <c r="N439" s="9" t="s">
        <v>49</v>
      </c>
      <c r="Q439" s="9">
        <f>IF(Auction_Sales[[#This Row],[Payment Date]]=0,"",-1+WEEKNUM(Auction_Sales[[#This Row],[Payment Date]]))</f>
        <v>7</v>
      </c>
      <c r="R439" s="9">
        <v>0</v>
      </c>
      <c r="S439" s="9" t="s">
        <v>155</v>
      </c>
      <c r="T439" s="9" t="s">
        <v>51</v>
      </c>
      <c r="U439" s="9">
        <v>600</v>
      </c>
      <c r="V439" s="13">
        <v>0.71799999999999997</v>
      </c>
      <c r="W439" s="13">
        <v>430.79999999999995</v>
      </c>
      <c r="X439" s="14">
        <v>-30.492592592592565</v>
      </c>
      <c r="Y439" s="13">
        <v>400.30740740740737</v>
      </c>
      <c r="Z439" s="10">
        <v>45343</v>
      </c>
      <c r="AA439" s="9">
        <v>0</v>
      </c>
      <c r="AC439" s="9" t="s">
        <v>79</v>
      </c>
      <c r="AD439" s="14">
        <v>42.796428571428571</v>
      </c>
      <c r="AF439" s="14">
        <v>12</v>
      </c>
      <c r="AH439" s="14">
        <v>54.796428571428571</v>
      </c>
      <c r="AI439" s="13">
        <v>345.51097883597879</v>
      </c>
      <c r="AK439" s="9">
        <v>600</v>
      </c>
    </row>
    <row r="440" spans="1:37">
      <c r="A440" s="9">
        <v>7</v>
      </c>
      <c r="B440" s="9">
        <v>2024</v>
      </c>
      <c r="C440" s="9" t="s">
        <v>46</v>
      </c>
      <c r="D440" s="9" t="s">
        <v>47</v>
      </c>
      <c r="E440" s="9" t="s">
        <v>47</v>
      </c>
      <c r="F440" s="10">
        <v>45335</v>
      </c>
      <c r="G440" s="9" t="s">
        <v>155</v>
      </c>
      <c r="H440" s="9" t="s">
        <v>48</v>
      </c>
      <c r="I440" s="9">
        <v>1</v>
      </c>
      <c r="J440" s="9">
        <v>12</v>
      </c>
      <c r="K440" s="9">
        <v>520</v>
      </c>
      <c r="L440" s="9">
        <v>0.47</v>
      </c>
      <c r="M440" s="9">
        <v>244.4</v>
      </c>
      <c r="N440" s="9" t="s">
        <v>49</v>
      </c>
      <c r="Q440" s="9">
        <f>IF(Auction_Sales[[#This Row],[Payment Date]]=0,"",-1+WEEKNUM(Auction_Sales[[#This Row],[Payment Date]]))</f>
        <v>7</v>
      </c>
      <c r="R440" s="9">
        <v>-400</v>
      </c>
      <c r="S440" s="9" t="s">
        <v>155</v>
      </c>
      <c r="T440" s="9" t="s">
        <v>48</v>
      </c>
      <c r="U440" s="9">
        <v>920</v>
      </c>
      <c r="V440" s="13">
        <v>0.74869565217391298</v>
      </c>
      <c r="W440" s="13">
        <v>688.8</v>
      </c>
      <c r="X440" s="14">
        <v>-46.755308641975269</v>
      </c>
      <c r="Y440" s="13">
        <v>642.04469135802469</v>
      </c>
      <c r="Z440" s="10">
        <v>45343</v>
      </c>
      <c r="AA440" s="9">
        <v>400</v>
      </c>
      <c r="AC440" s="9" t="s">
        <v>79</v>
      </c>
      <c r="AD440" s="14">
        <v>42.796428571428571</v>
      </c>
      <c r="AF440" s="14">
        <v>18.400000000000002</v>
      </c>
      <c r="AH440" s="14">
        <v>61.196428571428569</v>
      </c>
      <c r="AI440" s="13">
        <v>580.84826278659614</v>
      </c>
      <c r="AK440" s="9">
        <v>920</v>
      </c>
    </row>
    <row r="441" spans="1:37">
      <c r="A441" s="9">
        <v>7</v>
      </c>
      <c r="B441" s="9">
        <v>2024</v>
      </c>
      <c r="C441" s="9" t="s">
        <v>46</v>
      </c>
      <c r="D441" s="9" t="s">
        <v>47</v>
      </c>
      <c r="E441" s="9" t="s">
        <v>47</v>
      </c>
      <c r="F441" s="10">
        <v>45335</v>
      </c>
      <c r="G441" s="9" t="s">
        <v>154</v>
      </c>
      <c r="H441" s="9" t="s">
        <v>56</v>
      </c>
      <c r="I441" s="9">
        <v>1</v>
      </c>
      <c r="J441" s="9">
        <v>12</v>
      </c>
      <c r="K441" s="9">
        <v>240</v>
      </c>
      <c r="L441" s="9">
        <v>0.75</v>
      </c>
      <c r="M441" s="9">
        <v>180</v>
      </c>
      <c r="N441" s="9" t="s">
        <v>49</v>
      </c>
      <c r="Q441" s="9">
        <f>IF(Auction_Sales[[#This Row],[Payment Date]]=0,"",-1+WEEKNUM(Auction_Sales[[#This Row],[Payment Date]]))</f>
        <v>7</v>
      </c>
      <c r="R441" s="9">
        <v>0</v>
      </c>
      <c r="S441" s="9" t="s">
        <v>154</v>
      </c>
      <c r="T441" s="9" t="s">
        <v>56</v>
      </c>
      <c r="U441" s="9">
        <v>240</v>
      </c>
      <c r="V441" s="13">
        <v>0.45666666666666667</v>
      </c>
      <c r="W441" s="13">
        <v>109.6</v>
      </c>
      <c r="X441" s="14">
        <v>-12.197037037037026</v>
      </c>
      <c r="Y441" s="13">
        <v>97.402962962962974</v>
      </c>
      <c r="Z441" s="10">
        <v>45343</v>
      </c>
      <c r="AA441" s="9">
        <v>0</v>
      </c>
      <c r="AC441" s="9" t="s">
        <v>79</v>
      </c>
      <c r="AD441" s="14">
        <v>42.796428571428571</v>
      </c>
      <c r="AF441" s="14">
        <v>4.8</v>
      </c>
      <c r="AH441" s="14">
        <v>47.596428571428568</v>
      </c>
      <c r="AI441" s="13">
        <v>49.806534391534406</v>
      </c>
      <c r="AK441" s="9">
        <v>240</v>
      </c>
    </row>
    <row r="442" spans="1:37">
      <c r="A442" s="9">
        <v>7</v>
      </c>
      <c r="B442" s="9">
        <v>2024</v>
      </c>
      <c r="C442" s="9" t="s">
        <v>46</v>
      </c>
      <c r="D442" s="9" t="s">
        <v>47</v>
      </c>
      <c r="E442" s="9" t="s">
        <v>47</v>
      </c>
      <c r="F442" s="10">
        <v>45335</v>
      </c>
      <c r="G442" s="9" t="s">
        <v>154</v>
      </c>
      <c r="H442" s="9" t="s">
        <v>57</v>
      </c>
      <c r="I442" s="9">
        <v>2</v>
      </c>
      <c r="J442" s="9">
        <v>24</v>
      </c>
      <c r="K442" s="9">
        <v>400</v>
      </c>
      <c r="L442" s="9">
        <v>0.94</v>
      </c>
      <c r="M442" s="9">
        <v>376</v>
      </c>
      <c r="N442" s="9" t="s">
        <v>49</v>
      </c>
      <c r="Q442" s="9">
        <f>IF(Auction_Sales[[#This Row],[Payment Date]]=0,"",-1+WEEKNUM(Auction_Sales[[#This Row],[Payment Date]]))</f>
        <v>7</v>
      </c>
      <c r="R442" s="9">
        <v>0</v>
      </c>
      <c r="S442" s="9" t="s">
        <v>154</v>
      </c>
      <c r="T442" s="9" t="s">
        <v>57</v>
      </c>
      <c r="U442" s="9">
        <v>400</v>
      </c>
      <c r="V442" s="13">
        <v>0.4</v>
      </c>
      <c r="W442" s="13">
        <v>160</v>
      </c>
      <c r="X442" s="14">
        <v>-20.328395061728376</v>
      </c>
      <c r="Y442" s="13">
        <v>139.67160493827163</v>
      </c>
      <c r="Z442" s="10">
        <v>45343</v>
      </c>
      <c r="AA442" s="9">
        <v>0</v>
      </c>
      <c r="AC442" s="9" t="s">
        <v>79</v>
      </c>
      <c r="AD442" s="14">
        <v>85.592857142857142</v>
      </c>
      <c r="AF442" s="14">
        <v>8</v>
      </c>
      <c r="AH442" s="14">
        <v>93.592857142857142</v>
      </c>
      <c r="AI442" s="13">
        <v>46.078747795414486</v>
      </c>
      <c r="AK442" s="9">
        <v>400</v>
      </c>
    </row>
    <row r="443" spans="1:37">
      <c r="A443" s="9">
        <v>7</v>
      </c>
      <c r="B443" s="9">
        <v>2024</v>
      </c>
      <c r="C443" s="9" t="s">
        <v>46</v>
      </c>
      <c r="D443" s="9" t="s">
        <v>47</v>
      </c>
      <c r="E443" s="9" t="s">
        <v>47</v>
      </c>
      <c r="F443" s="10">
        <v>45335</v>
      </c>
      <c r="G443" s="9" t="s">
        <v>154</v>
      </c>
      <c r="H443" s="9" t="s">
        <v>51</v>
      </c>
      <c r="I443" s="9">
        <v>1</v>
      </c>
      <c r="J443" s="9">
        <v>5.4545454545454541</v>
      </c>
      <c r="K443" s="9">
        <v>200</v>
      </c>
      <c r="L443" s="9">
        <v>0.38</v>
      </c>
      <c r="M443" s="9">
        <v>76</v>
      </c>
      <c r="N443" s="9" t="s">
        <v>49</v>
      </c>
      <c r="Q443" s="9">
        <f>IF(Auction_Sales[[#This Row],[Payment Date]]=0,"",-1+WEEKNUM(Auction_Sales[[#This Row],[Payment Date]]))</f>
        <v>7</v>
      </c>
      <c r="R443" s="9">
        <v>0</v>
      </c>
      <c r="S443" s="9" t="s">
        <v>154</v>
      </c>
      <c r="T443" s="9" t="s">
        <v>51</v>
      </c>
      <c r="U443" s="9">
        <v>200</v>
      </c>
      <c r="V443" s="13">
        <v>0.63</v>
      </c>
      <c r="W443" s="13">
        <v>126</v>
      </c>
      <c r="X443" s="14">
        <v>-10.164197530864188</v>
      </c>
      <c r="Y443" s="13">
        <v>115.83580246913581</v>
      </c>
      <c r="Z443" s="10">
        <v>45343</v>
      </c>
      <c r="AA443" s="9">
        <v>0</v>
      </c>
      <c r="AC443" s="9" t="s">
        <v>79</v>
      </c>
      <c r="AD443" s="14">
        <v>19.452922077922075</v>
      </c>
      <c r="AF443" s="14">
        <v>4</v>
      </c>
      <c r="AH443" s="14">
        <v>23.452922077922075</v>
      </c>
      <c r="AI443" s="13">
        <v>92.382880391213746</v>
      </c>
      <c r="AK443" s="9">
        <v>200</v>
      </c>
    </row>
    <row r="444" spans="1:37">
      <c r="A444" s="9">
        <v>7</v>
      </c>
      <c r="B444" s="9">
        <v>2024</v>
      </c>
      <c r="C444" s="9" t="s">
        <v>46</v>
      </c>
      <c r="D444" s="9" t="s">
        <v>47</v>
      </c>
      <c r="E444" s="9" t="s">
        <v>47</v>
      </c>
      <c r="F444" s="10">
        <v>45335</v>
      </c>
      <c r="G444" s="9" t="s">
        <v>154</v>
      </c>
      <c r="H444" s="9" t="s">
        <v>48</v>
      </c>
      <c r="J444" s="9">
        <v>6.545454545454545</v>
      </c>
      <c r="K444" s="9">
        <v>240</v>
      </c>
      <c r="L444" s="9">
        <v>0.47</v>
      </c>
      <c r="M444" s="9">
        <v>112.8</v>
      </c>
      <c r="N444" s="9" t="s">
        <v>49</v>
      </c>
      <c r="Q444" s="9">
        <f>IF(Auction_Sales[[#This Row],[Payment Date]]=0,"",-1+WEEKNUM(Auction_Sales[[#This Row],[Payment Date]]))</f>
        <v>7</v>
      </c>
      <c r="R444" s="9">
        <v>0</v>
      </c>
      <c r="S444" s="9" t="s">
        <v>154</v>
      </c>
      <c r="T444" s="9" t="s">
        <v>48</v>
      </c>
      <c r="U444" s="9">
        <v>240</v>
      </c>
      <c r="V444" s="13">
        <v>0.80333333333333334</v>
      </c>
      <c r="W444" s="13">
        <v>192.8</v>
      </c>
      <c r="X444" s="14">
        <v>-12.197037037037026</v>
      </c>
      <c r="Y444" s="13">
        <v>180.60296296296298</v>
      </c>
      <c r="Z444" s="10">
        <v>45343</v>
      </c>
      <c r="AA444" s="9">
        <v>0</v>
      </c>
      <c r="AC444" s="9" t="s">
        <v>79</v>
      </c>
      <c r="AD444" s="14">
        <v>23.343506493506492</v>
      </c>
      <c r="AF444" s="14">
        <v>4.8</v>
      </c>
      <c r="AH444" s="14">
        <v>28.143506493506493</v>
      </c>
      <c r="AI444" s="13">
        <v>152.45945646945648</v>
      </c>
      <c r="AK444" s="9">
        <v>240</v>
      </c>
    </row>
    <row r="445" spans="1:37">
      <c r="A445" s="9">
        <v>7</v>
      </c>
      <c r="B445" s="9">
        <v>2024</v>
      </c>
      <c r="C445" s="9" t="s">
        <v>46</v>
      </c>
      <c r="D445" s="9" t="s">
        <v>47</v>
      </c>
      <c r="E445" s="9" t="s">
        <v>47</v>
      </c>
      <c r="F445" s="10">
        <v>45335</v>
      </c>
      <c r="G445" s="9" t="s">
        <v>154</v>
      </c>
      <c r="H445" s="9" t="s">
        <v>52</v>
      </c>
      <c r="I445" s="9">
        <v>1</v>
      </c>
      <c r="J445" s="9">
        <v>5.4545454545454541</v>
      </c>
      <c r="K445" s="9">
        <v>200</v>
      </c>
      <c r="L445" s="9">
        <v>0.52</v>
      </c>
      <c r="M445" s="9">
        <v>104</v>
      </c>
      <c r="N445" s="9" t="s">
        <v>49</v>
      </c>
      <c r="Q445" s="9">
        <f>IF(Auction_Sales[[#This Row],[Payment Date]]=0,"",-1+WEEKNUM(Auction_Sales[[#This Row],[Payment Date]]))</f>
        <v>7</v>
      </c>
      <c r="R445" s="9">
        <v>0</v>
      </c>
      <c r="S445" s="9" t="s">
        <v>154</v>
      </c>
      <c r="T445" s="9" t="s">
        <v>52</v>
      </c>
      <c r="U445" s="9">
        <v>200</v>
      </c>
      <c r="V445" s="13">
        <v>0.84</v>
      </c>
      <c r="W445" s="13">
        <v>168</v>
      </c>
      <c r="X445" s="14">
        <v>-10.164197530864188</v>
      </c>
      <c r="Y445" s="13">
        <v>157.83580246913581</v>
      </c>
      <c r="Z445" s="10">
        <v>45343</v>
      </c>
      <c r="AA445" s="9">
        <v>0</v>
      </c>
      <c r="AC445" s="9" t="s">
        <v>79</v>
      </c>
      <c r="AD445" s="14">
        <v>19.452922077922075</v>
      </c>
      <c r="AF445" s="14">
        <v>4</v>
      </c>
      <c r="AH445" s="14">
        <v>23.452922077922075</v>
      </c>
      <c r="AI445" s="13">
        <v>134.38288039121375</v>
      </c>
      <c r="AK445" s="9">
        <v>200</v>
      </c>
    </row>
    <row r="446" spans="1:37">
      <c r="A446" s="9">
        <v>7</v>
      </c>
      <c r="B446" s="9">
        <v>2024</v>
      </c>
      <c r="C446" s="9" t="s">
        <v>46</v>
      </c>
      <c r="D446" s="9" t="s">
        <v>47</v>
      </c>
      <c r="E446" s="9" t="s">
        <v>47</v>
      </c>
      <c r="F446" s="10">
        <v>45335</v>
      </c>
      <c r="G446" s="9" t="s">
        <v>154</v>
      </c>
      <c r="H446" s="9" t="s">
        <v>54</v>
      </c>
      <c r="J446" s="9">
        <v>6.545454545454545</v>
      </c>
      <c r="K446" s="9">
        <v>240</v>
      </c>
      <c r="L446" s="9">
        <v>0.56999999999999995</v>
      </c>
      <c r="M446" s="9">
        <v>136.80000000000001</v>
      </c>
      <c r="N446" s="9" t="s">
        <v>49</v>
      </c>
      <c r="Q446" s="9">
        <f>IF(Auction_Sales[[#This Row],[Payment Date]]=0,"",-1+WEEKNUM(Auction_Sales[[#This Row],[Payment Date]]))</f>
        <v>7</v>
      </c>
      <c r="R446" s="9">
        <v>0</v>
      </c>
      <c r="S446" s="9" t="s">
        <v>154</v>
      </c>
      <c r="T446" s="9" t="s">
        <v>54</v>
      </c>
      <c r="U446" s="9">
        <v>240</v>
      </c>
      <c r="V446" s="13">
        <v>0.81166666666666676</v>
      </c>
      <c r="W446" s="13">
        <v>194.8</v>
      </c>
      <c r="X446" s="14">
        <v>-12.197037037037026</v>
      </c>
      <c r="Y446" s="13">
        <v>182.60296296296298</v>
      </c>
      <c r="Z446" s="10">
        <v>45343</v>
      </c>
      <c r="AA446" s="9">
        <v>0</v>
      </c>
      <c r="AC446" s="9" t="s">
        <v>79</v>
      </c>
      <c r="AD446" s="14">
        <v>23.343506493506492</v>
      </c>
      <c r="AF446" s="14">
        <v>4.8</v>
      </c>
      <c r="AH446" s="14">
        <v>28.143506493506493</v>
      </c>
      <c r="AI446" s="13">
        <v>154.45945646945648</v>
      </c>
      <c r="AK446" s="9">
        <v>240</v>
      </c>
    </row>
    <row r="447" spans="1:37">
      <c r="A447" s="9">
        <v>7</v>
      </c>
      <c r="B447" s="9">
        <v>2024</v>
      </c>
      <c r="C447" s="9" t="s">
        <v>46</v>
      </c>
      <c r="D447" s="9" t="s">
        <v>47</v>
      </c>
      <c r="E447" s="9" t="s">
        <v>47</v>
      </c>
      <c r="F447" s="10">
        <v>45335</v>
      </c>
      <c r="G447" s="9" t="s">
        <v>155</v>
      </c>
      <c r="H447" s="9" t="s">
        <v>52</v>
      </c>
      <c r="I447" s="9">
        <v>1</v>
      </c>
      <c r="J447" s="9">
        <v>2.7692307692307692</v>
      </c>
      <c r="K447" s="9">
        <v>120</v>
      </c>
      <c r="L447" s="9">
        <v>0.52</v>
      </c>
      <c r="M447" s="9">
        <v>62.4</v>
      </c>
      <c r="N447" s="9" t="s">
        <v>49</v>
      </c>
      <c r="Q447" s="9">
        <f>IF(Auction_Sales[[#This Row],[Payment Date]]=0,"",-1+WEEKNUM(Auction_Sales[[#This Row],[Payment Date]]))</f>
        <v>7</v>
      </c>
      <c r="R447" s="9">
        <v>0</v>
      </c>
      <c r="S447" s="9" t="s">
        <v>155</v>
      </c>
      <c r="T447" s="9" t="s">
        <v>52</v>
      </c>
      <c r="U447" s="9">
        <v>120</v>
      </c>
      <c r="V447" s="13">
        <v>0.8</v>
      </c>
      <c r="W447" s="13">
        <v>96</v>
      </c>
      <c r="X447" s="14">
        <v>-6.0985185185185129</v>
      </c>
      <c r="Y447" s="13">
        <v>89.901481481481483</v>
      </c>
      <c r="Z447" s="10">
        <v>45343</v>
      </c>
      <c r="AA447" s="9">
        <v>0</v>
      </c>
      <c r="AC447" s="9" t="s">
        <v>79</v>
      </c>
      <c r="AD447" s="14">
        <v>9.8760989010989011</v>
      </c>
      <c r="AF447" s="14">
        <v>2.4</v>
      </c>
      <c r="AH447" s="14">
        <v>12.276098901098901</v>
      </c>
      <c r="AI447" s="13">
        <v>77.625382580382578</v>
      </c>
      <c r="AK447" s="9">
        <v>120</v>
      </c>
    </row>
    <row r="448" spans="1:37">
      <c r="A448" s="9">
        <v>7</v>
      </c>
      <c r="B448" s="9">
        <v>2024</v>
      </c>
      <c r="C448" s="9" t="s">
        <v>46</v>
      </c>
      <c r="D448" s="9" t="s">
        <v>47</v>
      </c>
      <c r="E448" s="9" t="s">
        <v>47</v>
      </c>
      <c r="F448" s="10">
        <v>45335</v>
      </c>
      <c r="G448" s="9" t="s">
        <v>155</v>
      </c>
      <c r="H448" s="9" t="s">
        <v>48</v>
      </c>
      <c r="J448" s="9">
        <v>9.2307692307692317</v>
      </c>
      <c r="K448" s="9">
        <v>400</v>
      </c>
      <c r="L448" s="9">
        <v>0.47</v>
      </c>
      <c r="M448" s="9">
        <v>188</v>
      </c>
      <c r="N448" s="9" t="s">
        <v>49</v>
      </c>
      <c r="Q448" s="9">
        <f>IF(Auction_Sales[[#This Row],[Payment Date]]=0,"",-1+WEEKNUM(Auction_Sales[[#This Row],[Payment Date]]))</f>
        <v>7</v>
      </c>
      <c r="R448" s="9">
        <v>400</v>
      </c>
      <c r="S448" s="9" t="s">
        <v>155</v>
      </c>
      <c r="T448" s="9" t="s">
        <v>48</v>
      </c>
      <c r="W448" s="13">
        <v>0</v>
      </c>
      <c r="X448" s="14">
        <v>0</v>
      </c>
      <c r="Y448" s="13">
        <v>0</v>
      </c>
      <c r="Z448" s="10">
        <v>45343</v>
      </c>
      <c r="AA448" s="9">
        <v>-400</v>
      </c>
      <c r="AC448" s="9" t="s">
        <v>79</v>
      </c>
      <c r="AD448" s="14">
        <v>32.920329670329672</v>
      </c>
      <c r="AF448" s="14">
        <v>0</v>
      </c>
      <c r="AH448" s="14">
        <v>32.920329670329672</v>
      </c>
      <c r="AI448" s="13">
        <v>-32.920329670329672</v>
      </c>
      <c r="AK448" s="9">
        <v>0</v>
      </c>
    </row>
    <row r="449" spans="1:37">
      <c r="A449" s="9">
        <v>7</v>
      </c>
      <c r="B449" s="9">
        <v>2024</v>
      </c>
      <c r="C449" s="9" t="s">
        <v>46</v>
      </c>
      <c r="D449" s="9" t="s">
        <v>47</v>
      </c>
      <c r="E449" s="9" t="s">
        <v>47</v>
      </c>
      <c r="F449" s="10">
        <v>45335</v>
      </c>
      <c r="G449" s="9" t="s">
        <v>156</v>
      </c>
      <c r="H449" s="9" t="s">
        <v>51</v>
      </c>
      <c r="I449" s="9">
        <v>1</v>
      </c>
      <c r="J449" s="9">
        <v>3.2</v>
      </c>
      <c r="K449" s="9">
        <v>160</v>
      </c>
      <c r="L449" s="9">
        <v>0.42</v>
      </c>
      <c r="M449" s="9">
        <v>67.2</v>
      </c>
      <c r="N449" s="9" t="s">
        <v>49</v>
      </c>
      <c r="Q449" s="9">
        <f>IF(Auction_Sales[[#This Row],[Payment Date]]=0,"",-1+WEEKNUM(Auction_Sales[[#This Row],[Payment Date]]))</f>
        <v>7</v>
      </c>
      <c r="R449" s="9">
        <v>0</v>
      </c>
      <c r="S449" s="9" t="s">
        <v>156</v>
      </c>
      <c r="T449" s="9" t="s">
        <v>51</v>
      </c>
      <c r="U449" s="9">
        <v>160</v>
      </c>
      <c r="V449" s="13">
        <v>0.45999999999999996</v>
      </c>
      <c r="W449" s="13">
        <v>73.599999999999994</v>
      </c>
      <c r="X449" s="14">
        <v>-8.1313580246913517</v>
      </c>
      <c r="Y449" s="13">
        <v>65.468641975308643</v>
      </c>
      <c r="Z449" s="10">
        <v>45343</v>
      </c>
      <c r="AA449" s="9">
        <v>0</v>
      </c>
      <c r="AC449" s="9" t="s">
        <v>79</v>
      </c>
      <c r="AD449" s="14">
        <v>11.412380952380953</v>
      </c>
      <c r="AF449" s="14">
        <v>3.2</v>
      </c>
      <c r="AH449" s="14">
        <v>14.612380952380953</v>
      </c>
      <c r="AI449" s="13">
        <v>50.85626102292769</v>
      </c>
      <c r="AK449" s="9">
        <v>160</v>
      </c>
    </row>
    <row r="450" spans="1:37">
      <c r="A450" s="9">
        <v>7</v>
      </c>
      <c r="B450" s="9">
        <v>2024</v>
      </c>
      <c r="C450" s="9" t="s">
        <v>46</v>
      </c>
      <c r="D450" s="9" t="s">
        <v>47</v>
      </c>
      <c r="E450" s="9" t="s">
        <v>47</v>
      </c>
      <c r="F450" s="10">
        <v>45335</v>
      </c>
      <c r="G450" s="9" t="s">
        <v>156</v>
      </c>
      <c r="H450" s="9" t="s">
        <v>48</v>
      </c>
      <c r="J450" s="9">
        <v>8.7999999999999989</v>
      </c>
      <c r="K450" s="9">
        <v>440</v>
      </c>
      <c r="L450" s="9">
        <v>0.52</v>
      </c>
      <c r="M450" s="9">
        <v>228.8</v>
      </c>
      <c r="N450" s="9" t="s">
        <v>49</v>
      </c>
      <c r="Q450" s="9">
        <f>IF(Auction_Sales[[#This Row],[Payment Date]]=0,"",-1+WEEKNUM(Auction_Sales[[#This Row],[Payment Date]]))</f>
        <v>7</v>
      </c>
      <c r="R450" s="9">
        <v>0</v>
      </c>
      <c r="S450" s="9" t="s">
        <v>156</v>
      </c>
      <c r="T450" s="9" t="s">
        <v>48</v>
      </c>
      <c r="U450" s="9">
        <v>440</v>
      </c>
      <c r="V450" s="13">
        <v>0.61</v>
      </c>
      <c r="W450" s="13">
        <v>268.39999999999998</v>
      </c>
      <c r="X450" s="14">
        <v>-22.361234567901214</v>
      </c>
      <c r="Y450" s="13">
        <v>246.03876543209876</v>
      </c>
      <c r="Z450" s="10">
        <v>45343</v>
      </c>
      <c r="AA450" s="9">
        <v>0</v>
      </c>
      <c r="AC450" s="9" t="s">
        <v>79</v>
      </c>
      <c r="AD450" s="14">
        <v>31.384047619047614</v>
      </c>
      <c r="AF450" s="14">
        <v>8.8000000000000007</v>
      </c>
      <c r="AH450" s="14">
        <v>40.184047619047618</v>
      </c>
      <c r="AI450" s="13">
        <v>205.85471781305114</v>
      </c>
      <c r="AK450" s="9">
        <v>440</v>
      </c>
    </row>
    <row r="451" spans="1:37">
      <c r="A451" s="9">
        <v>7</v>
      </c>
      <c r="B451" s="9">
        <v>2024</v>
      </c>
      <c r="C451" s="9" t="s">
        <v>46</v>
      </c>
      <c r="D451" s="9" t="s">
        <v>47</v>
      </c>
      <c r="E451" s="9" t="s">
        <v>47</v>
      </c>
      <c r="F451" s="10">
        <v>45335</v>
      </c>
      <c r="G451" s="9" t="s">
        <v>153</v>
      </c>
      <c r="H451" s="9" t="s">
        <v>51</v>
      </c>
      <c r="I451" s="9">
        <v>1</v>
      </c>
      <c r="J451" s="9">
        <v>6</v>
      </c>
      <c r="K451" s="9">
        <v>400</v>
      </c>
      <c r="L451" s="9">
        <v>0.14000000000000001</v>
      </c>
      <c r="M451" s="9">
        <v>56</v>
      </c>
      <c r="N451" s="9" t="s">
        <v>49</v>
      </c>
      <c r="Q451" s="9">
        <f>IF(Auction_Sales[[#This Row],[Payment Date]]=0,"",-1+WEEKNUM(Auction_Sales[[#This Row],[Payment Date]]))</f>
        <v>7</v>
      </c>
      <c r="R451" s="9">
        <v>0</v>
      </c>
      <c r="S451" s="9" t="s">
        <v>153</v>
      </c>
      <c r="T451" s="9" t="s">
        <v>51</v>
      </c>
      <c r="U451" s="9">
        <v>400</v>
      </c>
      <c r="V451" s="13">
        <v>0.34</v>
      </c>
      <c r="W451" s="13">
        <v>136</v>
      </c>
      <c r="X451" s="14">
        <v>-20.328395061728376</v>
      </c>
      <c r="Y451" s="13">
        <v>115.67160493827163</v>
      </c>
      <c r="Z451" s="10">
        <v>45343</v>
      </c>
      <c r="AA451" s="9">
        <v>0</v>
      </c>
      <c r="AC451" s="9" t="s">
        <v>79</v>
      </c>
      <c r="AD451" s="14">
        <v>21.398214285714285</v>
      </c>
      <c r="AF451" s="14">
        <v>8</v>
      </c>
      <c r="AH451" s="14">
        <v>29.398214285714285</v>
      </c>
      <c r="AI451" s="13">
        <v>86.273390652557339</v>
      </c>
      <c r="AK451" s="9">
        <v>400</v>
      </c>
    </row>
    <row r="452" spans="1:37">
      <c r="A452" s="9">
        <v>7</v>
      </c>
      <c r="B452" s="9">
        <v>2024</v>
      </c>
      <c r="C452" s="9" t="s">
        <v>46</v>
      </c>
      <c r="D452" s="9" t="s">
        <v>47</v>
      </c>
      <c r="E452" s="9" t="s">
        <v>47</v>
      </c>
      <c r="F452" s="10">
        <v>45335</v>
      </c>
      <c r="G452" s="9" t="s">
        <v>153</v>
      </c>
      <c r="H452" s="9" t="s">
        <v>48</v>
      </c>
      <c r="J452" s="9">
        <v>6</v>
      </c>
      <c r="K452" s="9">
        <v>400</v>
      </c>
      <c r="L452" s="9">
        <v>0.24</v>
      </c>
      <c r="M452" s="9">
        <v>96</v>
      </c>
      <c r="N452" s="9" t="s">
        <v>49</v>
      </c>
      <c r="Q452" s="9">
        <f>IF(Auction_Sales[[#This Row],[Payment Date]]=0,"",-1+WEEKNUM(Auction_Sales[[#This Row],[Payment Date]]))</f>
        <v>7</v>
      </c>
      <c r="R452" s="9">
        <v>0</v>
      </c>
      <c r="S452" s="9" t="s">
        <v>153</v>
      </c>
      <c r="T452" s="9" t="s">
        <v>48</v>
      </c>
      <c r="U452" s="9">
        <v>400</v>
      </c>
      <c r="V452" s="13">
        <v>0.51700000000000002</v>
      </c>
      <c r="W452" s="13">
        <v>206.8</v>
      </c>
      <c r="X452" s="14">
        <v>-20.328395061728376</v>
      </c>
      <c r="Y452" s="13">
        <v>186.47160493827164</v>
      </c>
      <c r="Z452" s="10">
        <v>45343</v>
      </c>
      <c r="AA452" s="9">
        <v>0</v>
      </c>
      <c r="AC452" s="9" t="s">
        <v>79</v>
      </c>
      <c r="AD452" s="14">
        <v>21.398214285714285</v>
      </c>
      <c r="AF452" s="14">
        <v>8</v>
      </c>
      <c r="AH452" s="14">
        <v>29.398214285714285</v>
      </c>
      <c r="AI452" s="13">
        <v>157.07339065255735</v>
      </c>
      <c r="AK452" s="9">
        <v>400</v>
      </c>
    </row>
    <row r="453" spans="1:37">
      <c r="A453" s="9">
        <v>7</v>
      </c>
      <c r="B453" s="9">
        <v>2024</v>
      </c>
      <c r="C453" s="9" t="s">
        <v>46</v>
      </c>
      <c r="D453" s="9" t="s">
        <v>47</v>
      </c>
      <c r="E453" s="9" t="s">
        <v>47</v>
      </c>
      <c r="F453" s="10">
        <v>45335</v>
      </c>
      <c r="G453" s="9" t="s">
        <v>153</v>
      </c>
      <c r="H453" s="9" t="s">
        <v>56</v>
      </c>
      <c r="I453" s="9">
        <v>1</v>
      </c>
      <c r="J453" s="9">
        <v>6</v>
      </c>
      <c r="K453" s="9">
        <v>200</v>
      </c>
      <c r="L453" s="9">
        <v>0.38</v>
      </c>
      <c r="M453" s="9">
        <v>76</v>
      </c>
      <c r="N453" s="9" t="s">
        <v>49</v>
      </c>
      <c r="Q453" s="9">
        <f>IF(Auction_Sales[[#This Row],[Payment Date]]=0,"",-1+WEEKNUM(Auction_Sales[[#This Row],[Payment Date]]))</f>
        <v>7</v>
      </c>
      <c r="R453" s="9">
        <v>0</v>
      </c>
      <c r="S453" s="9" t="s">
        <v>153</v>
      </c>
      <c r="T453" s="9" t="s">
        <v>56</v>
      </c>
      <c r="U453" s="9">
        <v>200</v>
      </c>
      <c r="V453" s="13">
        <v>0.73599999999999999</v>
      </c>
      <c r="W453" s="13">
        <v>147.19999999999999</v>
      </c>
      <c r="X453" s="14">
        <v>-10.164197530864188</v>
      </c>
      <c r="Y453" s="13">
        <v>137.0358024691358</v>
      </c>
      <c r="Z453" s="10">
        <v>45343</v>
      </c>
      <c r="AA453" s="9">
        <v>0</v>
      </c>
      <c r="AC453" s="9" t="s">
        <v>79</v>
      </c>
      <c r="AD453" s="14">
        <v>21.398214285714285</v>
      </c>
      <c r="AF453" s="14">
        <v>4</v>
      </c>
      <c r="AH453" s="14">
        <v>25.398214285714285</v>
      </c>
      <c r="AI453" s="13">
        <v>111.63758818342151</v>
      </c>
      <c r="AK453" s="9">
        <v>200</v>
      </c>
    </row>
    <row r="454" spans="1:37">
      <c r="A454" s="9">
        <v>7</v>
      </c>
      <c r="B454" s="9">
        <v>2024</v>
      </c>
      <c r="C454" s="9" t="s">
        <v>46</v>
      </c>
      <c r="D454" s="9" t="s">
        <v>47</v>
      </c>
      <c r="E454" s="9" t="s">
        <v>47</v>
      </c>
      <c r="F454" s="10">
        <v>45335</v>
      </c>
      <c r="G454" s="9" t="s">
        <v>153</v>
      </c>
      <c r="H454" s="9" t="s">
        <v>57</v>
      </c>
      <c r="J454" s="9">
        <v>6</v>
      </c>
      <c r="K454" s="9">
        <v>200</v>
      </c>
      <c r="L454" s="9">
        <v>0.47</v>
      </c>
      <c r="M454" s="9">
        <v>94</v>
      </c>
      <c r="N454" s="9" t="s">
        <v>49</v>
      </c>
      <c r="Q454" s="9">
        <f>IF(Auction_Sales[[#This Row],[Payment Date]]=0,"",-1+WEEKNUM(Auction_Sales[[#This Row],[Payment Date]]))</f>
        <v>7</v>
      </c>
      <c r="R454" s="9">
        <v>0</v>
      </c>
      <c r="S454" s="9" t="s">
        <v>153</v>
      </c>
      <c r="T454" s="9" t="s">
        <v>57</v>
      </c>
      <c r="U454" s="9">
        <v>200</v>
      </c>
      <c r="V454" s="13">
        <v>0.75</v>
      </c>
      <c r="W454" s="13">
        <v>150</v>
      </c>
      <c r="X454" s="14">
        <v>-10.164197530864188</v>
      </c>
      <c r="Y454" s="13">
        <v>139.83580246913581</v>
      </c>
      <c r="Z454" s="10">
        <v>45343</v>
      </c>
      <c r="AA454" s="9">
        <v>0</v>
      </c>
      <c r="AC454" s="9" t="s">
        <v>79</v>
      </c>
      <c r="AD454" s="14">
        <v>21.398214285714285</v>
      </c>
      <c r="AF454" s="14">
        <v>4</v>
      </c>
      <c r="AH454" s="14">
        <v>25.398214285714285</v>
      </c>
      <c r="AI454" s="13">
        <v>114.43758818342152</v>
      </c>
      <c r="AK454" s="9">
        <v>200</v>
      </c>
    </row>
    <row r="455" spans="1:37">
      <c r="A455" s="9">
        <v>7</v>
      </c>
      <c r="B455" s="9">
        <v>2024</v>
      </c>
      <c r="C455" s="9" t="s">
        <v>46</v>
      </c>
      <c r="D455" s="9" t="s">
        <v>47</v>
      </c>
      <c r="E455" s="9" t="s">
        <v>47</v>
      </c>
      <c r="F455" s="10">
        <v>45335</v>
      </c>
      <c r="G455" s="9" t="s">
        <v>157</v>
      </c>
      <c r="H455" s="9" t="s">
        <v>51</v>
      </c>
      <c r="I455" s="9">
        <v>1</v>
      </c>
      <c r="J455" s="9">
        <v>4.2857142857142856</v>
      </c>
      <c r="K455" s="9">
        <v>200</v>
      </c>
      <c r="L455" s="9">
        <v>0.14000000000000001</v>
      </c>
      <c r="M455" s="9">
        <v>28</v>
      </c>
      <c r="N455" s="9" t="s">
        <v>49</v>
      </c>
      <c r="Q455" s="9">
        <f>IF(Auction_Sales[[#This Row],[Payment Date]]=0,"",-1+WEEKNUM(Auction_Sales[[#This Row],[Payment Date]]))</f>
        <v>7</v>
      </c>
      <c r="R455" s="9">
        <v>0</v>
      </c>
      <c r="S455" s="9" t="s">
        <v>157</v>
      </c>
      <c r="T455" s="9" t="s">
        <v>51</v>
      </c>
      <c r="U455" s="9">
        <v>200</v>
      </c>
      <c r="V455" s="13">
        <v>0.42</v>
      </c>
      <c r="W455" s="13">
        <v>84</v>
      </c>
      <c r="X455" s="14">
        <v>-10.164197530864188</v>
      </c>
      <c r="Y455" s="13">
        <v>73.835802469135814</v>
      </c>
      <c r="Z455" s="10">
        <v>45343</v>
      </c>
      <c r="AA455" s="9">
        <v>0</v>
      </c>
      <c r="AC455" s="9" t="s">
        <v>79</v>
      </c>
      <c r="AD455" s="14">
        <v>15.284438775510203</v>
      </c>
      <c r="AF455" s="14">
        <v>4</v>
      </c>
      <c r="AH455" s="14">
        <v>19.284438775510203</v>
      </c>
      <c r="AI455" s="13">
        <v>54.551363693625611</v>
      </c>
      <c r="AK455" s="9">
        <v>200</v>
      </c>
    </row>
    <row r="456" spans="1:37">
      <c r="A456" s="9">
        <v>7</v>
      </c>
      <c r="B456" s="9">
        <v>2024</v>
      </c>
      <c r="C456" s="9" t="s">
        <v>46</v>
      </c>
      <c r="D456" s="9" t="s">
        <v>47</v>
      </c>
      <c r="E456" s="9" t="s">
        <v>47</v>
      </c>
      <c r="F456" s="10">
        <v>45335</v>
      </c>
      <c r="G456" s="9" t="s">
        <v>157</v>
      </c>
      <c r="H456" s="9" t="s">
        <v>48</v>
      </c>
      <c r="J456" s="9">
        <v>4.2857142857142856</v>
      </c>
      <c r="K456" s="9">
        <v>200</v>
      </c>
      <c r="L456" s="9">
        <v>0.24</v>
      </c>
      <c r="M456" s="9">
        <v>48</v>
      </c>
      <c r="N456" s="9" t="s">
        <v>49</v>
      </c>
      <c r="Q456" s="9">
        <f>IF(Auction_Sales[[#This Row],[Payment Date]]=0,"",-1+WEEKNUM(Auction_Sales[[#This Row],[Payment Date]]))</f>
        <v>7</v>
      </c>
      <c r="R456" s="9">
        <v>0</v>
      </c>
      <c r="S456" s="9" t="s">
        <v>157</v>
      </c>
      <c r="T456" s="9" t="s">
        <v>48</v>
      </c>
      <c r="U456" s="9">
        <v>200</v>
      </c>
      <c r="V456" s="13">
        <v>0.56000000000000005</v>
      </c>
      <c r="W456" s="13">
        <v>112.00000000000001</v>
      </c>
      <c r="X456" s="14">
        <v>-10.164197530864188</v>
      </c>
      <c r="Y456" s="13">
        <v>101.83580246913583</v>
      </c>
      <c r="Z456" s="10">
        <v>45343</v>
      </c>
      <c r="AA456" s="9">
        <v>0</v>
      </c>
      <c r="AC456" s="9" t="s">
        <v>79</v>
      </c>
      <c r="AD456" s="14">
        <v>15.284438775510203</v>
      </c>
      <c r="AF456" s="14">
        <v>4</v>
      </c>
      <c r="AH456" s="14">
        <v>19.284438775510203</v>
      </c>
      <c r="AI456" s="13">
        <v>82.551363693625632</v>
      </c>
      <c r="AK456" s="9">
        <v>200</v>
      </c>
    </row>
    <row r="457" spans="1:37">
      <c r="A457" s="9">
        <v>7</v>
      </c>
      <c r="B457" s="9">
        <v>2024</v>
      </c>
      <c r="C457" s="9" t="s">
        <v>46</v>
      </c>
      <c r="D457" s="9" t="s">
        <v>47</v>
      </c>
      <c r="E457" s="9" t="s">
        <v>47</v>
      </c>
      <c r="F457" s="10">
        <v>45335</v>
      </c>
      <c r="G457" s="9" t="s">
        <v>157</v>
      </c>
      <c r="H457" s="9" t="s">
        <v>52</v>
      </c>
      <c r="J457" s="9">
        <v>1.7142857142857142</v>
      </c>
      <c r="K457" s="9">
        <v>80</v>
      </c>
      <c r="L457" s="9">
        <v>0.28000000000000003</v>
      </c>
      <c r="M457" s="9">
        <v>22.4</v>
      </c>
      <c r="N457" s="9" t="s">
        <v>49</v>
      </c>
      <c r="Q457" s="9">
        <f>IF(Auction_Sales[[#This Row],[Payment Date]]=0,"",-1+WEEKNUM(Auction_Sales[[#This Row],[Payment Date]]))</f>
        <v>7</v>
      </c>
      <c r="R457" s="9">
        <v>0</v>
      </c>
      <c r="S457" s="9" t="s">
        <v>157</v>
      </c>
      <c r="T457" s="9" t="s">
        <v>52</v>
      </c>
      <c r="U457" s="9">
        <v>80</v>
      </c>
      <c r="V457" s="13">
        <v>0.67999999999999994</v>
      </c>
      <c r="W457" s="13">
        <v>54.399999999999991</v>
      </c>
      <c r="X457" s="14">
        <v>-4.0656790123456759</v>
      </c>
      <c r="Y457" s="13">
        <v>50.334320987654316</v>
      </c>
      <c r="Z457" s="10">
        <v>45343</v>
      </c>
      <c r="AA457" s="9">
        <v>0</v>
      </c>
      <c r="AC457" s="9" t="s">
        <v>79</v>
      </c>
      <c r="AD457" s="14">
        <v>6.1137755102040812</v>
      </c>
      <c r="AF457" s="14">
        <v>1.6</v>
      </c>
      <c r="AH457" s="14">
        <v>7.7137755102040817</v>
      </c>
      <c r="AI457" s="13">
        <v>42.620545477450236</v>
      </c>
      <c r="AK457" s="9">
        <v>80</v>
      </c>
    </row>
    <row r="458" spans="1:37">
      <c r="A458" s="9">
        <v>7</v>
      </c>
      <c r="B458" s="9">
        <v>2024</v>
      </c>
      <c r="C458" s="9" t="s">
        <v>46</v>
      </c>
      <c r="D458" s="9" t="s">
        <v>47</v>
      </c>
      <c r="E458" s="9" t="s">
        <v>47</v>
      </c>
      <c r="F458" s="10">
        <v>45335</v>
      </c>
      <c r="G458" s="9" t="s">
        <v>157</v>
      </c>
      <c r="H458" s="9" t="s">
        <v>54</v>
      </c>
      <c r="J458" s="9">
        <v>1.7142857142857142</v>
      </c>
      <c r="K458" s="9">
        <v>80</v>
      </c>
      <c r="L458" s="9">
        <v>0.33</v>
      </c>
      <c r="M458" s="9">
        <v>26.4</v>
      </c>
      <c r="N458" s="9" t="s">
        <v>49</v>
      </c>
      <c r="Q458" s="9">
        <f>IF(Auction_Sales[[#This Row],[Payment Date]]=0,"",-1+WEEKNUM(Auction_Sales[[#This Row],[Payment Date]]))</f>
        <v>7</v>
      </c>
      <c r="R458" s="9">
        <v>0</v>
      </c>
      <c r="S458" s="9" t="s">
        <v>157</v>
      </c>
      <c r="T458" s="9" t="s">
        <v>54</v>
      </c>
      <c r="U458" s="9">
        <v>80</v>
      </c>
      <c r="V458" s="13">
        <v>0.68499999999999994</v>
      </c>
      <c r="W458" s="13">
        <v>54.8</v>
      </c>
      <c r="X458" s="14">
        <v>-4.0656790123456759</v>
      </c>
      <c r="Y458" s="13">
        <v>50.734320987654321</v>
      </c>
      <c r="Z458" s="10">
        <v>45343</v>
      </c>
      <c r="AA458" s="9">
        <v>0</v>
      </c>
      <c r="AC458" s="9" t="s">
        <v>79</v>
      </c>
      <c r="AD458" s="14">
        <v>6.1137755102040812</v>
      </c>
      <c r="AF458" s="14">
        <v>1.6</v>
      </c>
      <c r="AH458" s="14">
        <v>7.7137755102040817</v>
      </c>
      <c r="AI458" s="13">
        <v>43.020545477450241</v>
      </c>
      <c r="AK458" s="9">
        <v>80</v>
      </c>
    </row>
    <row r="459" spans="1:37">
      <c r="A459" s="9">
        <v>7</v>
      </c>
      <c r="B459" s="9">
        <v>2024</v>
      </c>
      <c r="C459" s="9" t="s">
        <v>46</v>
      </c>
      <c r="D459" s="9" t="s">
        <v>47</v>
      </c>
      <c r="E459" s="9" t="s">
        <v>47</v>
      </c>
      <c r="F459" s="10">
        <v>45337</v>
      </c>
      <c r="G459" s="9" t="s">
        <v>154</v>
      </c>
      <c r="H459" s="9" t="s">
        <v>51</v>
      </c>
      <c r="I459" s="9">
        <v>1</v>
      </c>
      <c r="J459" s="9">
        <v>12</v>
      </c>
      <c r="K459" s="9">
        <v>520</v>
      </c>
      <c r="L459" s="9">
        <v>0.38</v>
      </c>
      <c r="M459" s="9">
        <v>197.6</v>
      </c>
      <c r="N459" s="9" t="s">
        <v>49</v>
      </c>
      <c r="Q459" s="9">
        <f>IF(Auction_Sales[[#This Row],[Payment Date]]=0,"",-1+WEEKNUM(Auction_Sales[[#This Row],[Payment Date]]))</f>
        <v>8</v>
      </c>
      <c r="R459" s="9">
        <v>-80</v>
      </c>
      <c r="S459" s="9" t="s">
        <v>154</v>
      </c>
      <c r="T459" s="9" t="s">
        <v>51</v>
      </c>
      <c r="U459" s="9">
        <v>600</v>
      </c>
      <c r="V459" s="13">
        <v>0.28266666666666668</v>
      </c>
      <c r="W459" s="13">
        <v>169.6</v>
      </c>
      <c r="X459" s="14">
        <v>-26.513176895306891</v>
      </c>
      <c r="Y459" s="13">
        <v>143.08682310469311</v>
      </c>
      <c r="Z459" s="10">
        <v>45350</v>
      </c>
      <c r="AA459" s="9">
        <v>80</v>
      </c>
      <c r="AC459" s="9">
        <v>429311</v>
      </c>
      <c r="AD459" s="14">
        <v>38.934166666666663</v>
      </c>
      <c r="AF459" s="14">
        <v>12</v>
      </c>
      <c r="AH459" s="14">
        <v>50.934166666666663</v>
      </c>
      <c r="AI459" s="13">
        <v>92.15265643802644</v>
      </c>
      <c r="AK459" s="9">
        <v>600</v>
      </c>
    </row>
    <row r="460" spans="1:37">
      <c r="A460" s="9">
        <v>7</v>
      </c>
      <c r="B460" s="9">
        <v>2024</v>
      </c>
      <c r="C460" s="9" t="s">
        <v>46</v>
      </c>
      <c r="D460" s="9" t="s">
        <v>47</v>
      </c>
      <c r="E460" s="9" t="s">
        <v>47</v>
      </c>
      <c r="F460" s="10">
        <v>45337</v>
      </c>
      <c r="G460" s="9" t="s">
        <v>154</v>
      </c>
      <c r="H460" s="9" t="s">
        <v>48</v>
      </c>
      <c r="I460" s="9">
        <v>2</v>
      </c>
      <c r="J460" s="9">
        <v>24</v>
      </c>
      <c r="K460" s="9">
        <v>960</v>
      </c>
      <c r="L460" s="9">
        <v>0.47</v>
      </c>
      <c r="M460" s="9">
        <v>451.2</v>
      </c>
      <c r="N460" s="9" t="s">
        <v>49</v>
      </c>
      <c r="Q460" s="9">
        <f>IF(Auction_Sales[[#This Row],[Payment Date]]=0,"",-1+WEEKNUM(Auction_Sales[[#This Row],[Payment Date]]))</f>
        <v>8</v>
      </c>
      <c r="R460" s="9">
        <v>-160</v>
      </c>
      <c r="S460" s="9" t="s">
        <v>154</v>
      </c>
      <c r="T460" s="9" t="s">
        <v>48</v>
      </c>
      <c r="U460" s="9">
        <v>1120</v>
      </c>
      <c r="V460" s="13">
        <v>0.46642857142857153</v>
      </c>
      <c r="W460" s="13">
        <v>522.40000000000009</v>
      </c>
      <c r="X460" s="14">
        <v>-49.491263537906192</v>
      </c>
      <c r="Y460" s="13">
        <v>472.90873646209388</v>
      </c>
      <c r="Z460" s="10">
        <v>45350</v>
      </c>
      <c r="AA460" s="9">
        <v>160</v>
      </c>
      <c r="AC460" s="9">
        <v>429311</v>
      </c>
      <c r="AD460" s="14">
        <v>77.868333333333325</v>
      </c>
      <c r="AF460" s="14">
        <v>22.400000000000002</v>
      </c>
      <c r="AH460" s="14">
        <v>100.26833333333333</v>
      </c>
      <c r="AI460" s="13">
        <v>372.64040312876057</v>
      </c>
      <c r="AK460" s="9">
        <v>1120</v>
      </c>
    </row>
    <row r="461" spans="1:37">
      <c r="A461" s="9">
        <v>7</v>
      </c>
      <c r="B461" s="9">
        <v>2024</v>
      </c>
      <c r="C461" s="9" t="s">
        <v>46</v>
      </c>
      <c r="D461" s="9" t="s">
        <v>47</v>
      </c>
      <c r="E461" s="9" t="s">
        <v>47</v>
      </c>
      <c r="F461" s="10">
        <v>45337</v>
      </c>
      <c r="G461" s="9" t="s">
        <v>154</v>
      </c>
      <c r="H461" s="9" t="s">
        <v>52</v>
      </c>
      <c r="I461" s="9">
        <v>2</v>
      </c>
      <c r="J461" s="9">
        <v>24</v>
      </c>
      <c r="K461" s="9">
        <v>800</v>
      </c>
      <c r="L461" s="9">
        <v>0.52</v>
      </c>
      <c r="M461" s="9">
        <v>416</v>
      </c>
      <c r="N461" s="9" t="s">
        <v>49</v>
      </c>
      <c r="Q461" s="9">
        <f>IF(Auction_Sales[[#This Row],[Payment Date]]=0,"",-1+WEEKNUM(Auction_Sales[[#This Row],[Payment Date]]))</f>
        <v>8</v>
      </c>
      <c r="R461" s="9">
        <v>0</v>
      </c>
      <c r="S461" s="9" t="s">
        <v>154</v>
      </c>
      <c r="T461" s="9" t="s">
        <v>52</v>
      </c>
      <c r="U461" s="9">
        <v>800</v>
      </c>
      <c r="V461" s="13">
        <v>0.59250000000000003</v>
      </c>
      <c r="W461" s="13">
        <v>474</v>
      </c>
      <c r="X461" s="14">
        <v>-35.350902527075853</v>
      </c>
      <c r="Y461" s="13">
        <v>438.64909747292415</v>
      </c>
      <c r="Z461" s="10">
        <v>45350</v>
      </c>
      <c r="AA461" s="9">
        <v>0</v>
      </c>
      <c r="AC461" s="9">
        <v>429311</v>
      </c>
      <c r="AD461" s="14">
        <v>77.868333333333325</v>
      </c>
      <c r="AF461" s="14">
        <v>16</v>
      </c>
      <c r="AH461" s="14">
        <v>93.868333333333325</v>
      </c>
      <c r="AI461" s="13">
        <v>344.78076413959081</v>
      </c>
      <c r="AK461" s="9">
        <v>800</v>
      </c>
    </row>
    <row r="462" spans="1:37">
      <c r="A462" s="9">
        <v>7</v>
      </c>
      <c r="B462" s="9">
        <v>2024</v>
      </c>
      <c r="C462" s="9" t="s">
        <v>46</v>
      </c>
      <c r="D462" s="9" t="s">
        <v>47</v>
      </c>
      <c r="E462" s="9" t="s">
        <v>47</v>
      </c>
      <c r="F462" s="10">
        <v>45337</v>
      </c>
      <c r="G462" s="9" t="s">
        <v>154</v>
      </c>
      <c r="H462" s="9" t="s">
        <v>54</v>
      </c>
      <c r="I462" s="9">
        <v>1</v>
      </c>
      <c r="J462" s="9">
        <v>12</v>
      </c>
      <c r="K462" s="9">
        <v>320</v>
      </c>
      <c r="L462" s="9">
        <v>0.56999999999999995</v>
      </c>
      <c r="M462" s="9">
        <v>182.4</v>
      </c>
      <c r="N462" s="9" t="s">
        <v>49</v>
      </c>
      <c r="Q462" s="9">
        <f>IF(Auction_Sales[[#This Row],[Payment Date]]=0,"",-1+WEEKNUM(Auction_Sales[[#This Row],[Payment Date]]))</f>
        <v>8</v>
      </c>
      <c r="R462" s="9">
        <v>80</v>
      </c>
      <c r="S462" s="9" t="s">
        <v>154</v>
      </c>
      <c r="T462" s="9" t="s">
        <v>54</v>
      </c>
      <c r="U462" s="9">
        <v>240</v>
      </c>
      <c r="V462" s="13">
        <v>0.76666666666666672</v>
      </c>
      <c r="W462" s="13">
        <v>184</v>
      </c>
      <c r="X462" s="14">
        <v>-10.605270758122757</v>
      </c>
      <c r="Y462" s="13">
        <v>173.39472924187726</v>
      </c>
      <c r="Z462" s="10">
        <v>45350</v>
      </c>
      <c r="AA462" s="9">
        <v>-80</v>
      </c>
      <c r="AC462" s="9">
        <v>429311</v>
      </c>
      <c r="AD462" s="14">
        <v>38.934166666666663</v>
      </c>
      <c r="AF462" s="14">
        <v>4.8</v>
      </c>
      <c r="AH462" s="14">
        <v>43.73416666666666</v>
      </c>
      <c r="AI462" s="13">
        <v>129.66056257521061</v>
      </c>
      <c r="AK462" s="9">
        <v>240</v>
      </c>
    </row>
    <row r="463" spans="1:37">
      <c r="A463" s="9">
        <v>7</v>
      </c>
      <c r="B463" s="9">
        <v>2024</v>
      </c>
      <c r="C463" s="9" t="s">
        <v>46</v>
      </c>
      <c r="D463" s="9" t="s">
        <v>47</v>
      </c>
      <c r="E463" s="9" t="s">
        <v>47</v>
      </c>
      <c r="F463" s="10">
        <v>45337</v>
      </c>
      <c r="G463" s="9" t="s">
        <v>154</v>
      </c>
      <c r="H463" s="9" t="s">
        <v>56</v>
      </c>
      <c r="I463" s="9">
        <v>2</v>
      </c>
      <c r="J463" s="9">
        <v>24</v>
      </c>
      <c r="K463" s="9">
        <v>480</v>
      </c>
      <c r="L463" s="9">
        <v>0.75</v>
      </c>
      <c r="M463" s="9">
        <v>360</v>
      </c>
      <c r="N463" s="9" t="s">
        <v>49</v>
      </c>
      <c r="Q463" s="9">
        <f>IF(Auction_Sales[[#This Row],[Payment Date]]=0,"",-1+WEEKNUM(Auction_Sales[[#This Row],[Payment Date]]))</f>
        <v>8</v>
      </c>
      <c r="R463" s="9">
        <v>0</v>
      </c>
      <c r="S463" s="9" t="s">
        <v>154</v>
      </c>
      <c r="T463" s="9" t="s">
        <v>56</v>
      </c>
      <c r="U463" s="9">
        <v>480</v>
      </c>
      <c r="V463" s="13">
        <v>0.59916666666666674</v>
      </c>
      <c r="W463" s="13">
        <v>287.60000000000002</v>
      </c>
      <c r="X463" s="14">
        <v>-21.210541516245513</v>
      </c>
      <c r="Y463" s="13">
        <v>266.38945848375454</v>
      </c>
      <c r="Z463" s="10">
        <v>45350</v>
      </c>
      <c r="AA463" s="9">
        <v>0</v>
      </c>
      <c r="AC463" s="9">
        <v>429311</v>
      </c>
      <c r="AD463" s="14">
        <v>77.868333333333325</v>
      </c>
      <c r="AF463" s="14">
        <v>9.6</v>
      </c>
      <c r="AH463" s="14">
        <v>87.46833333333332</v>
      </c>
      <c r="AI463" s="13">
        <v>178.92112515042123</v>
      </c>
      <c r="AK463" s="9">
        <v>480</v>
      </c>
    </row>
    <row r="464" spans="1:37">
      <c r="A464" s="9">
        <v>7</v>
      </c>
      <c r="B464" s="9">
        <v>2024</v>
      </c>
      <c r="C464" s="9" t="s">
        <v>46</v>
      </c>
      <c r="D464" s="9" t="s">
        <v>47</v>
      </c>
      <c r="E464" s="9" t="s">
        <v>47</v>
      </c>
      <c r="F464" s="10">
        <v>45337</v>
      </c>
      <c r="G464" s="9" t="s">
        <v>154</v>
      </c>
      <c r="H464" s="9" t="s">
        <v>57</v>
      </c>
      <c r="I464" s="9">
        <v>2</v>
      </c>
      <c r="J464" s="9">
        <v>24</v>
      </c>
      <c r="K464" s="9">
        <v>400</v>
      </c>
      <c r="L464" s="9">
        <v>0.94</v>
      </c>
      <c r="M464" s="9">
        <v>376</v>
      </c>
      <c r="N464" s="9" t="s">
        <v>49</v>
      </c>
      <c r="Q464" s="9">
        <f>IF(Auction_Sales[[#This Row],[Payment Date]]=0,"",-1+WEEKNUM(Auction_Sales[[#This Row],[Payment Date]]))</f>
        <v>8</v>
      </c>
      <c r="R464" s="9">
        <v>0</v>
      </c>
      <c r="S464" s="9" t="s">
        <v>154</v>
      </c>
      <c r="T464" s="9" t="s">
        <v>57</v>
      </c>
      <c r="U464" s="9">
        <v>400</v>
      </c>
      <c r="V464" s="13">
        <v>0.82900000000000007</v>
      </c>
      <c r="W464" s="13">
        <v>331.6</v>
      </c>
      <c r="X464" s="14">
        <v>-17.675451263537926</v>
      </c>
      <c r="Y464" s="13">
        <v>313.9245487364621</v>
      </c>
      <c r="Z464" s="10">
        <v>45350</v>
      </c>
      <c r="AA464" s="9">
        <v>0</v>
      </c>
      <c r="AC464" s="9">
        <v>429311</v>
      </c>
      <c r="AD464" s="14">
        <v>77.868333333333325</v>
      </c>
      <c r="AF464" s="14">
        <v>8</v>
      </c>
      <c r="AH464" s="14">
        <v>85.868333333333325</v>
      </c>
      <c r="AI464" s="13">
        <v>228.05621540312876</v>
      </c>
      <c r="AK464" s="9">
        <v>400</v>
      </c>
    </row>
    <row r="465" spans="1:37">
      <c r="A465" s="9">
        <v>7</v>
      </c>
      <c r="B465" s="9">
        <v>2024</v>
      </c>
      <c r="C465" s="9" t="s">
        <v>46</v>
      </c>
      <c r="D465" s="9" t="s">
        <v>47</v>
      </c>
      <c r="E465" s="9" t="s">
        <v>47</v>
      </c>
      <c r="F465" s="10">
        <v>45337</v>
      </c>
      <c r="G465" s="9" t="s">
        <v>155</v>
      </c>
      <c r="H465" s="9" t="s">
        <v>51</v>
      </c>
      <c r="I465" s="9">
        <v>2</v>
      </c>
      <c r="J465" s="9">
        <v>24</v>
      </c>
      <c r="K465" s="9">
        <v>1200</v>
      </c>
      <c r="L465" s="9">
        <v>0.38</v>
      </c>
      <c r="M465" s="9">
        <v>456</v>
      </c>
      <c r="N465" s="9" t="s">
        <v>49</v>
      </c>
      <c r="Q465" s="9">
        <f>IF(Auction_Sales[[#This Row],[Payment Date]]=0,"",-1+WEEKNUM(Auction_Sales[[#This Row],[Payment Date]]))</f>
        <v>8</v>
      </c>
      <c r="R465" s="9">
        <v>0</v>
      </c>
      <c r="S465" s="9" t="s">
        <v>155</v>
      </c>
      <c r="T465" s="9" t="s">
        <v>51</v>
      </c>
      <c r="U465" s="9">
        <v>1200</v>
      </c>
      <c r="V465" s="13">
        <v>0.37033333333333329</v>
      </c>
      <c r="W465" s="13">
        <v>444.4</v>
      </c>
      <c r="X465" s="14">
        <v>-53.026353790613783</v>
      </c>
      <c r="Y465" s="13">
        <v>391.37364620938621</v>
      </c>
      <c r="Z465" s="10">
        <v>45350</v>
      </c>
      <c r="AA465" s="9">
        <v>0</v>
      </c>
      <c r="AC465" s="9">
        <v>429311</v>
      </c>
      <c r="AD465" s="14">
        <v>77.868333333333325</v>
      </c>
      <c r="AF465" s="14">
        <v>24</v>
      </c>
      <c r="AH465" s="14">
        <v>101.86833333333333</v>
      </c>
      <c r="AI465" s="13">
        <v>289.50531287605287</v>
      </c>
      <c r="AK465" s="9">
        <v>1200</v>
      </c>
    </row>
    <row r="466" spans="1:37">
      <c r="A466" s="9">
        <v>7</v>
      </c>
      <c r="B466" s="9">
        <v>2024</v>
      </c>
      <c r="C466" s="9" t="s">
        <v>46</v>
      </c>
      <c r="D466" s="9" t="s">
        <v>47</v>
      </c>
      <c r="E466" s="9" t="s">
        <v>47</v>
      </c>
      <c r="F466" s="10">
        <v>45337</v>
      </c>
      <c r="G466" s="9" t="s">
        <v>155</v>
      </c>
      <c r="H466" s="9" t="s">
        <v>48</v>
      </c>
      <c r="I466" s="9">
        <v>2</v>
      </c>
      <c r="J466" s="9">
        <v>24</v>
      </c>
      <c r="K466" s="9">
        <v>1040</v>
      </c>
      <c r="L466" s="9">
        <v>0.47</v>
      </c>
      <c r="M466" s="9">
        <v>488.8</v>
      </c>
      <c r="N466" s="9" t="s">
        <v>49</v>
      </c>
      <c r="Q466" s="9">
        <f>IF(Auction_Sales[[#This Row],[Payment Date]]=0,"",-1+WEEKNUM(Auction_Sales[[#This Row],[Payment Date]]))</f>
        <v>8</v>
      </c>
      <c r="R466" s="9">
        <v>40</v>
      </c>
      <c r="S466" s="9" t="s">
        <v>155</v>
      </c>
      <c r="T466" s="9" t="s">
        <v>48</v>
      </c>
      <c r="U466" s="9">
        <v>1000</v>
      </c>
      <c r="V466" s="13">
        <v>0.71240000000000014</v>
      </c>
      <c r="W466" s="13">
        <v>712.40000000000009</v>
      </c>
      <c r="X466" s="14">
        <v>-44.188628158844821</v>
      </c>
      <c r="Y466" s="13">
        <v>668.21137184115526</v>
      </c>
      <c r="Z466" s="10">
        <v>45350</v>
      </c>
      <c r="AA466" s="9">
        <v>-40</v>
      </c>
      <c r="AC466" s="9">
        <v>429311</v>
      </c>
      <c r="AD466" s="14">
        <v>77.868333333333325</v>
      </c>
      <c r="AF466" s="14">
        <v>20</v>
      </c>
      <c r="AH466" s="14">
        <v>97.868333333333325</v>
      </c>
      <c r="AI466" s="13">
        <v>570.34303850782192</v>
      </c>
      <c r="AK466" s="9">
        <v>1000</v>
      </c>
    </row>
    <row r="467" spans="1:37">
      <c r="A467" s="9">
        <v>7</v>
      </c>
      <c r="B467" s="9">
        <v>2024</v>
      </c>
      <c r="C467" s="9" t="s">
        <v>46</v>
      </c>
      <c r="D467" s="9" t="s">
        <v>47</v>
      </c>
      <c r="E467" s="9" t="s">
        <v>47</v>
      </c>
      <c r="F467" s="10">
        <v>45337</v>
      </c>
      <c r="G467" s="9" t="s">
        <v>155</v>
      </c>
      <c r="H467" s="9" t="s">
        <v>52</v>
      </c>
      <c r="I467" s="9">
        <v>1</v>
      </c>
      <c r="J467" s="9">
        <v>12</v>
      </c>
      <c r="K467" s="9">
        <v>400</v>
      </c>
      <c r="L467" s="9">
        <v>0.52</v>
      </c>
      <c r="M467" s="9">
        <v>208</v>
      </c>
      <c r="N467" s="9" t="s">
        <v>49</v>
      </c>
      <c r="Q467" s="9">
        <f>IF(Auction_Sales[[#This Row],[Payment Date]]=0,"",-1+WEEKNUM(Auction_Sales[[#This Row],[Payment Date]]))</f>
        <v>8</v>
      </c>
      <c r="R467" s="9">
        <v>40</v>
      </c>
      <c r="S467" s="9" t="s">
        <v>155</v>
      </c>
      <c r="T467" s="9" t="s">
        <v>52</v>
      </c>
      <c r="U467" s="9">
        <v>360</v>
      </c>
      <c r="V467" s="13">
        <v>0.81</v>
      </c>
      <c r="W467" s="13">
        <v>291.60000000000002</v>
      </c>
      <c r="X467" s="14">
        <v>-15.907906137184135</v>
      </c>
      <c r="Y467" s="13">
        <v>275.69209386281591</v>
      </c>
      <c r="Z467" s="10">
        <v>45350</v>
      </c>
      <c r="AA467" s="9">
        <v>-40</v>
      </c>
      <c r="AC467" s="9">
        <v>429311</v>
      </c>
      <c r="AD467" s="14">
        <v>38.934166666666663</v>
      </c>
      <c r="AF467" s="14">
        <v>7.2</v>
      </c>
      <c r="AH467" s="14">
        <v>46.134166666666665</v>
      </c>
      <c r="AI467" s="13">
        <v>229.55792719614925</v>
      </c>
      <c r="AK467" s="9">
        <v>360</v>
      </c>
    </row>
    <row r="468" spans="1:37">
      <c r="A468" s="9">
        <v>7</v>
      </c>
      <c r="B468" s="9">
        <v>2024</v>
      </c>
      <c r="C468" s="9" t="s">
        <v>46</v>
      </c>
      <c r="D468" s="9" t="s">
        <v>47</v>
      </c>
      <c r="E468" s="9" t="s">
        <v>47</v>
      </c>
      <c r="F468" s="10">
        <v>45337</v>
      </c>
      <c r="G468" s="9" t="s">
        <v>155</v>
      </c>
      <c r="H468" s="9" t="s">
        <v>56</v>
      </c>
      <c r="I468" s="9">
        <v>1</v>
      </c>
      <c r="J468" s="9">
        <v>12</v>
      </c>
      <c r="K468" s="9">
        <v>240</v>
      </c>
      <c r="L468" s="9">
        <v>0.75</v>
      </c>
      <c r="M468" s="9">
        <v>180</v>
      </c>
      <c r="N468" s="9" t="s">
        <v>49</v>
      </c>
      <c r="Q468" s="9">
        <f>IF(Auction_Sales[[#This Row],[Payment Date]]=0,"",-1+WEEKNUM(Auction_Sales[[#This Row],[Payment Date]]))</f>
        <v>8</v>
      </c>
      <c r="R468" s="9">
        <v>-40</v>
      </c>
      <c r="S468" s="9" t="s">
        <v>155</v>
      </c>
      <c r="T468" s="9" t="s">
        <v>56</v>
      </c>
      <c r="U468" s="9">
        <v>280</v>
      </c>
      <c r="V468" s="13">
        <v>0.90714285714285714</v>
      </c>
      <c r="W468" s="13">
        <v>254</v>
      </c>
      <c r="X468" s="14">
        <v>-12.372815884476548</v>
      </c>
      <c r="Y468" s="13">
        <v>241.62718411552345</v>
      </c>
      <c r="Z468" s="10">
        <v>45350</v>
      </c>
      <c r="AA468" s="9">
        <v>40</v>
      </c>
      <c r="AC468" s="9">
        <v>429311</v>
      </c>
      <c r="AD468" s="14">
        <v>38.934166666666663</v>
      </c>
      <c r="AF468" s="14">
        <v>5.6000000000000005</v>
      </c>
      <c r="AH468" s="14">
        <v>44.534166666666664</v>
      </c>
      <c r="AI468" s="13">
        <v>197.09301744885678</v>
      </c>
      <c r="AK468" s="9">
        <v>280</v>
      </c>
    </row>
    <row r="469" spans="1:37">
      <c r="A469" s="9">
        <v>7</v>
      </c>
      <c r="B469" s="9">
        <v>2024</v>
      </c>
      <c r="C469" s="9" t="s">
        <v>46</v>
      </c>
      <c r="D469" s="9" t="s">
        <v>47</v>
      </c>
      <c r="E469" s="9" t="s">
        <v>47</v>
      </c>
      <c r="F469" s="10">
        <v>45337</v>
      </c>
      <c r="G469" s="9" t="s">
        <v>155</v>
      </c>
      <c r="H469" s="9" t="s">
        <v>48</v>
      </c>
      <c r="I469" s="9">
        <v>1</v>
      </c>
      <c r="J469" s="9">
        <v>12</v>
      </c>
      <c r="K469" s="9">
        <v>480</v>
      </c>
      <c r="L469" s="9">
        <v>0.47</v>
      </c>
      <c r="M469" s="9">
        <v>225.6</v>
      </c>
      <c r="N469" s="9" t="s">
        <v>49</v>
      </c>
      <c r="Q469" s="9">
        <f>IF(Auction_Sales[[#This Row],[Payment Date]]=0,"",-1+WEEKNUM(Auction_Sales[[#This Row],[Payment Date]]))</f>
        <v>8</v>
      </c>
      <c r="R469" s="9">
        <v>-40</v>
      </c>
      <c r="S469" s="9" t="s">
        <v>155</v>
      </c>
      <c r="T469" s="9" t="s">
        <v>48</v>
      </c>
      <c r="U469" s="9">
        <v>520</v>
      </c>
      <c r="V469" s="13">
        <v>0.62</v>
      </c>
      <c r="W469" s="13">
        <v>322.39999999999998</v>
      </c>
      <c r="X469" s="14">
        <v>-22.978086642599305</v>
      </c>
      <c r="Y469" s="13">
        <v>299.42191335740068</v>
      </c>
      <c r="Z469" s="10">
        <v>45350</v>
      </c>
      <c r="AA469" s="9">
        <v>40</v>
      </c>
      <c r="AC469" s="9">
        <v>429311</v>
      </c>
      <c r="AD469" s="14">
        <v>38.934166666666663</v>
      </c>
      <c r="AF469" s="14">
        <v>10.4</v>
      </c>
      <c r="AH469" s="14">
        <v>49.334166666666661</v>
      </c>
      <c r="AI469" s="13">
        <v>250.08774669073404</v>
      </c>
      <c r="AK469" s="9">
        <v>520</v>
      </c>
    </row>
    <row r="470" spans="1:37">
      <c r="A470" s="9">
        <v>7</v>
      </c>
      <c r="B470" s="9">
        <v>2024</v>
      </c>
      <c r="C470" s="9" t="s">
        <v>46</v>
      </c>
      <c r="D470" s="9" t="s">
        <v>47</v>
      </c>
      <c r="E470" s="9" t="s">
        <v>47</v>
      </c>
      <c r="F470" s="10">
        <v>45337</v>
      </c>
      <c r="G470" s="9" t="s">
        <v>153</v>
      </c>
      <c r="H470" s="9" t="s">
        <v>51</v>
      </c>
      <c r="I470" s="9">
        <v>1</v>
      </c>
      <c r="J470" s="9">
        <v>12</v>
      </c>
      <c r="K470" s="9">
        <v>880</v>
      </c>
      <c r="L470" s="9">
        <v>0.14000000000000001</v>
      </c>
      <c r="M470" s="9">
        <v>123.2</v>
      </c>
      <c r="N470" s="9" t="s">
        <v>49</v>
      </c>
      <c r="Q470" s="9">
        <f>IF(Auction_Sales[[#This Row],[Payment Date]]=0,"",-1+WEEKNUM(Auction_Sales[[#This Row],[Payment Date]]))</f>
        <v>8</v>
      </c>
      <c r="R470" s="9">
        <v>-40</v>
      </c>
      <c r="S470" s="9" t="s">
        <v>153</v>
      </c>
      <c r="T470" s="9" t="s">
        <v>51</v>
      </c>
      <c r="U470" s="9">
        <v>920</v>
      </c>
      <c r="V470" s="13">
        <v>0.30652173913043479</v>
      </c>
      <c r="W470" s="13">
        <v>282</v>
      </c>
      <c r="X470" s="14">
        <v>-40.653537906137231</v>
      </c>
      <c r="Y470" s="13">
        <v>241.34646209386278</v>
      </c>
      <c r="Z470" s="10">
        <v>45350</v>
      </c>
      <c r="AA470" s="9">
        <v>40</v>
      </c>
      <c r="AC470" s="9">
        <v>429311</v>
      </c>
      <c r="AD470" s="14">
        <v>38.934166666666663</v>
      </c>
      <c r="AF470" s="14">
        <v>18.400000000000002</v>
      </c>
      <c r="AH470" s="14">
        <v>57.334166666666661</v>
      </c>
      <c r="AI470" s="13">
        <v>184.01229542719614</v>
      </c>
      <c r="AK470" s="9">
        <v>920</v>
      </c>
    </row>
    <row r="471" spans="1:37">
      <c r="A471" s="9">
        <v>7</v>
      </c>
      <c r="B471" s="9">
        <v>2024</v>
      </c>
      <c r="C471" s="9" t="s">
        <v>46</v>
      </c>
      <c r="D471" s="9" t="s">
        <v>47</v>
      </c>
      <c r="E471" s="9" t="s">
        <v>47</v>
      </c>
      <c r="F471" s="10">
        <v>45337</v>
      </c>
      <c r="G471" s="9" t="s">
        <v>153</v>
      </c>
      <c r="H471" s="9" t="s">
        <v>48</v>
      </c>
      <c r="I471" s="9">
        <v>1</v>
      </c>
      <c r="J471" s="9">
        <v>12</v>
      </c>
      <c r="K471" s="9">
        <v>720</v>
      </c>
      <c r="L471" s="9">
        <v>0.24</v>
      </c>
      <c r="M471" s="9">
        <v>172.8</v>
      </c>
      <c r="N471" s="9" t="s">
        <v>49</v>
      </c>
      <c r="Q471" s="9">
        <f>IF(Auction_Sales[[#This Row],[Payment Date]]=0,"",-1+WEEKNUM(Auction_Sales[[#This Row],[Payment Date]]))</f>
        <v>8</v>
      </c>
      <c r="R471" s="9">
        <v>720</v>
      </c>
      <c r="S471" s="9" t="s">
        <v>153</v>
      </c>
      <c r="T471" s="9" t="s">
        <v>48</v>
      </c>
      <c r="W471" s="13">
        <v>0</v>
      </c>
      <c r="X471" s="14">
        <v>0</v>
      </c>
      <c r="Y471" s="13">
        <v>0</v>
      </c>
      <c r="Z471" s="10">
        <v>45350</v>
      </c>
      <c r="AA471" s="9">
        <v>-720</v>
      </c>
      <c r="AC471" s="9">
        <v>429311</v>
      </c>
      <c r="AD471" s="14">
        <v>38.934166666666663</v>
      </c>
      <c r="AF471" s="14">
        <v>0</v>
      </c>
      <c r="AH471" s="14">
        <v>38.934166666666663</v>
      </c>
      <c r="AI471" s="13">
        <v>-38.934166666666663</v>
      </c>
      <c r="AK471" s="9">
        <v>0</v>
      </c>
    </row>
    <row r="472" spans="1:37">
      <c r="A472" s="9">
        <v>7</v>
      </c>
      <c r="B472" s="9">
        <v>2024</v>
      </c>
      <c r="C472" s="9" t="s">
        <v>46</v>
      </c>
      <c r="D472" s="9" t="s">
        <v>47</v>
      </c>
      <c r="E472" s="9" t="s">
        <v>47</v>
      </c>
      <c r="F472" s="10">
        <v>45337</v>
      </c>
      <c r="G472" s="9" t="s">
        <v>153</v>
      </c>
      <c r="H472" s="9" t="s">
        <v>52</v>
      </c>
      <c r="I472" s="9">
        <v>1</v>
      </c>
      <c r="J472" s="9">
        <v>12</v>
      </c>
      <c r="K472" s="9">
        <v>520</v>
      </c>
      <c r="L472" s="9">
        <v>0.28000000000000003</v>
      </c>
      <c r="M472" s="9">
        <v>145.6</v>
      </c>
      <c r="N472" s="9" t="s">
        <v>49</v>
      </c>
      <c r="Q472" s="9">
        <f>IF(Auction_Sales[[#This Row],[Payment Date]]=0,"",-1+WEEKNUM(Auction_Sales[[#This Row],[Payment Date]]))</f>
        <v>8</v>
      </c>
      <c r="R472" s="9">
        <v>-80</v>
      </c>
      <c r="S472" s="9" t="s">
        <v>153</v>
      </c>
      <c r="T472" s="9" t="s">
        <v>52</v>
      </c>
      <c r="U472" s="9">
        <v>600</v>
      </c>
      <c r="V472" s="13">
        <v>0.61199999999999999</v>
      </c>
      <c r="W472" s="13">
        <v>367.2</v>
      </c>
      <c r="X472" s="14">
        <v>-26.513176895306891</v>
      </c>
      <c r="Y472" s="13">
        <v>340.68682310469308</v>
      </c>
      <c r="Z472" s="10">
        <v>45350</v>
      </c>
      <c r="AA472" s="9">
        <v>80</v>
      </c>
      <c r="AC472" s="9">
        <v>429311</v>
      </c>
      <c r="AD472" s="14">
        <v>38.934166666666663</v>
      </c>
      <c r="AF472" s="14">
        <v>12</v>
      </c>
      <c r="AH472" s="14">
        <v>50.934166666666663</v>
      </c>
      <c r="AI472" s="13">
        <v>289.75265643802641</v>
      </c>
      <c r="AK472" s="9">
        <v>600</v>
      </c>
    </row>
    <row r="473" spans="1:37">
      <c r="A473" s="9">
        <v>7</v>
      </c>
      <c r="B473" s="9">
        <v>2024</v>
      </c>
      <c r="C473" s="9" t="s">
        <v>46</v>
      </c>
      <c r="D473" s="9" t="s">
        <v>47</v>
      </c>
      <c r="E473" s="9" t="s">
        <v>47</v>
      </c>
      <c r="F473" s="10">
        <v>45337</v>
      </c>
      <c r="G473" s="9" t="s">
        <v>154</v>
      </c>
      <c r="H473" s="9" t="s">
        <v>51</v>
      </c>
      <c r="I473" s="9">
        <v>1</v>
      </c>
      <c r="J473" s="9">
        <v>2.4000000000000004</v>
      </c>
      <c r="K473" s="9">
        <v>80</v>
      </c>
      <c r="L473" s="9">
        <v>0.38</v>
      </c>
      <c r="M473" s="9">
        <v>30.4</v>
      </c>
      <c r="N473" s="9" t="s">
        <v>49</v>
      </c>
      <c r="Q473" s="9">
        <f>IF(Auction_Sales[[#This Row],[Payment Date]]=0,"",-1+WEEKNUM(Auction_Sales[[#This Row],[Payment Date]]))</f>
        <v>8</v>
      </c>
      <c r="R473" s="9">
        <v>80</v>
      </c>
      <c r="S473" s="9" t="s">
        <v>154</v>
      </c>
      <c r="T473" s="9" t="s">
        <v>51</v>
      </c>
      <c r="W473" s="13">
        <v>0</v>
      </c>
      <c r="X473" s="14">
        <v>0</v>
      </c>
      <c r="Y473" s="13">
        <v>0</v>
      </c>
      <c r="Z473" s="10">
        <v>45350</v>
      </c>
      <c r="AA473" s="9">
        <v>-80</v>
      </c>
      <c r="AC473" s="9">
        <v>429311</v>
      </c>
      <c r="AD473" s="14">
        <v>7.7868333333333348</v>
      </c>
      <c r="AF473" s="14">
        <v>0</v>
      </c>
      <c r="AH473" s="14">
        <v>7.7868333333333348</v>
      </c>
      <c r="AI473" s="13">
        <v>-7.7868333333333348</v>
      </c>
      <c r="AK473" s="9">
        <v>0</v>
      </c>
    </row>
    <row r="474" spans="1:37">
      <c r="A474" s="9">
        <v>7</v>
      </c>
      <c r="B474" s="9">
        <v>2024</v>
      </c>
      <c r="C474" s="9" t="s">
        <v>46</v>
      </c>
      <c r="D474" s="9" t="s">
        <v>47</v>
      </c>
      <c r="E474" s="9" t="s">
        <v>47</v>
      </c>
      <c r="F474" s="10">
        <v>45337</v>
      </c>
      <c r="G474" s="9" t="s">
        <v>154</v>
      </c>
      <c r="H474" s="9" t="s">
        <v>48</v>
      </c>
      <c r="J474" s="9">
        <v>4.8000000000000007</v>
      </c>
      <c r="K474" s="9">
        <v>160</v>
      </c>
      <c r="L474" s="9">
        <v>0.47</v>
      </c>
      <c r="M474" s="9">
        <v>75.2</v>
      </c>
      <c r="N474" s="9" t="s">
        <v>49</v>
      </c>
      <c r="Q474" s="9">
        <f>IF(Auction_Sales[[#This Row],[Payment Date]]=0,"",-1+WEEKNUM(Auction_Sales[[#This Row],[Payment Date]]))</f>
        <v>8</v>
      </c>
      <c r="R474" s="9">
        <v>160</v>
      </c>
      <c r="S474" s="9" t="s">
        <v>154</v>
      </c>
      <c r="T474" s="9" t="s">
        <v>48</v>
      </c>
      <c r="W474" s="13">
        <v>0</v>
      </c>
      <c r="X474" s="14">
        <v>0</v>
      </c>
      <c r="Y474" s="13">
        <v>0</v>
      </c>
      <c r="Z474" s="10">
        <v>45350</v>
      </c>
      <c r="AA474" s="9">
        <v>-160</v>
      </c>
      <c r="AC474" s="9">
        <v>429311</v>
      </c>
      <c r="AD474" s="14">
        <v>15.57366666666667</v>
      </c>
      <c r="AF474" s="14">
        <v>0</v>
      </c>
      <c r="AH474" s="14">
        <v>15.57366666666667</v>
      </c>
      <c r="AI474" s="13">
        <v>-15.57366666666667</v>
      </c>
      <c r="AK474" s="9">
        <v>0</v>
      </c>
    </row>
    <row r="475" spans="1:37">
      <c r="A475" s="9">
        <v>7</v>
      </c>
      <c r="B475" s="9">
        <v>2024</v>
      </c>
      <c r="C475" s="9" t="s">
        <v>46</v>
      </c>
      <c r="D475" s="9" t="s">
        <v>47</v>
      </c>
      <c r="E475" s="9" t="s">
        <v>47</v>
      </c>
      <c r="F475" s="10">
        <v>45337</v>
      </c>
      <c r="G475" s="9" t="s">
        <v>154</v>
      </c>
      <c r="H475" s="9" t="s">
        <v>54</v>
      </c>
      <c r="J475" s="9">
        <v>4.8000000000000007</v>
      </c>
      <c r="K475" s="9">
        <v>160</v>
      </c>
      <c r="L475" s="9">
        <v>0.56999999999999995</v>
      </c>
      <c r="M475" s="9">
        <v>91.2</v>
      </c>
      <c r="N475" s="9" t="s">
        <v>49</v>
      </c>
      <c r="Q475" s="9">
        <f>IF(Auction_Sales[[#This Row],[Payment Date]]=0,"",-1+WEEKNUM(Auction_Sales[[#This Row],[Payment Date]]))</f>
        <v>8</v>
      </c>
      <c r="R475" s="9">
        <v>-80</v>
      </c>
      <c r="S475" s="9" t="s">
        <v>154</v>
      </c>
      <c r="T475" s="9" t="s">
        <v>54</v>
      </c>
      <c r="U475" s="9">
        <v>240</v>
      </c>
      <c r="V475" s="13">
        <v>0.5033333333333333</v>
      </c>
      <c r="W475" s="13">
        <v>120.8</v>
      </c>
      <c r="X475" s="14">
        <v>-10.605270758122757</v>
      </c>
      <c r="Y475" s="13">
        <v>110.19472924187724</v>
      </c>
      <c r="Z475" s="10">
        <v>45350</v>
      </c>
      <c r="AA475" s="9">
        <v>80</v>
      </c>
      <c r="AC475" s="9">
        <v>429311</v>
      </c>
      <c r="AD475" s="14">
        <v>15.57366666666667</v>
      </c>
      <c r="AF475" s="14">
        <v>4.8</v>
      </c>
      <c r="AH475" s="14">
        <v>20.373666666666669</v>
      </c>
      <c r="AI475" s="13">
        <v>89.821062575210576</v>
      </c>
      <c r="AK475" s="9">
        <v>240</v>
      </c>
    </row>
    <row r="476" spans="1:37">
      <c r="A476" s="9">
        <v>7</v>
      </c>
      <c r="B476" s="9">
        <v>2024</v>
      </c>
      <c r="C476" s="9" t="s">
        <v>46</v>
      </c>
      <c r="D476" s="9" t="s">
        <v>47</v>
      </c>
      <c r="E476" s="9" t="s">
        <v>47</v>
      </c>
      <c r="F476" s="10">
        <v>45337</v>
      </c>
      <c r="G476" s="9" t="s">
        <v>153</v>
      </c>
      <c r="H476" s="9" t="s">
        <v>56</v>
      </c>
      <c r="I476" s="9">
        <v>1</v>
      </c>
      <c r="J476" s="9">
        <v>4.2857142857142856</v>
      </c>
      <c r="K476" s="9">
        <v>200</v>
      </c>
      <c r="L476" s="9">
        <v>0.38</v>
      </c>
      <c r="M476" s="9">
        <v>76</v>
      </c>
      <c r="N476" s="9" t="s">
        <v>49</v>
      </c>
      <c r="Q476" s="9">
        <f>IF(Auction_Sales[[#This Row],[Payment Date]]=0,"",-1+WEEKNUM(Auction_Sales[[#This Row],[Payment Date]]))</f>
        <v>8</v>
      </c>
      <c r="R476" s="9">
        <v>0</v>
      </c>
      <c r="S476" s="9" t="s">
        <v>153</v>
      </c>
      <c r="T476" s="9" t="s">
        <v>56</v>
      </c>
      <c r="U476" s="9">
        <v>200</v>
      </c>
      <c r="V476" s="13">
        <v>0.64800000000000002</v>
      </c>
      <c r="W476" s="13">
        <v>129.6</v>
      </c>
      <c r="X476" s="14">
        <v>-8.8377256317689632</v>
      </c>
      <c r="Y476" s="13">
        <v>120.76227436823103</v>
      </c>
      <c r="Z476" s="10">
        <v>45350</v>
      </c>
      <c r="AA476" s="9">
        <v>0</v>
      </c>
      <c r="AC476" s="9">
        <v>429311</v>
      </c>
      <c r="AD476" s="14">
        <v>13.905059523809522</v>
      </c>
      <c r="AF476" s="14">
        <v>4</v>
      </c>
      <c r="AH476" s="14">
        <v>17.90505952380952</v>
      </c>
      <c r="AI476" s="13">
        <v>102.85721484442152</v>
      </c>
      <c r="AK476" s="9">
        <v>200</v>
      </c>
    </row>
    <row r="477" spans="1:37">
      <c r="A477" s="9">
        <v>7</v>
      </c>
      <c r="B477" s="9">
        <v>2024</v>
      </c>
      <c r="C477" s="9" t="s">
        <v>46</v>
      </c>
      <c r="D477" s="9" t="s">
        <v>47</v>
      </c>
      <c r="E477" s="9" t="s">
        <v>47</v>
      </c>
      <c r="F477" s="10">
        <v>45337</v>
      </c>
      <c r="G477" s="9" t="s">
        <v>153</v>
      </c>
      <c r="H477" s="9" t="s">
        <v>54</v>
      </c>
      <c r="J477" s="9">
        <v>7.7142857142857153</v>
      </c>
      <c r="K477" s="9">
        <v>360</v>
      </c>
      <c r="L477" s="9">
        <v>0.33</v>
      </c>
      <c r="M477" s="9">
        <v>118.8</v>
      </c>
      <c r="N477" s="9" t="s">
        <v>49</v>
      </c>
      <c r="Q477" s="9">
        <f>IF(Auction_Sales[[#This Row],[Payment Date]]=0,"",-1+WEEKNUM(Auction_Sales[[#This Row],[Payment Date]]))</f>
        <v>8</v>
      </c>
      <c r="R477" s="9">
        <v>0</v>
      </c>
      <c r="S477" s="9" t="s">
        <v>153</v>
      </c>
      <c r="T477" s="9" t="s">
        <v>54</v>
      </c>
      <c r="U477" s="9">
        <v>360</v>
      </c>
      <c r="V477" s="13">
        <v>0.69222222222222218</v>
      </c>
      <c r="W477" s="13">
        <v>249.2</v>
      </c>
      <c r="X477" s="14">
        <v>-15.907906137184135</v>
      </c>
      <c r="Y477" s="13">
        <v>233.29209386281585</v>
      </c>
      <c r="Z477" s="10">
        <v>45350</v>
      </c>
      <c r="AA477" s="9">
        <v>0</v>
      </c>
      <c r="AC477" s="9">
        <v>429311</v>
      </c>
      <c r="AD477" s="14">
        <v>25.029107142857143</v>
      </c>
      <c r="AF477" s="14">
        <v>7.2</v>
      </c>
      <c r="AH477" s="14">
        <v>32.229107142857146</v>
      </c>
      <c r="AI477" s="13">
        <v>201.0629867199587</v>
      </c>
      <c r="AK477" s="9">
        <v>360</v>
      </c>
    </row>
    <row r="478" spans="1:37">
      <c r="A478" s="9">
        <v>7</v>
      </c>
      <c r="B478" s="9">
        <v>2024</v>
      </c>
      <c r="C478" s="9" t="s">
        <v>46</v>
      </c>
      <c r="D478" s="9" t="s">
        <v>47</v>
      </c>
      <c r="E478" s="9" t="s">
        <v>47</v>
      </c>
      <c r="F478" s="10">
        <v>45337</v>
      </c>
      <c r="G478" s="9" t="s">
        <v>153</v>
      </c>
      <c r="H478" s="9" t="s">
        <v>48</v>
      </c>
      <c r="I478" s="9">
        <v>1</v>
      </c>
      <c r="J478" s="9">
        <v>10.736842105263158</v>
      </c>
      <c r="K478" s="9">
        <v>680</v>
      </c>
      <c r="L478" s="9">
        <v>0.24</v>
      </c>
      <c r="M478" s="9">
        <v>163.19999999999999</v>
      </c>
      <c r="N478" s="9" t="s">
        <v>49</v>
      </c>
      <c r="Q478" s="9">
        <f>IF(Auction_Sales[[#This Row],[Payment Date]]=0,"",-1+WEEKNUM(Auction_Sales[[#This Row],[Payment Date]]))</f>
        <v>8</v>
      </c>
      <c r="R478" s="9">
        <v>-720</v>
      </c>
      <c r="S478" s="9" t="s">
        <v>153</v>
      </c>
      <c r="T478" s="9" t="s">
        <v>48</v>
      </c>
      <c r="U478" s="9">
        <v>1400</v>
      </c>
      <c r="V478" s="13">
        <v>0.42685714285714288</v>
      </c>
      <c r="W478" s="13">
        <v>597.6</v>
      </c>
      <c r="X478" s="14">
        <v>-61.864079422382744</v>
      </c>
      <c r="Y478" s="13">
        <v>535.73592057761732</v>
      </c>
      <c r="Z478" s="10">
        <v>45350</v>
      </c>
      <c r="AA478" s="9">
        <v>720</v>
      </c>
      <c r="AC478" s="9">
        <v>429311</v>
      </c>
      <c r="AD478" s="14">
        <v>34.835833333333326</v>
      </c>
      <c r="AF478" s="14">
        <v>28</v>
      </c>
      <c r="AH478" s="14">
        <v>62.835833333333326</v>
      </c>
      <c r="AI478" s="13">
        <v>472.90008724428401</v>
      </c>
      <c r="AK478" s="9">
        <v>1400</v>
      </c>
    </row>
    <row r="479" spans="1:37">
      <c r="A479" s="9">
        <v>7</v>
      </c>
      <c r="B479" s="9">
        <v>2024</v>
      </c>
      <c r="C479" s="9" t="s">
        <v>46</v>
      </c>
      <c r="D479" s="9" t="s">
        <v>47</v>
      </c>
      <c r="E479" s="9" t="s">
        <v>47</v>
      </c>
      <c r="F479" s="10">
        <v>45337</v>
      </c>
      <c r="G479" s="9" t="s">
        <v>153</v>
      </c>
      <c r="H479" s="9" t="s">
        <v>52</v>
      </c>
      <c r="J479" s="9">
        <v>1.263157894736842</v>
      </c>
      <c r="K479" s="9">
        <v>80</v>
      </c>
      <c r="L479" s="9">
        <v>0.28000000000000003</v>
      </c>
      <c r="M479" s="9">
        <v>22.4</v>
      </c>
      <c r="N479" s="9" t="s">
        <v>49</v>
      </c>
      <c r="Q479" s="9">
        <f>IF(Auction_Sales[[#This Row],[Payment Date]]=0,"",-1+WEEKNUM(Auction_Sales[[#This Row],[Payment Date]]))</f>
        <v>8</v>
      </c>
      <c r="R479" s="9">
        <v>80</v>
      </c>
      <c r="S479" s="9" t="s">
        <v>153</v>
      </c>
      <c r="T479" s="9" t="s">
        <v>52</v>
      </c>
      <c r="W479" s="13">
        <v>0</v>
      </c>
      <c r="X479" s="14">
        <v>0</v>
      </c>
      <c r="Y479" s="13">
        <v>0</v>
      </c>
      <c r="Z479" s="10">
        <v>45350</v>
      </c>
      <c r="AA479" s="9">
        <v>-80</v>
      </c>
      <c r="AC479" s="9">
        <v>429311</v>
      </c>
      <c r="AD479" s="14">
        <v>4.0983333333333327</v>
      </c>
      <c r="AF479" s="14">
        <v>0</v>
      </c>
      <c r="AH479" s="14">
        <v>4.0983333333333327</v>
      </c>
      <c r="AI479" s="13">
        <v>-4.0983333333333327</v>
      </c>
      <c r="AK479" s="9">
        <v>0</v>
      </c>
    </row>
    <row r="480" spans="1:37">
      <c r="A480" s="9">
        <v>7</v>
      </c>
      <c r="B480" s="9">
        <v>2024</v>
      </c>
      <c r="C480" s="9" t="s">
        <v>46</v>
      </c>
      <c r="D480" s="9" t="s">
        <v>47</v>
      </c>
      <c r="E480" s="9" t="s">
        <v>47</v>
      </c>
      <c r="F480" s="10">
        <v>45337</v>
      </c>
      <c r="G480" s="9" t="s">
        <v>155</v>
      </c>
      <c r="H480" s="9" t="s">
        <v>56</v>
      </c>
      <c r="I480" s="9">
        <v>1</v>
      </c>
      <c r="J480" s="9">
        <v>1.3333333333333333</v>
      </c>
      <c r="K480" s="9">
        <v>40</v>
      </c>
      <c r="L480" s="9">
        <v>0.75</v>
      </c>
      <c r="M480" s="9">
        <v>30</v>
      </c>
      <c r="N480" s="9" t="s">
        <v>49</v>
      </c>
      <c r="Q480" s="9">
        <f>IF(Auction_Sales[[#This Row],[Payment Date]]=0,"",-1+WEEKNUM(Auction_Sales[[#This Row],[Payment Date]]))</f>
        <v>8</v>
      </c>
      <c r="R480" s="9">
        <v>40</v>
      </c>
      <c r="S480" s="9" t="s">
        <v>155</v>
      </c>
      <c r="T480" s="9" t="s">
        <v>56</v>
      </c>
      <c r="W480" s="13">
        <v>0</v>
      </c>
      <c r="X480" s="14">
        <v>0</v>
      </c>
      <c r="Y480" s="13">
        <v>0</v>
      </c>
      <c r="Z480" s="10">
        <v>45350</v>
      </c>
      <c r="AA480" s="9">
        <v>-40</v>
      </c>
      <c r="AC480" s="9">
        <v>429311</v>
      </c>
      <c r="AD480" s="14">
        <v>4.3260185185185183</v>
      </c>
      <c r="AF480" s="14">
        <v>0</v>
      </c>
      <c r="AH480" s="14">
        <v>4.3260185185185183</v>
      </c>
      <c r="AI480" s="13">
        <v>-4.3260185185185183</v>
      </c>
      <c r="AK480" s="9">
        <v>0</v>
      </c>
    </row>
    <row r="481" spans="1:37">
      <c r="A481" s="9">
        <v>7</v>
      </c>
      <c r="B481" s="9">
        <v>2024</v>
      </c>
      <c r="C481" s="9" t="s">
        <v>46</v>
      </c>
      <c r="D481" s="9" t="s">
        <v>47</v>
      </c>
      <c r="E481" s="9" t="s">
        <v>47</v>
      </c>
      <c r="F481" s="10">
        <v>45337</v>
      </c>
      <c r="G481" s="9" t="s">
        <v>155</v>
      </c>
      <c r="H481" s="9" t="s">
        <v>52</v>
      </c>
      <c r="J481" s="9">
        <v>10.666666666666666</v>
      </c>
      <c r="K481" s="9">
        <v>320</v>
      </c>
      <c r="L481" s="9">
        <v>0.52</v>
      </c>
      <c r="M481" s="9">
        <v>166.4</v>
      </c>
      <c r="N481" s="9" t="s">
        <v>49</v>
      </c>
      <c r="Q481" s="9">
        <f>IF(Auction_Sales[[#This Row],[Payment Date]]=0,"",-1+WEEKNUM(Auction_Sales[[#This Row],[Payment Date]]))</f>
        <v>8</v>
      </c>
      <c r="R481" s="9">
        <v>-40</v>
      </c>
      <c r="S481" s="9" t="s">
        <v>155</v>
      </c>
      <c r="T481" s="9" t="s">
        <v>52</v>
      </c>
      <c r="U481" s="9">
        <v>360</v>
      </c>
      <c r="V481" s="13">
        <v>0.7122222222222222</v>
      </c>
      <c r="W481" s="13">
        <v>256.39999999999998</v>
      </c>
      <c r="X481" s="14">
        <v>-15.907906137184135</v>
      </c>
      <c r="Y481" s="13">
        <v>240.49209386281584</v>
      </c>
      <c r="Z481" s="10">
        <v>45350</v>
      </c>
      <c r="AA481" s="9">
        <v>40</v>
      </c>
      <c r="AC481" s="9">
        <v>429311</v>
      </c>
      <c r="AD481" s="14">
        <v>34.608148148148146</v>
      </c>
      <c r="AF481" s="14">
        <v>7.2</v>
      </c>
      <c r="AH481" s="14">
        <v>41.808148148148149</v>
      </c>
      <c r="AI481" s="13">
        <v>198.68394571466769</v>
      </c>
      <c r="AK481" s="9">
        <v>360</v>
      </c>
    </row>
    <row r="482" spans="1:37">
      <c r="A482" s="9">
        <v>6</v>
      </c>
      <c r="B482" s="9">
        <v>2024</v>
      </c>
      <c r="C482" s="9" t="s">
        <v>46</v>
      </c>
      <c r="D482" s="9" t="s">
        <v>47</v>
      </c>
      <c r="E482" s="9" t="s">
        <v>47</v>
      </c>
      <c r="F482" s="10">
        <v>45325</v>
      </c>
      <c r="G482" s="9" t="s">
        <v>154</v>
      </c>
      <c r="H482" s="9" t="s">
        <v>51</v>
      </c>
      <c r="I482" s="9">
        <v>1</v>
      </c>
      <c r="J482" s="11">
        <f>12*I482</f>
        <v>12</v>
      </c>
      <c r="K482" s="9">
        <v>520</v>
      </c>
      <c r="L482" s="12">
        <v>0.38</v>
      </c>
      <c r="M482" s="12">
        <v>197.6</v>
      </c>
      <c r="N482" s="13" t="s">
        <v>49</v>
      </c>
      <c r="Q482" s="9">
        <f>IF(Auction_Sales[[#This Row],[Payment Date]]=0,"",-1+WEEKNUM(Auction_Sales[[#This Row],[Payment Date]]))</f>
        <v>6</v>
      </c>
      <c r="R482" s="9">
        <f>K482-U482</f>
        <v>-120</v>
      </c>
      <c r="S482" s="1" t="str">
        <f>G482</f>
        <v>English Roses</v>
      </c>
      <c r="T482" s="9" t="str">
        <f>H482</f>
        <v>50CM</v>
      </c>
      <c r="U482" s="9">
        <v>640</v>
      </c>
      <c r="V482" s="13">
        <f>153.6/U482</f>
        <v>0.24</v>
      </c>
      <c r="W482" s="13">
        <f t="shared" ref="W482:W505" si="102">U482*V482</f>
        <v>153.6</v>
      </c>
      <c r="X482" s="14">
        <f>-(5088.4-4672.91)*U482/(6240+1520+1520)</f>
        <v>-28.654482758620674</v>
      </c>
      <c r="Y482" s="13">
        <f>W482+X482</f>
        <v>124.94551724137932</v>
      </c>
      <c r="Z482" s="10">
        <v>45336</v>
      </c>
      <c r="AA482" s="9">
        <f>U482-K482</f>
        <v>120</v>
      </c>
      <c r="AC482" s="9">
        <v>427448</v>
      </c>
      <c r="AD482" s="14">
        <f>J482/(18*12)*706.44</f>
        <v>39.24666666666667</v>
      </c>
      <c r="AF482" s="14">
        <f>U482*0.02</f>
        <v>12.8</v>
      </c>
      <c r="AH482" s="14">
        <f>SUM(AD482:AG482)</f>
        <v>52.046666666666667</v>
      </c>
      <c r="AI482" s="13">
        <f>Y482-AH482</f>
        <v>72.898850574712654</v>
      </c>
      <c r="AK482" s="9">
        <f>U482</f>
        <v>640</v>
      </c>
    </row>
    <row r="483" spans="1:37">
      <c r="A483" s="9">
        <v>6</v>
      </c>
      <c r="B483" s="9">
        <v>2024</v>
      </c>
      <c r="C483" s="9" t="s">
        <v>46</v>
      </c>
      <c r="D483" s="9" t="s">
        <v>47</v>
      </c>
      <c r="E483" s="9" t="s">
        <v>47</v>
      </c>
      <c r="F483" s="10">
        <v>45325</v>
      </c>
      <c r="G483" s="9" t="s">
        <v>154</v>
      </c>
      <c r="H483" s="9" t="s">
        <v>48</v>
      </c>
      <c r="I483" s="9">
        <v>1</v>
      </c>
      <c r="J483" s="11">
        <f t="shared" ref="J483:J491" si="103">12*I483</f>
        <v>12</v>
      </c>
      <c r="K483" s="9">
        <v>480</v>
      </c>
      <c r="L483" s="12">
        <v>0.47</v>
      </c>
      <c r="M483" s="12">
        <v>225.6</v>
      </c>
      <c r="N483" s="13" t="s">
        <v>49</v>
      </c>
      <c r="Q483" s="9">
        <f>IF(Auction_Sales[[#This Row],[Payment Date]]=0,"",-1+WEEKNUM(Auction_Sales[[#This Row],[Payment Date]]))</f>
        <v>6</v>
      </c>
      <c r="R483" s="9">
        <f t="shared" ref="R483:R548" si="104">K483-U483</f>
        <v>-80</v>
      </c>
      <c r="S483" s="1" t="str">
        <f t="shared" ref="S483:T499" si="105">G483</f>
        <v>English Roses</v>
      </c>
      <c r="T483" s="9" t="str">
        <f t="shared" si="105"/>
        <v>60CM</v>
      </c>
      <c r="U483" s="9">
        <f>280+280</f>
        <v>560</v>
      </c>
      <c r="V483" s="13">
        <f>(162+157.2)/U483</f>
        <v>0.56999999999999995</v>
      </c>
      <c r="W483" s="13">
        <f t="shared" si="102"/>
        <v>319.2</v>
      </c>
      <c r="X483" s="14">
        <f t="shared" ref="X483:X505" si="106">-(5088.4-4672.91)*U483/(6240+1520+1520)</f>
        <v>-25.072672413793089</v>
      </c>
      <c r="Y483" s="13">
        <f t="shared" ref="Y483:Y506" si="107">W483+X483</f>
        <v>294.12732758620689</v>
      </c>
      <c r="Z483" s="10">
        <v>45336</v>
      </c>
      <c r="AA483" s="9">
        <f t="shared" ref="AA483:AA506" si="108">U483-K483</f>
        <v>80</v>
      </c>
      <c r="AC483" s="9">
        <v>427448</v>
      </c>
      <c r="AD483" s="14">
        <f t="shared" ref="AD483:AD505" si="109">J483/(18*12)*706.44</f>
        <v>39.24666666666667</v>
      </c>
      <c r="AF483" s="14">
        <f t="shared" ref="AF483:AF544" si="110">U483*0.02</f>
        <v>11.200000000000001</v>
      </c>
      <c r="AH483" s="14">
        <f t="shared" ref="AH483:AH497" si="111">SUM(AD483:AG483)</f>
        <v>50.446666666666673</v>
      </c>
      <c r="AI483" s="13">
        <f t="shared" ref="AI483:AI505" si="112">Y483-AH483</f>
        <v>243.68066091954023</v>
      </c>
      <c r="AK483" s="9">
        <f t="shared" ref="AK483:AK505" si="113">U483</f>
        <v>560</v>
      </c>
    </row>
    <row r="484" spans="1:37">
      <c r="A484" s="9">
        <v>6</v>
      </c>
      <c r="B484" s="9">
        <v>2024</v>
      </c>
      <c r="C484" s="9" t="s">
        <v>46</v>
      </c>
      <c r="D484" s="9" t="s">
        <v>47</v>
      </c>
      <c r="E484" s="9" t="s">
        <v>47</v>
      </c>
      <c r="F484" s="10">
        <v>45325</v>
      </c>
      <c r="G484" s="9" t="s">
        <v>154</v>
      </c>
      <c r="H484" s="9" t="s">
        <v>52</v>
      </c>
      <c r="I484" s="9">
        <v>1</v>
      </c>
      <c r="J484" s="11">
        <f t="shared" si="103"/>
        <v>12</v>
      </c>
      <c r="K484" s="9">
        <v>360</v>
      </c>
      <c r="L484" s="12">
        <v>0.52</v>
      </c>
      <c r="M484" s="12">
        <v>187.2</v>
      </c>
      <c r="N484" s="13" t="s">
        <v>49</v>
      </c>
      <c r="Q484" s="9">
        <f>IF(Auction_Sales[[#This Row],[Payment Date]]=0,"",-1+WEEKNUM(Auction_Sales[[#This Row],[Payment Date]]))</f>
        <v>6</v>
      </c>
      <c r="R484" s="9">
        <f t="shared" si="104"/>
        <v>40</v>
      </c>
      <c r="S484" s="1" t="str">
        <f t="shared" si="105"/>
        <v>English Roses</v>
      </c>
      <c r="T484" s="9" t="str">
        <f t="shared" si="105"/>
        <v>70CM</v>
      </c>
      <c r="U484" s="9">
        <f>160+160</f>
        <v>320</v>
      </c>
      <c r="V484" s="13">
        <f>(106.4+121.6)/U484</f>
        <v>0.71250000000000002</v>
      </c>
      <c r="W484" s="13">
        <f t="shared" si="102"/>
        <v>228</v>
      </c>
      <c r="X484" s="14">
        <f t="shared" si="106"/>
        <v>-14.327241379310337</v>
      </c>
      <c r="Y484" s="13">
        <f t="shared" si="107"/>
        <v>213.67275862068965</v>
      </c>
      <c r="Z484" s="10">
        <v>45336</v>
      </c>
      <c r="AA484" s="9">
        <f t="shared" si="108"/>
        <v>-40</v>
      </c>
      <c r="AC484" s="9">
        <v>427448</v>
      </c>
      <c r="AD484" s="14">
        <f t="shared" si="109"/>
        <v>39.24666666666667</v>
      </c>
      <c r="AF484" s="14">
        <f t="shared" si="110"/>
        <v>6.4</v>
      </c>
      <c r="AH484" s="14">
        <f t="shared" si="111"/>
        <v>45.646666666666668</v>
      </c>
      <c r="AI484" s="13">
        <f t="shared" si="112"/>
        <v>168.02609195402297</v>
      </c>
      <c r="AK484" s="9">
        <f t="shared" si="113"/>
        <v>320</v>
      </c>
    </row>
    <row r="485" spans="1:37">
      <c r="A485" s="9">
        <v>6</v>
      </c>
      <c r="B485" s="9">
        <v>2024</v>
      </c>
      <c r="C485" s="9" t="s">
        <v>46</v>
      </c>
      <c r="D485" s="9" t="s">
        <v>47</v>
      </c>
      <c r="E485" s="9" t="s">
        <v>47</v>
      </c>
      <c r="F485" s="10">
        <v>45325</v>
      </c>
      <c r="G485" s="9" t="s">
        <v>154</v>
      </c>
      <c r="H485" s="9" t="s">
        <v>56</v>
      </c>
      <c r="I485" s="9">
        <v>1</v>
      </c>
      <c r="J485" s="11">
        <f t="shared" si="103"/>
        <v>12</v>
      </c>
      <c r="K485" s="9">
        <v>280</v>
      </c>
      <c r="L485" s="12">
        <v>0.75</v>
      </c>
      <c r="M485" s="12">
        <v>210</v>
      </c>
      <c r="N485" s="13" t="s">
        <v>49</v>
      </c>
      <c r="Q485" s="9">
        <f>IF(Auction_Sales[[#This Row],[Payment Date]]=0,"",-1+WEEKNUM(Auction_Sales[[#This Row],[Payment Date]]))</f>
        <v>6</v>
      </c>
      <c r="R485" s="9">
        <f t="shared" si="104"/>
        <v>0</v>
      </c>
      <c r="S485" s="1" t="str">
        <f t="shared" si="105"/>
        <v>English Roses</v>
      </c>
      <c r="T485" s="9" t="str">
        <f t="shared" si="105"/>
        <v>90CM</v>
      </c>
      <c r="U485" s="9">
        <v>280</v>
      </c>
      <c r="V485" s="13">
        <f>169.2/U485</f>
        <v>0.6042857142857142</v>
      </c>
      <c r="W485" s="13">
        <f t="shared" si="102"/>
        <v>169.2</v>
      </c>
      <c r="X485" s="14">
        <f t="shared" si="106"/>
        <v>-12.536336206896545</v>
      </c>
      <c r="Y485" s="13">
        <f t="shared" si="107"/>
        <v>156.66366379310344</v>
      </c>
      <c r="Z485" s="10">
        <v>45336</v>
      </c>
      <c r="AA485" s="9">
        <f t="shared" si="108"/>
        <v>0</v>
      </c>
      <c r="AC485" s="9">
        <v>427448</v>
      </c>
      <c r="AD485" s="14">
        <f t="shared" si="109"/>
        <v>39.24666666666667</v>
      </c>
      <c r="AF485" s="14">
        <f t="shared" si="110"/>
        <v>5.6000000000000005</v>
      </c>
      <c r="AH485" s="14">
        <f t="shared" si="111"/>
        <v>44.846666666666671</v>
      </c>
      <c r="AI485" s="13">
        <f t="shared" si="112"/>
        <v>111.81699712643677</v>
      </c>
      <c r="AK485" s="9">
        <f t="shared" si="113"/>
        <v>280</v>
      </c>
    </row>
    <row r="486" spans="1:37">
      <c r="A486" s="9">
        <v>6</v>
      </c>
      <c r="B486" s="9">
        <v>2024</v>
      </c>
      <c r="C486" s="9" t="s">
        <v>46</v>
      </c>
      <c r="D486" s="9" t="s">
        <v>47</v>
      </c>
      <c r="E486" s="9" t="s">
        <v>47</v>
      </c>
      <c r="F486" s="10">
        <v>45325</v>
      </c>
      <c r="G486" s="9" t="s">
        <v>155</v>
      </c>
      <c r="H486" s="9" t="s">
        <v>51</v>
      </c>
      <c r="I486" s="9">
        <v>2</v>
      </c>
      <c r="J486" s="11">
        <f t="shared" si="103"/>
        <v>24</v>
      </c>
      <c r="K486" s="9">
        <v>1200</v>
      </c>
      <c r="L486" s="12">
        <v>0.38</v>
      </c>
      <c r="M486" s="12">
        <v>456</v>
      </c>
      <c r="N486" s="13" t="s">
        <v>49</v>
      </c>
      <c r="Q486" s="9">
        <f>IF(Auction_Sales[[#This Row],[Payment Date]]=0,"",-1+WEEKNUM(Auction_Sales[[#This Row],[Payment Date]]))</f>
        <v>6</v>
      </c>
      <c r="R486" s="9">
        <f t="shared" si="104"/>
        <v>-480</v>
      </c>
      <c r="S486" s="1" t="str">
        <f t="shared" si="105"/>
        <v>Floribunda Roses</v>
      </c>
      <c r="T486" s="9" t="str">
        <f t="shared" si="105"/>
        <v>50CM</v>
      </c>
      <c r="U486" s="9">
        <v>1680</v>
      </c>
      <c r="V486" s="13">
        <f>778/U486</f>
        <v>0.46309523809523812</v>
      </c>
      <c r="W486" s="13">
        <f t="shared" si="102"/>
        <v>778</v>
      </c>
      <c r="X486" s="14">
        <f t="shared" si="106"/>
        <v>-75.218017241379272</v>
      </c>
      <c r="Y486" s="13">
        <f t="shared" si="107"/>
        <v>702.78198275862076</v>
      </c>
      <c r="Z486" s="10">
        <v>45336</v>
      </c>
      <c r="AA486" s="9">
        <f t="shared" si="108"/>
        <v>480</v>
      </c>
      <c r="AC486" s="9">
        <v>427448</v>
      </c>
      <c r="AD486" s="14">
        <f t="shared" si="109"/>
        <v>78.493333333333339</v>
      </c>
      <c r="AF486" s="14">
        <f t="shared" si="110"/>
        <v>33.6</v>
      </c>
      <c r="AH486" s="14">
        <f t="shared" si="111"/>
        <v>112.09333333333333</v>
      </c>
      <c r="AI486" s="13">
        <f t="shared" si="112"/>
        <v>590.68864942528739</v>
      </c>
      <c r="AK486" s="9">
        <f t="shared" si="113"/>
        <v>1680</v>
      </c>
    </row>
    <row r="487" spans="1:37">
      <c r="A487" s="9">
        <v>6</v>
      </c>
      <c r="B487" s="9">
        <v>2024</v>
      </c>
      <c r="C487" s="9" t="s">
        <v>46</v>
      </c>
      <c r="D487" s="9" t="s">
        <v>47</v>
      </c>
      <c r="E487" s="9" t="s">
        <v>47</v>
      </c>
      <c r="F487" s="10">
        <v>45325</v>
      </c>
      <c r="G487" s="9" t="s">
        <v>155</v>
      </c>
      <c r="H487" s="9" t="s">
        <v>48</v>
      </c>
      <c r="I487" s="9">
        <v>2</v>
      </c>
      <c r="J487" s="11">
        <f t="shared" si="103"/>
        <v>24</v>
      </c>
      <c r="K487" s="9">
        <v>1040</v>
      </c>
      <c r="L487" s="12">
        <v>0.47</v>
      </c>
      <c r="M487" s="12">
        <v>488.8</v>
      </c>
      <c r="N487" s="13" t="s">
        <v>49</v>
      </c>
      <c r="Q487" s="9">
        <f>IF(Auction_Sales[[#This Row],[Payment Date]]=0,"",-1+WEEKNUM(Auction_Sales[[#This Row],[Payment Date]]))</f>
        <v>6</v>
      </c>
      <c r="R487" s="9">
        <f t="shared" si="104"/>
        <v>-240</v>
      </c>
      <c r="S487" s="1" t="str">
        <f t="shared" si="105"/>
        <v>Floribunda Roses</v>
      </c>
      <c r="T487" s="9" t="str">
        <f t="shared" si="105"/>
        <v>60CM</v>
      </c>
      <c r="U487" s="9">
        <f>640+640</f>
        <v>1280</v>
      </c>
      <c r="V487" s="13">
        <f>(445.6+383.6)/U487</f>
        <v>0.64781250000000001</v>
      </c>
      <c r="W487" s="13">
        <f t="shared" si="102"/>
        <v>829.2</v>
      </c>
      <c r="X487" s="14">
        <f t="shared" si="106"/>
        <v>-57.308965517241347</v>
      </c>
      <c r="Y487" s="13">
        <f t="shared" si="107"/>
        <v>771.89103448275864</v>
      </c>
      <c r="Z487" s="10">
        <v>45336</v>
      </c>
      <c r="AA487" s="9">
        <f t="shared" si="108"/>
        <v>240</v>
      </c>
      <c r="AC487" s="9">
        <v>427448</v>
      </c>
      <c r="AD487" s="14">
        <f t="shared" si="109"/>
        <v>78.493333333333339</v>
      </c>
      <c r="AF487" s="14">
        <f t="shared" si="110"/>
        <v>25.6</v>
      </c>
      <c r="AH487" s="14">
        <f t="shared" si="111"/>
        <v>104.09333333333333</v>
      </c>
      <c r="AI487" s="13">
        <f t="shared" si="112"/>
        <v>667.79770114942528</v>
      </c>
      <c r="AK487" s="9">
        <f t="shared" si="113"/>
        <v>1280</v>
      </c>
    </row>
    <row r="488" spans="1:37">
      <c r="A488" s="9">
        <v>6</v>
      </c>
      <c r="B488" s="9">
        <v>2024</v>
      </c>
      <c r="C488" s="9" t="s">
        <v>46</v>
      </c>
      <c r="D488" s="9" t="s">
        <v>47</v>
      </c>
      <c r="E488" s="9" t="s">
        <v>47</v>
      </c>
      <c r="F488" s="10">
        <v>45325</v>
      </c>
      <c r="G488" s="9" t="s">
        <v>153</v>
      </c>
      <c r="H488" s="9" t="s">
        <v>51</v>
      </c>
      <c r="I488" s="9">
        <v>1</v>
      </c>
      <c r="J488" s="11">
        <f t="shared" si="103"/>
        <v>12</v>
      </c>
      <c r="K488" s="9">
        <v>800</v>
      </c>
      <c r="L488" s="12">
        <v>0.14000000000000001</v>
      </c>
      <c r="M488" s="12">
        <v>112</v>
      </c>
      <c r="N488" s="13" t="s">
        <v>49</v>
      </c>
      <c r="Q488" s="9">
        <f>IF(Auction_Sales[[#This Row],[Payment Date]]=0,"",-1+WEEKNUM(Auction_Sales[[#This Row],[Payment Date]]))</f>
        <v>6</v>
      </c>
      <c r="R488" s="9">
        <f t="shared" si="104"/>
        <v>-560</v>
      </c>
      <c r="S488" s="1" t="str">
        <f t="shared" si="105"/>
        <v>Grandiflora Roses</v>
      </c>
      <c r="T488" s="9" t="str">
        <f t="shared" si="105"/>
        <v>50CM</v>
      </c>
      <c r="U488" s="9">
        <v>1360</v>
      </c>
      <c r="V488" s="13">
        <f>516.8/U488</f>
        <v>0.37999999999999995</v>
      </c>
      <c r="W488" s="13">
        <f t="shared" si="102"/>
        <v>516.79999999999995</v>
      </c>
      <c r="X488" s="14">
        <f t="shared" si="106"/>
        <v>-60.890775862068928</v>
      </c>
      <c r="Y488" s="13">
        <f t="shared" si="107"/>
        <v>455.90922413793101</v>
      </c>
      <c r="Z488" s="10">
        <v>45336</v>
      </c>
      <c r="AA488" s="9">
        <f t="shared" si="108"/>
        <v>560</v>
      </c>
      <c r="AC488" s="9">
        <v>427448</v>
      </c>
      <c r="AD488" s="14">
        <f t="shared" si="109"/>
        <v>39.24666666666667</v>
      </c>
      <c r="AF488" s="14">
        <f t="shared" si="110"/>
        <v>27.2</v>
      </c>
      <c r="AH488" s="14">
        <f t="shared" si="111"/>
        <v>66.446666666666673</v>
      </c>
      <c r="AI488" s="13">
        <f t="shared" si="112"/>
        <v>389.46255747126435</v>
      </c>
      <c r="AK488" s="9">
        <f t="shared" si="113"/>
        <v>1360</v>
      </c>
    </row>
    <row r="489" spans="1:37">
      <c r="A489" s="9">
        <v>6</v>
      </c>
      <c r="B489" s="9">
        <v>2024</v>
      </c>
      <c r="C489" s="9" t="s">
        <v>46</v>
      </c>
      <c r="D489" s="9" t="s">
        <v>47</v>
      </c>
      <c r="E489" s="9" t="s">
        <v>47</v>
      </c>
      <c r="F489" s="10">
        <v>45325</v>
      </c>
      <c r="G489" s="9" t="s">
        <v>153</v>
      </c>
      <c r="H489" s="9" t="s">
        <v>48</v>
      </c>
      <c r="I489" s="9">
        <v>1</v>
      </c>
      <c r="J489" s="11">
        <f t="shared" si="103"/>
        <v>12</v>
      </c>
      <c r="K489" s="9">
        <v>720</v>
      </c>
      <c r="L489" s="12">
        <v>0.24</v>
      </c>
      <c r="M489" s="12">
        <v>172.8</v>
      </c>
      <c r="N489" s="13" t="s">
        <v>49</v>
      </c>
      <c r="Q489" s="9">
        <f>IF(Auction_Sales[[#This Row],[Payment Date]]=0,"",-1+WEEKNUM(Auction_Sales[[#This Row],[Payment Date]]))</f>
        <v>6</v>
      </c>
      <c r="R489" s="9">
        <f t="shared" si="104"/>
        <v>-160</v>
      </c>
      <c r="S489" s="1" t="str">
        <f t="shared" si="105"/>
        <v>Grandiflora Roses</v>
      </c>
      <c r="T489" s="9" t="str">
        <f t="shared" si="105"/>
        <v>60CM</v>
      </c>
      <c r="U489" s="9">
        <f>440+440</f>
        <v>880</v>
      </c>
      <c r="V489" s="13">
        <f>(271.6+246.8)/U489</f>
        <v>0.58909090909090922</v>
      </c>
      <c r="W489" s="13">
        <f t="shared" si="102"/>
        <v>518.40000000000009</v>
      </c>
      <c r="X489" s="14">
        <f t="shared" si="106"/>
        <v>-39.39991379310343</v>
      </c>
      <c r="Y489" s="13">
        <f t="shared" si="107"/>
        <v>479.00008620689664</v>
      </c>
      <c r="Z489" s="10">
        <v>45336</v>
      </c>
      <c r="AA489" s="9">
        <f t="shared" si="108"/>
        <v>160</v>
      </c>
      <c r="AC489" s="9">
        <v>427448</v>
      </c>
      <c r="AD489" s="14">
        <f t="shared" si="109"/>
        <v>39.24666666666667</v>
      </c>
      <c r="AF489" s="14">
        <f t="shared" si="110"/>
        <v>17.600000000000001</v>
      </c>
      <c r="AH489" s="14">
        <f t="shared" si="111"/>
        <v>56.846666666666671</v>
      </c>
      <c r="AI489" s="13">
        <f t="shared" si="112"/>
        <v>422.15341954022995</v>
      </c>
      <c r="AK489" s="9">
        <f t="shared" si="113"/>
        <v>880</v>
      </c>
    </row>
    <row r="490" spans="1:37">
      <c r="A490" s="9">
        <v>6</v>
      </c>
      <c r="B490" s="9">
        <v>2024</v>
      </c>
      <c r="C490" s="9" t="s">
        <v>46</v>
      </c>
      <c r="D490" s="9" t="s">
        <v>47</v>
      </c>
      <c r="E490" s="9" t="s">
        <v>47</v>
      </c>
      <c r="F490" s="10">
        <v>45325</v>
      </c>
      <c r="G490" s="9" t="s">
        <v>153</v>
      </c>
      <c r="H490" s="9" t="s">
        <v>52</v>
      </c>
      <c r="I490" s="9">
        <v>1</v>
      </c>
      <c r="J490" s="11">
        <f t="shared" si="103"/>
        <v>12</v>
      </c>
      <c r="K490" s="9">
        <v>600</v>
      </c>
      <c r="L490" s="12">
        <v>0.28000000000000003</v>
      </c>
      <c r="M490" s="12">
        <v>168</v>
      </c>
      <c r="N490" s="13" t="s">
        <v>49</v>
      </c>
      <c r="Q490" s="9">
        <f>IF(Auction_Sales[[#This Row],[Payment Date]]=0,"",-1+WEEKNUM(Auction_Sales[[#This Row],[Payment Date]]))</f>
        <v>6</v>
      </c>
      <c r="R490" s="9">
        <f t="shared" si="104"/>
        <v>0</v>
      </c>
      <c r="S490" s="1" t="str">
        <f t="shared" si="105"/>
        <v>Grandiflora Roses</v>
      </c>
      <c r="T490" s="9" t="str">
        <f t="shared" si="105"/>
        <v>70CM</v>
      </c>
      <c r="U490" s="9">
        <v>600</v>
      </c>
      <c r="V490" s="13">
        <f>371.2/U490</f>
        <v>0.6186666666666667</v>
      </c>
      <c r="W490" s="13">
        <f t="shared" si="102"/>
        <v>371.20000000000005</v>
      </c>
      <c r="X490" s="14">
        <f t="shared" si="106"/>
        <v>-26.863577586206883</v>
      </c>
      <c r="Y490" s="13">
        <f t="shared" si="107"/>
        <v>344.33642241379317</v>
      </c>
      <c r="Z490" s="10">
        <v>45336</v>
      </c>
      <c r="AA490" s="9">
        <f t="shared" si="108"/>
        <v>0</v>
      </c>
      <c r="AC490" s="9">
        <v>427448</v>
      </c>
      <c r="AD490" s="14">
        <f t="shared" si="109"/>
        <v>39.24666666666667</v>
      </c>
      <c r="AF490" s="14">
        <f t="shared" si="110"/>
        <v>12</v>
      </c>
      <c r="AH490" s="14">
        <f t="shared" si="111"/>
        <v>51.24666666666667</v>
      </c>
      <c r="AI490" s="13">
        <f t="shared" si="112"/>
        <v>293.0897557471265</v>
      </c>
      <c r="AK490" s="9">
        <f t="shared" si="113"/>
        <v>600</v>
      </c>
    </row>
    <row r="491" spans="1:37">
      <c r="A491" s="9">
        <v>6</v>
      </c>
      <c r="B491" s="9">
        <v>2024</v>
      </c>
      <c r="C491" s="9" t="s">
        <v>46</v>
      </c>
      <c r="D491" s="9" t="s">
        <v>47</v>
      </c>
      <c r="E491" s="9" t="s">
        <v>47</v>
      </c>
      <c r="F491" s="10">
        <v>45325</v>
      </c>
      <c r="G491" s="9" t="s">
        <v>153</v>
      </c>
      <c r="H491" s="9" t="s">
        <v>54</v>
      </c>
      <c r="I491" s="9">
        <v>1</v>
      </c>
      <c r="J491" s="11">
        <f t="shared" si="103"/>
        <v>12</v>
      </c>
      <c r="K491" s="9">
        <v>360</v>
      </c>
      <c r="L491" s="12">
        <v>0.33</v>
      </c>
      <c r="M491" s="12">
        <v>118.8</v>
      </c>
      <c r="N491" s="13" t="s">
        <v>49</v>
      </c>
      <c r="Q491" s="9">
        <f>IF(Auction_Sales[[#This Row],[Payment Date]]=0,"",-1+WEEKNUM(Auction_Sales[[#This Row],[Payment Date]]))</f>
        <v>6</v>
      </c>
      <c r="R491" s="9">
        <f t="shared" si="104"/>
        <v>0</v>
      </c>
      <c r="S491" s="1" t="str">
        <f t="shared" si="105"/>
        <v>Grandiflora Roses</v>
      </c>
      <c r="T491" s="9" t="str">
        <f t="shared" si="105"/>
        <v>80CM</v>
      </c>
      <c r="U491" s="9">
        <v>360</v>
      </c>
      <c r="V491" s="13">
        <f>242.4/U491</f>
        <v>0.67333333333333334</v>
      </c>
      <c r="W491" s="13">
        <f t="shared" si="102"/>
        <v>242.4</v>
      </c>
      <c r="X491" s="14">
        <f t="shared" si="106"/>
        <v>-16.118146551724127</v>
      </c>
      <c r="Y491" s="13">
        <f t="shared" si="107"/>
        <v>226.28185344827588</v>
      </c>
      <c r="Z491" s="10">
        <v>45336</v>
      </c>
      <c r="AA491" s="9">
        <f t="shared" si="108"/>
        <v>0</v>
      </c>
      <c r="AC491" s="9">
        <v>427448</v>
      </c>
      <c r="AD491" s="14">
        <f t="shared" si="109"/>
        <v>39.24666666666667</v>
      </c>
      <c r="AF491" s="14">
        <f t="shared" si="110"/>
        <v>7.2</v>
      </c>
      <c r="AH491" s="14">
        <f t="shared" si="111"/>
        <v>46.446666666666673</v>
      </c>
      <c r="AI491" s="13">
        <f t="shared" si="112"/>
        <v>179.8351867816092</v>
      </c>
      <c r="AK491" s="9">
        <f t="shared" si="113"/>
        <v>360</v>
      </c>
    </row>
    <row r="492" spans="1:37">
      <c r="A492" s="9">
        <v>6</v>
      </c>
      <c r="B492" s="9">
        <v>2024</v>
      </c>
      <c r="C492" s="9" t="s">
        <v>46</v>
      </c>
      <c r="D492" s="9" t="s">
        <v>47</v>
      </c>
      <c r="E492" s="9" t="s">
        <v>47</v>
      </c>
      <c r="F492" s="10">
        <v>45325</v>
      </c>
      <c r="G492" s="9" t="s">
        <v>155</v>
      </c>
      <c r="H492" s="9" t="s">
        <v>48</v>
      </c>
      <c r="I492" s="9">
        <v>1</v>
      </c>
      <c r="J492" s="11">
        <f>K492/720*12</f>
        <v>4.666666666666667</v>
      </c>
      <c r="K492" s="9">
        <v>280</v>
      </c>
      <c r="L492" s="12">
        <v>0.47</v>
      </c>
      <c r="M492" s="12">
        <v>131.6</v>
      </c>
      <c r="N492" s="13" t="s">
        <v>49</v>
      </c>
      <c r="Q492" s="9">
        <f>IF(Auction_Sales[[#This Row],[Payment Date]]=0,"",-1+WEEKNUM(Auction_Sales[[#This Row],[Payment Date]]))</f>
        <v>6</v>
      </c>
      <c r="R492" s="9">
        <f t="shared" si="104"/>
        <v>280</v>
      </c>
      <c r="S492" s="1" t="str">
        <f t="shared" si="105"/>
        <v>Floribunda Roses</v>
      </c>
      <c r="T492" s="9" t="str">
        <f t="shared" si="105"/>
        <v>60CM</v>
      </c>
      <c r="W492" s="13">
        <f t="shared" si="102"/>
        <v>0</v>
      </c>
      <c r="X492" s="14">
        <f t="shared" si="106"/>
        <v>0</v>
      </c>
      <c r="Y492" s="13">
        <f t="shared" si="107"/>
        <v>0</v>
      </c>
      <c r="Z492" s="10">
        <v>45336</v>
      </c>
      <c r="AA492" s="9">
        <f t="shared" si="108"/>
        <v>-280</v>
      </c>
      <c r="AC492" s="9">
        <v>427448</v>
      </c>
      <c r="AD492" s="14">
        <f t="shared" si="109"/>
        <v>15.262592592592595</v>
      </c>
      <c r="AF492" s="14">
        <f t="shared" si="110"/>
        <v>0</v>
      </c>
      <c r="AH492" s="14">
        <f t="shared" si="111"/>
        <v>15.262592592592595</v>
      </c>
      <c r="AI492" s="13">
        <f t="shared" si="112"/>
        <v>-15.262592592592595</v>
      </c>
      <c r="AK492" s="9">
        <f t="shared" si="113"/>
        <v>0</v>
      </c>
    </row>
    <row r="493" spans="1:37">
      <c r="A493" s="9">
        <v>6</v>
      </c>
      <c r="B493" s="9">
        <v>2024</v>
      </c>
      <c r="C493" s="9" t="s">
        <v>46</v>
      </c>
      <c r="D493" s="9" t="s">
        <v>47</v>
      </c>
      <c r="E493" s="9" t="s">
        <v>47</v>
      </c>
      <c r="F493" s="10">
        <v>45325</v>
      </c>
      <c r="G493" s="9" t="s">
        <v>155</v>
      </c>
      <c r="H493" s="9" t="s">
        <v>51</v>
      </c>
      <c r="J493" s="11">
        <f>K493/720*12</f>
        <v>7.3333333333333339</v>
      </c>
      <c r="K493" s="9">
        <v>440</v>
      </c>
      <c r="L493" s="12">
        <v>0.38</v>
      </c>
      <c r="M493" s="12">
        <v>167.2</v>
      </c>
      <c r="N493" s="13" t="s">
        <v>49</v>
      </c>
      <c r="Q493" s="9">
        <f>IF(Auction_Sales[[#This Row],[Payment Date]]=0,"",-1+WEEKNUM(Auction_Sales[[#This Row],[Payment Date]]))</f>
        <v>6</v>
      </c>
      <c r="R493" s="9">
        <f t="shared" si="104"/>
        <v>440</v>
      </c>
      <c r="S493" s="1" t="str">
        <f t="shared" si="105"/>
        <v>Floribunda Roses</v>
      </c>
      <c r="T493" s="9" t="str">
        <f t="shared" si="105"/>
        <v>50CM</v>
      </c>
      <c r="W493" s="13">
        <f t="shared" si="102"/>
        <v>0</v>
      </c>
      <c r="X493" s="14">
        <f t="shared" si="106"/>
        <v>0</v>
      </c>
      <c r="Y493" s="13">
        <f t="shared" si="107"/>
        <v>0</v>
      </c>
      <c r="Z493" s="10">
        <v>45336</v>
      </c>
      <c r="AA493" s="9">
        <f t="shared" si="108"/>
        <v>-440</v>
      </c>
      <c r="AC493" s="9">
        <v>427448</v>
      </c>
      <c r="AD493" s="14">
        <f t="shared" si="109"/>
        <v>23.98407407407408</v>
      </c>
      <c r="AF493" s="14">
        <f t="shared" si="110"/>
        <v>0</v>
      </c>
      <c r="AH493" s="14">
        <f t="shared" si="111"/>
        <v>23.98407407407408</v>
      </c>
      <c r="AI493" s="13">
        <f t="shared" si="112"/>
        <v>-23.98407407407408</v>
      </c>
      <c r="AK493" s="9">
        <f t="shared" si="113"/>
        <v>0</v>
      </c>
    </row>
    <row r="494" spans="1:37">
      <c r="A494" s="9">
        <v>6</v>
      </c>
      <c r="B494" s="9">
        <v>2024</v>
      </c>
      <c r="C494" s="9" t="s">
        <v>46</v>
      </c>
      <c r="D494" s="9" t="s">
        <v>47</v>
      </c>
      <c r="E494" s="9" t="s">
        <v>47</v>
      </c>
      <c r="F494" s="10">
        <v>45325</v>
      </c>
      <c r="G494" s="9" t="s">
        <v>153</v>
      </c>
      <c r="H494" s="9" t="s">
        <v>56</v>
      </c>
      <c r="I494" s="9">
        <v>1</v>
      </c>
      <c r="J494" s="11">
        <f>K494/440*12</f>
        <v>4.3636363636363633</v>
      </c>
      <c r="K494" s="9">
        <v>160</v>
      </c>
      <c r="L494" s="12">
        <v>0.38</v>
      </c>
      <c r="M494" s="12">
        <v>60.8</v>
      </c>
      <c r="N494" s="13" t="s">
        <v>49</v>
      </c>
      <c r="Q494" s="9">
        <f>IF(Auction_Sales[[#This Row],[Payment Date]]=0,"",-1+WEEKNUM(Auction_Sales[[#This Row],[Payment Date]]))</f>
        <v>6</v>
      </c>
      <c r="R494" s="9">
        <f t="shared" si="104"/>
        <v>-120</v>
      </c>
      <c r="S494" s="1" t="str">
        <f t="shared" si="105"/>
        <v>Grandiflora Roses</v>
      </c>
      <c r="T494" s="9" t="str">
        <f t="shared" si="105"/>
        <v>90CM</v>
      </c>
      <c r="U494" s="9">
        <v>280</v>
      </c>
      <c r="V494" s="13">
        <f>193.6/U494</f>
        <v>0.69142857142857139</v>
      </c>
      <c r="W494" s="13">
        <f t="shared" si="102"/>
        <v>193.6</v>
      </c>
      <c r="X494" s="14">
        <f t="shared" si="106"/>
        <v>-12.536336206896545</v>
      </c>
      <c r="Y494" s="13">
        <f t="shared" si="107"/>
        <v>181.06366379310344</v>
      </c>
      <c r="Z494" s="10">
        <v>45336</v>
      </c>
      <c r="AA494" s="9">
        <f t="shared" si="108"/>
        <v>120</v>
      </c>
      <c r="AC494" s="9">
        <v>427448</v>
      </c>
      <c r="AD494" s="14">
        <f t="shared" si="109"/>
        <v>14.271515151515151</v>
      </c>
      <c r="AF494" s="14">
        <f t="shared" si="110"/>
        <v>5.6000000000000005</v>
      </c>
      <c r="AH494" s="14">
        <f t="shared" si="111"/>
        <v>19.871515151515151</v>
      </c>
      <c r="AI494" s="13">
        <f t="shared" si="112"/>
        <v>161.19214864158829</v>
      </c>
      <c r="AK494" s="9">
        <f t="shared" si="113"/>
        <v>280</v>
      </c>
    </row>
    <row r="495" spans="1:37">
      <c r="A495" s="9">
        <v>6</v>
      </c>
      <c r="B495" s="9">
        <v>2024</v>
      </c>
      <c r="C495" s="9" t="s">
        <v>46</v>
      </c>
      <c r="D495" s="9" t="s">
        <v>47</v>
      </c>
      <c r="E495" s="9" t="s">
        <v>47</v>
      </c>
      <c r="F495" s="10">
        <v>45325</v>
      </c>
      <c r="G495" s="9" t="s">
        <v>153</v>
      </c>
      <c r="H495" s="9" t="s">
        <v>57</v>
      </c>
      <c r="J495" s="11">
        <f>K495/440*12</f>
        <v>7.6363636363636367</v>
      </c>
      <c r="K495" s="9">
        <v>280</v>
      </c>
      <c r="L495" s="12">
        <v>0.47</v>
      </c>
      <c r="M495" s="12">
        <v>131.6</v>
      </c>
      <c r="N495" s="13" t="s">
        <v>49</v>
      </c>
      <c r="Q495" s="9">
        <f>IF(Auction_Sales[[#This Row],[Payment Date]]=0,"",-1+WEEKNUM(Auction_Sales[[#This Row],[Payment Date]]))</f>
        <v>6</v>
      </c>
      <c r="R495" s="9">
        <f t="shared" si="104"/>
        <v>120</v>
      </c>
      <c r="S495" s="1" t="str">
        <f t="shared" si="105"/>
        <v>Grandiflora Roses</v>
      </c>
      <c r="T495" s="9" t="str">
        <f t="shared" si="105"/>
        <v>100CM</v>
      </c>
      <c r="U495" s="9">
        <f>160</f>
        <v>160</v>
      </c>
      <c r="V495" s="13">
        <f>(130)/U495</f>
        <v>0.8125</v>
      </c>
      <c r="W495" s="13">
        <f t="shared" si="102"/>
        <v>130</v>
      </c>
      <c r="X495" s="14">
        <f t="shared" si="106"/>
        <v>-7.1636206896551684</v>
      </c>
      <c r="Y495" s="13">
        <f t="shared" si="107"/>
        <v>122.83637931034482</v>
      </c>
      <c r="Z495" s="10">
        <v>45336</v>
      </c>
      <c r="AA495" s="9">
        <f t="shared" si="108"/>
        <v>-120</v>
      </c>
      <c r="AC495" s="9">
        <v>427448</v>
      </c>
      <c r="AD495" s="14">
        <f t="shared" si="109"/>
        <v>24.975151515151516</v>
      </c>
      <c r="AF495" s="14">
        <f t="shared" si="110"/>
        <v>3.2</v>
      </c>
      <c r="AH495" s="14">
        <f t="shared" si="111"/>
        <v>28.175151515151516</v>
      </c>
      <c r="AI495" s="13">
        <f t="shared" si="112"/>
        <v>94.661227795193312</v>
      </c>
      <c r="AK495" s="9">
        <f t="shared" si="113"/>
        <v>160</v>
      </c>
    </row>
    <row r="496" spans="1:37">
      <c r="A496" s="9">
        <v>6</v>
      </c>
      <c r="B496" s="9">
        <v>2024</v>
      </c>
      <c r="C496" s="9" t="s">
        <v>46</v>
      </c>
      <c r="D496" s="9" t="s">
        <v>47</v>
      </c>
      <c r="E496" s="9" t="s">
        <v>47</v>
      </c>
      <c r="F496" s="10">
        <v>45325</v>
      </c>
      <c r="G496" s="9" t="s">
        <v>153</v>
      </c>
      <c r="H496" s="9" t="s">
        <v>48</v>
      </c>
      <c r="I496" s="9">
        <v>1</v>
      </c>
      <c r="J496" s="11">
        <f>K496/720*12</f>
        <v>3.3333333333333335</v>
      </c>
      <c r="K496" s="9">
        <v>200</v>
      </c>
      <c r="L496" s="12">
        <v>0.24</v>
      </c>
      <c r="M496" s="12">
        <v>48</v>
      </c>
      <c r="N496" s="13" t="s">
        <v>49</v>
      </c>
      <c r="Q496" s="9">
        <f>IF(Auction_Sales[[#This Row],[Payment Date]]=0,"",-1+WEEKNUM(Auction_Sales[[#This Row],[Payment Date]]))</f>
        <v>6</v>
      </c>
      <c r="R496" s="9">
        <f t="shared" si="104"/>
        <v>200</v>
      </c>
      <c r="S496" s="1" t="str">
        <f t="shared" si="105"/>
        <v>Grandiflora Roses</v>
      </c>
      <c r="T496" s="9" t="str">
        <f t="shared" si="105"/>
        <v>60CM</v>
      </c>
      <c r="W496" s="13">
        <f t="shared" si="102"/>
        <v>0</v>
      </c>
      <c r="X496" s="14">
        <f t="shared" si="106"/>
        <v>0</v>
      </c>
      <c r="Y496" s="13">
        <f t="shared" si="107"/>
        <v>0</v>
      </c>
      <c r="Z496" s="10">
        <v>45336</v>
      </c>
      <c r="AA496" s="9">
        <f t="shared" si="108"/>
        <v>-200</v>
      </c>
      <c r="AC496" s="9">
        <v>427448</v>
      </c>
      <c r="AD496" s="14">
        <f t="shared" si="109"/>
        <v>10.901851851851854</v>
      </c>
      <c r="AF496" s="14">
        <f t="shared" si="110"/>
        <v>0</v>
      </c>
      <c r="AH496" s="14">
        <f t="shared" si="111"/>
        <v>10.901851851851854</v>
      </c>
      <c r="AI496" s="13">
        <f t="shared" si="112"/>
        <v>-10.901851851851854</v>
      </c>
      <c r="AK496" s="9">
        <f t="shared" si="113"/>
        <v>0</v>
      </c>
    </row>
    <row r="497" spans="1:37">
      <c r="A497" s="9">
        <v>6</v>
      </c>
      <c r="B497" s="9">
        <v>2024</v>
      </c>
      <c r="C497" s="9" t="s">
        <v>46</v>
      </c>
      <c r="D497" s="9" t="s">
        <v>47</v>
      </c>
      <c r="E497" s="9" t="s">
        <v>47</v>
      </c>
      <c r="F497" s="10">
        <v>45325</v>
      </c>
      <c r="G497" s="9" t="s">
        <v>153</v>
      </c>
      <c r="H497" s="9" t="s">
        <v>51</v>
      </c>
      <c r="J497" s="11">
        <f>K497/720*12</f>
        <v>8.6666666666666661</v>
      </c>
      <c r="K497" s="9">
        <v>520</v>
      </c>
      <c r="L497" s="12">
        <v>0.14000000000000001</v>
      </c>
      <c r="M497" s="12">
        <v>72.8</v>
      </c>
      <c r="N497" s="13" t="s">
        <v>49</v>
      </c>
      <c r="Q497" s="9">
        <f>IF(Auction_Sales[[#This Row],[Payment Date]]=0,"",-1+WEEKNUM(Auction_Sales[[#This Row],[Payment Date]]))</f>
        <v>6</v>
      </c>
      <c r="R497" s="9">
        <f t="shared" si="104"/>
        <v>520</v>
      </c>
      <c r="S497" s="1" t="str">
        <f t="shared" si="105"/>
        <v>Grandiflora Roses</v>
      </c>
      <c r="T497" s="9" t="str">
        <f t="shared" si="105"/>
        <v>50CM</v>
      </c>
      <c r="W497" s="13">
        <f t="shared" si="102"/>
        <v>0</v>
      </c>
      <c r="X497" s="14">
        <f t="shared" si="106"/>
        <v>0</v>
      </c>
      <c r="Y497" s="13">
        <f t="shared" si="107"/>
        <v>0</v>
      </c>
      <c r="Z497" s="10">
        <v>45336</v>
      </c>
      <c r="AA497" s="9">
        <f t="shared" si="108"/>
        <v>-520</v>
      </c>
      <c r="AC497" s="9">
        <v>427448</v>
      </c>
      <c r="AD497" s="14">
        <f t="shared" si="109"/>
        <v>28.344814814814814</v>
      </c>
      <c r="AF497" s="14">
        <f t="shared" si="110"/>
        <v>0</v>
      </c>
      <c r="AH497" s="14">
        <f t="shared" si="111"/>
        <v>28.344814814814814</v>
      </c>
      <c r="AI497" s="13">
        <f t="shared" si="112"/>
        <v>-28.344814814814814</v>
      </c>
      <c r="AK497" s="9">
        <f t="shared" si="113"/>
        <v>0</v>
      </c>
    </row>
    <row r="498" spans="1:37">
      <c r="A498" s="9">
        <v>6</v>
      </c>
      <c r="B498" s="9">
        <v>2024</v>
      </c>
      <c r="C498" s="9" t="s">
        <v>46</v>
      </c>
      <c r="D498" s="9" t="s">
        <v>47</v>
      </c>
      <c r="E498" s="9" t="s">
        <v>47</v>
      </c>
      <c r="F498" s="10">
        <v>45325</v>
      </c>
      <c r="G498" s="9" t="s">
        <v>154</v>
      </c>
      <c r="H498" s="9" t="s">
        <v>48</v>
      </c>
      <c r="I498" s="9">
        <v>1</v>
      </c>
      <c r="J498" s="11">
        <f>K498/360*12</f>
        <v>1.3333333333333333</v>
      </c>
      <c r="K498" s="9">
        <v>40</v>
      </c>
      <c r="L498" s="12">
        <v>0.47</v>
      </c>
      <c r="M498" s="12">
        <v>18.8</v>
      </c>
      <c r="N498" s="13" t="s">
        <v>49</v>
      </c>
      <c r="Q498" s="9">
        <f>IF(Auction_Sales[[#This Row],[Payment Date]]=0,"",-1+WEEKNUM(Auction_Sales[[#This Row],[Payment Date]]))</f>
        <v>6</v>
      </c>
      <c r="R498" s="9">
        <f t="shared" si="104"/>
        <v>40</v>
      </c>
      <c r="S498" s="1" t="str">
        <f t="shared" si="105"/>
        <v>English Roses</v>
      </c>
      <c r="T498" s="9" t="str">
        <f t="shared" si="105"/>
        <v>60CM</v>
      </c>
      <c r="W498" s="13">
        <f t="shared" si="102"/>
        <v>0</v>
      </c>
      <c r="X498" s="14">
        <f t="shared" si="106"/>
        <v>0</v>
      </c>
      <c r="Y498" s="13">
        <f t="shared" si="107"/>
        <v>0</v>
      </c>
      <c r="Z498" s="10">
        <v>45336</v>
      </c>
      <c r="AA498" s="9">
        <f t="shared" si="108"/>
        <v>-40</v>
      </c>
      <c r="AC498" s="9">
        <v>427448</v>
      </c>
      <c r="AD498" s="14">
        <f t="shared" si="109"/>
        <v>4.3607407407407406</v>
      </c>
      <c r="AF498" s="14">
        <f t="shared" si="110"/>
        <v>0</v>
      </c>
      <c r="AH498" s="14">
        <f t="shared" ref="AH498" si="114">SUM(AD498:AG498)</f>
        <v>4.3607407407407406</v>
      </c>
      <c r="AI498" s="13">
        <f t="shared" si="112"/>
        <v>-4.3607407407407406</v>
      </c>
      <c r="AK498" s="9">
        <f t="shared" si="113"/>
        <v>0</v>
      </c>
    </row>
    <row r="499" spans="1:37">
      <c r="A499" s="9">
        <v>6</v>
      </c>
      <c r="B499" s="9">
        <v>2024</v>
      </c>
      <c r="C499" s="9" t="s">
        <v>46</v>
      </c>
      <c r="D499" s="9" t="s">
        <v>47</v>
      </c>
      <c r="E499" s="9" t="s">
        <v>47</v>
      </c>
      <c r="F499" s="10">
        <v>45325</v>
      </c>
      <c r="G499" s="9" t="s">
        <v>154</v>
      </c>
      <c r="H499" s="9" t="s">
        <v>54</v>
      </c>
      <c r="J499" s="11">
        <f t="shared" ref="J499:J500" si="115">K499/360*12</f>
        <v>6.666666666666667</v>
      </c>
      <c r="K499" s="9">
        <v>200</v>
      </c>
      <c r="L499" s="12">
        <v>0.56999999999999995</v>
      </c>
      <c r="M499" s="12">
        <v>114</v>
      </c>
      <c r="N499" s="13" t="s">
        <v>49</v>
      </c>
      <c r="Q499" s="9">
        <f>IF(Auction_Sales[[#This Row],[Payment Date]]=0,"",-1+WEEKNUM(Auction_Sales[[#This Row],[Payment Date]]))</f>
        <v>6</v>
      </c>
      <c r="R499" s="9">
        <f t="shared" si="104"/>
        <v>0</v>
      </c>
      <c r="S499" s="1" t="str">
        <f t="shared" si="105"/>
        <v>English Roses</v>
      </c>
      <c r="T499" s="9" t="str">
        <f t="shared" si="105"/>
        <v>80CM</v>
      </c>
      <c r="U499" s="9">
        <v>200</v>
      </c>
      <c r="V499" s="13">
        <f>111.6/U499</f>
        <v>0.55799999999999994</v>
      </c>
      <c r="W499" s="13">
        <f t="shared" si="102"/>
        <v>111.6</v>
      </c>
      <c r="X499" s="14">
        <f t="shared" si="106"/>
        <v>-8.9545258620689605</v>
      </c>
      <c r="Y499" s="13">
        <f t="shared" si="107"/>
        <v>102.64547413793103</v>
      </c>
      <c r="Z499" s="10">
        <v>45336</v>
      </c>
      <c r="AA499" s="9">
        <f t="shared" si="108"/>
        <v>0</v>
      </c>
      <c r="AC499" s="9">
        <v>427448</v>
      </c>
      <c r="AD499" s="14">
        <f t="shared" si="109"/>
        <v>21.803703703703707</v>
      </c>
      <c r="AF499" s="14">
        <f t="shared" si="110"/>
        <v>4</v>
      </c>
      <c r="AH499" s="14">
        <f t="shared" ref="AH499:AH502" si="116">SUM(AD499:AG499)</f>
        <v>25.803703703703707</v>
      </c>
      <c r="AI499" s="13">
        <f t="shared" si="112"/>
        <v>76.841770434227328</v>
      </c>
      <c r="AK499" s="9">
        <f t="shared" si="113"/>
        <v>200</v>
      </c>
    </row>
    <row r="500" spans="1:37">
      <c r="A500" s="9">
        <v>6</v>
      </c>
      <c r="B500" s="9">
        <v>2024</v>
      </c>
      <c r="C500" s="9" t="s">
        <v>46</v>
      </c>
      <c r="D500" s="9" t="s">
        <v>47</v>
      </c>
      <c r="E500" s="9" t="s">
        <v>47</v>
      </c>
      <c r="F500" s="10">
        <v>45325</v>
      </c>
      <c r="G500" s="9" t="s">
        <v>154</v>
      </c>
      <c r="H500" s="9" t="s">
        <v>51</v>
      </c>
      <c r="J500" s="11">
        <f t="shared" si="115"/>
        <v>4</v>
      </c>
      <c r="K500" s="9">
        <v>120</v>
      </c>
      <c r="L500" s="12">
        <v>0.38</v>
      </c>
      <c r="M500" s="12">
        <v>45.6</v>
      </c>
      <c r="N500" s="13" t="s">
        <v>49</v>
      </c>
      <c r="Q500" s="9">
        <f>IF(Auction_Sales[[#This Row],[Payment Date]]=0,"",-1+WEEKNUM(Auction_Sales[[#This Row],[Payment Date]]))</f>
        <v>6</v>
      </c>
      <c r="R500" s="9">
        <f t="shared" si="104"/>
        <v>120</v>
      </c>
      <c r="S500" s="1" t="str">
        <f>G500</f>
        <v>English Roses</v>
      </c>
      <c r="T500" s="9" t="str">
        <f>H500</f>
        <v>50CM</v>
      </c>
      <c r="W500" s="13">
        <f t="shared" si="102"/>
        <v>0</v>
      </c>
      <c r="X500" s="14">
        <f t="shared" si="106"/>
        <v>0</v>
      </c>
      <c r="Y500" s="13">
        <f t="shared" si="107"/>
        <v>0</v>
      </c>
      <c r="Z500" s="10">
        <v>45336</v>
      </c>
      <c r="AA500" s="9">
        <f t="shared" si="108"/>
        <v>-120</v>
      </c>
      <c r="AC500" s="9">
        <v>427448</v>
      </c>
      <c r="AD500" s="14">
        <f t="shared" si="109"/>
        <v>13.082222222222223</v>
      </c>
      <c r="AF500" s="14">
        <f t="shared" si="110"/>
        <v>0</v>
      </c>
      <c r="AH500" s="14">
        <f t="shared" si="116"/>
        <v>13.082222222222223</v>
      </c>
      <c r="AI500" s="13">
        <f t="shared" si="112"/>
        <v>-13.082222222222223</v>
      </c>
      <c r="AK500" s="9">
        <f t="shared" si="113"/>
        <v>0</v>
      </c>
    </row>
    <row r="501" spans="1:37">
      <c r="A501" s="9">
        <v>6</v>
      </c>
      <c r="B501" s="9">
        <v>2024</v>
      </c>
      <c r="C501" s="9" t="s">
        <v>46</v>
      </c>
      <c r="D501" s="9" t="s">
        <v>47</v>
      </c>
      <c r="E501" s="9" t="s">
        <v>47</v>
      </c>
      <c r="F501" s="10">
        <v>45325</v>
      </c>
      <c r="G501" s="9" t="s">
        <v>156</v>
      </c>
      <c r="H501" s="9" t="s">
        <v>48</v>
      </c>
      <c r="I501" s="9">
        <v>1</v>
      </c>
      <c r="J501" s="11">
        <f>K501/360*12</f>
        <v>8</v>
      </c>
      <c r="K501" s="9">
        <v>240</v>
      </c>
      <c r="L501" s="12">
        <v>0.52</v>
      </c>
      <c r="M501" s="12">
        <v>124.8</v>
      </c>
      <c r="N501" s="13" t="s">
        <v>49</v>
      </c>
      <c r="Q501" s="9">
        <f>IF(Auction_Sales[[#This Row],[Payment Date]]=0,"",-1+WEEKNUM(Auction_Sales[[#This Row],[Payment Date]]))</f>
        <v>6</v>
      </c>
      <c r="R501" s="9">
        <f t="shared" si="104"/>
        <v>0</v>
      </c>
      <c r="S501" s="1" t="str">
        <f>G501</f>
        <v>Polyantha Roses</v>
      </c>
      <c r="T501" s="9" t="str">
        <f>H501</f>
        <v>60CM</v>
      </c>
      <c r="U501" s="9">
        <v>240</v>
      </c>
      <c r="V501" s="13">
        <f>175.6/U501</f>
        <v>0.73166666666666669</v>
      </c>
      <c r="W501" s="13">
        <f t="shared" si="102"/>
        <v>175.6</v>
      </c>
      <c r="X501" s="14">
        <f t="shared" si="106"/>
        <v>-10.745431034482753</v>
      </c>
      <c r="Y501" s="13">
        <f t="shared" si="107"/>
        <v>164.85456896551725</v>
      </c>
      <c r="Z501" s="10">
        <v>45336</v>
      </c>
      <c r="AA501" s="9">
        <f t="shared" si="108"/>
        <v>0</v>
      </c>
      <c r="AC501" s="9">
        <v>427448</v>
      </c>
      <c r="AD501" s="14">
        <f t="shared" si="109"/>
        <v>26.164444444444445</v>
      </c>
      <c r="AF501" s="14">
        <f t="shared" si="110"/>
        <v>4.8</v>
      </c>
      <c r="AH501" s="14">
        <f t="shared" si="116"/>
        <v>30.964444444444446</v>
      </c>
      <c r="AI501" s="13">
        <f t="shared" si="112"/>
        <v>133.89012452107281</v>
      </c>
      <c r="AK501" s="9">
        <f t="shared" si="113"/>
        <v>240</v>
      </c>
    </row>
    <row r="502" spans="1:37">
      <c r="A502" s="9">
        <v>6</v>
      </c>
      <c r="B502" s="9">
        <v>2024</v>
      </c>
      <c r="C502" s="9" t="s">
        <v>46</v>
      </c>
      <c r="D502" s="9" t="s">
        <v>47</v>
      </c>
      <c r="E502" s="9" t="s">
        <v>47</v>
      </c>
      <c r="F502" s="10">
        <v>45325</v>
      </c>
      <c r="G502" s="9" t="s">
        <v>156</v>
      </c>
      <c r="H502" s="9" t="s">
        <v>51</v>
      </c>
      <c r="J502" s="11">
        <f>K502/360*12</f>
        <v>4</v>
      </c>
      <c r="K502" s="9">
        <v>120</v>
      </c>
      <c r="L502" s="12">
        <v>0.42</v>
      </c>
      <c r="M502" s="12">
        <v>50.4</v>
      </c>
      <c r="N502" s="13" t="s">
        <v>49</v>
      </c>
      <c r="Q502" s="9">
        <f>IF(Auction_Sales[[#This Row],[Payment Date]]=0,"",-1+WEEKNUM(Auction_Sales[[#This Row],[Payment Date]]))</f>
        <v>6</v>
      </c>
      <c r="R502" s="9">
        <f t="shared" si="104"/>
        <v>0</v>
      </c>
      <c r="S502" s="1" t="str">
        <f t="shared" ref="S502:T516" si="117">G502</f>
        <v>Polyantha Roses</v>
      </c>
      <c r="T502" s="9" t="str">
        <f t="shared" si="117"/>
        <v>50CM</v>
      </c>
      <c r="U502" s="9">
        <v>120</v>
      </c>
      <c r="V502" s="13">
        <f>64.8/U502</f>
        <v>0.53999999999999992</v>
      </c>
      <c r="W502" s="13">
        <f t="shared" si="102"/>
        <v>64.8</v>
      </c>
      <c r="X502" s="14">
        <f t="shared" si="106"/>
        <v>-5.3727155172413763</v>
      </c>
      <c r="Y502" s="13">
        <f t="shared" si="107"/>
        <v>59.427284482758623</v>
      </c>
      <c r="Z502" s="10">
        <v>45336</v>
      </c>
      <c r="AA502" s="9">
        <f t="shared" si="108"/>
        <v>0</v>
      </c>
      <c r="AC502" s="9">
        <v>427448</v>
      </c>
      <c r="AD502" s="14">
        <f t="shared" si="109"/>
        <v>13.082222222222223</v>
      </c>
      <c r="AF502" s="14">
        <f t="shared" si="110"/>
        <v>2.4</v>
      </c>
      <c r="AH502" s="14">
        <f t="shared" si="116"/>
        <v>15.482222222222223</v>
      </c>
      <c r="AI502" s="13">
        <f t="shared" si="112"/>
        <v>43.945062260536403</v>
      </c>
      <c r="AK502" s="9">
        <f t="shared" si="113"/>
        <v>120</v>
      </c>
    </row>
    <row r="503" spans="1:37">
      <c r="A503" s="9">
        <v>6</v>
      </c>
      <c r="B503" s="9">
        <v>2024</v>
      </c>
      <c r="C503" s="9" t="s">
        <v>46</v>
      </c>
      <c r="D503" s="9" t="s">
        <v>47</v>
      </c>
      <c r="E503" s="9" t="s">
        <v>47</v>
      </c>
      <c r="F503" s="10">
        <v>45325</v>
      </c>
      <c r="G503" s="9" t="s">
        <v>155</v>
      </c>
      <c r="H503" s="9" t="s">
        <v>52</v>
      </c>
      <c r="I503" s="9">
        <v>1</v>
      </c>
      <c r="J503" s="11">
        <f>K503/320*12</f>
        <v>4.5</v>
      </c>
      <c r="K503" s="9">
        <v>120</v>
      </c>
      <c r="L503" s="12">
        <v>0.52</v>
      </c>
      <c r="M503" s="12">
        <v>62.4</v>
      </c>
      <c r="N503" s="13" t="s">
        <v>49</v>
      </c>
      <c r="Q503" s="9">
        <f>IF(Auction_Sales[[#This Row],[Payment Date]]=0,"",-1+WEEKNUM(Auction_Sales[[#This Row],[Payment Date]]))</f>
        <v>6</v>
      </c>
      <c r="R503" s="9">
        <f t="shared" si="104"/>
        <v>0</v>
      </c>
      <c r="S503" s="1" t="str">
        <f t="shared" si="117"/>
        <v>Floribunda Roses</v>
      </c>
      <c r="T503" s="9" t="str">
        <f t="shared" si="117"/>
        <v>70CM</v>
      </c>
      <c r="U503" s="9">
        <v>120</v>
      </c>
      <c r="V503" s="13">
        <f>89.6/U503</f>
        <v>0.74666666666666659</v>
      </c>
      <c r="W503" s="13">
        <f t="shared" si="102"/>
        <v>89.6</v>
      </c>
      <c r="X503" s="14">
        <f t="shared" si="106"/>
        <v>-5.3727155172413763</v>
      </c>
      <c r="Y503" s="13">
        <f t="shared" si="107"/>
        <v>84.22728448275862</v>
      </c>
      <c r="Z503" s="10">
        <v>45336</v>
      </c>
      <c r="AA503" s="9">
        <f t="shared" si="108"/>
        <v>0</v>
      </c>
      <c r="AC503" s="9">
        <v>427448</v>
      </c>
      <c r="AD503" s="14">
        <f t="shared" si="109"/>
        <v>14.717500000000001</v>
      </c>
      <c r="AF503" s="14">
        <f t="shared" si="110"/>
        <v>2.4</v>
      </c>
      <c r="AH503" s="14">
        <f t="shared" ref="AH503:AH505" si="118">SUM(AD503:AG503)</f>
        <v>17.1175</v>
      </c>
      <c r="AI503" s="13">
        <f t="shared" si="112"/>
        <v>67.109784482758613</v>
      </c>
      <c r="AK503" s="9">
        <f t="shared" si="113"/>
        <v>120</v>
      </c>
    </row>
    <row r="504" spans="1:37">
      <c r="A504" s="9">
        <v>6</v>
      </c>
      <c r="B504" s="9">
        <v>2024</v>
      </c>
      <c r="C504" s="9" t="s">
        <v>46</v>
      </c>
      <c r="D504" s="9" t="s">
        <v>47</v>
      </c>
      <c r="E504" s="9" t="s">
        <v>47</v>
      </c>
      <c r="F504" s="10">
        <v>45325</v>
      </c>
      <c r="G504" s="9" t="s">
        <v>155</v>
      </c>
      <c r="H504" s="9" t="s">
        <v>54</v>
      </c>
      <c r="J504" s="11">
        <f t="shared" ref="J504:J505" si="119">K504/320*12</f>
        <v>6</v>
      </c>
      <c r="K504" s="9">
        <v>160</v>
      </c>
      <c r="L504" s="12">
        <v>0.56999999999999995</v>
      </c>
      <c r="M504" s="12">
        <v>91.2</v>
      </c>
      <c r="N504" s="13" t="s">
        <v>49</v>
      </c>
      <c r="Q504" s="9">
        <f>IF(Auction_Sales[[#This Row],[Payment Date]]=0,"",-1+WEEKNUM(Auction_Sales[[#This Row],[Payment Date]]))</f>
        <v>6</v>
      </c>
      <c r="R504" s="9">
        <f t="shared" si="104"/>
        <v>0</v>
      </c>
      <c r="S504" s="1" t="str">
        <f t="shared" si="117"/>
        <v>Floribunda Roses</v>
      </c>
      <c r="T504" s="9" t="str">
        <f t="shared" si="117"/>
        <v>80CM</v>
      </c>
      <c r="U504" s="9">
        <v>160</v>
      </c>
      <c r="V504" s="13">
        <f>156/U504</f>
        <v>0.97499999999999998</v>
      </c>
      <c r="W504" s="13">
        <f t="shared" si="102"/>
        <v>156</v>
      </c>
      <c r="X504" s="14">
        <f t="shared" si="106"/>
        <v>-7.1636206896551684</v>
      </c>
      <c r="Y504" s="13">
        <f t="shared" si="107"/>
        <v>148.83637931034482</v>
      </c>
      <c r="Z504" s="10">
        <v>45336</v>
      </c>
      <c r="AA504" s="9">
        <f t="shared" si="108"/>
        <v>0</v>
      </c>
      <c r="AC504" s="9">
        <v>427448</v>
      </c>
      <c r="AD504" s="14">
        <f t="shared" si="109"/>
        <v>19.623333333333335</v>
      </c>
      <c r="AF504" s="14">
        <f t="shared" si="110"/>
        <v>3.2</v>
      </c>
      <c r="AH504" s="14">
        <f t="shared" si="118"/>
        <v>22.823333333333334</v>
      </c>
      <c r="AI504" s="13">
        <f t="shared" si="112"/>
        <v>126.01304597701149</v>
      </c>
      <c r="AK504" s="9">
        <f t="shared" si="113"/>
        <v>160</v>
      </c>
    </row>
    <row r="505" spans="1:37">
      <c r="A505" s="9">
        <v>6</v>
      </c>
      <c r="B505" s="9">
        <v>2024</v>
      </c>
      <c r="C505" s="9" t="s">
        <v>46</v>
      </c>
      <c r="D505" s="9" t="s">
        <v>47</v>
      </c>
      <c r="E505" s="9" t="s">
        <v>47</v>
      </c>
      <c r="F505" s="10">
        <v>45325</v>
      </c>
      <c r="G505" s="9" t="s">
        <v>155</v>
      </c>
      <c r="H505" s="9" t="s">
        <v>56</v>
      </c>
      <c r="J505" s="11">
        <f t="shared" si="119"/>
        <v>1.5</v>
      </c>
      <c r="K505" s="9">
        <v>40</v>
      </c>
      <c r="L505" s="12">
        <v>0.75</v>
      </c>
      <c r="M505" s="12">
        <v>30</v>
      </c>
      <c r="N505" s="13" t="s">
        <v>49</v>
      </c>
      <c r="Q505" s="9">
        <f>IF(Auction_Sales[[#This Row],[Payment Date]]=0,"",-1+WEEKNUM(Auction_Sales[[#This Row],[Payment Date]]))</f>
        <v>6</v>
      </c>
      <c r="R505" s="9">
        <f t="shared" si="104"/>
        <v>0</v>
      </c>
      <c r="S505" s="1" t="str">
        <f t="shared" si="117"/>
        <v>Floribunda Roses</v>
      </c>
      <c r="T505" s="9" t="str">
        <f t="shared" si="117"/>
        <v>90CM</v>
      </c>
      <c r="U505" s="9">
        <v>40</v>
      </c>
      <c r="V505" s="13">
        <f>41.2/U505</f>
        <v>1.03</v>
      </c>
      <c r="W505" s="13">
        <f t="shared" si="102"/>
        <v>41.2</v>
      </c>
      <c r="X505" s="14">
        <f t="shared" si="106"/>
        <v>-1.7909051724137921</v>
      </c>
      <c r="Y505" s="13">
        <f t="shared" si="107"/>
        <v>39.409094827586209</v>
      </c>
      <c r="Z505" s="10">
        <v>45336</v>
      </c>
      <c r="AA505" s="9">
        <f t="shared" si="108"/>
        <v>0</v>
      </c>
      <c r="AC505" s="9">
        <v>427448</v>
      </c>
      <c r="AD505" s="14">
        <f t="shared" si="109"/>
        <v>4.9058333333333337</v>
      </c>
      <c r="AF505" s="14">
        <f t="shared" si="110"/>
        <v>0.8</v>
      </c>
      <c r="AH505" s="14">
        <f t="shared" si="118"/>
        <v>5.7058333333333335</v>
      </c>
      <c r="AI505" s="13">
        <f t="shared" si="112"/>
        <v>33.703261494252878</v>
      </c>
      <c r="AK505" s="9">
        <f t="shared" si="113"/>
        <v>40</v>
      </c>
    </row>
    <row r="506" spans="1:37">
      <c r="F506" s="10"/>
      <c r="G506" s="9" t="s">
        <v>154</v>
      </c>
      <c r="H506" s="9" t="s">
        <v>56</v>
      </c>
      <c r="J506" s="11"/>
      <c r="L506" s="12"/>
      <c r="M506" s="12"/>
      <c r="N506" s="13"/>
      <c r="Q506" s="9">
        <f>IF(Auction_Sales[[#This Row],[Payment Date]]=0,"",-1+WEEKNUM(Auction_Sales[[#This Row],[Payment Date]]))</f>
        <v>6</v>
      </c>
      <c r="R506" s="9">
        <f t="shared" si="104"/>
        <v>0</v>
      </c>
      <c r="S506" s="1" t="str">
        <f t="shared" si="117"/>
        <v>English Roses</v>
      </c>
      <c r="T506" s="9" t="str">
        <f t="shared" si="117"/>
        <v>90CM</v>
      </c>
      <c r="W506" s="13">
        <v>-5.6</v>
      </c>
      <c r="X506" s="14">
        <f>(-19.45+5.6)</f>
        <v>-13.85</v>
      </c>
      <c r="Y506" s="13">
        <f t="shared" si="107"/>
        <v>-19.45</v>
      </c>
      <c r="Z506" s="10">
        <v>45336</v>
      </c>
      <c r="AA506" s="9">
        <f t="shared" si="108"/>
        <v>0</v>
      </c>
      <c r="AD506" s="14"/>
      <c r="AF506" s="14"/>
      <c r="AH506" s="14"/>
      <c r="AI506" s="13"/>
    </row>
    <row r="507" spans="1:37">
      <c r="A507" s="9">
        <v>6</v>
      </c>
      <c r="B507" s="9">
        <v>2024</v>
      </c>
      <c r="C507" s="9" t="s">
        <v>46</v>
      </c>
      <c r="D507" s="9" t="s">
        <v>47</v>
      </c>
      <c r="E507" s="9" t="s">
        <v>47</v>
      </c>
      <c r="F507" s="10">
        <v>45327</v>
      </c>
      <c r="G507" s="9" t="s">
        <v>154</v>
      </c>
      <c r="H507" s="9" t="s">
        <v>51</v>
      </c>
      <c r="I507" s="9">
        <v>1</v>
      </c>
      <c r="J507" s="11">
        <f t="shared" ref="J507:J522" si="120">12*I507</f>
        <v>12</v>
      </c>
      <c r="K507" s="1">
        <v>440</v>
      </c>
      <c r="L507" s="12">
        <v>0.38</v>
      </c>
      <c r="M507" s="12">
        <v>167.2</v>
      </c>
      <c r="N507" s="13" t="s">
        <v>49</v>
      </c>
      <c r="Q507" s="9">
        <f>IF(Auction_Sales[[#This Row],[Payment Date]]=0,"",-1+WEEKNUM(Auction_Sales[[#This Row],[Payment Date]]))</f>
        <v>6</v>
      </c>
      <c r="R507" s="9">
        <f t="shared" ref="R507:R509" si="121">K507-U507</f>
        <v>440</v>
      </c>
      <c r="S507" s="1" t="str">
        <f t="shared" ref="S507:T522" si="122">G507</f>
        <v>English Roses</v>
      </c>
      <c r="T507" s="9" t="str">
        <f t="shared" si="117"/>
        <v>50CM</v>
      </c>
      <c r="W507" s="13">
        <f t="shared" ref="W507:W553" si="123">U507*V507</f>
        <v>0</v>
      </c>
      <c r="X507" s="14">
        <f>-(9843.6-9051.93)*U507/(11440+4320+2200)</f>
        <v>0</v>
      </c>
      <c r="Y507" s="13">
        <f t="shared" ref="Y507:Y553" si="124">W507+X507</f>
        <v>0</v>
      </c>
      <c r="Z507" s="10">
        <v>45336</v>
      </c>
      <c r="AA507" s="9">
        <f t="shared" ref="AA507:AA553" si="125">U507-K507</f>
        <v>-440</v>
      </c>
      <c r="AC507" s="9" t="s">
        <v>80</v>
      </c>
      <c r="AD507" s="14">
        <f>J507/(22*12)*873.31</f>
        <v>39.69590909090909</v>
      </c>
      <c r="AF507" s="14">
        <f t="shared" si="110"/>
        <v>0</v>
      </c>
      <c r="AH507" s="14">
        <f t="shared" ref="AH507:AH508" si="126">SUM(AD507:AG507)</f>
        <v>39.69590909090909</v>
      </c>
      <c r="AI507" s="13">
        <f t="shared" ref="AI507:AI553" si="127">Y507-AH507</f>
        <v>-39.69590909090909</v>
      </c>
      <c r="AK507" s="9">
        <f t="shared" ref="AK507:AK553" si="128">U507</f>
        <v>0</v>
      </c>
    </row>
    <row r="508" spans="1:37">
      <c r="A508" s="9">
        <v>6</v>
      </c>
      <c r="B508" s="9">
        <v>2024</v>
      </c>
      <c r="C508" s="9" t="s">
        <v>46</v>
      </c>
      <c r="D508" s="9" t="s">
        <v>47</v>
      </c>
      <c r="E508" s="9" t="s">
        <v>47</v>
      </c>
      <c r="F508" s="10">
        <v>45327</v>
      </c>
      <c r="G508" s="9" t="s">
        <v>154</v>
      </c>
      <c r="H508" s="9" t="s">
        <v>51</v>
      </c>
      <c r="I508" s="9">
        <v>1</v>
      </c>
      <c r="J508" s="11">
        <f t="shared" si="120"/>
        <v>12</v>
      </c>
      <c r="K508" s="1">
        <v>520</v>
      </c>
      <c r="L508" s="12">
        <v>0.38</v>
      </c>
      <c r="M508" s="12">
        <v>197.6</v>
      </c>
      <c r="N508" s="13" t="s">
        <v>49</v>
      </c>
      <c r="Q508" s="9">
        <f>IF(Auction_Sales[[#This Row],[Payment Date]]=0,"",-1+WEEKNUM(Auction_Sales[[#This Row],[Payment Date]]))</f>
        <v>6</v>
      </c>
      <c r="R508" s="9">
        <f t="shared" si="121"/>
        <v>-440</v>
      </c>
      <c r="S508" s="1" t="str">
        <f t="shared" si="122"/>
        <v>English Roses</v>
      </c>
      <c r="T508" s="9" t="str">
        <f t="shared" si="117"/>
        <v>50CM</v>
      </c>
      <c r="U508" s="9">
        <v>960</v>
      </c>
      <c r="V508" s="13">
        <f>332/U508</f>
        <v>0.34583333333333333</v>
      </c>
      <c r="W508" s="13">
        <f t="shared" si="123"/>
        <v>332</v>
      </c>
      <c r="X508" s="14">
        <f t="shared" ref="X508:X520" si="129">-(2196-2015.19)*U508/(1480+2080)</f>
        <v>-48.757752808988748</v>
      </c>
      <c r="Y508" s="13">
        <f t="shared" si="124"/>
        <v>283.24224719101124</v>
      </c>
      <c r="Z508" s="10">
        <v>45336</v>
      </c>
      <c r="AA508" s="9">
        <f t="shared" si="125"/>
        <v>440</v>
      </c>
      <c r="AC508" s="9" t="s">
        <v>80</v>
      </c>
      <c r="AD508" s="14">
        <f t="shared" ref="AD508:AD530" si="130">J508/(22*12)*873.31</f>
        <v>39.69590909090909</v>
      </c>
      <c r="AF508" s="14">
        <f t="shared" si="110"/>
        <v>19.2</v>
      </c>
      <c r="AH508" s="14">
        <f t="shared" si="126"/>
        <v>58.895909090909086</v>
      </c>
      <c r="AI508" s="13">
        <f t="shared" si="127"/>
        <v>224.34633810010217</v>
      </c>
      <c r="AK508" s="9">
        <f t="shared" si="128"/>
        <v>960</v>
      </c>
    </row>
    <row r="509" spans="1:37">
      <c r="A509" s="9">
        <v>6</v>
      </c>
      <c r="B509" s="9">
        <v>2024</v>
      </c>
      <c r="C509" s="9" t="s">
        <v>46</v>
      </c>
      <c r="D509" s="9" t="s">
        <v>47</v>
      </c>
      <c r="E509" s="9" t="s">
        <v>47</v>
      </c>
      <c r="F509" s="10">
        <v>45327</v>
      </c>
      <c r="G509" s="9" t="s">
        <v>154</v>
      </c>
      <c r="H509" s="9" t="s">
        <v>48</v>
      </c>
      <c r="I509" s="9">
        <v>1</v>
      </c>
      <c r="J509" s="11">
        <f t="shared" si="120"/>
        <v>12</v>
      </c>
      <c r="K509" s="1">
        <v>360</v>
      </c>
      <c r="L509" s="12">
        <v>0.47</v>
      </c>
      <c r="M509" s="12">
        <v>169.2</v>
      </c>
      <c r="N509" s="13" t="s">
        <v>49</v>
      </c>
      <c r="Q509" s="9">
        <f>IF(Auction_Sales[[#This Row],[Payment Date]]=0,"",-1+WEEKNUM(Auction_Sales[[#This Row],[Payment Date]]))</f>
        <v>6</v>
      </c>
      <c r="R509" s="9">
        <f t="shared" si="121"/>
        <v>160</v>
      </c>
      <c r="S509" s="1" t="str">
        <f t="shared" si="122"/>
        <v>English Roses</v>
      </c>
      <c r="T509" s="9" t="str">
        <f t="shared" si="117"/>
        <v>60CM</v>
      </c>
      <c r="U509" s="9">
        <f>200</f>
        <v>200</v>
      </c>
      <c r="V509" s="13">
        <f>132/U509</f>
        <v>0.66</v>
      </c>
      <c r="W509" s="13">
        <f t="shared" si="123"/>
        <v>132</v>
      </c>
      <c r="X509" s="14">
        <f t="shared" si="129"/>
        <v>-10.157865168539322</v>
      </c>
      <c r="Y509" s="13">
        <f t="shared" si="124"/>
        <v>121.84213483146068</v>
      </c>
      <c r="Z509" s="10">
        <v>45336</v>
      </c>
      <c r="AA509" s="9">
        <f t="shared" si="125"/>
        <v>-160</v>
      </c>
      <c r="AC509" s="9" t="s">
        <v>80</v>
      </c>
      <c r="AD509" s="14">
        <f t="shared" si="130"/>
        <v>39.69590909090909</v>
      </c>
      <c r="AF509" s="14">
        <f t="shared" si="110"/>
        <v>4</v>
      </c>
      <c r="AH509" s="14">
        <f t="shared" ref="AH509:AH549" si="131">SUM(AD509:AG509)</f>
        <v>43.69590909090909</v>
      </c>
      <c r="AI509" s="13">
        <f t="shared" si="127"/>
        <v>78.146225740551586</v>
      </c>
      <c r="AK509" s="9">
        <f t="shared" si="128"/>
        <v>200</v>
      </c>
    </row>
    <row r="510" spans="1:37">
      <c r="A510" s="9">
        <v>6</v>
      </c>
      <c r="B510" s="9">
        <v>2024</v>
      </c>
      <c r="C510" s="9" t="s">
        <v>46</v>
      </c>
      <c r="D510" s="9" t="s">
        <v>47</v>
      </c>
      <c r="E510" s="9" t="s">
        <v>47</v>
      </c>
      <c r="F510" s="10">
        <v>45327</v>
      </c>
      <c r="G510" s="9" t="s">
        <v>154</v>
      </c>
      <c r="H510" s="9" t="s">
        <v>52</v>
      </c>
      <c r="I510" s="9">
        <v>1</v>
      </c>
      <c r="J510" s="11">
        <f t="shared" si="120"/>
        <v>12</v>
      </c>
      <c r="K510" s="1">
        <v>360</v>
      </c>
      <c r="L510" s="12">
        <v>0.52</v>
      </c>
      <c r="M510" s="12">
        <v>187.2</v>
      </c>
      <c r="N510" s="13" t="s">
        <v>49</v>
      </c>
      <c r="Q510" s="9">
        <f>IF(Auction_Sales[[#This Row],[Payment Date]]=0,"",-1+WEEKNUM(Auction_Sales[[#This Row],[Payment Date]]))</f>
        <v>6</v>
      </c>
      <c r="R510" s="9">
        <f t="shared" si="104"/>
        <v>0</v>
      </c>
      <c r="S510" s="1" t="str">
        <f t="shared" si="122"/>
        <v>English Roses</v>
      </c>
      <c r="T510" s="9" t="str">
        <f t="shared" si="117"/>
        <v>70CM</v>
      </c>
      <c r="U510" s="1">
        <v>360</v>
      </c>
      <c r="V510" s="15">
        <f>289.6/U510</f>
        <v>0.80444444444444452</v>
      </c>
      <c r="W510" s="15">
        <f t="shared" si="123"/>
        <v>289.60000000000002</v>
      </c>
      <c r="X510" s="14">
        <f t="shared" si="129"/>
        <v>-18.28415730337078</v>
      </c>
      <c r="Y510" s="15">
        <f t="shared" si="124"/>
        <v>271.31584269662926</v>
      </c>
      <c r="Z510" s="10">
        <v>45336</v>
      </c>
      <c r="AA510" s="9">
        <f t="shared" si="125"/>
        <v>0</v>
      </c>
      <c r="AC510" s="9" t="s">
        <v>80</v>
      </c>
      <c r="AD510" s="14">
        <f t="shared" si="130"/>
        <v>39.69590909090909</v>
      </c>
      <c r="AF510" s="14">
        <f t="shared" si="110"/>
        <v>7.2</v>
      </c>
      <c r="AH510" s="14">
        <f t="shared" si="131"/>
        <v>46.895909090909093</v>
      </c>
      <c r="AI510" s="13">
        <f t="shared" si="127"/>
        <v>224.41993360572016</v>
      </c>
      <c r="AK510" s="9">
        <f t="shared" si="128"/>
        <v>360</v>
      </c>
    </row>
    <row r="511" spans="1:37">
      <c r="A511" s="9">
        <v>6</v>
      </c>
      <c r="B511" s="9">
        <v>2024</v>
      </c>
      <c r="C511" s="9" t="s">
        <v>46</v>
      </c>
      <c r="D511" s="9" t="s">
        <v>47</v>
      </c>
      <c r="E511" s="9" t="s">
        <v>47</v>
      </c>
      <c r="F511" s="10">
        <v>45327</v>
      </c>
      <c r="G511" s="9" t="s">
        <v>154</v>
      </c>
      <c r="H511" s="9" t="s">
        <v>52</v>
      </c>
      <c r="I511" s="9">
        <v>1</v>
      </c>
      <c r="J511" s="11">
        <f t="shared" si="120"/>
        <v>12</v>
      </c>
      <c r="K511" s="1">
        <v>400</v>
      </c>
      <c r="L511" s="12">
        <v>0.52</v>
      </c>
      <c r="M511" s="12">
        <v>208</v>
      </c>
      <c r="N511" s="13" t="s">
        <v>49</v>
      </c>
      <c r="Q511" s="9">
        <f>IF(Auction_Sales[[#This Row],[Payment Date]]=0,"",-1+WEEKNUM(Auction_Sales[[#This Row],[Payment Date]]))</f>
        <v>6</v>
      </c>
      <c r="R511" s="9">
        <f t="shared" si="104"/>
        <v>400</v>
      </c>
      <c r="S511" s="1" t="str">
        <f t="shared" si="122"/>
        <v>English Roses</v>
      </c>
      <c r="T511" s="9" t="str">
        <f t="shared" si="117"/>
        <v>70CM</v>
      </c>
      <c r="W511" s="13">
        <f t="shared" si="123"/>
        <v>0</v>
      </c>
      <c r="X511" s="14">
        <f>-(9843.6-9051.93)*U511/(11440+4320+2200)</f>
        <v>0</v>
      </c>
      <c r="Y511" s="13">
        <f t="shared" si="124"/>
        <v>0</v>
      </c>
      <c r="Z511" s="10">
        <v>45336</v>
      </c>
      <c r="AA511" s="9">
        <f t="shared" si="125"/>
        <v>-400</v>
      </c>
      <c r="AC511" s="9" t="s">
        <v>80</v>
      </c>
      <c r="AD511" s="14">
        <f t="shared" si="130"/>
        <v>39.69590909090909</v>
      </c>
      <c r="AF511" s="14">
        <f t="shared" si="110"/>
        <v>0</v>
      </c>
      <c r="AH511" s="14">
        <f t="shared" si="131"/>
        <v>39.69590909090909</v>
      </c>
      <c r="AI511" s="13">
        <f t="shared" si="127"/>
        <v>-39.69590909090909</v>
      </c>
      <c r="AK511" s="9">
        <f t="shared" si="128"/>
        <v>0</v>
      </c>
    </row>
    <row r="512" spans="1:37">
      <c r="A512" s="9">
        <v>6</v>
      </c>
      <c r="B512" s="9">
        <v>2024</v>
      </c>
      <c r="C512" s="9" t="s">
        <v>46</v>
      </c>
      <c r="D512" s="9" t="s">
        <v>47</v>
      </c>
      <c r="E512" s="9" t="s">
        <v>47</v>
      </c>
      <c r="F512" s="10">
        <v>45327</v>
      </c>
      <c r="G512" s="9" t="s">
        <v>154</v>
      </c>
      <c r="H512" s="9" t="s">
        <v>54</v>
      </c>
      <c r="I512" s="9">
        <v>1</v>
      </c>
      <c r="J512" s="11">
        <f t="shared" si="120"/>
        <v>12</v>
      </c>
      <c r="K512" s="1">
        <v>320</v>
      </c>
      <c r="L512" s="12">
        <v>0.56999999999999995</v>
      </c>
      <c r="M512" s="12">
        <v>182.4</v>
      </c>
      <c r="N512" s="13" t="s">
        <v>49</v>
      </c>
      <c r="Q512" s="9">
        <f>IF(Auction_Sales[[#This Row],[Payment Date]]=0,"",-1+WEEKNUM(Auction_Sales[[#This Row],[Payment Date]]))</f>
        <v>6</v>
      </c>
      <c r="R512" s="9">
        <f t="shared" si="104"/>
        <v>0</v>
      </c>
      <c r="S512" s="1" t="str">
        <f t="shared" si="122"/>
        <v>English Roses</v>
      </c>
      <c r="T512" s="9" t="str">
        <f t="shared" si="117"/>
        <v>80CM</v>
      </c>
      <c r="U512" s="1">
        <v>320</v>
      </c>
      <c r="V512" s="15">
        <f>310.4/U512</f>
        <v>0.97</v>
      </c>
      <c r="W512" s="15">
        <f t="shared" si="123"/>
        <v>310.39999999999998</v>
      </c>
      <c r="X512" s="14">
        <f t="shared" si="129"/>
        <v>-16.252584269662915</v>
      </c>
      <c r="Y512" s="15">
        <f t="shared" si="124"/>
        <v>294.14741573033706</v>
      </c>
      <c r="Z512" s="10">
        <v>45336</v>
      </c>
      <c r="AA512" s="9">
        <f t="shared" si="125"/>
        <v>0</v>
      </c>
      <c r="AC512" s="9" t="s">
        <v>80</v>
      </c>
      <c r="AD512" s="14">
        <f t="shared" si="130"/>
        <v>39.69590909090909</v>
      </c>
      <c r="AF512" s="14">
        <f t="shared" si="110"/>
        <v>6.4</v>
      </c>
      <c r="AH512" s="14">
        <f t="shared" si="131"/>
        <v>46.095909090909089</v>
      </c>
      <c r="AI512" s="13">
        <f t="shared" si="127"/>
        <v>248.05150663942797</v>
      </c>
      <c r="AK512" s="9">
        <f t="shared" si="128"/>
        <v>320</v>
      </c>
    </row>
    <row r="513" spans="1:37">
      <c r="A513" s="9">
        <v>6</v>
      </c>
      <c r="B513" s="9">
        <v>2024</v>
      </c>
      <c r="C513" s="9" t="s">
        <v>46</v>
      </c>
      <c r="D513" s="9" t="s">
        <v>47</v>
      </c>
      <c r="E513" s="9" t="s">
        <v>47</v>
      </c>
      <c r="F513" s="10">
        <v>45327</v>
      </c>
      <c r="G513" s="9" t="s">
        <v>154</v>
      </c>
      <c r="H513" s="9" t="s">
        <v>56</v>
      </c>
      <c r="I513" s="9">
        <v>1</v>
      </c>
      <c r="J513" s="11">
        <f t="shared" si="120"/>
        <v>12</v>
      </c>
      <c r="K513" s="1">
        <v>200</v>
      </c>
      <c r="L513" s="12">
        <v>0.75</v>
      </c>
      <c r="M513" s="12">
        <v>150</v>
      </c>
      <c r="N513" s="13" t="s">
        <v>49</v>
      </c>
      <c r="Q513" s="9">
        <f>IF(Auction_Sales[[#This Row],[Payment Date]]=0,"",-1+WEEKNUM(Auction_Sales[[#This Row],[Payment Date]]))</f>
        <v>6</v>
      </c>
      <c r="R513" s="9">
        <f t="shared" si="104"/>
        <v>0</v>
      </c>
      <c r="S513" s="1" t="str">
        <f t="shared" si="122"/>
        <v>English Roses</v>
      </c>
      <c r="T513" s="9" t="str">
        <f t="shared" si="117"/>
        <v>90CM</v>
      </c>
      <c r="U513" s="1">
        <v>200</v>
      </c>
      <c r="V513" s="15">
        <f>186.4/U513</f>
        <v>0.93200000000000005</v>
      </c>
      <c r="W513" s="15">
        <f t="shared" si="123"/>
        <v>186.4</v>
      </c>
      <c r="X513" s="14">
        <f t="shared" si="129"/>
        <v>-10.157865168539322</v>
      </c>
      <c r="Y513" s="15">
        <f t="shared" si="124"/>
        <v>176.24213483146067</v>
      </c>
      <c r="Z513" s="10">
        <v>45336</v>
      </c>
      <c r="AA513" s="9">
        <f t="shared" si="125"/>
        <v>0</v>
      </c>
      <c r="AC513" s="9" t="s">
        <v>80</v>
      </c>
      <c r="AD513" s="14">
        <f t="shared" si="130"/>
        <v>39.69590909090909</v>
      </c>
      <c r="AF513" s="14">
        <f t="shared" si="110"/>
        <v>4</v>
      </c>
      <c r="AH513" s="14">
        <f t="shared" ref="AH513:AH514" si="132">SUM(AD513:AG513)</f>
        <v>43.69590909090909</v>
      </c>
      <c r="AI513" s="13">
        <f t="shared" si="127"/>
        <v>132.54622574055159</v>
      </c>
      <c r="AK513" s="9">
        <f t="shared" si="128"/>
        <v>200</v>
      </c>
    </row>
    <row r="514" spans="1:37">
      <c r="A514" s="9">
        <v>6</v>
      </c>
      <c r="B514" s="9">
        <v>2024</v>
      </c>
      <c r="C514" s="9" t="s">
        <v>46</v>
      </c>
      <c r="D514" s="9" t="s">
        <v>47</v>
      </c>
      <c r="E514" s="9" t="s">
        <v>47</v>
      </c>
      <c r="F514" s="10">
        <v>45327</v>
      </c>
      <c r="G514" s="9" t="s">
        <v>155</v>
      </c>
      <c r="H514" s="9" t="s">
        <v>51</v>
      </c>
      <c r="I514" s="9">
        <v>1</v>
      </c>
      <c r="J514" s="11">
        <f t="shared" si="120"/>
        <v>12</v>
      </c>
      <c r="K514" s="1">
        <v>520</v>
      </c>
      <c r="L514" s="12">
        <v>0.38</v>
      </c>
      <c r="M514" s="12">
        <v>197.6</v>
      </c>
      <c r="N514" s="13" t="s">
        <v>49</v>
      </c>
      <c r="Q514" s="9">
        <f>IF(Auction_Sales[[#This Row],[Payment Date]]=0,"",-1+WEEKNUM(Auction_Sales[[#This Row],[Payment Date]]))</f>
        <v>6</v>
      </c>
      <c r="R514" s="9">
        <f t="shared" si="104"/>
        <v>520</v>
      </c>
      <c r="S514" s="1" t="str">
        <f t="shared" si="122"/>
        <v>Floribunda Roses</v>
      </c>
      <c r="T514" s="9" t="str">
        <f t="shared" si="117"/>
        <v>50CM</v>
      </c>
      <c r="U514" s="1"/>
      <c r="V514" s="15"/>
      <c r="W514" s="15">
        <f t="shared" si="123"/>
        <v>0</v>
      </c>
      <c r="X514" s="14">
        <f>-(9843.6-9051.93)*U514/(11440+4320+2200)</f>
        <v>0</v>
      </c>
      <c r="Y514" s="15">
        <f t="shared" si="124"/>
        <v>0</v>
      </c>
      <c r="Z514" s="10">
        <v>45336</v>
      </c>
      <c r="AA514" s="9">
        <f t="shared" si="125"/>
        <v>-520</v>
      </c>
      <c r="AC514" s="9" t="s">
        <v>80</v>
      </c>
      <c r="AD514" s="14">
        <f t="shared" si="130"/>
        <v>39.69590909090909</v>
      </c>
      <c r="AF514" s="14">
        <f t="shared" si="110"/>
        <v>0</v>
      </c>
      <c r="AH514" s="14">
        <f t="shared" si="132"/>
        <v>39.69590909090909</v>
      </c>
      <c r="AI514" s="13">
        <f t="shared" si="127"/>
        <v>-39.69590909090909</v>
      </c>
      <c r="AK514" s="9">
        <f t="shared" si="128"/>
        <v>0</v>
      </c>
    </row>
    <row r="515" spans="1:37">
      <c r="A515" s="9">
        <v>6</v>
      </c>
      <c r="B515" s="9">
        <v>2024</v>
      </c>
      <c r="C515" s="9" t="s">
        <v>46</v>
      </c>
      <c r="D515" s="9" t="s">
        <v>47</v>
      </c>
      <c r="E515" s="9" t="s">
        <v>47</v>
      </c>
      <c r="F515" s="10">
        <v>45327</v>
      </c>
      <c r="G515" s="9" t="s">
        <v>155</v>
      </c>
      <c r="H515" s="9" t="s">
        <v>51</v>
      </c>
      <c r="I515" s="9">
        <v>2</v>
      </c>
      <c r="J515" s="11">
        <f t="shared" si="120"/>
        <v>24</v>
      </c>
      <c r="K515" s="1">
        <v>1200</v>
      </c>
      <c r="L515" s="12">
        <v>0.38</v>
      </c>
      <c r="M515" s="12">
        <v>456</v>
      </c>
      <c r="N515" s="13" t="s">
        <v>49</v>
      </c>
      <c r="Q515" s="9">
        <f>IF(Auction_Sales[[#This Row],[Payment Date]]=0,"",-1+WEEKNUM(Auction_Sales[[#This Row],[Payment Date]]))</f>
        <v>6</v>
      </c>
      <c r="R515" s="9">
        <f t="shared" si="104"/>
        <v>-520</v>
      </c>
      <c r="S515" s="1" t="str">
        <f t="shared" si="122"/>
        <v>Floribunda Roses</v>
      </c>
      <c r="T515" s="9" t="str">
        <f t="shared" si="117"/>
        <v>50CM</v>
      </c>
      <c r="U515" s="9">
        <v>1720</v>
      </c>
      <c r="V515" s="13">
        <f>488.4/U515</f>
        <v>0.283953488372093</v>
      </c>
      <c r="W515" s="13">
        <f t="shared" si="123"/>
        <v>488.4</v>
      </c>
      <c r="X515" s="14">
        <f>-(9843.6-9051.93)*U515/(11440+4320+2200)</f>
        <v>-75.816948775055693</v>
      </c>
      <c r="Y515" s="13">
        <f t="shared" si="124"/>
        <v>412.58305122494426</v>
      </c>
      <c r="Z515" s="10">
        <v>45336</v>
      </c>
      <c r="AA515" s="9">
        <f t="shared" si="125"/>
        <v>520</v>
      </c>
      <c r="AC515" s="9" t="s">
        <v>80</v>
      </c>
      <c r="AD515" s="14">
        <f t="shared" si="130"/>
        <v>79.391818181818181</v>
      </c>
      <c r="AF515" s="14">
        <f t="shared" si="110"/>
        <v>34.4</v>
      </c>
      <c r="AH515" s="14">
        <f t="shared" si="131"/>
        <v>113.79181818181817</v>
      </c>
      <c r="AI515" s="13">
        <f t="shared" si="127"/>
        <v>298.79123304312611</v>
      </c>
      <c r="AK515" s="9">
        <f t="shared" si="128"/>
        <v>1720</v>
      </c>
    </row>
    <row r="516" spans="1:37">
      <c r="A516" s="9">
        <v>6</v>
      </c>
      <c r="B516" s="9">
        <v>2024</v>
      </c>
      <c r="C516" s="9" t="s">
        <v>46</v>
      </c>
      <c r="D516" s="9" t="s">
        <v>47</v>
      </c>
      <c r="E516" s="9" t="s">
        <v>47</v>
      </c>
      <c r="F516" s="10">
        <v>45327</v>
      </c>
      <c r="G516" s="9" t="s">
        <v>155</v>
      </c>
      <c r="H516" s="9" t="s">
        <v>48</v>
      </c>
      <c r="I516" s="9">
        <v>1</v>
      </c>
      <c r="J516" s="11">
        <f t="shared" si="120"/>
        <v>12</v>
      </c>
      <c r="K516" s="1">
        <v>520</v>
      </c>
      <c r="L516" s="12">
        <v>0.47</v>
      </c>
      <c r="M516" s="12">
        <v>244.4</v>
      </c>
      <c r="N516" s="13" t="s">
        <v>49</v>
      </c>
      <c r="Q516" s="9">
        <f>IF(Auction_Sales[[#This Row],[Payment Date]]=0,"",-1+WEEKNUM(Auction_Sales[[#This Row],[Payment Date]]))</f>
        <v>6</v>
      </c>
      <c r="R516" s="9">
        <f>K516-U516</f>
        <v>120</v>
      </c>
      <c r="S516" s="1" t="str">
        <f t="shared" si="122"/>
        <v>Floribunda Roses</v>
      </c>
      <c r="T516" s="9" t="str">
        <f t="shared" si="117"/>
        <v>60CM</v>
      </c>
      <c r="U516" s="1">
        <f>400</f>
        <v>400</v>
      </c>
      <c r="V516" s="15">
        <f>252.8/U516</f>
        <v>0.63200000000000001</v>
      </c>
      <c r="W516" s="15">
        <f t="shared" si="123"/>
        <v>252.8</v>
      </c>
      <c r="X516" s="14">
        <f t="shared" si="129"/>
        <v>-20.315730337078644</v>
      </c>
      <c r="Y516" s="15">
        <f t="shared" si="124"/>
        <v>232.48426966292138</v>
      </c>
      <c r="Z516" s="10">
        <v>45336</v>
      </c>
      <c r="AA516" s="9">
        <f t="shared" si="125"/>
        <v>-120</v>
      </c>
      <c r="AC516" s="9" t="s">
        <v>80</v>
      </c>
      <c r="AD516" s="14">
        <f t="shared" si="130"/>
        <v>39.69590909090909</v>
      </c>
      <c r="AF516" s="14">
        <f t="shared" si="110"/>
        <v>8</v>
      </c>
      <c r="AH516" s="14">
        <f t="shared" si="131"/>
        <v>47.69590909090909</v>
      </c>
      <c r="AI516" s="13">
        <f t="shared" si="127"/>
        <v>184.78836057201229</v>
      </c>
      <c r="AK516" s="9">
        <f t="shared" si="128"/>
        <v>400</v>
      </c>
    </row>
    <row r="517" spans="1:37">
      <c r="A517" s="9">
        <v>6</v>
      </c>
      <c r="B517" s="9">
        <v>2024</v>
      </c>
      <c r="C517" s="9" t="s">
        <v>46</v>
      </c>
      <c r="D517" s="9" t="s">
        <v>47</v>
      </c>
      <c r="E517" s="9" t="s">
        <v>47</v>
      </c>
      <c r="F517" s="10">
        <v>45327</v>
      </c>
      <c r="G517" s="9" t="s">
        <v>155</v>
      </c>
      <c r="H517" s="9" t="s">
        <v>52</v>
      </c>
      <c r="I517" s="9">
        <v>1</v>
      </c>
      <c r="J517" s="11">
        <f t="shared" si="120"/>
        <v>12</v>
      </c>
      <c r="K517" s="1">
        <v>400</v>
      </c>
      <c r="L517" s="12">
        <v>0.52</v>
      </c>
      <c r="M517" s="12">
        <v>208</v>
      </c>
      <c r="N517" s="13" t="s">
        <v>49</v>
      </c>
      <c r="Q517" s="9">
        <f>IF(Auction_Sales[[#This Row],[Payment Date]]=0,"",-1+WEEKNUM(Auction_Sales[[#This Row],[Payment Date]]))</f>
        <v>6</v>
      </c>
      <c r="R517" s="9">
        <f>K517-U517</f>
        <v>-160</v>
      </c>
      <c r="S517" s="1" t="str">
        <f t="shared" si="122"/>
        <v>Floribunda Roses</v>
      </c>
      <c r="T517" s="9" t="str">
        <f t="shared" si="122"/>
        <v>70CM</v>
      </c>
      <c r="U517" s="9">
        <v>560</v>
      </c>
      <c r="V517" s="13">
        <f>547.2/U517</f>
        <v>0.9771428571428572</v>
      </c>
      <c r="W517" s="13">
        <f t="shared" si="123"/>
        <v>547.20000000000005</v>
      </c>
      <c r="X517" s="14">
        <f>-(9843.6-9051.93)*U517/(11440+4320+2200)</f>
        <v>-24.684587973273945</v>
      </c>
      <c r="Y517" s="13">
        <f t="shared" si="124"/>
        <v>522.51541202672615</v>
      </c>
      <c r="Z517" s="10">
        <v>45336</v>
      </c>
      <c r="AA517" s="9">
        <f t="shared" si="125"/>
        <v>160</v>
      </c>
      <c r="AC517" s="9" t="s">
        <v>80</v>
      </c>
      <c r="AD517" s="14">
        <f t="shared" si="130"/>
        <v>39.69590909090909</v>
      </c>
      <c r="AF517" s="14">
        <f t="shared" si="110"/>
        <v>11.200000000000001</v>
      </c>
      <c r="AH517" s="14">
        <f t="shared" si="131"/>
        <v>50.895909090909093</v>
      </c>
      <c r="AI517" s="13">
        <f t="shared" si="127"/>
        <v>471.61950293581708</v>
      </c>
      <c r="AK517" s="9">
        <f t="shared" si="128"/>
        <v>560</v>
      </c>
    </row>
    <row r="518" spans="1:37">
      <c r="A518" s="9">
        <v>6</v>
      </c>
      <c r="B518" s="9">
        <v>2024</v>
      </c>
      <c r="C518" s="9" t="s">
        <v>46</v>
      </c>
      <c r="D518" s="9" t="s">
        <v>47</v>
      </c>
      <c r="E518" s="9" t="s">
        <v>47</v>
      </c>
      <c r="F518" s="10">
        <v>45327</v>
      </c>
      <c r="G518" s="9" t="s">
        <v>153</v>
      </c>
      <c r="H518" s="9" t="s">
        <v>51</v>
      </c>
      <c r="I518" s="9">
        <v>1</v>
      </c>
      <c r="J518" s="11">
        <f t="shared" si="120"/>
        <v>12</v>
      </c>
      <c r="K518" s="1">
        <v>920</v>
      </c>
      <c r="L518" s="12">
        <v>0.14000000000000001</v>
      </c>
      <c r="M518" s="12">
        <v>128.80000000000001</v>
      </c>
      <c r="N518" s="13" t="s">
        <v>49</v>
      </c>
      <c r="Q518" s="9">
        <f>IF(Auction_Sales[[#This Row],[Payment Date]]=0,"",-1+WEEKNUM(Auction_Sales[[#This Row],[Payment Date]]))</f>
        <v>6</v>
      </c>
      <c r="R518" s="9">
        <f t="shared" ref="R518:R524" si="133">K518-U518</f>
        <v>-680</v>
      </c>
      <c r="S518" s="1" t="str">
        <f t="shared" si="122"/>
        <v>Grandiflora Roses</v>
      </c>
      <c r="T518" s="9" t="str">
        <f t="shared" si="122"/>
        <v>50CM</v>
      </c>
      <c r="U518" s="9">
        <v>1600</v>
      </c>
      <c r="V518" s="13">
        <f>349.6/U518</f>
        <v>0.21850000000000003</v>
      </c>
      <c r="W518" s="13">
        <f t="shared" si="123"/>
        <v>349.6</v>
      </c>
      <c r="X518" s="14">
        <f>-(9843.6-9051.93)*U518/(11440+4320+2200)</f>
        <v>-70.527394209354114</v>
      </c>
      <c r="Y518" s="13">
        <f t="shared" si="124"/>
        <v>279.07260579064592</v>
      </c>
      <c r="Z518" s="10">
        <v>45336</v>
      </c>
      <c r="AA518" s="9">
        <f t="shared" si="125"/>
        <v>680</v>
      </c>
      <c r="AC518" s="9" t="s">
        <v>80</v>
      </c>
      <c r="AD518" s="14">
        <f t="shared" si="130"/>
        <v>39.69590909090909</v>
      </c>
      <c r="AF518" s="14">
        <f t="shared" si="110"/>
        <v>32</v>
      </c>
      <c r="AH518" s="14">
        <f t="shared" si="131"/>
        <v>71.695909090909083</v>
      </c>
      <c r="AI518" s="13">
        <f t="shared" si="127"/>
        <v>207.37669669973684</v>
      </c>
      <c r="AK518" s="9">
        <f t="shared" si="128"/>
        <v>1600</v>
      </c>
    </row>
    <row r="519" spans="1:37">
      <c r="A519" s="9">
        <v>6</v>
      </c>
      <c r="B519" s="9">
        <v>2024</v>
      </c>
      <c r="C519" s="9" t="s">
        <v>46</v>
      </c>
      <c r="D519" s="9" t="s">
        <v>47</v>
      </c>
      <c r="E519" s="9" t="s">
        <v>47</v>
      </c>
      <c r="F519" s="10">
        <v>45327</v>
      </c>
      <c r="G519" s="9" t="s">
        <v>153</v>
      </c>
      <c r="H519" s="9" t="s">
        <v>48</v>
      </c>
      <c r="I519" s="9">
        <v>2</v>
      </c>
      <c r="J519" s="11">
        <f t="shared" si="120"/>
        <v>24</v>
      </c>
      <c r="K519" s="1">
        <v>1440</v>
      </c>
      <c r="L519" s="12">
        <v>0.24</v>
      </c>
      <c r="M519" s="12">
        <v>345.6</v>
      </c>
      <c r="N519" s="13" t="s">
        <v>49</v>
      </c>
      <c r="Q519" s="9">
        <f>IF(Auction_Sales[[#This Row],[Payment Date]]=0,"",-1+WEEKNUM(Auction_Sales[[#This Row],[Payment Date]]))</f>
        <v>6</v>
      </c>
      <c r="R519" s="9">
        <f t="shared" si="133"/>
        <v>720</v>
      </c>
      <c r="S519" s="1" t="str">
        <f t="shared" si="122"/>
        <v>Grandiflora Roses</v>
      </c>
      <c r="T519" s="9" t="str">
        <f t="shared" si="122"/>
        <v>60CM</v>
      </c>
      <c r="U519" s="9">
        <f>720</f>
        <v>720</v>
      </c>
      <c r="V519" s="13">
        <f>388.8/U519</f>
        <v>0.54</v>
      </c>
      <c r="W519" s="13">
        <f t="shared" si="123"/>
        <v>388.8</v>
      </c>
      <c r="X519" s="14">
        <f t="shared" si="129"/>
        <v>-36.568314606741559</v>
      </c>
      <c r="Y519" s="13">
        <f t="shared" si="124"/>
        <v>352.23168539325843</v>
      </c>
      <c r="Z519" s="10">
        <v>45336</v>
      </c>
      <c r="AA519" s="9">
        <f t="shared" si="125"/>
        <v>-720</v>
      </c>
      <c r="AC519" s="9" t="s">
        <v>80</v>
      </c>
      <c r="AD519" s="14">
        <f t="shared" si="130"/>
        <v>79.391818181818181</v>
      </c>
      <c r="AF519" s="14">
        <f t="shared" si="110"/>
        <v>14.4</v>
      </c>
      <c r="AH519" s="14">
        <f t="shared" si="131"/>
        <v>93.791818181818186</v>
      </c>
      <c r="AI519" s="13">
        <f t="shared" si="127"/>
        <v>258.43986721144023</v>
      </c>
      <c r="AK519" s="9">
        <f t="shared" si="128"/>
        <v>720</v>
      </c>
    </row>
    <row r="520" spans="1:37">
      <c r="A520" s="9">
        <v>6</v>
      </c>
      <c r="B520" s="9">
        <v>2024</v>
      </c>
      <c r="C520" s="9" t="s">
        <v>46</v>
      </c>
      <c r="D520" s="9" t="s">
        <v>47</v>
      </c>
      <c r="E520" s="9" t="s">
        <v>47</v>
      </c>
      <c r="F520" s="10">
        <v>45327</v>
      </c>
      <c r="G520" s="9" t="s">
        <v>153</v>
      </c>
      <c r="H520" s="9" t="s">
        <v>52</v>
      </c>
      <c r="I520" s="9">
        <v>1</v>
      </c>
      <c r="J520" s="11">
        <f t="shared" si="120"/>
        <v>12</v>
      </c>
      <c r="K520" s="1">
        <v>520</v>
      </c>
      <c r="L520" s="12">
        <v>0.28000000000000003</v>
      </c>
      <c r="M520" s="12">
        <v>145.6</v>
      </c>
      <c r="N520" s="13" t="s">
        <v>49</v>
      </c>
      <c r="Q520" s="9">
        <f>IF(Auction_Sales[[#This Row],[Payment Date]]=0,"",-1+WEEKNUM(Auction_Sales[[#This Row],[Payment Date]]))</f>
        <v>6</v>
      </c>
      <c r="R520" s="9">
        <f t="shared" si="133"/>
        <v>120</v>
      </c>
      <c r="S520" s="1" t="str">
        <f t="shared" si="122"/>
        <v>Grandiflora Roses</v>
      </c>
      <c r="T520" s="9" t="str">
        <f t="shared" si="122"/>
        <v>70CM</v>
      </c>
      <c r="U520" s="9">
        <v>400</v>
      </c>
      <c r="V520" s="13">
        <f>304/U520</f>
        <v>0.76</v>
      </c>
      <c r="W520" s="13">
        <f t="shared" si="123"/>
        <v>304</v>
      </c>
      <c r="X520" s="14">
        <f t="shared" si="129"/>
        <v>-20.315730337078644</v>
      </c>
      <c r="Y520" s="13">
        <f t="shared" si="124"/>
        <v>283.68426966292134</v>
      </c>
      <c r="Z520" s="10">
        <v>45336</v>
      </c>
      <c r="AA520" s="9">
        <f t="shared" si="125"/>
        <v>-120</v>
      </c>
      <c r="AC520" s="9" t="s">
        <v>80</v>
      </c>
      <c r="AD520" s="14">
        <f t="shared" si="130"/>
        <v>39.69590909090909</v>
      </c>
      <c r="AF520" s="14">
        <f t="shared" si="110"/>
        <v>8</v>
      </c>
      <c r="AH520" s="14">
        <f t="shared" si="131"/>
        <v>47.69590909090909</v>
      </c>
      <c r="AI520" s="13">
        <f t="shared" si="127"/>
        <v>235.98836057201225</v>
      </c>
      <c r="AK520" s="9">
        <f t="shared" si="128"/>
        <v>400</v>
      </c>
    </row>
    <row r="521" spans="1:37">
      <c r="A521" s="9">
        <v>6</v>
      </c>
      <c r="B521" s="9">
        <v>2024</v>
      </c>
      <c r="C521" s="9" t="s">
        <v>46</v>
      </c>
      <c r="D521" s="9" t="s">
        <v>47</v>
      </c>
      <c r="E521" s="9" t="s">
        <v>47</v>
      </c>
      <c r="F521" s="10">
        <v>45327</v>
      </c>
      <c r="G521" s="9" t="s">
        <v>153</v>
      </c>
      <c r="H521" s="9" t="s">
        <v>54</v>
      </c>
      <c r="I521" s="9">
        <v>1</v>
      </c>
      <c r="J521" s="11">
        <f t="shared" si="120"/>
        <v>12</v>
      </c>
      <c r="K521" s="1">
        <v>440</v>
      </c>
      <c r="L521" s="12">
        <v>0.33</v>
      </c>
      <c r="M521" s="12">
        <v>145.19999999999999</v>
      </c>
      <c r="N521" s="13" t="s">
        <v>49</v>
      </c>
      <c r="Q521" s="9">
        <f>IF(Auction_Sales[[#This Row],[Payment Date]]=0,"",-1+WEEKNUM(Auction_Sales[[#This Row],[Payment Date]]))</f>
        <v>6</v>
      </c>
      <c r="R521" s="9">
        <f t="shared" si="133"/>
        <v>-80</v>
      </c>
      <c r="S521" s="1" t="str">
        <f t="shared" si="122"/>
        <v>Grandiflora Roses</v>
      </c>
      <c r="T521" s="9" t="str">
        <f t="shared" si="122"/>
        <v>80CM</v>
      </c>
      <c r="U521" s="9">
        <v>520</v>
      </c>
      <c r="V521" s="13">
        <f>298.4/U521</f>
        <v>0.57384615384615378</v>
      </c>
      <c r="W521" s="13">
        <f t="shared" si="123"/>
        <v>298.39999999999998</v>
      </c>
      <c r="X521" s="14">
        <f>-(9843.6-9051.93)*U521/(11440+4320+2200)</f>
        <v>-22.921403118040089</v>
      </c>
      <c r="Y521" s="13">
        <f t="shared" si="124"/>
        <v>275.4785968819599</v>
      </c>
      <c r="Z521" s="10">
        <v>45336</v>
      </c>
      <c r="AA521" s="9">
        <f t="shared" si="125"/>
        <v>80</v>
      </c>
      <c r="AC521" s="9" t="s">
        <v>80</v>
      </c>
      <c r="AD521" s="14">
        <f t="shared" si="130"/>
        <v>39.69590909090909</v>
      </c>
      <c r="AF521" s="14">
        <f t="shared" si="110"/>
        <v>10.4</v>
      </c>
      <c r="AH521" s="14">
        <f t="shared" si="131"/>
        <v>50.095909090909089</v>
      </c>
      <c r="AI521" s="13">
        <f t="shared" si="127"/>
        <v>225.38268779105081</v>
      </c>
      <c r="AK521" s="9">
        <f t="shared" si="128"/>
        <v>520</v>
      </c>
    </row>
    <row r="522" spans="1:37">
      <c r="A522" s="9">
        <v>6</v>
      </c>
      <c r="B522" s="9">
        <v>2024</v>
      </c>
      <c r="C522" s="9" t="s">
        <v>46</v>
      </c>
      <c r="D522" s="9" t="s">
        <v>47</v>
      </c>
      <c r="E522" s="9" t="s">
        <v>47</v>
      </c>
      <c r="F522" s="10">
        <v>45327</v>
      </c>
      <c r="G522" s="9" t="s">
        <v>153</v>
      </c>
      <c r="H522" s="9" t="s">
        <v>56</v>
      </c>
      <c r="I522" s="9">
        <v>1</v>
      </c>
      <c r="J522" s="11">
        <f t="shared" si="120"/>
        <v>12</v>
      </c>
      <c r="K522" s="9">
        <v>400</v>
      </c>
      <c r="L522" s="12">
        <v>0.38</v>
      </c>
      <c r="M522" s="12">
        <v>152</v>
      </c>
      <c r="N522" s="13" t="s">
        <v>49</v>
      </c>
      <c r="Q522" s="9">
        <f>IF(Auction_Sales[[#This Row],[Payment Date]]=0,"",-1+WEEKNUM(Auction_Sales[[#This Row],[Payment Date]]))</f>
        <v>6</v>
      </c>
      <c r="R522" s="9">
        <f t="shared" si="133"/>
        <v>0</v>
      </c>
      <c r="S522" s="1" t="str">
        <f t="shared" si="122"/>
        <v>Grandiflora Roses</v>
      </c>
      <c r="T522" s="9" t="str">
        <f t="shared" si="122"/>
        <v>90CM</v>
      </c>
      <c r="U522" s="9">
        <v>400</v>
      </c>
      <c r="V522" s="13">
        <f>249.2/U522</f>
        <v>0.623</v>
      </c>
      <c r="W522" s="13">
        <f t="shared" si="123"/>
        <v>249.2</v>
      </c>
      <c r="X522" s="14">
        <f t="shared" ref="X522:X553" si="134">-(9843.6-9051.93)*U522/(11440+4320+2200)</f>
        <v>-17.631848552338528</v>
      </c>
      <c r="Y522" s="13">
        <f t="shared" si="124"/>
        <v>231.56815144766145</v>
      </c>
      <c r="Z522" s="10">
        <v>45336</v>
      </c>
      <c r="AA522" s="9">
        <f t="shared" si="125"/>
        <v>0</v>
      </c>
      <c r="AC522" s="9" t="s">
        <v>80</v>
      </c>
      <c r="AD522" s="14">
        <f t="shared" si="130"/>
        <v>39.69590909090909</v>
      </c>
      <c r="AF522" s="14">
        <f t="shared" si="110"/>
        <v>8</v>
      </c>
      <c r="AH522" s="14">
        <f t="shared" si="131"/>
        <v>47.69590909090909</v>
      </c>
      <c r="AI522" s="13">
        <f t="shared" si="127"/>
        <v>183.87224235675237</v>
      </c>
      <c r="AK522" s="9">
        <f t="shared" si="128"/>
        <v>400</v>
      </c>
    </row>
    <row r="523" spans="1:37">
      <c r="A523" s="9">
        <v>6</v>
      </c>
      <c r="B523" s="9">
        <v>2024</v>
      </c>
      <c r="C523" s="9" t="s">
        <v>46</v>
      </c>
      <c r="D523" s="9" t="s">
        <v>47</v>
      </c>
      <c r="E523" s="9" t="s">
        <v>47</v>
      </c>
      <c r="F523" s="10">
        <v>45327</v>
      </c>
      <c r="G523" s="9" t="s">
        <v>155</v>
      </c>
      <c r="H523" s="9" t="s">
        <v>48</v>
      </c>
      <c r="I523" s="9">
        <v>1</v>
      </c>
      <c r="J523" s="11">
        <f>K523/440*12</f>
        <v>7.6363636363636367</v>
      </c>
      <c r="K523" s="9">
        <v>280</v>
      </c>
      <c r="L523" s="12">
        <v>0.47</v>
      </c>
      <c r="M523" s="12">
        <v>131.6</v>
      </c>
      <c r="N523" s="13" t="s">
        <v>49</v>
      </c>
      <c r="Q523" s="9">
        <f>IF(Auction_Sales[[#This Row],[Payment Date]]=0,"",-1+WEEKNUM(Auction_Sales[[#This Row],[Payment Date]]))</f>
        <v>6</v>
      </c>
      <c r="R523" s="9">
        <f t="shared" si="133"/>
        <v>-120</v>
      </c>
      <c r="S523" s="1" t="str">
        <f t="shared" ref="S523:T537" si="135">G523</f>
        <v>Floribunda Roses</v>
      </c>
      <c r="T523" s="9" t="str">
        <f t="shared" si="135"/>
        <v>60CM</v>
      </c>
      <c r="U523" s="9">
        <v>400</v>
      </c>
      <c r="V523" s="13">
        <f>250.4/U523</f>
        <v>0.626</v>
      </c>
      <c r="W523" s="13">
        <f t="shared" si="123"/>
        <v>250.4</v>
      </c>
      <c r="X523" s="14">
        <f t="shared" si="134"/>
        <v>-17.631848552338528</v>
      </c>
      <c r="Y523" s="13">
        <f t="shared" si="124"/>
        <v>232.76815144766147</v>
      </c>
      <c r="Z523" s="10">
        <v>45336</v>
      </c>
      <c r="AA523" s="9">
        <f t="shared" si="125"/>
        <v>120</v>
      </c>
      <c r="AC523" s="9" t="s">
        <v>80</v>
      </c>
      <c r="AD523" s="14">
        <f t="shared" si="130"/>
        <v>25.26103305785124</v>
      </c>
      <c r="AF523" s="14">
        <f t="shared" si="110"/>
        <v>8</v>
      </c>
      <c r="AH523" s="14">
        <f t="shared" ref="AH523:AH524" si="136">SUM(AD523:AG523)</f>
        <v>33.261033057851236</v>
      </c>
      <c r="AI523" s="13">
        <f t="shared" si="127"/>
        <v>199.50711838981022</v>
      </c>
      <c r="AK523" s="9">
        <f t="shared" si="128"/>
        <v>400</v>
      </c>
    </row>
    <row r="524" spans="1:37">
      <c r="A524" s="9">
        <v>6</v>
      </c>
      <c r="B524" s="9">
        <v>2024</v>
      </c>
      <c r="C524" s="9" t="s">
        <v>46</v>
      </c>
      <c r="D524" s="9" t="s">
        <v>47</v>
      </c>
      <c r="E524" s="9" t="s">
        <v>47</v>
      </c>
      <c r="F524" s="10">
        <v>45327</v>
      </c>
      <c r="G524" s="9" t="s">
        <v>155</v>
      </c>
      <c r="H524" s="9" t="s">
        <v>52</v>
      </c>
      <c r="J524" s="11">
        <f>K524/440*12</f>
        <v>4.3636363636363633</v>
      </c>
      <c r="K524" s="9">
        <v>160</v>
      </c>
      <c r="L524" s="12">
        <v>0.52</v>
      </c>
      <c r="M524" s="12">
        <v>83.2</v>
      </c>
      <c r="N524" s="13" t="s">
        <v>49</v>
      </c>
      <c r="Q524" s="9">
        <f>IF(Auction_Sales[[#This Row],[Payment Date]]=0,"",-1+WEEKNUM(Auction_Sales[[#This Row],[Payment Date]]))</f>
        <v>6</v>
      </c>
      <c r="R524" s="9">
        <f t="shared" si="133"/>
        <v>160</v>
      </c>
      <c r="S524" s="1" t="str">
        <f t="shared" si="135"/>
        <v>Floribunda Roses</v>
      </c>
      <c r="T524" s="9" t="str">
        <f t="shared" si="135"/>
        <v>70CM</v>
      </c>
      <c r="W524" s="13">
        <f t="shared" si="123"/>
        <v>0</v>
      </c>
      <c r="X524" s="14">
        <f t="shared" si="134"/>
        <v>0</v>
      </c>
      <c r="Y524" s="13">
        <f t="shared" si="124"/>
        <v>0</v>
      </c>
      <c r="Z524" s="10">
        <v>45336</v>
      </c>
      <c r="AA524" s="9">
        <f t="shared" si="125"/>
        <v>-160</v>
      </c>
      <c r="AC524" s="9" t="s">
        <v>80</v>
      </c>
      <c r="AD524" s="14">
        <f t="shared" si="130"/>
        <v>14.434876033057851</v>
      </c>
      <c r="AF524" s="14">
        <f t="shared" si="110"/>
        <v>0</v>
      </c>
      <c r="AH524" s="14">
        <f t="shared" si="136"/>
        <v>14.434876033057851</v>
      </c>
      <c r="AI524" s="13">
        <f t="shared" si="127"/>
        <v>-14.434876033057851</v>
      </c>
      <c r="AK524" s="9">
        <f t="shared" si="128"/>
        <v>0</v>
      </c>
    </row>
    <row r="525" spans="1:37">
      <c r="A525" s="9">
        <v>6</v>
      </c>
      <c r="B525" s="9">
        <v>2024</v>
      </c>
      <c r="C525" s="9" t="s">
        <v>46</v>
      </c>
      <c r="D525" s="9" t="s">
        <v>47</v>
      </c>
      <c r="E525" s="9" t="s">
        <v>47</v>
      </c>
      <c r="F525" s="10">
        <v>45327</v>
      </c>
      <c r="G525" s="9" t="s">
        <v>153</v>
      </c>
      <c r="H525" s="9" t="s">
        <v>51</v>
      </c>
      <c r="I525" s="9">
        <v>1</v>
      </c>
      <c r="J525" s="11">
        <f>K525/640*12</f>
        <v>10.5</v>
      </c>
      <c r="K525" s="9">
        <v>560</v>
      </c>
      <c r="L525" s="12">
        <v>0.14000000000000001</v>
      </c>
      <c r="M525" s="12">
        <v>78.400000000000006</v>
      </c>
      <c r="N525" s="13" t="s">
        <v>49</v>
      </c>
      <c r="Q525" s="9">
        <f>IF(Auction_Sales[[#This Row],[Payment Date]]=0,"",-1+WEEKNUM(Auction_Sales[[#This Row],[Payment Date]]))</f>
        <v>6</v>
      </c>
      <c r="R525" s="9">
        <f t="shared" si="104"/>
        <v>560</v>
      </c>
      <c r="S525" s="1" t="str">
        <f t="shared" si="135"/>
        <v>Grandiflora Roses</v>
      </c>
      <c r="T525" s="9" t="str">
        <f t="shared" si="135"/>
        <v>50CM</v>
      </c>
      <c r="U525" s="1"/>
      <c r="V525" s="15"/>
      <c r="W525" s="15">
        <f t="shared" si="123"/>
        <v>0</v>
      </c>
      <c r="X525" s="14">
        <f t="shared" si="134"/>
        <v>0</v>
      </c>
      <c r="Y525" s="15">
        <f t="shared" si="124"/>
        <v>0</v>
      </c>
      <c r="Z525" s="10">
        <v>45336</v>
      </c>
      <c r="AA525" s="9">
        <f t="shared" si="125"/>
        <v>-560</v>
      </c>
      <c r="AC525" s="9" t="s">
        <v>80</v>
      </c>
      <c r="AD525" s="14">
        <f t="shared" si="130"/>
        <v>34.733920454545455</v>
      </c>
      <c r="AF525" s="14">
        <f t="shared" si="110"/>
        <v>0</v>
      </c>
      <c r="AH525" s="14">
        <f t="shared" si="131"/>
        <v>34.733920454545455</v>
      </c>
      <c r="AI525" s="13">
        <f t="shared" si="127"/>
        <v>-34.733920454545455</v>
      </c>
      <c r="AK525" s="9">
        <f t="shared" si="128"/>
        <v>0</v>
      </c>
    </row>
    <row r="526" spans="1:37">
      <c r="A526" s="9">
        <v>6</v>
      </c>
      <c r="B526" s="9">
        <v>2024</v>
      </c>
      <c r="C526" s="9" t="s">
        <v>46</v>
      </c>
      <c r="D526" s="9" t="s">
        <v>47</v>
      </c>
      <c r="E526" s="9" t="s">
        <v>47</v>
      </c>
      <c r="F526" s="10">
        <v>45327</v>
      </c>
      <c r="G526" s="9" t="s">
        <v>153</v>
      </c>
      <c r="H526" s="9" t="s">
        <v>57</v>
      </c>
      <c r="J526" s="11">
        <f>K526/640*12</f>
        <v>1.5</v>
      </c>
      <c r="K526" s="9">
        <v>80</v>
      </c>
      <c r="L526" s="12">
        <v>0.47</v>
      </c>
      <c r="M526" s="12">
        <v>37.6</v>
      </c>
      <c r="N526" s="13" t="s">
        <v>49</v>
      </c>
      <c r="Q526" s="9">
        <f>IF(Auction_Sales[[#This Row],[Payment Date]]=0,"",-1+WEEKNUM(Auction_Sales[[#This Row],[Payment Date]]))</f>
        <v>6</v>
      </c>
      <c r="R526" s="9">
        <f t="shared" si="104"/>
        <v>0</v>
      </c>
      <c r="S526" s="1" t="str">
        <f t="shared" si="135"/>
        <v>Grandiflora Roses</v>
      </c>
      <c r="T526" s="9" t="str">
        <f t="shared" si="135"/>
        <v>100CM</v>
      </c>
      <c r="U526" s="9">
        <v>80</v>
      </c>
      <c r="V526" s="13">
        <f>56.8/U526</f>
        <v>0.71</v>
      </c>
      <c r="W526" s="13">
        <f t="shared" si="123"/>
        <v>56.8</v>
      </c>
      <c r="X526" s="14">
        <f t="shared" si="134"/>
        <v>-3.5263697104677063</v>
      </c>
      <c r="Y526" s="13">
        <f t="shared" si="124"/>
        <v>53.273630289532292</v>
      </c>
      <c r="Z526" s="10">
        <v>45336</v>
      </c>
      <c r="AA526" s="9">
        <f t="shared" si="125"/>
        <v>0</v>
      </c>
      <c r="AC526" s="9" t="s">
        <v>80</v>
      </c>
      <c r="AD526" s="14">
        <f t="shared" si="130"/>
        <v>4.9619886363636363</v>
      </c>
      <c r="AF526" s="14">
        <f t="shared" si="110"/>
        <v>1.6</v>
      </c>
      <c r="AH526" s="14">
        <f t="shared" si="131"/>
        <v>6.5619886363636368</v>
      </c>
      <c r="AI526" s="13">
        <f t="shared" si="127"/>
        <v>46.711641653168655</v>
      </c>
      <c r="AK526" s="9">
        <f t="shared" si="128"/>
        <v>80</v>
      </c>
    </row>
    <row r="527" spans="1:37">
      <c r="A527" s="9">
        <v>6</v>
      </c>
      <c r="B527" s="9">
        <v>2024</v>
      </c>
      <c r="C527" s="9" t="s">
        <v>46</v>
      </c>
      <c r="D527" s="9" t="s">
        <v>47</v>
      </c>
      <c r="E527" s="9" t="s">
        <v>47</v>
      </c>
      <c r="F527" s="10">
        <v>45327</v>
      </c>
      <c r="G527" s="9" t="s">
        <v>153</v>
      </c>
      <c r="H527" s="9" t="s">
        <v>52</v>
      </c>
      <c r="I527" s="9">
        <v>1</v>
      </c>
      <c r="J527" s="11">
        <f>K527/400*12</f>
        <v>9.6000000000000014</v>
      </c>
      <c r="K527" s="9">
        <v>320</v>
      </c>
      <c r="L527" s="12">
        <v>0.28000000000000003</v>
      </c>
      <c r="M527" s="12">
        <v>89.6</v>
      </c>
      <c r="N527" s="13" t="s">
        <v>49</v>
      </c>
      <c r="Q527" s="9">
        <f>IF(Auction_Sales[[#This Row],[Payment Date]]=0,"",-1+WEEKNUM(Auction_Sales[[#This Row],[Payment Date]]))</f>
        <v>6</v>
      </c>
      <c r="R527" s="9">
        <f t="shared" si="104"/>
        <v>-320</v>
      </c>
      <c r="S527" s="1" t="str">
        <f t="shared" si="135"/>
        <v>Grandiflora Roses</v>
      </c>
      <c r="T527" s="9" t="str">
        <f t="shared" si="135"/>
        <v>70CM</v>
      </c>
      <c r="U527" s="9">
        <v>640</v>
      </c>
      <c r="V527" s="13">
        <f>332.8/U527</f>
        <v>0.52</v>
      </c>
      <c r="W527" s="13">
        <f t="shared" si="123"/>
        <v>332.8</v>
      </c>
      <c r="X527" s="14">
        <f t="shared" si="134"/>
        <v>-28.21095768374165</v>
      </c>
      <c r="Y527" s="13">
        <f t="shared" si="124"/>
        <v>304.58904231625837</v>
      </c>
      <c r="Z527" s="10">
        <v>45336</v>
      </c>
      <c r="AA527" s="9">
        <f t="shared" si="125"/>
        <v>320</v>
      </c>
      <c r="AC527" s="9" t="s">
        <v>80</v>
      </c>
      <c r="AD527" s="14">
        <f t="shared" si="130"/>
        <v>31.756727272727275</v>
      </c>
      <c r="AF527" s="14">
        <f t="shared" si="110"/>
        <v>12.8</v>
      </c>
      <c r="AH527" s="14">
        <f t="shared" si="131"/>
        <v>44.556727272727272</v>
      </c>
      <c r="AI527" s="13">
        <f t="shared" si="127"/>
        <v>260.03231504353107</v>
      </c>
      <c r="AK527" s="9">
        <f t="shared" si="128"/>
        <v>640</v>
      </c>
    </row>
    <row r="528" spans="1:37">
      <c r="A528" s="9">
        <v>6</v>
      </c>
      <c r="B528" s="9">
        <v>2024</v>
      </c>
      <c r="C528" s="9" t="s">
        <v>46</v>
      </c>
      <c r="D528" s="9" t="s">
        <v>47</v>
      </c>
      <c r="E528" s="9" t="s">
        <v>47</v>
      </c>
      <c r="F528" s="10">
        <v>45327</v>
      </c>
      <c r="G528" s="9" t="s">
        <v>153</v>
      </c>
      <c r="H528" s="9" t="s">
        <v>54</v>
      </c>
      <c r="J528" s="11">
        <f>K528/400*12</f>
        <v>2.4000000000000004</v>
      </c>
      <c r="K528" s="9">
        <v>80</v>
      </c>
      <c r="L528" s="12">
        <v>0.33</v>
      </c>
      <c r="M528" s="12">
        <v>26.4</v>
      </c>
      <c r="N528" s="13" t="s">
        <v>49</v>
      </c>
      <c r="Q528" s="9">
        <f>IF(Auction_Sales[[#This Row],[Payment Date]]=0,"",-1+WEEKNUM(Auction_Sales[[#This Row],[Payment Date]]))</f>
        <v>6</v>
      </c>
      <c r="R528" s="9">
        <f>K528-U528</f>
        <v>80</v>
      </c>
      <c r="S528" s="1" t="str">
        <f t="shared" si="135"/>
        <v>Grandiflora Roses</v>
      </c>
      <c r="T528" s="9" t="str">
        <f t="shared" si="135"/>
        <v>80CM</v>
      </c>
      <c r="W528" s="13">
        <f t="shared" si="123"/>
        <v>0</v>
      </c>
      <c r="X528" s="14">
        <f t="shared" si="134"/>
        <v>0</v>
      </c>
      <c r="Y528" s="13">
        <f t="shared" si="124"/>
        <v>0</v>
      </c>
      <c r="Z528" s="10">
        <v>45336</v>
      </c>
      <c r="AA528" s="9">
        <f t="shared" si="125"/>
        <v>-80</v>
      </c>
      <c r="AC528" s="9" t="s">
        <v>80</v>
      </c>
      <c r="AD528" s="14">
        <f t="shared" si="130"/>
        <v>7.9391818181818188</v>
      </c>
      <c r="AF528" s="14">
        <f t="shared" si="110"/>
        <v>0</v>
      </c>
      <c r="AH528" s="14">
        <f t="shared" si="131"/>
        <v>7.9391818181818188</v>
      </c>
      <c r="AI528" s="13">
        <f t="shared" si="127"/>
        <v>-7.9391818181818188</v>
      </c>
      <c r="AK528" s="9">
        <f t="shared" si="128"/>
        <v>0</v>
      </c>
    </row>
    <row r="529" spans="1:37">
      <c r="A529" s="9">
        <v>6</v>
      </c>
      <c r="B529" s="9">
        <v>2024</v>
      </c>
      <c r="C529" s="9" t="s">
        <v>46</v>
      </c>
      <c r="D529" s="9" t="s">
        <v>47</v>
      </c>
      <c r="E529" s="9" t="s">
        <v>47</v>
      </c>
      <c r="F529" s="10">
        <v>45327</v>
      </c>
      <c r="G529" s="9" t="s">
        <v>155</v>
      </c>
      <c r="H529" s="9" t="s">
        <v>56</v>
      </c>
      <c r="I529" s="9">
        <v>1</v>
      </c>
      <c r="J529" s="11">
        <f>K529/200*12</f>
        <v>4.8000000000000007</v>
      </c>
      <c r="K529" s="9">
        <v>80</v>
      </c>
      <c r="L529" s="12">
        <v>0.75</v>
      </c>
      <c r="M529" s="12">
        <v>60</v>
      </c>
      <c r="N529" s="13" t="s">
        <v>49</v>
      </c>
      <c r="Q529" s="9">
        <f>IF(Auction_Sales[[#This Row],[Payment Date]]=0,"",-1+WEEKNUM(Auction_Sales[[#This Row],[Payment Date]]))</f>
        <v>6</v>
      </c>
      <c r="R529" s="9">
        <f t="shared" ref="R529:R530" si="137">K529-U529</f>
        <v>0</v>
      </c>
      <c r="S529" s="1" t="str">
        <f t="shared" si="135"/>
        <v>Floribunda Roses</v>
      </c>
      <c r="T529" s="9" t="str">
        <f t="shared" si="135"/>
        <v>90CM</v>
      </c>
      <c r="U529" s="9">
        <v>80</v>
      </c>
      <c r="V529" s="13">
        <f>78.4/U529</f>
        <v>0.98000000000000009</v>
      </c>
      <c r="W529" s="13">
        <f t="shared" si="123"/>
        <v>78.400000000000006</v>
      </c>
      <c r="X529" s="14">
        <f t="shared" si="134"/>
        <v>-3.5263697104677063</v>
      </c>
      <c r="Y529" s="13">
        <f t="shared" si="124"/>
        <v>74.873630289532301</v>
      </c>
      <c r="Z529" s="10">
        <v>45336</v>
      </c>
      <c r="AA529" s="9">
        <f t="shared" si="125"/>
        <v>0</v>
      </c>
      <c r="AC529" s="9" t="s">
        <v>80</v>
      </c>
      <c r="AD529" s="14">
        <f t="shared" si="130"/>
        <v>15.878363636363638</v>
      </c>
      <c r="AF529" s="14">
        <f t="shared" si="110"/>
        <v>1.6</v>
      </c>
      <c r="AH529" s="14">
        <f t="shared" si="131"/>
        <v>17.478363636363639</v>
      </c>
      <c r="AI529" s="13">
        <f t="shared" si="127"/>
        <v>57.395266653168662</v>
      </c>
      <c r="AK529" s="9">
        <f t="shared" si="128"/>
        <v>80</v>
      </c>
    </row>
    <row r="530" spans="1:37">
      <c r="A530" s="9">
        <v>6</v>
      </c>
      <c r="B530" s="9">
        <v>2024</v>
      </c>
      <c r="C530" s="9" t="s">
        <v>46</v>
      </c>
      <c r="D530" s="9" t="s">
        <v>47</v>
      </c>
      <c r="E530" s="9" t="s">
        <v>47</v>
      </c>
      <c r="F530" s="10">
        <v>45327</v>
      </c>
      <c r="G530" s="9" t="s">
        <v>155</v>
      </c>
      <c r="H530" s="9" t="s">
        <v>54</v>
      </c>
      <c r="J530" s="11">
        <f>K530/200*12</f>
        <v>7.1999999999999993</v>
      </c>
      <c r="K530" s="9">
        <v>120</v>
      </c>
      <c r="L530" s="12">
        <v>0.56999999999999995</v>
      </c>
      <c r="M530" s="12">
        <v>68.400000000000006</v>
      </c>
      <c r="N530" s="13" t="s">
        <v>49</v>
      </c>
      <c r="Q530" s="9">
        <f>IF(Auction_Sales[[#This Row],[Payment Date]]=0,"",-1+WEEKNUM(Auction_Sales[[#This Row],[Payment Date]]))</f>
        <v>6</v>
      </c>
      <c r="R530" s="9">
        <f t="shared" si="137"/>
        <v>0</v>
      </c>
      <c r="S530" s="1" t="str">
        <f t="shared" si="135"/>
        <v>Floribunda Roses</v>
      </c>
      <c r="T530" s="9" t="str">
        <f t="shared" si="135"/>
        <v>80CM</v>
      </c>
      <c r="U530" s="9">
        <v>120</v>
      </c>
      <c r="V530" s="13">
        <f>120/U530</f>
        <v>1</v>
      </c>
      <c r="W530" s="13">
        <f t="shared" si="123"/>
        <v>120</v>
      </c>
      <c r="X530" s="14">
        <f t="shared" si="134"/>
        <v>-5.2895545657015592</v>
      </c>
      <c r="Y530" s="13">
        <f t="shared" si="124"/>
        <v>114.71044543429844</v>
      </c>
      <c r="Z530" s="10">
        <v>45336</v>
      </c>
      <c r="AA530" s="9">
        <f t="shared" si="125"/>
        <v>0</v>
      </c>
      <c r="AC530" s="9" t="s">
        <v>80</v>
      </c>
      <c r="AD530" s="14">
        <f t="shared" si="130"/>
        <v>23.817545454545453</v>
      </c>
      <c r="AF530" s="14">
        <f t="shared" si="110"/>
        <v>2.4</v>
      </c>
      <c r="AH530" s="14">
        <f t="shared" si="131"/>
        <v>26.217545454545451</v>
      </c>
      <c r="AI530" s="13">
        <f t="shared" si="127"/>
        <v>88.492899979752991</v>
      </c>
      <c r="AK530" s="9">
        <f t="shared" si="128"/>
        <v>120</v>
      </c>
    </row>
    <row r="531" spans="1:37">
      <c r="A531" s="9">
        <v>6</v>
      </c>
      <c r="B531" s="9">
        <v>2024</v>
      </c>
      <c r="C531" s="9" t="s">
        <v>46</v>
      </c>
      <c r="D531" s="9" t="s">
        <v>47</v>
      </c>
      <c r="E531" s="9" t="s">
        <v>47</v>
      </c>
      <c r="F531" s="10">
        <v>45328</v>
      </c>
      <c r="G531" s="9" t="s">
        <v>154</v>
      </c>
      <c r="H531" s="9" t="s">
        <v>51</v>
      </c>
      <c r="I531" s="9">
        <v>2</v>
      </c>
      <c r="J531" s="11">
        <f t="shared" ref="J531:J542" si="138">I531*12</f>
        <v>24</v>
      </c>
      <c r="K531" s="9">
        <v>1040</v>
      </c>
      <c r="L531" s="12">
        <v>0.38</v>
      </c>
      <c r="M531" s="12">
        <v>395.2</v>
      </c>
      <c r="N531" s="13" t="s">
        <v>49</v>
      </c>
      <c r="Q531" s="9">
        <f>IF(Auction_Sales[[#This Row],[Payment Date]]=0,"",-1+WEEKNUM(Auction_Sales[[#This Row],[Payment Date]]))</f>
        <v>6</v>
      </c>
      <c r="R531" s="9">
        <f t="shared" si="104"/>
        <v>0</v>
      </c>
      <c r="S531" s="1" t="str">
        <f t="shared" si="135"/>
        <v>English Roses</v>
      </c>
      <c r="T531" s="9" t="str">
        <f t="shared" si="135"/>
        <v>50CM</v>
      </c>
      <c r="U531" s="9">
        <v>1040</v>
      </c>
      <c r="V531" s="13">
        <f>509.6/U531</f>
        <v>0.49000000000000005</v>
      </c>
      <c r="W531" s="13">
        <f t="shared" si="123"/>
        <v>509.6</v>
      </c>
      <c r="X531" s="14">
        <f t="shared" si="134"/>
        <v>-45.842806236080179</v>
      </c>
      <c r="Y531" s="13">
        <f t="shared" si="124"/>
        <v>463.75719376391987</v>
      </c>
      <c r="Z531" s="10">
        <v>45336</v>
      </c>
      <c r="AA531" s="9">
        <f t="shared" si="125"/>
        <v>0</v>
      </c>
      <c r="AC531" s="9" t="s">
        <v>81</v>
      </c>
      <c r="AD531" s="14">
        <f>J531/(23*12)*913.19</f>
        <v>79.407826086956518</v>
      </c>
      <c r="AF531" s="14">
        <f t="shared" si="110"/>
        <v>20.8</v>
      </c>
      <c r="AH531" s="14">
        <f t="shared" si="131"/>
        <v>100.20782608695652</v>
      </c>
      <c r="AI531" s="13">
        <f t="shared" si="127"/>
        <v>363.54936767696336</v>
      </c>
      <c r="AK531" s="9">
        <f t="shared" si="128"/>
        <v>1040</v>
      </c>
    </row>
    <row r="532" spans="1:37">
      <c r="A532" s="9">
        <v>6</v>
      </c>
      <c r="B532" s="9">
        <v>2024</v>
      </c>
      <c r="C532" s="9" t="s">
        <v>46</v>
      </c>
      <c r="D532" s="9" t="s">
        <v>47</v>
      </c>
      <c r="E532" s="9" t="s">
        <v>47</v>
      </c>
      <c r="F532" s="10">
        <v>45328</v>
      </c>
      <c r="G532" s="9" t="s">
        <v>154</v>
      </c>
      <c r="H532" s="9" t="s">
        <v>48</v>
      </c>
      <c r="I532" s="9">
        <v>2</v>
      </c>
      <c r="J532" s="11">
        <f t="shared" si="138"/>
        <v>24</v>
      </c>
      <c r="K532" s="9">
        <v>960</v>
      </c>
      <c r="L532" s="12">
        <v>0.47</v>
      </c>
      <c r="M532" s="12">
        <v>451.2</v>
      </c>
      <c r="N532" s="13" t="s">
        <v>49</v>
      </c>
      <c r="Q532" s="9">
        <f>IF(Auction_Sales[[#This Row],[Payment Date]]=0,"",-1+WEEKNUM(Auction_Sales[[#This Row],[Payment Date]]))</f>
        <v>6</v>
      </c>
      <c r="R532" s="9">
        <f t="shared" si="104"/>
        <v>160</v>
      </c>
      <c r="S532" s="1" t="str">
        <f t="shared" si="135"/>
        <v>English Roses</v>
      </c>
      <c r="T532" s="9" t="str">
        <f t="shared" si="135"/>
        <v>60CM</v>
      </c>
      <c r="U532" s="9">
        <f>200+600</f>
        <v>800</v>
      </c>
      <c r="V532" s="13">
        <f>(114.8+328)/U532</f>
        <v>0.55349999999999999</v>
      </c>
      <c r="W532" s="13">
        <f t="shared" si="123"/>
        <v>442.8</v>
      </c>
      <c r="X532" s="14">
        <f t="shared" si="134"/>
        <v>-35.263697104677057</v>
      </c>
      <c r="Y532" s="13">
        <f t="shared" si="124"/>
        <v>407.53630289532293</v>
      </c>
      <c r="Z532" s="10">
        <v>45336</v>
      </c>
      <c r="AA532" s="9">
        <f t="shared" si="125"/>
        <v>-160</v>
      </c>
      <c r="AC532" s="9" t="s">
        <v>81</v>
      </c>
      <c r="AD532" s="14">
        <f t="shared" ref="AD532:AD553" si="139">J532/(23*12)*913.19</f>
        <v>79.407826086956518</v>
      </c>
      <c r="AF532" s="14">
        <f t="shared" si="110"/>
        <v>16</v>
      </c>
      <c r="AH532" s="14">
        <f t="shared" si="131"/>
        <v>95.407826086956518</v>
      </c>
      <c r="AI532" s="13">
        <f t="shared" si="127"/>
        <v>312.12847680836643</v>
      </c>
      <c r="AK532" s="9">
        <f t="shared" si="128"/>
        <v>800</v>
      </c>
    </row>
    <row r="533" spans="1:37">
      <c r="A533" s="9">
        <v>6</v>
      </c>
      <c r="B533" s="9">
        <v>2024</v>
      </c>
      <c r="C533" s="9" t="s">
        <v>46</v>
      </c>
      <c r="D533" s="9" t="s">
        <v>47</v>
      </c>
      <c r="E533" s="9" t="s">
        <v>47</v>
      </c>
      <c r="F533" s="10">
        <v>45328</v>
      </c>
      <c r="G533" s="9" t="s">
        <v>154</v>
      </c>
      <c r="H533" s="9" t="s">
        <v>52</v>
      </c>
      <c r="I533" s="9">
        <v>2</v>
      </c>
      <c r="J533" s="11">
        <f t="shared" si="138"/>
        <v>24</v>
      </c>
      <c r="K533" s="9">
        <v>800</v>
      </c>
      <c r="L533" s="12">
        <v>0.52</v>
      </c>
      <c r="M533" s="12">
        <v>416</v>
      </c>
      <c r="N533" s="13" t="s">
        <v>49</v>
      </c>
      <c r="Q533" s="9">
        <f>IF(Auction_Sales[[#This Row],[Payment Date]]=0,"",-1+WEEKNUM(Auction_Sales[[#This Row],[Payment Date]]))</f>
        <v>6</v>
      </c>
      <c r="R533" s="9">
        <f t="shared" si="104"/>
        <v>-40</v>
      </c>
      <c r="S533" s="1" t="str">
        <f t="shared" si="135"/>
        <v>English Roses</v>
      </c>
      <c r="T533" s="9" t="str">
        <f t="shared" si="135"/>
        <v>70CM</v>
      </c>
      <c r="U533" s="9">
        <f>360+480</f>
        <v>840</v>
      </c>
      <c r="V533" s="13">
        <f>(265.2+348)/U533</f>
        <v>0.73000000000000009</v>
      </c>
      <c r="W533" s="13">
        <f t="shared" si="123"/>
        <v>613.20000000000005</v>
      </c>
      <c r="X533" s="14">
        <f t="shared" si="134"/>
        <v>-37.026881959910916</v>
      </c>
      <c r="Y533" s="13">
        <f t="shared" si="124"/>
        <v>576.17311804008909</v>
      </c>
      <c r="Z533" s="10">
        <v>45336</v>
      </c>
      <c r="AA533" s="9">
        <f t="shared" si="125"/>
        <v>40</v>
      </c>
      <c r="AC533" s="9" t="s">
        <v>81</v>
      </c>
      <c r="AD533" s="14">
        <f t="shared" si="139"/>
        <v>79.407826086956518</v>
      </c>
      <c r="AF533" s="14">
        <f t="shared" si="110"/>
        <v>16.8</v>
      </c>
      <c r="AH533" s="14">
        <f t="shared" si="131"/>
        <v>96.207826086956516</v>
      </c>
      <c r="AI533" s="13">
        <f t="shared" si="127"/>
        <v>479.96529195313258</v>
      </c>
      <c r="AK533" s="9">
        <f t="shared" si="128"/>
        <v>840</v>
      </c>
    </row>
    <row r="534" spans="1:37">
      <c r="A534" s="9">
        <v>6</v>
      </c>
      <c r="B534" s="9">
        <v>2024</v>
      </c>
      <c r="C534" s="9" t="s">
        <v>46</v>
      </c>
      <c r="D534" s="9" t="s">
        <v>47</v>
      </c>
      <c r="E534" s="9" t="s">
        <v>47</v>
      </c>
      <c r="F534" s="10">
        <v>45328</v>
      </c>
      <c r="G534" s="9" t="s">
        <v>154</v>
      </c>
      <c r="H534" s="9" t="s">
        <v>54</v>
      </c>
      <c r="I534" s="9">
        <v>1</v>
      </c>
      <c r="J534" s="11">
        <f t="shared" si="138"/>
        <v>12</v>
      </c>
      <c r="K534" s="9">
        <v>320</v>
      </c>
      <c r="L534" s="12">
        <v>0.56999999999999995</v>
      </c>
      <c r="M534" s="12">
        <v>182.4</v>
      </c>
      <c r="N534" s="13" t="s">
        <v>49</v>
      </c>
      <c r="Q534" s="9">
        <f>IF(Auction_Sales[[#This Row],[Payment Date]]=0,"",-1+WEEKNUM(Auction_Sales[[#This Row],[Payment Date]]))</f>
        <v>6</v>
      </c>
      <c r="R534" s="9">
        <f t="shared" si="104"/>
        <v>-80</v>
      </c>
      <c r="S534" s="1" t="str">
        <f t="shared" si="135"/>
        <v>English Roses</v>
      </c>
      <c r="T534" s="9" t="str">
        <f t="shared" si="135"/>
        <v>80CM</v>
      </c>
      <c r="U534" s="9">
        <f>400</f>
        <v>400</v>
      </c>
      <c r="V534" s="13">
        <f>404/U534</f>
        <v>1.01</v>
      </c>
      <c r="W534" s="13">
        <f t="shared" si="123"/>
        <v>404</v>
      </c>
      <c r="X534" s="14">
        <f t="shared" si="134"/>
        <v>-17.631848552338528</v>
      </c>
      <c r="Y534" s="13">
        <f t="shared" si="124"/>
        <v>386.36815144766149</v>
      </c>
      <c r="Z534" s="10">
        <v>45336</v>
      </c>
      <c r="AA534" s="9">
        <f t="shared" si="125"/>
        <v>80</v>
      </c>
      <c r="AC534" s="9" t="s">
        <v>81</v>
      </c>
      <c r="AD534" s="14">
        <f t="shared" si="139"/>
        <v>39.703913043478259</v>
      </c>
      <c r="AF534" s="14">
        <f t="shared" si="110"/>
        <v>8</v>
      </c>
      <c r="AH534" s="14">
        <f t="shared" si="131"/>
        <v>47.703913043478259</v>
      </c>
      <c r="AI534" s="13">
        <f t="shared" si="127"/>
        <v>338.66423840418321</v>
      </c>
      <c r="AK534" s="9">
        <f t="shared" si="128"/>
        <v>400</v>
      </c>
    </row>
    <row r="535" spans="1:37">
      <c r="A535" s="9">
        <v>6</v>
      </c>
      <c r="B535" s="9">
        <v>2024</v>
      </c>
      <c r="C535" s="9" t="s">
        <v>46</v>
      </c>
      <c r="D535" s="9" t="s">
        <v>47</v>
      </c>
      <c r="E535" s="9" t="s">
        <v>47</v>
      </c>
      <c r="F535" s="10">
        <v>45328</v>
      </c>
      <c r="G535" s="9" t="s">
        <v>154</v>
      </c>
      <c r="H535" s="9" t="s">
        <v>56</v>
      </c>
      <c r="I535" s="9">
        <v>1</v>
      </c>
      <c r="J535" s="11">
        <f t="shared" si="138"/>
        <v>12</v>
      </c>
      <c r="K535" s="9">
        <v>200</v>
      </c>
      <c r="L535" s="12">
        <v>0.75</v>
      </c>
      <c r="M535" s="12">
        <v>150</v>
      </c>
      <c r="N535" s="13" t="s">
        <v>49</v>
      </c>
      <c r="Q535" s="9">
        <f>IF(Auction_Sales[[#This Row],[Payment Date]]=0,"",-1+WEEKNUM(Auction_Sales[[#This Row],[Payment Date]]))</f>
        <v>6</v>
      </c>
      <c r="R535" s="9">
        <f t="shared" si="104"/>
        <v>-160</v>
      </c>
      <c r="S535" s="1" t="str">
        <f t="shared" si="135"/>
        <v>English Roses</v>
      </c>
      <c r="T535" s="9" t="str">
        <f t="shared" si="135"/>
        <v>90CM</v>
      </c>
      <c r="U535" s="9">
        <v>360</v>
      </c>
      <c r="V535" s="13">
        <f>363.2/U535</f>
        <v>1.0088888888888889</v>
      </c>
      <c r="W535" s="13">
        <f t="shared" si="123"/>
        <v>363.20000000000005</v>
      </c>
      <c r="X535" s="14">
        <f t="shared" si="134"/>
        <v>-15.868663697104678</v>
      </c>
      <c r="Y535" s="13">
        <f t="shared" si="124"/>
        <v>347.33133630289535</v>
      </c>
      <c r="Z535" s="10">
        <v>45336</v>
      </c>
      <c r="AA535" s="9">
        <f t="shared" si="125"/>
        <v>160</v>
      </c>
      <c r="AC535" s="9" t="s">
        <v>81</v>
      </c>
      <c r="AD535" s="14">
        <f t="shared" si="139"/>
        <v>39.703913043478259</v>
      </c>
      <c r="AF535" s="14">
        <f t="shared" si="110"/>
        <v>7.2</v>
      </c>
      <c r="AH535" s="14">
        <f t="shared" si="131"/>
        <v>46.903913043478262</v>
      </c>
      <c r="AI535" s="13">
        <f t="shared" si="127"/>
        <v>300.42742325941708</v>
      </c>
      <c r="AK535" s="9">
        <f t="shared" si="128"/>
        <v>360</v>
      </c>
    </row>
    <row r="536" spans="1:37">
      <c r="A536" s="9">
        <v>6</v>
      </c>
      <c r="B536" s="9">
        <v>2024</v>
      </c>
      <c r="C536" s="9" t="s">
        <v>46</v>
      </c>
      <c r="D536" s="9" t="s">
        <v>47</v>
      </c>
      <c r="E536" s="9" t="s">
        <v>47</v>
      </c>
      <c r="F536" s="10">
        <v>45328</v>
      </c>
      <c r="G536" s="9" t="s">
        <v>155</v>
      </c>
      <c r="H536" s="9" t="s">
        <v>51</v>
      </c>
      <c r="I536" s="9">
        <v>3</v>
      </c>
      <c r="J536" s="11">
        <f t="shared" si="138"/>
        <v>36</v>
      </c>
      <c r="K536" s="9">
        <v>1800</v>
      </c>
      <c r="L536" s="12">
        <v>0.38</v>
      </c>
      <c r="M536" s="12">
        <v>684</v>
      </c>
      <c r="N536" s="13" t="s">
        <v>49</v>
      </c>
      <c r="Q536" s="9">
        <f>IF(Auction_Sales[[#This Row],[Payment Date]]=0,"",-1+WEEKNUM(Auction_Sales[[#This Row],[Payment Date]]))</f>
        <v>6</v>
      </c>
      <c r="R536" s="9">
        <f t="shared" si="104"/>
        <v>-120</v>
      </c>
      <c r="S536" s="1" t="str">
        <f t="shared" si="135"/>
        <v>Floribunda Roses</v>
      </c>
      <c r="T536" s="9" t="str">
        <f t="shared" si="135"/>
        <v>50CM</v>
      </c>
      <c r="U536" s="9">
        <v>1920</v>
      </c>
      <c r="V536" s="13">
        <f>788.8/U536</f>
        <v>0.41083333333333333</v>
      </c>
      <c r="W536" s="13">
        <f t="shared" si="123"/>
        <v>788.8</v>
      </c>
      <c r="X536" s="14">
        <f t="shared" si="134"/>
        <v>-84.632873051224948</v>
      </c>
      <c r="Y536" s="13">
        <f t="shared" si="124"/>
        <v>704.16712694877504</v>
      </c>
      <c r="Z536" s="10">
        <v>45336</v>
      </c>
      <c r="AA536" s="9">
        <f t="shared" si="125"/>
        <v>120</v>
      </c>
      <c r="AC536" s="9" t="s">
        <v>81</v>
      </c>
      <c r="AD536" s="14">
        <f t="shared" si="139"/>
        <v>119.11173913043478</v>
      </c>
      <c r="AF536" s="14">
        <f t="shared" si="110"/>
        <v>38.4</v>
      </c>
      <c r="AH536" s="14">
        <f t="shared" si="131"/>
        <v>157.51173913043479</v>
      </c>
      <c r="AI536" s="13">
        <f t="shared" si="127"/>
        <v>546.65538781834027</v>
      </c>
      <c r="AK536" s="9">
        <f t="shared" si="128"/>
        <v>1920</v>
      </c>
    </row>
    <row r="537" spans="1:37">
      <c r="A537" s="9">
        <v>6</v>
      </c>
      <c r="B537" s="9">
        <v>2024</v>
      </c>
      <c r="C537" s="9" t="s">
        <v>46</v>
      </c>
      <c r="D537" s="9" t="s">
        <v>47</v>
      </c>
      <c r="E537" s="9" t="s">
        <v>47</v>
      </c>
      <c r="F537" s="10">
        <v>45328</v>
      </c>
      <c r="G537" s="9" t="s">
        <v>155</v>
      </c>
      <c r="H537" s="9" t="s">
        <v>56</v>
      </c>
      <c r="I537" s="9">
        <v>1</v>
      </c>
      <c r="J537" s="11">
        <f t="shared" si="138"/>
        <v>12</v>
      </c>
      <c r="K537" s="9">
        <v>160</v>
      </c>
      <c r="L537" s="12">
        <v>0.75</v>
      </c>
      <c r="M537" s="12">
        <v>120</v>
      </c>
      <c r="N537" s="13" t="s">
        <v>49</v>
      </c>
      <c r="Q537" s="9">
        <f>IF(Auction_Sales[[#This Row],[Payment Date]]=0,"",-1+WEEKNUM(Auction_Sales[[#This Row],[Payment Date]]))</f>
        <v>6</v>
      </c>
      <c r="R537" s="9">
        <f t="shared" si="104"/>
        <v>0</v>
      </c>
      <c r="S537" s="1" t="str">
        <f t="shared" si="135"/>
        <v>Floribunda Roses</v>
      </c>
      <c r="T537" s="9" t="str">
        <f t="shared" si="135"/>
        <v>90CM</v>
      </c>
      <c r="U537" s="9">
        <v>160</v>
      </c>
      <c r="V537" s="13">
        <f>158.4/U537</f>
        <v>0.99</v>
      </c>
      <c r="W537" s="13">
        <f t="shared" si="123"/>
        <v>158.4</v>
      </c>
      <c r="X537" s="14">
        <f t="shared" si="134"/>
        <v>-7.0527394209354126</v>
      </c>
      <c r="Y537" s="13">
        <f t="shared" si="124"/>
        <v>151.3472605790646</v>
      </c>
      <c r="Z537" s="10">
        <v>45336</v>
      </c>
      <c r="AA537" s="9">
        <f t="shared" si="125"/>
        <v>0</v>
      </c>
      <c r="AC537" s="9" t="s">
        <v>81</v>
      </c>
      <c r="AD537" s="14">
        <f t="shared" si="139"/>
        <v>39.703913043478259</v>
      </c>
      <c r="AF537" s="14">
        <f t="shared" si="110"/>
        <v>3.2</v>
      </c>
      <c r="AH537" s="14">
        <f t="shared" si="131"/>
        <v>42.903913043478262</v>
      </c>
      <c r="AI537" s="13">
        <f t="shared" si="127"/>
        <v>108.44334753558633</v>
      </c>
      <c r="AK537" s="9">
        <f t="shared" si="128"/>
        <v>160</v>
      </c>
    </row>
    <row r="538" spans="1:37">
      <c r="A538" s="9">
        <v>6</v>
      </c>
      <c r="B538" s="9">
        <v>2024</v>
      </c>
      <c r="C538" s="9" t="s">
        <v>46</v>
      </c>
      <c r="D538" s="9" t="s">
        <v>47</v>
      </c>
      <c r="E538" s="9" t="s">
        <v>47</v>
      </c>
      <c r="F538" s="10">
        <v>45328</v>
      </c>
      <c r="G538" s="9" t="s">
        <v>155</v>
      </c>
      <c r="H538" s="9" t="s">
        <v>48</v>
      </c>
      <c r="I538" s="9">
        <v>2</v>
      </c>
      <c r="J538" s="11">
        <f t="shared" si="138"/>
        <v>24</v>
      </c>
      <c r="K538" s="11">
        <v>1040</v>
      </c>
      <c r="L538" s="12">
        <v>0.47</v>
      </c>
      <c r="M538" s="12">
        <v>488.8</v>
      </c>
      <c r="N538" s="13" t="s">
        <v>49</v>
      </c>
      <c r="Q538" s="9">
        <f>IF(Auction_Sales[[#This Row],[Payment Date]]=0,"",-1+WEEKNUM(Auction_Sales[[#This Row],[Payment Date]]))</f>
        <v>6</v>
      </c>
      <c r="R538" s="9">
        <f>K538-U538</f>
        <v>360</v>
      </c>
      <c r="S538" s="1" t="str">
        <f t="shared" ref="S538:T553" si="140">G538</f>
        <v>Floribunda Roses</v>
      </c>
      <c r="T538" s="9" t="str">
        <f t="shared" si="140"/>
        <v>60CM</v>
      </c>
      <c r="U538" s="9">
        <v>680</v>
      </c>
      <c r="V538" s="13">
        <f>486.4/U538</f>
        <v>0.71529411764705875</v>
      </c>
      <c r="W538" s="13">
        <f t="shared" si="123"/>
        <v>486.39999999999992</v>
      </c>
      <c r="X538" s="14">
        <f t="shared" si="134"/>
        <v>-29.974142538975507</v>
      </c>
      <c r="Y538" s="13">
        <f t="shared" si="124"/>
        <v>456.42585746102441</v>
      </c>
      <c r="Z538" s="10">
        <v>45336</v>
      </c>
      <c r="AA538" s="9">
        <f t="shared" si="125"/>
        <v>-360</v>
      </c>
      <c r="AC538" s="9" t="s">
        <v>81</v>
      </c>
      <c r="AD538" s="14">
        <f t="shared" si="139"/>
        <v>79.407826086956518</v>
      </c>
      <c r="AF538" s="14">
        <f t="shared" si="110"/>
        <v>13.6</v>
      </c>
      <c r="AH538" s="14">
        <f t="shared" si="131"/>
        <v>93.007826086956513</v>
      </c>
      <c r="AI538" s="13">
        <f t="shared" si="127"/>
        <v>363.41803137406788</v>
      </c>
      <c r="AK538" s="9">
        <f t="shared" si="128"/>
        <v>680</v>
      </c>
    </row>
    <row r="539" spans="1:37">
      <c r="A539" s="9">
        <v>6</v>
      </c>
      <c r="B539" s="9">
        <v>2024</v>
      </c>
      <c r="C539" s="9" t="s">
        <v>46</v>
      </c>
      <c r="D539" s="9" t="s">
        <v>47</v>
      </c>
      <c r="E539" s="9" t="s">
        <v>47</v>
      </c>
      <c r="F539" s="10">
        <v>45328</v>
      </c>
      <c r="G539" s="9" t="s">
        <v>155</v>
      </c>
      <c r="H539" s="9" t="s">
        <v>52</v>
      </c>
      <c r="I539" s="9">
        <v>1</v>
      </c>
      <c r="J539" s="11">
        <f t="shared" si="138"/>
        <v>12</v>
      </c>
      <c r="K539" s="11">
        <v>360</v>
      </c>
      <c r="L539" s="12">
        <v>0.52</v>
      </c>
      <c r="M539" s="12">
        <v>187.2</v>
      </c>
      <c r="N539" s="13" t="s">
        <v>49</v>
      </c>
      <c r="Q539" s="9">
        <f>IF(Auction_Sales[[#This Row],[Payment Date]]=0,"",-1+WEEKNUM(Auction_Sales[[#This Row],[Payment Date]]))</f>
        <v>6</v>
      </c>
      <c r="R539" s="9">
        <f t="shared" si="104"/>
        <v>0</v>
      </c>
      <c r="S539" s="1" t="str">
        <f t="shared" si="140"/>
        <v>Floribunda Roses</v>
      </c>
      <c r="T539" s="9" t="str">
        <f t="shared" si="140"/>
        <v>70CM</v>
      </c>
      <c r="U539" s="9">
        <v>360</v>
      </c>
      <c r="V539" s="13">
        <f>356.4/U539</f>
        <v>0.99</v>
      </c>
      <c r="W539" s="13">
        <f t="shared" si="123"/>
        <v>356.4</v>
      </c>
      <c r="X539" s="14">
        <f t="shared" si="134"/>
        <v>-15.868663697104678</v>
      </c>
      <c r="Y539" s="13">
        <f t="shared" si="124"/>
        <v>340.53133630289528</v>
      </c>
      <c r="Z539" s="10">
        <v>45336</v>
      </c>
      <c r="AA539" s="9">
        <f t="shared" si="125"/>
        <v>0</v>
      </c>
      <c r="AC539" s="9" t="s">
        <v>81</v>
      </c>
      <c r="AD539" s="14">
        <f t="shared" si="139"/>
        <v>39.703913043478259</v>
      </c>
      <c r="AF539" s="14">
        <f t="shared" si="110"/>
        <v>7.2</v>
      </c>
      <c r="AH539" s="14">
        <f t="shared" si="131"/>
        <v>46.903913043478262</v>
      </c>
      <c r="AI539" s="13">
        <f t="shared" si="127"/>
        <v>293.62742325941701</v>
      </c>
      <c r="AK539" s="9">
        <f t="shared" si="128"/>
        <v>360</v>
      </c>
    </row>
    <row r="540" spans="1:37">
      <c r="A540" s="9">
        <v>6</v>
      </c>
      <c r="B540" s="9">
        <v>2024</v>
      </c>
      <c r="C540" s="9" t="s">
        <v>46</v>
      </c>
      <c r="D540" s="9" t="s">
        <v>47</v>
      </c>
      <c r="E540" s="9" t="s">
        <v>47</v>
      </c>
      <c r="F540" s="10">
        <v>45328</v>
      </c>
      <c r="G540" s="9" t="s">
        <v>153</v>
      </c>
      <c r="H540" s="9" t="s">
        <v>51</v>
      </c>
      <c r="I540" s="9">
        <v>1</v>
      </c>
      <c r="J540" s="11">
        <f t="shared" si="138"/>
        <v>12</v>
      </c>
      <c r="K540" s="11">
        <v>920</v>
      </c>
      <c r="L540" s="12">
        <v>0.14000000000000001</v>
      </c>
      <c r="M540" s="12">
        <v>128.80000000000001</v>
      </c>
      <c r="N540" s="13" t="s">
        <v>49</v>
      </c>
      <c r="Q540" s="9">
        <f>IF(Auction_Sales[[#This Row],[Payment Date]]=0,"",-1+WEEKNUM(Auction_Sales[[#This Row],[Payment Date]]))</f>
        <v>6</v>
      </c>
      <c r="R540" s="9">
        <f>K540-U540</f>
        <v>80</v>
      </c>
      <c r="S540" s="1" t="str">
        <f t="shared" si="140"/>
        <v>Grandiflora Roses</v>
      </c>
      <c r="T540" s="9" t="str">
        <f t="shared" si="140"/>
        <v>50CM</v>
      </c>
      <c r="U540" s="9">
        <v>840</v>
      </c>
      <c r="V540" s="13">
        <f>260.4/U540</f>
        <v>0.31</v>
      </c>
      <c r="W540" s="13">
        <f t="shared" si="123"/>
        <v>260.39999999999998</v>
      </c>
      <c r="X540" s="14">
        <f t="shared" si="134"/>
        <v>-37.026881959910916</v>
      </c>
      <c r="Y540" s="13">
        <f t="shared" si="124"/>
        <v>223.37311804008905</v>
      </c>
      <c r="Z540" s="10">
        <v>45336</v>
      </c>
      <c r="AA540" s="9">
        <f t="shared" si="125"/>
        <v>-80</v>
      </c>
      <c r="AC540" s="9" t="s">
        <v>81</v>
      </c>
      <c r="AD540" s="14">
        <f t="shared" si="139"/>
        <v>39.703913043478259</v>
      </c>
      <c r="AF540" s="14">
        <f t="shared" si="110"/>
        <v>16.8</v>
      </c>
      <c r="AH540" s="14">
        <f t="shared" si="131"/>
        <v>56.503913043478263</v>
      </c>
      <c r="AI540" s="13">
        <f t="shared" si="127"/>
        <v>166.86920499661079</v>
      </c>
      <c r="AK540" s="9">
        <f t="shared" si="128"/>
        <v>840</v>
      </c>
    </row>
    <row r="541" spans="1:37">
      <c r="A541" s="9">
        <v>6</v>
      </c>
      <c r="B541" s="9">
        <v>2024</v>
      </c>
      <c r="C541" s="9" t="s">
        <v>46</v>
      </c>
      <c r="D541" s="9" t="s">
        <v>47</v>
      </c>
      <c r="E541" s="9" t="s">
        <v>47</v>
      </c>
      <c r="F541" s="10">
        <v>45328</v>
      </c>
      <c r="G541" s="9" t="s">
        <v>153</v>
      </c>
      <c r="H541" s="9" t="s">
        <v>48</v>
      </c>
      <c r="I541" s="9">
        <v>1</v>
      </c>
      <c r="J541" s="11">
        <f t="shared" si="138"/>
        <v>12</v>
      </c>
      <c r="K541" s="11">
        <v>800</v>
      </c>
      <c r="L541" s="12">
        <v>0.24</v>
      </c>
      <c r="M541" s="12">
        <v>192</v>
      </c>
      <c r="N541" s="13" t="s">
        <v>49</v>
      </c>
      <c r="Q541" s="9">
        <f>IF(Auction_Sales[[#This Row],[Payment Date]]=0,"",-1+WEEKNUM(Auction_Sales[[#This Row],[Payment Date]]))</f>
        <v>6</v>
      </c>
      <c r="R541" s="9">
        <f>K541-U541</f>
        <v>-840</v>
      </c>
      <c r="S541" s="1" t="str">
        <f t="shared" si="140"/>
        <v>Grandiflora Roses</v>
      </c>
      <c r="T541" s="9" t="str">
        <f t="shared" si="140"/>
        <v>60CM</v>
      </c>
      <c r="U541" s="9">
        <f>760+440+440</f>
        <v>1640</v>
      </c>
      <c r="V541" s="13">
        <f>(415.6+180.4+256.8)/U541</f>
        <v>0.52</v>
      </c>
      <c r="W541" s="13">
        <f t="shared" si="123"/>
        <v>852.80000000000007</v>
      </c>
      <c r="X541" s="14">
        <f t="shared" si="134"/>
        <v>-72.290579064587973</v>
      </c>
      <c r="Y541" s="13">
        <f t="shared" si="124"/>
        <v>780.50942093541209</v>
      </c>
      <c r="Z541" s="10">
        <v>45336</v>
      </c>
      <c r="AA541" s="9">
        <f t="shared" si="125"/>
        <v>840</v>
      </c>
      <c r="AC541" s="9" t="s">
        <v>81</v>
      </c>
      <c r="AD541" s="14">
        <f t="shared" si="139"/>
        <v>39.703913043478259</v>
      </c>
      <c r="AF541" s="14">
        <f t="shared" si="110"/>
        <v>32.799999999999997</v>
      </c>
      <c r="AH541" s="14">
        <f t="shared" ref="AH541:AH545" si="141">SUM(AD541:AG541)</f>
        <v>72.503913043478263</v>
      </c>
      <c r="AI541" s="13">
        <f t="shared" si="127"/>
        <v>708.0055078919338</v>
      </c>
      <c r="AK541" s="9">
        <f t="shared" si="128"/>
        <v>1640</v>
      </c>
    </row>
    <row r="542" spans="1:37">
      <c r="A542" s="9">
        <v>6</v>
      </c>
      <c r="B542" s="9">
        <v>2024</v>
      </c>
      <c r="C542" s="9" t="s">
        <v>46</v>
      </c>
      <c r="D542" s="9" t="s">
        <v>47</v>
      </c>
      <c r="E542" s="9" t="s">
        <v>47</v>
      </c>
      <c r="F542" s="10">
        <v>45328</v>
      </c>
      <c r="G542" s="9" t="s">
        <v>153</v>
      </c>
      <c r="H542" s="9" t="s">
        <v>52</v>
      </c>
      <c r="I542" s="9">
        <v>1</v>
      </c>
      <c r="J542" s="11">
        <f t="shared" si="138"/>
        <v>12</v>
      </c>
      <c r="K542" s="11">
        <v>520</v>
      </c>
      <c r="L542" s="12">
        <v>0.28000000000000003</v>
      </c>
      <c r="M542" s="12">
        <v>145.6</v>
      </c>
      <c r="N542" s="13" t="s">
        <v>49</v>
      </c>
      <c r="Q542" s="9">
        <f>IF(Auction_Sales[[#This Row],[Payment Date]]=0,"",-1+WEEKNUM(Auction_Sales[[#This Row],[Payment Date]]))</f>
        <v>6</v>
      </c>
      <c r="R542" s="9">
        <f t="shared" ref="R542:R545" si="142">K542-U542</f>
        <v>120</v>
      </c>
      <c r="S542" s="1" t="str">
        <f t="shared" si="140"/>
        <v>Grandiflora Roses</v>
      </c>
      <c r="T542" s="9" t="str">
        <f t="shared" si="140"/>
        <v>70CM</v>
      </c>
      <c r="U542" s="9">
        <v>400</v>
      </c>
      <c r="V542" s="13">
        <f>262/U542</f>
        <v>0.65500000000000003</v>
      </c>
      <c r="W542" s="13">
        <f t="shared" si="123"/>
        <v>262</v>
      </c>
      <c r="X542" s="14">
        <f t="shared" si="134"/>
        <v>-17.631848552338528</v>
      </c>
      <c r="Y542" s="13">
        <f t="shared" si="124"/>
        <v>244.36815144766146</v>
      </c>
      <c r="Z542" s="10">
        <v>45336</v>
      </c>
      <c r="AA542" s="9">
        <f t="shared" si="125"/>
        <v>-120</v>
      </c>
      <c r="AC542" s="9" t="s">
        <v>81</v>
      </c>
      <c r="AD542" s="14">
        <f t="shared" si="139"/>
        <v>39.703913043478259</v>
      </c>
      <c r="AF542" s="14">
        <f t="shared" si="110"/>
        <v>8</v>
      </c>
      <c r="AH542" s="14">
        <f t="shared" si="141"/>
        <v>47.703913043478259</v>
      </c>
      <c r="AI542" s="13">
        <f t="shared" si="127"/>
        <v>196.66423840418321</v>
      </c>
      <c r="AK542" s="9">
        <f t="shared" si="128"/>
        <v>400</v>
      </c>
    </row>
    <row r="543" spans="1:37">
      <c r="A543" s="9">
        <v>6</v>
      </c>
      <c r="B543" s="9">
        <v>2024</v>
      </c>
      <c r="C543" s="9" t="s">
        <v>46</v>
      </c>
      <c r="D543" s="9" t="s">
        <v>47</v>
      </c>
      <c r="E543" s="9" t="s">
        <v>47</v>
      </c>
      <c r="F543" s="10">
        <v>45328</v>
      </c>
      <c r="G543" s="9" t="s">
        <v>155</v>
      </c>
      <c r="H543" s="9" t="s">
        <v>48</v>
      </c>
      <c r="I543" s="9">
        <v>1</v>
      </c>
      <c r="J543" s="11">
        <f>K543/440*12</f>
        <v>9.8181818181818183</v>
      </c>
      <c r="K543" s="11">
        <v>360</v>
      </c>
      <c r="L543" s="12">
        <v>0.47</v>
      </c>
      <c r="M543" s="12">
        <v>169.2</v>
      </c>
      <c r="N543" s="13" t="s">
        <v>49</v>
      </c>
      <c r="Q543" s="9">
        <f>IF(Auction_Sales[[#This Row],[Payment Date]]=0,"",-1+WEEKNUM(Auction_Sales[[#This Row],[Payment Date]]))</f>
        <v>6</v>
      </c>
      <c r="R543" s="9">
        <f t="shared" si="142"/>
        <v>-320</v>
      </c>
      <c r="S543" s="1" t="str">
        <f t="shared" si="140"/>
        <v>Floribunda Roses</v>
      </c>
      <c r="T543" s="9" t="str">
        <f t="shared" si="140"/>
        <v>60CM</v>
      </c>
      <c r="U543" s="9">
        <v>680</v>
      </c>
      <c r="V543" s="13">
        <f>398.8/U543</f>
        <v>0.58647058823529419</v>
      </c>
      <c r="W543" s="13">
        <f t="shared" si="123"/>
        <v>398.80000000000007</v>
      </c>
      <c r="X543" s="14">
        <f t="shared" si="134"/>
        <v>-29.974142538975507</v>
      </c>
      <c r="Y543" s="13">
        <f t="shared" si="124"/>
        <v>368.82585746102455</v>
      </c>
      <c r="Z543" s="10">
        <v>45336</v>
      </c>
      <c r="AA543" s="9">
        <f t="shared" si="125"/>
        <v>320</v>
      </c>
      <c r="AC543" s="9" t="s">
        <v>81</v>
      </c>
      <c r="AD543" s="14">
        <f t="shared" si="139"/>
        <v>32.485019762845852</v>
      </c>
      <c r="AF543" s="14">
        <f t="shared" si="110"/>
        <v>13.6</v>
      </c>
      <c r="AH543" s="14">
        <f t="shared" si="141"/>
        <v>46.085019762845853</v>
      </c>
      <c r="AI543" s="13">
        <f t="shared" si="127"/>
        <v>322.74083769817872</v>
      </c>
      <c r="AK543" s="9">
        <f t="shared" si="128"/>
        <v>680</v>
      </c>
    </row>
    <row r="544" spans="1:37">
      <c r="A544" s="9">
        <v>6</v>
      </c>
      <c r="B544" s="9">
        <v>2024</v>
      </c>
      <c r="C544" s="9" t="s">
        <v>46</v>
      </c>
      <c r="D544" s="9" t="s">
        <v>47</v>
      </c>
      <c r="E544" s="9" t="s">
        <v>47</v>
      </c>
      <c r="F544" s="10">
        <v>45328</v>
      </c>
      <c r="G544" s="9" t="s">
        <v>155</v>
      </c>
      <c r="H544" s="9" t="s">
        <v>51</v>
      </c>
      <c r="J544" s="11">
        <f>K544/440*12</f>
        <v>2.1818181818181817</v>
      </c>
      <c r="K544" s="11">
        <v>80</v>
      </c>
      <c r="L544" s="12">
        <v>0.38</v>
      </c>
      <c r="M544" s="12">
        <v>30.4</v>
      </c>
      <c r="N544" s="13" t="s">
        <v>49</v>
      </c>
      <c r="Q544" s="9">
        <f>IF(Auction_Sales[[#This Row],[Payment Date]]=0,"",-1+WEEKNUM(Auction_Sales[[#This Row],[Payment Date]]))</f>
        <v>6</v>
      </c>
      <c r="R544" s="9">
        <f t="shared" si="142"/>
        <v>80</v>
      </c>
      <c r="S544" s="1" t="str">
        <f t="shared" si="140"/>
        <v>Floribunda Roses</v>
      </c>
      <c r="T544" s="9" t="str">
        <f t="shared" si="140"/>
        <v>50CM</v>
      </c>
      <c r="W544" s="13">
        <f t="shared" si="123"/>
        <v>0</v>
      </c>
      <c r="X544" s="14">
        <f t="shared" si="134"/>
        <v>0</v>
      </c>
      <c r="Y544" s="13">
        <f t="shared" si="124"/>
        <v>0</v>
      </c>
      <c r="Z544" s="10">
        <v>45336</v>
      </c>
      <c r="AA544" s="9">
        <f t="shared" si="125"/>
        <v>-80</v>
      </c>
      <c r="AC544" s="9" t="s">
        <v>81</v>
      </c>
      <c r="AD544" s="14">
        <f t="shared" si="139"/>
        <v>7.2188932806324111</v>
      </c>
      <c r="AF544" s="14">
        <f t="shared" si="110"/>
        <v>0</v>
      </c>
      <c r="AH544" s="14">
        <f t="shared" si="141"/>
        <v>7.2188932806324111</v>
      </c>
      <c r="AI544" s="13">
        <f t="shared" si="127"/>
        <v>-7.2188932806324111</v>
      </c>
      <c r="AK544" s="9">
        <f t="shared" si="128"/>
        <v>0</v>
      </c>
    </row>
    <row r="545" spans="1:37">
      <c r="A545" s="9">
        <v>6</v>
      </c>
      <c r="B545" s="9">
        <v>2024</v>
      </c>
      <c r="C545" s="9" t="s">
        <v>46</v>
      </c>
      <c r="D545" s="9" t="s">
        <v>47</v>
      </c>
      <c r="E545" s="9" t="s">
        <v>47</v>
      </c>
      <c r="F545" s="10">
        <v>45328</v>
      </c>
      <c r="G545" s="9" t="s">
        <v>153</v>
      </c>
      <c r="H545" s="9" t="s">
        <v>54</v>
      </c>
      <c r="I545" s="9">
        <v>1</v>
      </c>
      <c r="J545" s="11">
        <f t="shared" ref="J545:J550" si="143">K545/400*12</f>
        <v>7.1999999999999993</v>
      </c>
      <c r="K545" s="11">
        <v>240</v>
      </c>
      <c r="L545" s="12">
        <v>0.33</v>
      </c>
      <c r="M545" s="12">
        <v>79.2</v>
      </c>
      <c r="N545" s="13" t="s">
        <v>49</v>
      </c>
      <c r="Q545" s="9">
        <f>IF(Auction_Sales[[#This Row],[Payment Date]]=0,"",-1+WEEKNUM(Auction_Sales[[#This Row],[Payment Date]]))</f>
        <v>6</v>
      </c>
      <c r="R545" s="9">
        <f t="shared" si="142"/>
        <v>0</v>
      </c>
      <c r="S545" s="1" t="str">
        <f t="shared" si="140"/>
        <v>Grandiflora Roses</v>
      </c>
      <c r="T545" s="9" t="str">
        <f t="shared" si="140"/>
        <v>80CM</v>
      </c>
      <c r="U545" s="9">
        <v>240</v>
      </c>
      <c r="V545" s="13">
        <f>156/U545</f>
        <v>0.65</v>
      </c>
      <c r="W545" s="13">
        <f t="shared" si="123"/>
        <v>156</v>
      </c>
      <c r="X545" s="14">
        <f t="shared" si="134"/>
        <v>-10.579109131403118</v>
      </c>
      <c r="Y545" s="13">
        <f t="shared" si="124"/>
        <v>145.42089086859687</v>
      </c>
      <c r="Z545" s="10">
        <v>45336</v>
      </c>
      <c r="AA545" s="9">
        <f t="shared" si="125"/>
        <v>0</v>
      </c>
      <c r="AC545" s="9" t="s">
        <v>81</v>
      </c>
      <c r="AD545" s="14">
        <f t="shared" si="139"/>
        <v>23.822347826086958</v>
      </c>
      <c r="AF545" s="14">
        <f t="shared" ref="AF545:AF553" si="144">U545*0.02</f>
        <v>4.8</v>
      </c>
      <c r="AH545" s="14">
        <f t="shared" si="141"/>
        <v>28.622347826086958</v>
      </c>
      <c r="AI545" s="13">
        <f t="shared" si="127"/>
        <v>116.79854304250992</v>
      </c>
      <c r="AK545" s="9">
        <f t="shared" si="128"/>
        <v>240</v>
      </c>
    </row>
    <row r="546" spans="1:37">
      <c r="A546" s="9">
        <v>6</v>
      </c>
      <c r="B546" s="9">
        <v>2024</v>
      </c>
      <c r="C546" s="9" t="s">
        <v>46</v>
      </c>
      <c r="D546" s="9" t="s">
        <v>47</v>
      </c>
      <c r="E546" s="9" t="s">
        <v>47</v>
      </c>
      <c r="F546" s="10">
        <v>45328</v>
      </c>
      <c r="G546" s="9" t="s">
        <v>153</v>
      </c>
      <c r="H546" s="9" t="s">
        <v>57</v>
      </c>
      <c r="J546" s="11">
        <f t="shared" si="143"/>
        <v>4.8000000000000007</v>
      </c>
      <c r="K546" s="11">
        <v>160</v>
      </c>
      <c r="L546" s="12">
        <v>0.47</v>
      </c>
      <c r="M546" s="12">
        <v>75.2</v>
      </c>
      <c r="N546" s="13" t="s">
        <v>49</v>
      </c>
      <c r="Q546" s="9">
        <f>IF(Auction_Sales[[#This Row],[Payment Date]]=0,"",-1+WEEKNUM(Auction_Sales[[#This Row],[Payment Date]]))</f>
        <v>6</v>
      </c>
      <c r="R546" s="9">
        <f t="shared" si="104"/>
        <v>40</v>
      </c>
      <c r="S546" s="1" t="str">
        <f t="shared" si="140"/>
        <v>Grandiflora Roses</v>
      </c>
      <c r="T546" s="9" t="str">
        <f t="shared" si="140"/>
        <v>100CM</v>
      </c>
      <c r="U546" s="9">
        <v>120</v>
      </c>
      <c r="V546" s="13">
        <f>100.8/U546</f>
        <v>0.84</v>
      </c>
      <c r="W546" s="13">
        <f t="shared" si="123"/>
        <v>100.8</v>
      </c>
      <c r="X546" s="14">
        <f t="shared" si="134"/>
        <v>-5.2895545657015592</v>
      </c>
      <c r="Y546" s="13">
        <f t="shared" si="124"/>
        <v>95.510445434298433</v>
      </c>
      <c r="Z546" s="10">
        <v>45336</v>
      </c>
      <c r="AA546" s="9">
        <f t="shared" si="125"/>
        <v>-40</v>
      </c>
      <c r="AC546" s="9" t="s">
        <v>81</v>
      </c>
      <c r="AD546" s="14">
        <f t="shared" si="139"/>
        <v>15.881565217391309</v>
      </c>
      <c r="AF546" s="14">
        <f t="shared" si="144"/>
        <v>2.4</v>
      </c>
      <c r="AH546" s="14">
        <f t="shared" si="131"/>
        <v>18.281565217391307</v>
      </c>
      <c r="AI546" s="13">
        <f t="shared" si="127"/>
        <v>77.228880216907129</v>
      </c>
      <c r="AK546" s="9">
        <f t="shared" si="128"/>
        <v>120</v>
      </c>
    </row>
    <row r="547" spans="1:37">
      <c r="A547" s="9">
        <v>6</v>
      </c>
      <c r="B547" s="9">
        <v>2024</v>
      </c>
      <c r="C547" s="9" t="s">
        <v>46</v>
      </c>
      <c r="D547" s="9" t="s">
        <v>47</v>
      </c>
      <c r="E547" s="9" t="s">
        <v>47</v>
      </c>
      <c r="F547" s="10">
        <v>45328</v>
      </c>
      <c r="G547" s="9" t="s">
        <v>153</v>
      </c>
      <c r="H547" s="9" t="s">
        <v>52</v>
      </c>
      <c r="I547" s="9">
        <v>1</v>
      </c>
      <c r="J547" s="11">
        <f t="shared" si="143"/>
        <v>3.5999999999999996</v>
      </c>
      <c r="K547" s="11">
        <v>120</v>
      </c>
      <c r="L547" s="12">
        <v>0.28000000000000003</v>
      </c>
      <c r="M547" s="12">
        <v>33.6</v>
      </c>
      <c r="N547" s="13" t="s">
        <v>49</v>
      </c>
      <c r="Q547" s="9">
        <f>IF(Auction_Sales[[#This Row],[Payment Date]]=0,"",-1+WEEKNUM(Auction_Sales[[#This Row],[Payment Date]]))</f>
        <v>6</v>
      </c>
      <c r="R547" s="9">
        <f>K547-U547</f>
        <v>120</v>
      </c>
      <c r="S547" s="1" t="str">
        <f t="shared" si="140"/>
        <v>Grandiflora Roses</v>
      </c>
      <c r="T547" s="9" t="str">
        <f t="shared" si="140"/>
        <v>70CM</v>
      </c>
      <c r="W547" s="13">
        <f t="shared" si="123"/>
        <v>0</v>
      </c>
      <c r="X547" s="14">
        <f t="shared" si="134"/>
        <v>0</v>
      </c>
      <c r="Y547" s="13">
        <f t="shared" si="124"/>
        <v>0</v>
      </c>
      <c r="Z547" s="10">
        <v>45336</v>
      </c>
      <c r="AA547" s="9">
        <f t="shared" si="125"/>
        <v>-120</v>
      </c>
      <c r="AC547" s="9" t="s">
        <v>81</v>
      </c>
      <c r="AD547" s="14">
        <f t="shared" si="139"/>
        <v>11.911173913043479</v>
      </c>
      <c r="AF547" s="14">
        <f t="shared" si="144"/>
        <v>0</v>
      </c>
      <c r="AH547" s="14">
        <f t="shared" si="131"/>
        <v>11.911173913043479</v>
      </c>
      <c r="AI547" s="13">
        <f t="shared" si="127"/>
        <v>-11.911173913043479</v>
      </c>
      <c r="AK547" s="9">
        <f t="shared" si="128"/>
        <v>0</v>
      </c>
    </row>
    <row r="548" spans="1:37">
      <c r="A548" s="9">
        <v>6</v>
      </c>
      <c r="B548" s="9">
        <v>2024</v>
      </c>
      <c r="C548" s="9" t="s">
        <v>46</v>
      </c>
      <c r="D548" s="9" t="s">
        <v>47</v>
      </c>
      <c r="E548" s="9" t="s">
        <v>47</v>
      </c>
      <c r="F548" s="10">
        <v>45328</v>
      </c>
      <c r="G548" s="9" t="s">
        <v>153</v>
      </c>
      <c r="H548" s="9" t="s">
        <v>56</v>
      </c>
      <c r="J548" s="11">
        <f t="shared" si="143"/>
        <v>8.3999999999999986</v>
      </c>
      <c r="K548" s="11">
        <v>280</v>
      </c>
      <c r="L548" s="12">
        <v>0.38</v>
      </c>
      <c r="M548" s="12">
        <v>106.4</v>
      </c>
      <c r="N548" s="13" t="s">
        <v>49</v>
      </c>
      <c r="Q548" s="9">
        <f>IF(Auction_Sales[[#This Row],[Payment Date]]=0,"",-1+WEEKNUM(Auction_Sales[[#This Row],[Payment Date]]))</f>
        <v>6</v>
      </c>
      <c r="R548" s="9">
        <f t="shared" si="104"/>
        <v>40</v>
      </c>
      <c r="S548" s="1" t="str">
        <f t="shared" si="140"/>
        <v>Grandiflora Roses</v>
      </c>
      <c r="T548" s="9" t="str">
        <f t="shared" si="140"/>
        <v>90CM</v>
      </c>
      <c r="U548" s="9">
        <v>240</v>
      </c>
      <c r="V548" s="13">
        <f>169.6/U548</f>
        <v>0.70666666666666667</v>
      </c>
      <c r="W548" s="13">
        <f t="shared" si="123"/>
        <v>169.6</v>
      </c>
      <c r="X548" s="14">
        <f t="shared" si="134"/>
        <v>-10.579109131403118</v>
      </c>
      <c r="Y548" s="13">
        <f t="shared" si="124"/>
        <v>159.02089086859687</v>
      </c>
      <c r="Z548" s="10">
        <v>45336</v>
      </c>
      <c r="AA548" s="9">
        <f t="shared" si="125"/>
        <v>-40</v>
      </c>
      <c r="AC548" s="9" t="s">
        <v>81</v>
      </c>
      <c r="AD548" s="14">
        <f t="shared" si="139"/>
        <v>27.792739130434779</v>
      </c>
      <c r="AF548" s="14">
        <f t="shared" si="144"/>
        <v>4.8</v>
      </c>
      <c r="AH548" s="14">
        <f t="shared" si="131"/>
        <v>32.592739130434779</v>
      </c>
      <c r="AI548" s="13">
        <f t="shared" si="127"/>
        <v>126.42815173816209</v>
      </c>
      <c r="AK548" s="9">
        <f t="shared" si="128"/>
        <v>240</v>
      </c>
    </row>
    <row r="549" spans="1:37">
      <c r="A549" s="9">
        <v>6</v>
      </c>
      <c r="B549" s="9">
        <v>2024</v>
      </c>
      <c r="C549" s="9" t="s">
        <v>46</v>
      </c>
      <c r="D549" s="9" t="s">
        <v>47</v>
      </c>
      <c r="E549" s="9" t="s">
        <v>47</v>
      </c>
      <c r="F549" s="10">
        <v>45328</v>
      </c>
      <c r="G549" s="9" t="s">
        <v>154</v>
      </c>
      <c r="H549" s="9" t="s">
        <v>48</v>
      </c>
      <c r="I549" s="9">
        <v>1</v>
      </c>
      <c r="J549" s="11">
        <f t="shared" si="143"/>
        <v>7.1999999999999993</v>
      </c>
      <c r="K549" s="11">
        <v>240</v>
      </c>
      <c r="L549" s="12">
        <v>0.47</v>
      </c>
      <c r="M549" s="12">
        <v>112.8</v>
      </c>
      <c r="N549" s="13" t="s">
        <v>49</v>
      </c>
      <c r="Q549" s="9">
        <f>IF(Auction_Sales[[#This Row],[Payment Date]]=0,"",-1+WEEKNUM(Auction_Sales[[#This Row],[Payment Date]]))</f>
        <v>6</v>
      </c>
      <c r="R549" s="9">
        <f>K549-U549</f>
        <v>-360</v>
      </c>
      <c r="S549" s="1" t="str">
        <f t="shared" si="140"/>
        <v>English Roses</v>
      </c>
      <c r="T549" s="9" t="str">
        <f t="shared" si="140"/>
        <v>60CM</v>
      </c>
      <c r="U549" s="9">
        <v>600</v>
      </c>
      <c r="V549" s="13">
        <f>342/U549</f>
        <v>0.56999999999999995</v>
      </c>
      <c r="W549" s="13">
        <f t="shared" si="123"/>
        <v>341.99999999999994</v>
      </c>
      <c r="X549" s="14">
        <f t="shared" si="134"/>
        <v>-26.447772828507798</v>
      </c>
      <c r="Y549" s="13">
        <f t="shared" si="124"/>
        <v>315.55222717149212</v>
      </c>
      <c r="Z549" s="10">
        <v>45336</v>
      </c>
      <c r="AA549" s="9">
        <f t="shared" si="125"/>
        <v>360</v>
      </c>
      <c r="AC549" s="9" t="s">
        <v>81</v>
      </c>
      <c r="AD549" s="14">
        <f t="shared" si="139"/>
        <v>23.822347826086958</v>
      </c>
      <c r="AF549" s="14">
        <f t="shared" si="144"/>
        <v>12</v>
      </c>
      <c r="AH549" s="14">
        <f t="shared" si="131"/>
        <v>35.822347826086954</v>
      </c>
      <c r="AI549" s="13">
        <f t="shared" si="127"/>
        <v>279.72987934540515</v>
      </c>
      <c r="AK549" s="9">
        <f t="shared" si="128"/>
        <v>600</v>
      </c>
    </row>
    <row r="550" spans="1:37">
      <c r="A550" s="9">
        <v>6</v>
      </c>
      <c r="B550" s="9">
        <v>2024</v>
      </c>
      <c r="C550" s="9" t="s">
        <v>46</v>
      </c>
      <c r="D550" s="9" t="s">
        <v>47</v>
      </c>
      <c r="E550" s="9" t="s">
        <v>47</v>
      </c>
      <c r="F550" s="10">
        <v>45328</v>
      </c>
      <c r="G550" s="9" t="s">
        <v>154</v>
      </c>
      <c r="H550" s="9" t="s">
        <v>52</v>
      </c>
      <c r="J550" s="11">
        <f t="shared" si="143"/>
        <v>4.8000000000000007</v>
      </c>
      <c r="K550" s="11">
        <v>160</v>
      </c>
      <c r="L550" s="12">
        <v>0.52</v>
      </c>
      <c r="M550" s="12">
        <v>83.2</v>
      </c>
      <c r="N550" s="13" t="s">
        <v>49</v>
      </c>
      <c r="Q550" s="9">
        <f>IF(Auction_Sales[[#This Row],[Payment Date]]=0,"",-1+WEEKNUM(Auction_Sales[[#This Row],[Payment Date]]))</f>
        <v>6</v>
      </c>
      <c r="R550" s="9">
        <f t="shared" ref="R550:R553" si="145">K550-U550</f>
        <v>-320</v>
      </c>
      <c r="S550" s="1" t="str">
        <f t="shared" si="140"/>
        <v>English Roses</v>
      </c>
      <c r="T550" s="9" t="str">
        <f t="shared" si="140"/>
        <v>70CM</v>
      </c>
      <c r="U550" s="9">
        <v>480</v>
      </c>
      <c r="V550" s="13">
        <f>370/U550</f>
        <v>0.77083333333333337</v>
      </c>
      <c r="W550" s="13">
        <f t="shared" si="123"/>
        <v>370</v>
      </c>
      <c r="X550" s="14">
        <f t="shared" si="134"/>
        <v>-21.158218262806237</v>
      </c>
      <c r="Y550" s="13">
        <f t="shared" si="124"/>
        <v>348.84178173719374</v>
      </c>
      <c r="Z550" s="10">
        <v>45336</v>
      </c>
      <c r="AA550" s="9">
        <f t="shared" si="125"/>
        <v>320</v>
      </c>
      <c r="AC550" s="9" t="s">
        <v>81</v>
      </c>
      <c r="AD550" s="14">
        <f t="shared" si="139"/>
        <v>15.881565217391309</v>
      </c>
      <c r="AF550" s="14">
        <f t="shared" si="144"/>
        <v>9.6</v>
      </c>
      <c r="AH550" s="14">
        <f t="shared" ref="AH550:AH553" si="146">SUM(AD550:AG550)</f>
        <v>25.481565217391307</v>
      </c>
      <c r="AI550" s="13">
        <f t="shared" si="127"/>
        <v>323.36021651980241</v>
      </c>
      <c r="AK550" s="9">
        <f t="shared" si="128"/>
        <v>480</v>
      </c>
    </row>
    <row r="551" spans="1:37">
      <c r="A551" s="9">
        <v>6</v>
      </c>
      <c r="B551" s="9">
        <v>2024</v>
      </c>
      <c r="C551" s="9" t="s">
        <v>46</v>
      </c>
      <c r="D551" s="9" t="s">
        <v>47</v>
      </c>
      <c r="E551" s="9" t="s">
        <v>47</v>
      </c>
      <c r="F551" s="10">
        <v>45328</v>
      </c>
      <c r="G551" s="9" t="s">
        <v>154</v>
      </c>
      <c r="H551" s="9" t="s">
        <v>54</v>
      </c>
      <c r="I551" s="9">
        <v>1</v>
      </c>
      <c r="J551" s="11">
        <f>K551/280*12</f>
        <v>3.4285714285714284</v>
      </c>
      <c r="K551" s="11">
        <v>80</v>
      </c>
      <c r="L551" s="12">
        <v>0.56999999999999995</v>
      </c>
      <c r="M551" s="12">
        <v>45.6</v>
      </c>
      <c r="N551" s="13" t="s">
        <v>49</v>
      </c>
      <c r="Q551" s="9">
        <f>IF(Auction_Sales[[#This Row],[Payment Date]]=0,"",-1+WEEKNUM(Auction_Sales[[#This Row],[Payment Date]]))</f>
        <v>6</v>
      </c>
      <c r="R551" s="9">
        <f t="shared" si="145"/>
        <v>80</v>
      </c>
      <c r="S551" s="1" t="str">
        <f t="shared" si="140"/>
        <v>English Roses</v>
      </c>
      <c r="T551" s="9" t="str">
        <f t="shared" si="140"/>
        <v>80CM</v>
      </c>
      <c r="W551" s="13">
        <f t="shared" si="123"/>
        <v>0</v>
      </c>
      <c r="X551" s="14">
        <f t="shared" si="134"/>
        <v>0</v>
      </c>
      <c r="Y551" s="13">
        <f t="shared" si="124"/>
        <v>0</v>
      </c>
      <c r="Z551" s="10">
        <v>45336</v>
      </c>
      <c r="AA551" s="9">
        <f t="shared" si="125"/>
        <v>-80</v>
      </c>
      <c r="AC551" s="9" t="s">
        <v>81</v>
      </c>
      <c r="AD551" s="14">
        <f t="shared" si="139"/>
        <v>11.343975155279503</v>
      </c>
      <c r="AF551" s="14">
        <f t="shared" si="144"/>
        <v>0</v>
      </c>
      <c r="AH551" s="14">
        <f t="shared" si="146"/>
        <v>11.343975155279503</v>
      </c>
      <c r="AI551" s="13">
        <f t="shared" si="127"/>
        <v>-11.343975155279503</v>
      </c>
      <c r="AK551" s="9">
        <f t="shared" si="128"/>
        <v>0</v>
      </c>
    </row>
    <row r="552" spans="1:37">
      <c r="A552" s="9">
        <v>6</v>
      </c>
      <c r="B552" s="9">
        <v>2024</v>
      </c>
      <c r="C552" s="9" t="s">
        <v>46</v>
      </c>
      <c r="D552" s="9" t="s">
        <v>47</v>
      </c>
      <c r="E552" s="9" t="s">
        <v>47</v>
      </c>
      <c r="F552" s="10">
        <v>45328</v>
      </c>
      <c r="G552" s="9" t="s">
        <v>154</v>
      </c>
      <c r="H552" s="9" t="s">
        <v>56</v>
      </c>
      <c r="J552" s="11">
        <f t="shared" ref="J552:J553" si="147">K552/280*12</f>
        <v>6.8571428571428568</v>
      </c>
      <c r="K552" s="11">
        <v>160</v>
      </c>
      <c r="L552" s="12">
        <v>0.75</v>
      </c>
      <c r="M552" s="12">
        <v>120</v>
      </c>
      <c r="N552" s="13" t="s">
        <v>49</v>
      </c>
      <c r="Q552" s="9">
        <f>IF(Auction_Sales[[#This Row],[Payment Date]]=0,"",-1+WEEKNUM(Auction_Sales[[#This Row],[Payment Date]]))</f>
        <v>6</v>
      </c>
      <c r="R552" s="9">
        <f t="shared" si="145"/>
        <v>160</v>
      </c>
      <c r="S552" s="1" t="str">
        <f t="shared" si="140"/>
        <v>English Roses</v>
      </c>
      <c r="T552" s="9" t="str">
        <f t="shared" si="140"/>
        <v>90CM</v>
      </c>
      <c r="W552" s="13">
        <f t="shared" si="123"/>
        <v>0</v>
      </c>
      <c r="X552" s="14">
        <f t="shared" si="134"/>
        <v>0</v>
      </c>
      <c r="Y552" s="13">
        <f t="shared" si="124"/>
        <v>0</v>
      </c>
      <c r="Z552" s="10">
        <v>45336</v>
      </c>
      <c r="AA552" s="9">
        <f t="shared" si="125"/>
        <v>-160</v>
      </c>
      <c r="AC552" s="9" t="s">
        <v>81</v>
      </c>
      <c r="AD552" s="14">
        <f t="shared" si="139"/>
        <v>22.687950310559007</v>
      </c>
      <c r="AF552" s="14">
        <f t="shared" si="144"/>
        <v>0</v>
      </c>
      <c r="AH552" s="14">
        <f t="shared" si="146"/>
        <v>22.687950310559007</v>
      </c>
      <c r="AI552" s="13">
        <f t="shared" si="127"/>
        <v>-22.687950310559007</v>
      </c>
      <c r="AK552" s="9">
        <f t="shared" si="128"/>
        <v>0</v>
      </c>
    </row>
    <row r="553" spans="1:37">
      <c r="A553" s="9">
        <v>6</v>
      </c>
      <c r="B553" s="9">
        <v>2024</v>
      </c>
      <c r="C553" s="9" t="s">
        <v>46</v>
      </c>
      <c r="D553" s="9" t="s">
        <v>47</v>
      </c>
      <c r="E553" s="9" t="s">
        <v>47</v>
      </c>
      <c r="F553" s="10">
        <v>45328</v>
      </c>
      <c r="G553" s="9" t="s">
        <v>154</v>
      </c>
      <c r="H553" s="9" t="s">
        <v>57</v>
      </c>
      <c r="J553" s="11">
        <f t="shared" si="147"/>
        <v>1.7142857142857142</v>
      </c>
      <c r="K553" s="11">
        <v>40</v>
      </c>
      <c r="L553" s="12">
        <v>0.94</v>
      </c>
      <c r="M553" s="12">
        <v>37.6</v>
      </c>
      <c r="N553" s="13" t="s">
        <v>49</v>
      </c>
      <c r="Q553" s="9">
        <f>IF(Auction_Sales[[#This Row],[Payment Date]]=0,"",-1+WEEKNUM(Auction_Sales[[#This Row],[Payment Date]]))</f>
        <v>6</v>
      </c>
      <c r="R553" s="9">
        <f t="shared" si="145"/>
        <v>0</v>
      </c>
      <c r="S553" s="1" t="str">
        <f t="shared" si="140"/>
        <v>English Roses</v>
      </c>
      <c r="T553" s="9" t="str">
        <f t="shared" si="140"/>
        <v>100CM</v>
      </c>
      <c r="U553" s="9">
        <v>40</v>
      </c>
      <c r="V553" s="13">
        <f>37.2/U553</f>
        <v>0.93</v>
      </c>
      <c r="W553" s="13">
        <f t="shared" si="123"/>
        <v>37.200000000000003</v>
      </c>
      <c r="X553" s="14">
        <f t="shared" si="134"/>
        <v>-1.7631848552338532</v>
      </c>
      <c r="Y553" s="13">
        <f t="shared" si="124"/>
        <v>35.43681514476615</v>
      </c>
      <c r="Z553" s="10">
        <v>45336</v>
      </c>
      <c r="AA553" s="9">
        <f t="shared" si="125"/>
        <v>0</v>
      </c>
      <c r="AC553" s="9" t="s">
        <v>81</v>
      </c>
      <c r="AD553" s="14">
        <f t="shared" si="139"/>
        <v>5.6719875776397517</v>
      </c>
      <c r="AF553" s="14">
        <f t="shared" si="144"/>
        <v>0.8</v>
      </c>
      <c r="AH553" s="14">
        <f t="shared" si="146"/>
        <v>6.4719875776397515</v>
      </c>
      <c r="AI553" s="13">
        <f t="shared" si="127"/>
        <v>28.964827567126399</v>
      </c>
      <c r="AK553" s="9">
        <f t="shared" si="128"/>
        <v>40</v>
      </c>
    </row>
    <row r="554" spans="1:37">
      <c r="A554" s="9">
        <v>6</v>
      </c>
      <c r="B554" s="9">
        <v>2024</v>
      </c>
      <c r="C554" s="9" t="s">
        <v>46</v>
      </c>
      <c r="D554" s="9" t="s">
        <v>47</v>
      </c>
      <c r="E554" s="9" t="s">
        <v>47</v>
      </c>
      <c r="F554" s="10">
        <v>45330</v>
      </c>
      <c r="G554" s="9" t="s">
        <v>154</v>
      </c>
      <c r="H554" s="9" t="s">
        <v>51</v>
      </c>
      <c r="I554" s="9">
        <v>1</v>
      </c>
      <c r="J554" s="11">
        <f t="shared" ref="J554:J567" si="148">I554*12</f>
        <v>12</v>
      </c>
      <c r="K554" s="9">
        <v>520</v>
      </c>
      <c r="L554" s="12">
        <v>0.38</v>
      </c>
      <c r="M554" s="27">
        <v>197.6</v>
      </c>
      <c r="N554" s="13" t="s">
        <v>49</v>
      </c>
      <c r="Q554" s="9">
        <f>IF(Auction_Sales[[#This Row],[Payment Date]]=0,"",-1+WEEKNUM(Auction_Sales[[#This Row],[Payment Date]]))</f>
        <v>7</v>
      </c>
      <c r="R554" s="9">
        <f>K554-U554</f>
        <v>-200</v>
      </c>
      <c r="S554" s="1" t="str">
        <f t="shared" ref="S554:T569" si="149">G554</f>
        <v>English Roses</v>
      </c>
      <c r="T554" s="9" t="str">
        <f t="shared" si="149"/>
        <v>50CM</v>
      </c>
      <c r="U554" s="9">
        <f>360+360</f>
        <v>720</v>
      </c>
      <c r="V554" s="13">
        <f>(122+50)/U554</f>
        <v>0.2388888888888889</v>
      </c>
      <c r="W554" s="13">
        <f>U554*V554</f>
        <v>172</v>
      </c>
      <c r="X554" s="14">
        <f>-(4373.6-3965.34)*U554/(3040+3560+3600)</f>
        <v>-28.818352941176489</v>
      </c>
      <c r="Y554" s="13">
        <f>W554+X554</f>
        <v>143.1816470588235</v>
      </c>
      <c r="Z554" s="10">
        <v>45343</v>
      </c>
      <c r="AA554" s="9">
        <f>U554-K554</f>
        <v>200</v>
      </c>
      <c r="AC554" s="9">
        <v>428475</v>
      </c>
      <c r="AD554" s="14">
        <f>J554/(22*12)*856.04</f>
        <v>38.910909090909094</v>
      </c>
      <c r="AF554" s="14">
        <f t="shared" ref="AF554:AF578" si="150">U554*0.02</f>
        <v>14.4</v>
      </c>
      <c r="AH554" s="14">
        <f>SUM(AD554:AG554)</f>
        <v>53.310909090909092</v>
      </c>
      <c r="AI554" s="13">
        <f>Y554-AH554</f>
        <v>89.870737967914408</v>
      </c>
      <c r="AK554" s="9">
        <f>U554</f>
        <v>720</v>
      </c>
    </row>
    <row r="555" spans="1:37">
      <c r="A555" s="9">
        <v>6</v>
      </c>
      <c r="B555" s="9">
        <v>2024</v>
      </c>
      <c r="C555" s="9" t="s">
        <v>46</v>
      </c>
      <c r="D555" s="9" t="s">
        <v>47</v>
      </c>
      <c r="E555" s="9" t="s">
        <v>47</v>
      </c>
      <c r="F555" s="10">
        <v>45330</v>
      </c>
      <c r="G555" s="9" t="s">
        <v>154</v>
      </c>
      <c r="H555" s="9" t="s">
        <v>48</v>
      </c>
      <c r="I555" s="9">
        <v>1</v>
      </c>
      <c r="J555" s="11">
        <f t="shared" si="148"/>
        <v>12</v>
      </c>
      <c r="K555" s="9">
        <v>520</v>
      </c>
      <c r="L555" s="12">
        <v>0.47</v>
      </c>
      <c r="M555" s="27">
        <v>244.4</v>
      </c>
      <c r="N555" s="13" t="s">
        <v>49</v>
      </c>
      <c r="Q555" s="9">
        <f>IF(Auction_Sales[[#This Row],[Payment Date]]=0,"",-1+WEEKNUM(Auction_Sales[[#This Row],[Payment Date]]))</f>
        <v>7</v>
      </c>
      <c r="R555" s="9">
        <f>K555-U555</f>
        <v>-160</v>
      </c>
      <c r="S555" s="1" t="str">
        <f t="shared" si="149"/>
        <v>English Roses</v>
      </c>
      <c r="T555" s="9" t="str">
        <f t="shared" si="149"/>
        <v>60CM</v>
      </c>
      <c r="U555" s="9">
        <f>320+360</f>
        <v>680</v>
      </c>
      <c r="V555" s="13">
        <f>(153.6+100)/U555</f>
        <v>0.37294117647058822</v>
      </c>
      <c r="W555" s="13">
        <f>U555*V555</f>
        <v>253.6</v>
      </c>
      <c r="X555" s="14">
        <f t="shared" ref="X555:X578" si="151">-(4373.6-3965.34)*U555/(3040+3560+3600)</f>
        <v>-27.21733333333335</v>
      </c>
      <c r="Y555" s="13">
        <f>W555+X555</f>
        <v>226.38266666666664</v>
      </c>
      <c r="Z555" s="10">
        <v>45343</v>
      </c>
      <c r="AA555" s="9">
        <f>U555-K555</f>
        <v>160</v>
      </c>
      <c r="AC555" s="9">
        <v>428475</v>
      </c>
      <c r="AD555" s="14">
        <f t="shared" ref="AD555:AD578" si="152">J555/(22*12)*856.04</f>
        <v>38.910909090909094</v>
      </c>
      <c r="AF555" s="14">
        <f t="shared" si="150"/>
        <v>13.6</v>
      </c>
      <c r="AH555" s="14">
        <f>SUM(AD555:AG555)</f>
        <v>52.510909090909095</v>
      </c>
      <c r="AI555" s="13">
        <f>Y555-AH555</f>
        <v>173.87175757575756</v>
      </c>
      <c r="AK555" s="9">
        <f>U555</f>
        <v>680</v>
      </c>
    </row>
    <row r="556" spans="1:37">
      <c r="A556" s="9">
        <v>6</v>
      </c>
      <c r="B556" s="9">
        <v>2024</v>
      </c>
      <c r="C556" s="9" t="s">
        <v>46</v>
      </c>
      <c r="D556" s="9" t="s">
        <v>47</v>
      </c>
      <c r="E556" s="9" t="s">
        <v>47</v>
      </c>
      <c r="F556" s="10">
        <v>45330</v>
      </c>
      <c r="G556" s="9" t="s">
        <v>154</v>
      </c>
      <c r="H556" s="9" t="s">
        <v>52</v>
      </c>
      <c r="I556" s="9">
        <v>1</v>
      </c>
      <c r="J556" s="11">
        <f t="shared" si="148"/>
        <v>12</v>
      </c>
      <c r="K556" s="9">
        <v>400</v>
      </c>
      <c r="L556" s="12">
        <v>0.52</v>
      </c>
      <c r="M556" s="27">
        <v>208</v>
      </c>
      <c r="N556" s="13" t="s">
        <v>49</v>
      </c>
      <c r="Q556" s="9">
        <f>IF(Auction_Sales[[#This Row],[Payment Date]]=0,"",-1+WEEKNUM(Auction_Sales[[#This Row],[Payment Date]]))</f>
        <v>7</v>
      </c>
      <c r="R556" s="9">
        <f>K556-U556</f>
        <v>0</v>
      </c>
      <c r="S556" s="1" t="str">
        <f t="shared" si="149"/>
        <v>English Roses</v>
      </c>
      <c r="T556" s="9" t="str">
        <f t="shared" si="149"/>
        <v>70CM</v>
      </c>
      <c r="U556" s="9">
        <f>200+200</f>
        <v>400</v>
      </c>
      <c r="V556" s="13">
        <f>(122+101.2)/U556</f>
        <v>0.55799999999999994</v>
      </c>
      <c r="W556" s="13">
        <f>U556*V556</f>
        <v>223.2</v>
      </c>
      <c r="X556" s="14">
        <f t="shared" si="151"/>
        <v>-16.010196078431381</v>
      </c>
      <c r="Y556" s="13">
        <f>W556+X556</f>
        <v>207.1898039215686</v>
      </c>
      <c r="Z556" s="10">
        <v>45343</v>
      </c>
      <c r="AA556" s="9">
        <f>U556-K556</f>
        <v>0</v>
      </c>
      <c r="AC556" s="9">
        <v>428475</v>
      </c>
      <c r="AD556" s="14">
        <f t="shared" si="152"/>
        <v>38.910909090909094</v>
      </c>
      <c r="AF556" s="14">
        <f t="shared" si="150"/>
        <v>8</v>
      </c>
      <c r="AH556" s="14">
        <f>SUM(AD556:AG556)</f>
        <v>46.910909090909094</v>
      </c>
      <c r="AI556" s="13">
        <f>Y556-AH556</f>
        <v>160.27889483065951</v>
      </c>
      <c r="AK556" s="9">
        <f>U556</f>
        <v>400</v>
      </c>
    </row>
    <row r="557" spans="1:37">
      <c r="A557" s="9">
        <v>6</v>
      </c>
      <c r="B557" s="9">
        <v>2024</v>
      </c>
      <c r="C557" s="9" t="s">
        <v>46</v>
      </c>
      <c r="D557" s="9" t="s">
        <v>47</v>
      </c>
      <c r="E557" s="9" t="s">
        <v>47</v>
      </c>
      <c r="F557" s="10">
        <v>45330</v>
      </c>
      <c r="G557" s="9" t="s">
        <v>154</v>
      </c>
      <c r="H557" s="9" t="s">
        <v>54</v>
      </c>
      <c r="I557" s="9">
        <v>1</v>
      </c>
      <c r="J557" s="11">
        <f t="shared" si="148"/>
        <v>12</v>
      </c>
      <c r="K557" s="9">
        <v>320</v>
      </c>
      <c r="L557" s="12">
        <v>0.56999999999999995</v>
      </c>
      <c r="M557" s="27">
        <v>182.4</v>
      </c>
      <c r="N557" s="13" t="s">
        <v>49</v>
      </c>
      <c r="Q557" s="9">
        <f>IF(Auction_Sales[[#This Row],[Payment Date]]=0,"",-1+WEEKNUM(Auction_Sales[[#This Row],[Payment Date]]))</f>
        <v>7</v>
      </c>
      <c r="R557" s="9">
        <f t="shared" ref="R557:R578" si="153">K557-U557</f>
        <v>0</v>
      </c>
      <c r="S557" s="1" t="str">
        <f t="shared" si="149"/>
        <v>English Roses</v>
      </c>
      <c r="T557" s="9" t="str">
        <f t="shared" si="149"/>
        <v>80CM</v>
      </c>
      <c r="U557" s="9">
        <v>320</v>
      </c>
      <c r="V557" s="13">
        <f>204/U557</f>
        <v>0.63749999999999996</v>
      </c>
      <c r="W557" s="13">
        <f t="shared" ref="W557:W578" si="154">U557*V557</f>
        <v>204</v>
      </c>
      <c r="X557" s="14">
        <f t="shared" si="151"/>
        <v>-12.808156862745104</v>
      </c>
      <c r="Y557" s="13">
        <f t="shared" ref="Y557:Y578" si="155">W557+X557</f>
        <v>191.19184313725489</v>
      </c>
      <c r="Z557" s="10">
        <v>45343</v>
      </c>
      <c r="AA557" s="9">
        <f t="shared" ref="AA557:AA578" si="156">U557-K557</f>
        <v>0</v>
      </c>
      <c r="AC557" s="9">
        <v>428475</v>
      </c>
      <c r="AD557" s="14">
        <f t="shared" si="152"/>
        <v>38.910909090909094</v>
      </c>
      <c r="AF557" s="14">
        <f t="shared" si="150"/>
        <v>6.4</v>
      </c>
      <c r="AH557" s="14">
        <f t="shared" ref="AH557" si="157">SUM(AD557:AG557)</f>
        <v>45.310909090909092</v>
      </c>
      <c r="AI557" s="13">
        <f t="shared" ref="AI557:AI578" si="158">Y557-AH557</f>
        <v>145.8809340463458</v>
      </c>
      <c r="AK557" s="9">
        <f t="shared" ref="AK557:AK578" si="159">U557</f>
        <v>320</v>
      </c>
    </row>
    <row r="558" spans="1:37">
      <c r="A558" s="9">
        <v>6</v>
      </c>
      <c r="B558" s="9">
        <v>2024</v>
      </c>
      <c r="C558" s="9" t="s">
        <v>46</v>
      </c>
      <c r="D558" s="9" t="s">
        <v>47</v>
      </c>
      <c r="E558" s="9" t="s">
        <v>47</v>
      </c>
      <c r="F558" s="10">
        <v>45330</v>
      </c>
      <c r="G558" s="9" t="s">
        <v>154</v>
      </c>
      <c r="H558" s="9" t="s">
        <v>57</v>
      </c>
      <c r="I558" s="9">
        <v>1</v>
      </c>
      <c r="J558" s="11">
        <f t="shared" si="148"/>
        <v>12</v>
      </c>
      <c r="K558" s="9">
        <v>200</v>
      </c>
      <c r="L558" s="12">
        <v>0.94</v>
      </c>
      <c r="M558" s="27">
        <v>188</v>
      </c>
      <c r="N558" s="13" t="s">
        <v>49</v>
      </c>
      <c r="Q558" s="9">
        <f>IF(Auction_Sales[[#This Row],[Payment Date]]=0,"",-1+WEEKNUM(Auction_Sales[[#This Row],[Payment Date]]))</f>
        <v>7</v>
      </c>
      <c r="R558" s="9">
        <f t="shared" si="153"/>
        <v>0</v>
      </c>
      <c r="S558" s="1" t="str">
        <f t="shared" si="149"/>
        <v>English Roses</v>
      </c>
      <c r="T558" s="9" t="str">
        <f t="shared" si="149"/>
        <v>100CM</v>
      </c>
      <c r="U558" s="9">
        <v>200</v>
      </c>
      <c r="V558" s="13">
        <f>148.4/U558</f>
        <v>0.74199999999999999</v>
      </c>
      <c r="W558" s="13">
        <f t="shared" si="154"/>
        <v>148.4</v>
      </c>
      <c r="X558" s="14">
        <f t="shared" si="151"/>
        <v>-8.0050980392156905</v>
      </c>
      <c r="Y558" s="13">
        <f t="shared" si="155"/>
        <v>140.39490196078432</v>
      </c>
      <c r="Z558" s="10">
        <v>45343</v>
      </c>
      <c r="AA558" s="9">
        <f t="shared" si="156"/>
        <v>0</v>
      </c>
      <c r="AC558" s="9">
        <v>428475</v>
      </c>
      <c r="AD558" s="14">
        <f t="shared" si="152"/>
        <v>38.910909090909094</v>
      </c>
      <c r="AF558" s="14">
        <f t="shared" si="150"/>
        <v>4</v>
      </c>
      <c r="AH558" s="14">
        <f t="shared" ref="AH558:AH562" si="160">SUM(AD558:AG558)</f>
        <v>42.910909090909094</v>
      </c>
      <c r="AI558" s="13">
        <f t="shared" si="158"/>
        <v>97.483992869875237</v>
      </c>
      <c r="AK558" s="9">
        <f t="shared" si="159"/>
        <v>200</v>
      </c>
    </row>
    <row r="559" spans="1:37">
      <c r="A559" s="9">
        <v>6</v>
      </c>
      <c r="B559" s="9">
        <v>2024</v>
      </c>
      <c r="C559" s="9" t="s">
        <v>46</v>
      </c>
      <c r="D559" s="9" t="s">
        <v>47</v>
      </c>
      <c r="E559" s="9" t="s">
        <v>47</v>
      </c>
      <c r="F559" s="10">
        <v>45330</v>
      </c>
      <c r="G559" s="9" t="s">
        <v>155</v>
      </c>
      <c r="H559" s="9" t="s">
        <v>51</v>
      </c>
      <c r="I559" s="9">
        <v>2</v>
      </c>
      <c r="J559" s="11">
        <f t="shared" si="148"/>
        <v>24</v>
      </c>
      <c r="K559" s="11">
        <v>1200</v>
      </c>
      <c r="L559" s="12">
        <v>0.38</v>
      </c>
      <c r="M559" s="12">
        <v>456</v>
      </c>
      <c r="N559" s="13" t="s">
        <v>49</v>
      </c>
      <c r="Q559" s="9">
        <f>IF(Auction_Sales[[#This Row],[Payment Date]]=0,"",-1+WEEKNUM(Auction_Sales[[#This Row],[Payment Date]]))</f>
        <v>7</v>
      </c>
      <c r="R559" s="9">
        <f t="shared" si="153"/>
        <v>80</v>
      </c>
      <c r="S559" s="1" t="str">
        <f t="shared" si="149"/>
        <v>Floribunda Roses</v>
      </c>
      <c r="T559" s="9" t="str">
        <f t="shared" si="149"/>
        <v>50CM</v>
      </c>
      <c r="U559" s="9">
        <v>1120</v>
      </c>
      <c r="V559" s="13">
        <f>173.2/U559</f>
        <v>0.15464285714285714</v>
      </c>
      <c r="W559" s="13">
        <f t="shared" si="154"/>
        <v>173.2</v>
      </c>
      <c r="X559" s="14">
        <f t="shared" si="151"/>
        <v>-44.82854901960787</v>
      </c>
      <c r="Y559" s="13">
        <f t="shared" si="155"/>
        <v>128.37145098039213</v>
      </c>
      <c r="Z559" s="10">
        <v>45343</v>
      </c>
      <c r="AA559" s="9">
        <f t="shared" si="156"/>
        <v>-80</v>
      </c>
      <c r="AC559" s="9">
        <v>428475</v>
      </c>
      <c r="AD559" s="14">
        <f t="shared" si="152"/>
        <v>77.821818181818188</v>
      </c>
      <c r="AF559" s="14">
        <f t="shared" si="150"/>
        <v>22.400000000000002</v>
      </c>
      <c r="AH559" s="14">
        <f t="shared" si="160"/>
        <v>100.22181818181819</v>
      </c>
      <c r="AI559" s="13">
        <f t="shared" si="158"/>
        <v>28.149632798573933</v>
      </c>
      <c r="AK559" s="9">
        <f t="shared" si="159"/>
        <v>1120</v>
      </c>
    </row>
    <row r="560" spans="1:37">
      <c r="A560" s="9">
        <v>6</v>
      </c>
      <c r="B560" s="9">
        <v>2024</v>
      </c>
      <c r="C560" s="9" t="s">
        <v>46</v>
      </c>
      <c r="D560" s="9" t="s">
        <v>47</v>
      </c>
      <c r="E560" s="9" t="s">
        <v>47</v>
      </c>
      <c r="F560" s="10">
        <v>45330</v>
      </c>
      <c r="G560" s="9" t="s">
        <v>155</v>
      </c>
      <c r="H560" s="9" t="s">
        <v>51</v>
      </c>
      <c r="I560" s="9">
        <v>2</v>
      </c>
      <c r="J560" s="11">
        <f t="shared" si="148"/>
        <v>24</v>
      </c>
      <c r="K560" s="11">
        <v>1040</v>
      </c>
      <c r="L560" s="12">
        <v>0.38</v>
      </c>
      <c r="M560" s="12">
        <v>395.2</v>
      </c>
      <c r="N560" s="13" t="s">
        <v>49</v>
      </c>
      <c r="Q560" s="9">
        <f>IF(Auction_Sales[[#This Row],[Payment Date]]=0,"",-1+WEEKNUM(Auction_Sales[[#This Row],[Payment Date]]))</f>
        <v>7</v>
      </c>
      <c r="R560" s="9">
        <f t="shared" si="153"/>
        <v>-120</v>
      </c>
      <c r="S560" s="1" t="str">
        <f t="shared" si="149"/>
        <v>Floribunda Roses</v>
      </c>
      <c r="T560" s="9" t="str">
        <f t="shared" si="149"/>
        <v>50CM</v>
      </c>
      <c r="U560" s="9">
        <f>1160</f>
        <v>1160</v>
      </c>
      <c r="V560" s="13">
        <f>392.4/U560</f>
        <v>0.33827586206896548</v>
      </c>
      <c r="W560" s="13">
        <f t="shared" si="154"/>
        <v>392.4</v>
      </c>
      <c r="X560" s="14">
        <f t="shared" si="151"/>
        <v>-46.429568627451005</v>
      </c>
      <c r="Y560" s="13">
        <f t="shared" si="155"/>
        <v>345.970431372549</v>
      </c>
      <c r="Z560" s="10">
        <v>45343</v>
      </c>
      <c r="AA560" s="9">
        <f t="shared" si="156"/>
        <v>120</v>
      </c>
      <c r="AC560" s="9">
        <v>428475</v>
      </c>
      <c r="AD560" s="14">
        <f t="shared" si="152"/>
        <v>77.821818181818188</v>
      </c>
      <c r="AF560" s="14">
        <f t="shared" si="150"/>
        <v>23.2</v>
      </c>
      <c r="AH560" s="14">
        <f t="shared" si="160"/>
        <v>101.02181818181819</v>
      </c>
      <c r="AI560" s="13">
        <f t="shared" si="158"/>
        <v>244.94861319073081</v>
      </c>
      <c r="AK560" s="9">
        <f t="shared" si="159"/>
        <v>1160</v>
      </c>
    </row>
    <row r="561" spans="1:37">
      <c r="A561" s="9">
        <v>6</v>
      </c>
      <c r="B561" s="9">
        <v>2024</v>
      </c>
      <c r="C561" s="9" t="s">
        <v>46</v>
      </c>
      <c r="D561" s="9" t="s">
        <v>47</v>
      </c>
      <c r="E561" s="9" t="s">
        <v>47</v>
      </c>
      <c r="F561" s="10">
        <v>45330</v>
      </c>
      <c r="G561" s="9" t="s">
        <v>155</v>
      </c>
      <c r="H561" s="9" t="s">
        <v>48</v>
      </c>
      <c r="I561" s="9">
        <v>2</v>
      </c>
      <c r="J561" s="11">
        <f t="shared" si="148"/>
        <v>24</v>
      </c>
      <c r="K561" s="11">
        <v>1040</v>
      </c>
      <c r="L561" s="12">
        <v>0.47</v>
      </c>
      <c r="M561" s="12">
        <v>488.8</v>
      </c>
      <c r="N561" s="13" t="s">
        <v>49</v>
      </c>
      <c r="Q561" s="9">
        <f>IF(Auction_Sales[[#This Row],[Payment Date]]=0,"",-1+WEEKNUM(Auction_Sales[[#This Row],[Payment Date]]))</f>
        <v>7</v>
      </c>
      <c r="R561" s="9">
        <f t="shared" si="153"/>
        <v>-240</v>
      </c>
      <c r="S561" s="1" t="str">
        <f t="shared" si="149"/>
        <v>Floribunda Roses</v>
      </c>
      <c r="T561" s="9" t="str">
        <f t="shared" si="149"/>
        <v>60CM</v>
      </c>
      <c r="U561" s="9">
        <f>640+640</f>
        <v>1280</v>
      </c>
      <c r="V561" s="13">
        <f>(281.6+180.8)/U561</f>
        <v>0.36125000000000002</v>
      </c>
      <c r="W561" s="13">
        <f t="shared" si="154"/>
        <v>462.40000000000003</v>
      </c>
      <c r="X561" s="14">
        <f t="shared" si="151"/>
        <v>-51.232627450980416</v>
      </c>
      <c r="Y561" s="13">
        <f t="shared" si="155"/>
        <v>411.1673725490196</v>
      </c>
      <c r="Z561" s="10">
        <v>45343</v>
      </c>
      <c r="AA561" s="9">
        <f t="shared" si="156"/>
        <v>240</v>
      </c>
      <c r="AC561" s="9">
        <v>428475</v>
      </c>
      <c r="AD561" s="14">
        <f t="shared" si="152"/>
        <v>77.821818181818188</v>
      </c>
      <c r="AF561" s="14">
        <f t="shared" si="150"/>
        <v>25.6</v>
      </c>
      <c r="AH561" s="14">
        <f t="shared" si="160"/>
        <v>103.4218181818182</v>
      </c>
      <c r="AI561" s="13">
        <f t="shared" si="158"/>
        <v>307.74555436720141</v>
      </c>
      <c r="AK561" s="9">
        <f t="shared" si="159"/>
        <v>1280</v>
      </c>
    </row>
    <row r="562" spans="1:37">
      <c r="A562" s="9">
        <v>6</v>
      </c>
      <c r="B562" s="9">
        <v>2024</v>
      </c>
      <c r="C562" s="9" t="s">
        <v>46</v>
      </c>
      <c r="D562" s="9" t="s">
        <v>47</v>
      </c>
      <c r="E562" s="9" t="s">
        <v>47</v>
      </c>
      <c r="F562" s="10">
        <v>45330</v>
      </c>
      <c r="G562" s="9" t="s">
        <v>155</v>
      </c>
      <c r="H562" s="9" t="s">
        <v>52</v>
      </c>
      <c r="I562" s="9">
        <v>1</v>
      </c>
      <c r="J562" s="11">
        <f t="shared" si="148"/>
        <v>12</v>
      </c>
      <c r="K562" s="11">
        <v>400</v>
      </c>
      <c r="L562" s="12">
        <v>0.52</v>
      </c>
      <c r="M562" s="12">
        <v>208</v>
      </c>
      <c r="N562" s="13" t="s">
        <v>49</v>
      </c>
      <c r="Q562" s="9">
        <f>IF(Auction_Sales[[#This Row],[Payment Date]]=0,"",-1+WEEKNUM(Auction_Sales[[#This Row],[Payment Date]]))</f>
        <v>7</v>
      </c>
      <c r="R562" s="9">
        <f t="shared" si="153"/>
        <v>400</v>
      </c>
      <c r="S562" s="1" t="str">
        <f t="shared" si="149"/>
        <v>Floribunda Roses</v>
      </c>
      <c r="T562" s="9" t="str">
        <f t="shared" si="149"/>
        <v>70CM</v>
      </c>
      <c r="W562" s="13">
        <f t="shared" si="154"/>
        <v>0</v>
      </c>
      <c r="X562" s="14">
        <f t="shared" si="151"/>
        <v>0</v>
      </c>
      <c r="Y562" s="13">
        <f t="shared" si="155"/>
        <v>0</v>
      </c>
      <c r="Z562" s="10">
        <v>45343</v>
      </c>
      <c r="AA562" s="9">
        <f t="shared" si="156"/>
        <v>-400</v>
      </c>
      <c r="AC562" s="9">
        <v>428475</v>
      </c>
      <c r="AD562" s="14">
        <f t="shared" si="152"/>
        <v>38.910909090909094</v>
      </c>
      <c r="AF562" s="14">
        <f t="shared" si="150"/>
        <v>0</v>
      </c>
      <c r="AH562" s="14">
        <f t="shared" si="160"/>
        <v>38.910909090909094</v>
      </c>
      <c r="AI562" s="13">
        <f t="shared" si="158"/>
        <v>-38.910909090909094</v>
      </c>
      <c r="AK562" s="9">
        <f t="shared" si="159"/>
        <v>0</v>
      </c>
    </row>
    <row r="563" spans="1:37">
      <c r="A563" s="9">
        <v>6</v>
      </c>
      <c r="B563" s="9">
        <v>2024</v>
      </c>
      <c r="C563" s="9" t="s">
        <v>46</v>
      </c>
      <c r="D563" s="9" t="s">
        <v>47</v>
      </c>
      <c r="E563" s="9" t="s">
        <v>47</v>
      </c>
      <c r="F563" s="10">
        <v>45330</v>
      </c>
      <c r="G563" s="9" t="s">
        <v>153</v>
      </c>
      <c r="H563" s="9" t="s">
        <v>51</v>
      </c>
      <c r="I563" s="9">
        <v>1</v>
      </c>
      <c r="J563" s="11">
        <f t="shared" si="148"/>
        <v>12</v>
      </c>
      <c r="K563" s="11">
        <v>800</v>
      </c>
      <c r="L563" s="12">
        <v>0.14000000000000001</v>
      </c>
      <c r="M563" s="27">
        <v>112</v>
      </c>
      <c r="N563" s="13" t="s">
        <v>49</v>
      </c>
      <c r="Q563" s="9">
        <f>IF(Auction_Sales[[#This Row],[Payment Date]]=0,"",-1+WEEKNUM(Auction_Sales[[#This Row],[Payment Date]]))</f>
        <v>7</v>
      </c>
      <c r="R563" s="9">
        <f t="shared" si="153"/>
        <v>-40</v>
      </c>
      <c r="S563" s="1" t="str">
        <f t="shared" si="149"/>
        <v>Grandiflora Roses</v>
      </c>
      <c r="T563" s="9" t="str">
        <f t="shared" si="149"/>
        <v>50CM</v>
      </c>
      <c r="U563" s="9">
        <f>400+440</f>
        <v>840</v>
      </c>
      <c r="V563" s="13">
        <f>(130.4+98.4)/U563</f>
        <v>0.27238095238095239</v>
      </c>
      <c r="W563" s="13">
        <f t="shared" si="154"/>
        <v>228.8</v>
      </c>
      <c r="X563" s="14">
        <f t="shared" si="151"/>
        <v>-33.621411764705904</v>
      </c>
      <c r="Y563" s="13">
        <f t="shared" si="155"/>
        <v>195.17858823529411</v>
      </c>
      <c r="Z563" s="10">
        <v>45343</v>
      </c>
      <c r="AA563" s="9">
        <f t="shared" si="156"/>
        <v>40</v>
      </c>
      <c r="AC563" s="9">
        <v>428475</v>
      </c>
      <c r="AD563" s="14">
        <f t="shared" si="152"/>
        <v>38.910909090909094</v>
      </c>
      <c r="AF563" s="14">
        <f t="shared" si="150"/>
        <v>16.8</v>
      </c>
      <c r="AH563" s="14">
        <f t="shared" ref="AH563:AH577" si="161">SUM(AD563:AG563)</f>
        <v>55.710909090909098</v>
      </c>
      <c r="AI563" s="13">
        <f t="shared" si="158"/>
        <v>139.46767914438502</v>
      </c>
      <c r="AK563" s="9">
        <f t="shared" si="159"/>
        <v>840</v>
      </c>
    </row>
    <row r="564" spans="1:37">
      <c r="A564" s="9">
        <v>6</v>
      </c>
      <c r="B564" s="9">
        <v>2024</v>
      </c>
      <c r="C564" s="9" t="s">
        <v>46</v>
      </c>
      <c r="D564" s="9" t="s">
        <v>47</v>
      </c>
      <c r="E564" s="9" t="s">
        <v>47</v>
      </c>
      <c r="F564" s="10">
        <v>45330</v>
      </c>
      <c r="G564" s="9" t="s">
        <v>153</v>
      </c>
      <c r="H564" s="9" t="s">
        <v>48</v>
      </c>
      <c r="I564" s="9">
        <v>1</v>
      </c>
      <c r="J564" s="11">
        <f t="shared" si="148"/>
        <v>12</v>
      </c>
      <c r="K564" s="9">
        <v>720</v>
      </c>
      <c r="L564" s="12">
        <v>0.24</v>
      </c>
      <c r="M564" s="27">
        <v>172.8</v>
      </c>
      <c r="N564" s="13" t="s">
        <v>49</v>
      </c>
      <c r="Q564" s="9">
        <f>IF(Auction_Sales[[#This Row],[Payment Date]]=0,"",-1+WEEKNUM(Auction_Sales[[#This Row],[Payment Date]]))</f>
        <v>7</v>
      </c>
      <c r="R564" s="9">
        <f t="shared" si="153"/>
        <v>-240</v>
      </c>
      <c r="S564" s="1" t="str">
        <f t="shared" si="149"/>
        <v>Grandiflora Roses</v>
      </c>
      <c r="T564" s="9" t="str">
        <f t="shared" si="149"/>
        <v>60CM</v>
      </c>
      <c r="U564" s="9">
        <f>480+480</f>
        <v>960</v>
      </c>
      <c r="V564" s="13">
        <f>(200+193.6)/U564</f>
        <v>0.41000000000000003</v>
      </c>
      <c r="W564" s="13">
        <f t="shared" si="154"/>
        <v>393.6</v>
      </c>
      <c r="X564" s="14">
        <f t="shared" si="151"/>
        <v>-38.424470588235316</v>
      </c>
      <c r="Y564" s="13">
        <f t="shared" si="155"/>
        <v>355.17552941176473</v>
      </c>
      <c r="Z564" s="10">
        <v>45343</v>
      </c>
      <c r="AA564" s="9">
        <f t="shared" si="156"/>
        <v>240</v>
      </c>
      <c r="AC564" s="9">
        <v>428475</v>
      </c>
      <c r="AD564" s="14">
        <f t="shared" si="152"/>
        <v>38.910909090909094</v>
      </c>
      <c r="AF564" s="14">
        <f t="shared" si="150"/>
        <v>19.2</v>
      </c>
      <c r="AH564" s="14">
        <f t="shared" si="161"/>
        <v>58.11090909090909</v>
      </c>
      <c r="AI564" s="13">
        <f t="shared" si="158"/>
        <v>297.06462032085562</v>
      </c>
      <c r="AK564" s="9">
        <f t="shared" si="159"/>
        <v>960</v>
      </c>
    </row>
    <row r="565" spans="1:37">
      <c r="A565" s="9">
        <v>6</v>
      </c>
      <c r="B565" s="9">
        <v>2024</v>
      </c>
      <c r="C565" s="9" t="s">
        <v>46</v>
      </c>
      <c r="D565" s="9" t="s">
        <v>47</v>
      </c>
      <c r="E565" s="9" t="s">
        <v>47</v>
      </c>
      <c r="F565" s="10">
        <v>45330</v>
      </c>
      <c r="G565" s="9" t="s">
        <v>153</v>
      </c>
      <c r="H565" s="9" t="s">
        <v>54</v>
      </c>
      <c r="I565" s="9">
        <v>1</v>
      </c>
      <c r="J565" s="11">
        <f t="shared" si="148"/>
        <v>12</v>
      </c>
      <c r="K565" s="9">
        <v>320</v>
      </c>
      <c r="L565" s="12">
        <v>0.33</v>
      </c>
      <c r="M565" s="27">
        <v>105.6</v>
      </c>
      <c r="N565" s="13" t="s">
        <v>49</v>
      </c>
      <c r="Q565" s="9">
        <f>IF(Auction_Sales[[#This Row],[Payment Date]]=0,"",-1+WEEKNUM(Auction_Sales[[#This Row],[Payment Date]]))</f>
        <v>7</v>
      </c>
      <c r="R565" s="9">
        <f t="shared" si="153"/>
        <v>0</v>
      </c>
      <c r="S565" s="1" t="str">
        <f t="shared" si="149"/>
        <v>Grandiflora Roses</v>
      </c>
      <c r="T565" s="9" t="str">
        <f t="shared" si="149"/>
        <v>80CM</v>
      </c>
      <c r="U565" s="9">
        <v>320</v>
      </c>
      <c r="V565" s="13">
        <f>242.4/U565</f>
        <v>0.75750000000000006</v>
      </c>
      <c r="W565" s="13">
        <f t="shared" si="154"/>
        <v>242.40000000000003</v>
      </c>
      <c r="X565" s="14">
        <f t="shared" si="151"/>
        <v>-12.808156862745104</v>
      </c>
      <c r="Y565" s="13">
        <f t="shared" si="155"/>
        <v>229.59184313725493</v>
      </c>
      <c r="Z565" s="10">
        <v>45343</v>
      </c>
      <c r="AA565" s="9">
        <f t="shared" si="156"/>
        <v>0</v>
      </c>
      <c r="AC565" s="9">
        <v>428475</v>
      </c>
      <c r="AD565" s="14">
        <f t="shared" si="152"/>
        <v>38.910909090909094</v>
      </c>
      <c r="AF565" s="14">
        <f t="shared" si="150"/>
        <v>6.4</v>
      </c>
      <c r="AH565" s="14">
        <f t="shared" si="161"/>
        <v>45.310909090909092</v>
      </c>
      <c r="AI565" s="13">
        <f t="shared" si="158"/>
        <v>184.28093404634583</v>
      </c>
      <c r="AK565" s="9">
        <f t="shared" si="159"/>
        <v>320</v>
      </c>
    </row>
    <row r="566" spans="1:37">
      <c r="A566" s="9">
        <v>6</v>
      </c>
      <c r="B566" s="9">
        <v>2024</v>
      </c>
      <c r="C566" s="9" t="s">
        <v>46</v>
      </c>
      <c r="D566" s="9" t="s">
        <v>47</v>
      </c>
      <c r="E566" s="9" t="s">
        <v>47</v>
      </c>
      <c r="F566" s="10">
        <v>45330</v>
      </c>
      <c r="G566" s="9" t="s">
        <v>153</v>
      </c>
      <c r="H566" s="9" t="s">
        <v>56</v>
      </c>
      <c r="I566" s="9">
        <v>1</v>
      </c>
      <c r="J566" s="11">
        <f t="shared" si="148"/>
        <v>12</v>
      </c>
      <c r="K566" s="9">
        <v>320</v>
      </c>
      <c r="L566" s="12">
        <v>0.38</v>
      </c>
      <c r="M566" s="27">
        <v>121.6</v>
      </c>
      <c r="N566" s="13" t="s">
        <v>49</v>
      </c>
      <c r="Q566" s="9">
        <f>IF(Auction_Sales[[#This Row],[Payment Date]]=0,"",-1+WEEKNUM(Auction_Sales[[#This Row],[Payment Date]]))</f>
        <v>7</v>
      </c>
      <c r="R566" s="9">
        <f t="shared" si="153"/>
        <v>0</v>
      </c>
      <c r="S566" s="1" t="str">
        <f t="shared" si="149"/>
        <v>Grandiflora Roses</v>
      </c>
      <c r="T566" s="9" t="str">
        <f t="shared" si="149"/>
        <v>90CM</v>
      </c>
      <c r="U566" s="9">
        <v>320</v>
      </c>
      <c r="V566" s="13">
        <f>236.8/U566</f>
        <v>0.74</v>
      </c>
      <c r="W566" s="13">
        <f t="shared" si="154"/>
        <v>236.8</v>
      </c>
      <c r="X566" s="14">
        <f t="shared" si="151"/>
        <v>-12.808156862745104</v>
      </c>
      <c r="Y566" s="13">
        <f t="shared" si="155"/>
        <v>223.9918431372549</v>
      </c>
      <c r="Z566" s="10">
        <v>45343</v>
      </c>
      <c r="AA566" s="9">
        <f t="shared" si="156"/>
        <v>0</v>
      </c>
      <c r="AC566" s="9">
        <v>428475</v>
      </c>
      <c r="AD566" s="14">
        <f t="shared" si="152"/>
        <v>38.910909090909094</v>
      </c>
      <c r="AF566" s="14">
        <f t="shared" si="150"/>
        <v>6.4</v>
      </c>
      <c r="AH566" s="14">
        <f t="shared" si="161"/>
        <v>45.310909090909092</v>
      </c>
      <c r="AI566" s="13">
        <f t="shared" si="158"/>
        <v>178.68093404634581</v>
      </c>
      <c r="AK566" s="9">
        <f t="shared" si="159"/>
        <v>320</v>
      </c>
    </row>
    <row r="567" spans="1:37">
      <c r="A567" s="9">
        <v>6</v>
      </c>
      <c r="B567" s="9">
        <v>2024</v>
      </c>
      <c r="C567" s="9" t="s">
        <v>46</v>
      </c>
      <c r="D567" s="9" t="s">
        <v>47</v>
      </c>
      <c r="E567" s="9" t="s">
        <v>47</v>
      </c>
      <c r="F567" s="10">
        <v>45330</v>
      </c>
      <c r="G567" s="9" t="s">
        <v>153</v>
      </c>
      <c r="H567" s="9" t="s">
        <v>57</v>
      </c>
      <c r="I567" s="9">
        <v>1</v>
      </c>
      <c r="J567" s="11">
        <f t="shared" si="148"/>
        <v>12</v>
      </c>
      <c r="K567" s="9">
        <v>280</v>
      </c>
      <c r="L567" s="12">
        <v>0.47</v>
      </c>
      <c r="M567" s="27">
        <v>131.6</v>
      </c>
      <c r="N567" s="13" t="s">
        <v>49</v>
      </c>
      <c r="Q567" s="9">
        <f>IF(Auction_Sales[[#This Row],[Payment Date]]=0,"",-1+WEEKNUM(Auction_Sales[[#This Row],[Payment Date]]))</f>
        <v>7</v>
      </c>
      <c r="R567" s="9">
        <f t="shared" si="153"/>
        <v>0</v>
      </c>
      <c r="S567" s="1" t="str">
        <f t="shared" si="149"/>
        <v>Grandiflora Roses</v>
      </c>
      <c r="T567" s="9" t="str">
        <f t="shared" si="149"/>
        <v>100CM</v>
      </c>
      <c r="U567" s="9">
        <v>280</v>
      </c>
      <c r="V567" s="13">
        <f>248/U567</f>
        <v>0.88571428571428568</v>
      </c>
      <c r="W567" s="13">
        <f t="shared" si="154"/>
        <v>248</v>
      </c>
      <c r="X567" s="14">
        <f t="shared" si="151"/>
        <v>-11.207137254901967</v>
      </c>
      <c r="Y567" s="13">
        <f t="shared" si="155"/>
        <v>236.79286274509803</v>
      </c>
      <c r="Z567" s="10">
        <v>45343</v>
      </c>
      <c r="AA567" s="9">
        <f t="shared" si="156"/>
        <v>0</v>
      </c>
      <c r="AC567" s="9">
        <v>428475</v>
      </c>
      <c r="AD567" s="14">
        <f t="shared" si="152"/>
        <v>38.910909090909094</v>
      </c>
      <c r="AF567" s="14">
        <f t="shared" si="150"/>
        <v>5.6000000000000005</v>
      </c>
      <c r="AH567" s="14">
        <f t="shared" si="161"/>
        <v>44.510909090909095</v>
      </c>
      <c r="AI567" s="13">
        <f t="shared" si="158"/>
        <v>192.28195365418895</v>
      </c>
      <c r="AK567" s="9">
        <f t="shared" si="159"/>
        <v>280</v>
      </c>
    </row>
    <row r="568" spans="1:37">
      <c r="A568" s="9">
        <v>6</v>
      </c>
      <c r="B568" s="9">
        <v>2024</v>
      </c>
      <c r="C568" s="9" t="s">
        <v>46</v>
      </c>
      <c r="D568" s="9" t="s">
        <v>47</v>
      </c>
      <c r="E568" s="9" t="s">
        <v>47</v>
      </c>
      <c r="F568" s="10">
        <v>45330</v>
      </c>
      <c r="G568" s="9" t="s">
        <v>154</v>
      </c>
      <c r="H568" s="9" t="s">
        <v>48</v>
      </c>
      <c r="I568" s="9">
        <v>1</v>
      </c>
      <c r="J568" s="11">
        <v>6</v>
      </c>
      <c r="K568" s="9">
        <v>200</v>
      </c>
      <c r="L568" s="12">
        <v>0.47</v>
      </c>
      <c r="M568" s="27">
        <v>94</v>
      </c>
      <c r="N568" s="13" t="s">
        <v>49</v>
      </c>
      <c r="Q568" s="9">
        <f>IF(Auction_Sales[[#This Row],[Payment Date]]=0,"",-1+WEEKNUM(Auction_Sales[[#This Row],[Payment Date]]))</f>
        <v>7</v>
      </c>
      <c r="R568" s="9">
        <f t="shared" si="153"/>
        <v>200</v>
      </c>
      <c r="S568" s="1" t="str">
        <f t="shared" si="149"/>
        <v>English Roses</v>
      </c>
      <c r="T568" s="9" t="str">
        <f t="shared" si="149"/>
        <v>60CM</v>
      </c>
      <c r="W568" s="13">
        <f t="shared" si="154"/>
        <v>0</v>
      </c>
      <c r="X568" s="14">
        <f t="shared" si="151"/>
        <v>0</v>
      </c>
      <c r="Y568" s="13">
        <f t="shared" si="155"/>
        <v>0</v>
      </c>
      <c r="Z568" s="10">
        <v>45343</v>
      </c>
      <c r="AA568" s="9">
        <f t="shared" si="156"/>
        <v>-200</v>
      </c>
      <c r="AC568" s="9">
        <v>428475</v>
      </c>
      <c r="AD568" s="14">
        <f t="shared" si="152"/>
        <v>19.455454545454547</v>
      </c>
      <c r="AF568" s="14">
        <f t="shared" si="150"/>
        <v>0</v>
      </c>
      <c r="AH568" s="14">
        <f t="shared" si="161"/>
        <v>19.455454545454547</v>
      </c>
      <c r="AI568" s="13">
        <f t="shared" si="158"/>
        <v>-19.455454545454547</v>
      </c>
      <c r="AK568" s="9">
        <f t="shared" si="159"/>
        <v>0</v>
      </c>
    </row>
    <row r="569" spans="1:37">
      <c r="A569" s="9">
        <v>6</v>
      </c>
      <c r="B569" s="9">
        <v>2024</v>
      </c>
      <c r="C569" s="9" t="s">
        <v>46</v>
      </c>
      <c r="D569" s="9" t="s">
        <v>47</v>
      </c>
      <c r="E569" s="9" t="s">
        <v>47</v>
      </c>
      <c r="F569" s="10">
        <v>45330</v>
      </c>
      <c r="G569" s="9" t="s">
        <v>154</v>
      </c>
      <c r="H569" s="9" t="s">
        <v>51</v>
      </c>
      <c r="J569" s="11">
        <v>6</v>
      </c>
      <c r="K569" s="9">
        <v>200</v>
      </c>
      <c r="L569" s="12">
        <v>0.38</v>
      </c>
      <c r="M569" s="27">
        <v>76</v>
      </c>
      <c r="N569" s="13" t="s">
        <v>49</v>
      </c>
      <c r="Q569" s="9">
        <f>IF(Auction_Sales[[#This Row],[Payment Date]]=0,"",-1+WEEKNUM(Auction_Sales[[#This Row],[Payment Date]]))</f>
        <v>7</v>
      </c>
      <c r="R569" s="9">
        <f t="shared" si="153"/>
        <v>200</v>
      </c>
      <c r="S569" s="1" t="str">
        <f t="shared" si="149"/>
        <v>English Roses</v>
      </c>
      <c r="T569" s="9" t="str">
        <f t="shared" si="149"/>
        <v>50CM</v>
      </c>
      <c r="W569" s="13">
        <f t="shared" si="154"/>
        <v>0</v>
      </c>
      <c r="X569" s="14">
        <f t="shared" si="151"/>
        <v>0</v>
      </c>
      <c r="Y569" s="13">
        <f t="shared" si="155"/>
        <v>0</v>
      </c>
      <c r="Z569" s="10">
        <v>45343</v>
      </c>
      <c r="AA569" s="9">
        <f t="shared" si="156"/>
        <v>-200</v>
      </c>
      <c r="AC569" s="9">
        <v>428475</v>
      </c>
      <c r="AD569" s="14">
        <f t="shared" si="152"/>
        <v>19.455454545454547</v>
      </c>
      <c r="AF569" s="14">
        <f t="shared" si="150"/>
        <v>0</v>
      </c>
      <c r="AH569" s="14">
        <f t="shared" si="161"/>
        <v>19.455454545454547</v>
      </c>
      <c r="AI569" s="13">
        <f t="shared" si="158"/>
        <v>-19.455454545454547</v>
      </c>
      <c r="AK569" s="9">
        <f t="shared" si="159"/>
        <v>0</v>
      </c>
    </row>
    <row r="570" spans="1:37">
      <c r="A570" s="9">
        <v>6</v>
      </c>
      <c r="B570" s="9">
        <v>2024</v>
      </c>
      <c r="C570" s="9" t="s">
        <v>46</v>
      </c>
      <c r="D570" s="9" t="s">
        <v>47</v>
      </c>
      <c r="E570" s="9" t="s">
        <v>47</v>
      </c>
      <c r="F570" s="10">
        <v>45330</v>
      </c>
      <c r="G570" s="9" t="s">
        <v>155</v>
      </c>
      <c r="H570" s="9" t="s">
        <v>56</v>
      </c>
      <c r="I570" s="9">
        <v>1</v>
      </c>
      <c r="J570" s="11">
        <f>K570/200*12</f>
        <v>4.8000000000000007</v>
      </c>
      <c r="K570" s="9">
        <v>80</v>
      </c>
      <c r="L570" s="12">
        <v>0.75</v>
      </c>
      <c r="M570" s="27">
        <v>60</v>
      </c>
      <c r="N570" s="13" t="s">
        <v>49</v>
      </c>
      <c r="Q570" s="9">
        <f>IF(Auction_Sales[[#This Row],[Payment Date]]=0,"",-1+WEEKNUM(Auction_Sales[[#This Row],[Payment Date]]))</f>
        <v>7</v>
      </c>
      <c r="R570" s="9">
        <f t="shared" si="153"/>
        <v>0</v>
      </c>
      <c r="S570" s="1" t="str">
        <f t="shared" ref="S570:T578" si="162">G570</f>
        <v>Floribunda Roses</v>
      </c>
      <c r="T570" s="9" t="str">
        <f t="shared" si="162"/>
        <v>90CM</v>
      </c>
      <c r="U570" s="9">
        <v>80</v>
      </c>
      <c r="V570" s="13">
        <f>73.6/U570</f>
        <v>0.91999999999999993</v>
      </c>
      <c r="W570" s="13">
        <f t="shared" si="154"/>
        <v>73.599999999999994</v>
      </c>
      <c r="X570" s="14">
        <f t="shared" si="151"/>
        <v>-3.202039215686276</v>
      </c>
      <c r="Y570" s="13">
        <f t="shared" si="155"/>
        <v>70.397960784313725</v>
      </c>
      <c r="Z570" s="10">
        <v>45343</v>
      </c>
      <c r="AA570" s="9">
        <f t="shared" si="156"/>
        <v>0</v>
      </c>
      <c r="AC570" s="9">
        <v>428475</v>
      </c>
      <c r="AD570" s="14">
        <f t="shared" si="152"/>
        <v>15.564363636363638</v>
      </c>
      <c r="AF570" s="14">
        <f t="shared" si="150"/>
        <v>1.6</v>
      </c>
      <c r="AH570" s="14">
        <f t="shared" si="161"/>
        <v>17.164363636363639</v>
      </c>
      <c r="AI570" s="13">
        <f t="shared" si="158"/>
        <v>53.233597147950086</v>
      </c>
      <c r="AK570" s="9">
        <f t="shared" si="159"/>
        <v>80</v>
      </c>
    </row>
    <row r="571" spans="1:37">
      <c r="A571" s="9">
        <v>6</v>
      </c>
      <c r="B571" s="9">
        <v>2024</v>
      </c>
      <c r="C571" s="9" t="s">
        <v>46</v>
      </c>
      <c r="D571" s="9" t="s">
        <v>47</v>
      </c>
      <c r="E571" s="9" t="s">
        <v>47</v>
      </c>
      <c r="F571" s="10">
        <v>45330</v>
      </c>
      <c r="G571" s="9" t="s">
        <v>155</v>
      </c>
      <c r="H571" s="9" t="s">
        <v>57</v>
      </c>
      <c r="J571" s="11">
        <f>K571/200*12</f>
        <v>7.1999999999999993</v>
      </c>
      <c r="K571" s="9">
        <v>120</v>
      </c>
      <c r="L571" s="12">
        <v>0.94</v>
      </c>
      <c r="M571" s="27">
        <v>112.8</v>
      </c>
      <c r="N571" s="13" t="s">
        <v>49</v>
      </c>
      <c r="Q571" s="9">
        <f>IF(Auction_Sales[[#This Row],[Payment Date]]=0,"",-1+WEEKNUM(Auction_Sales[[#This Row],[Payment Date]]))</f>
        <v>7</v>
      </c>
      <c r="R571" s="9">
        <f t="shared" si="153"/>
        <v>0</v>
      </c>
      <c r="S571" s="1" t="str">
        <f t="shared" si="162"/>
        <v>Floribunda Roses</v>
      </c>
      <c r="T571" s="9" t="str">
        <f t="shared" si="162"/>
        <v>100CM</v>
      </c>
      <c r="U571" s="9">
        <v>120</v>
      </c>
      <c r="V571" s="13">
        <f>114.4/U571</f>
        <v>0.95333333333333337</v>
      </c>
      <c r="W571" s="13">
        <f t="shared" si="154"/>
        <v>114.4</v>
      </c>
      <c r="X571" s="14">
        <f t="shared" si="151"/>
        <v>-4.8030588235294145</v>
      </c>
      <c r="Y571" s="13">
        <f t="shared" si="155"/>
        <v>109.59694117647059</v>
      </c>
      <c r="Z571" s="10">
        <v>45343</v>
      </c>
      <c r="AA571" s="9">
        <f t="shared" si="156"/>
        <v>0</v>
      </c>
      <c r="AC571" s="9">
        <v>428475</v>
      </c>
      <c r="AD571" s="14">
        <f t="shared" si="152"/>
        <v>23.346545454545453</v>
      </c>
      <c r="AF571" s="14">
        <f t="shared" si="150"/>
        <v>2.4</v>
      </c>
      <c r="AH571" s="14">
        <f t="shared" si="161"/>
        <v>25.746545454545451</v>
      </c>
      <c r="AI571" s="13">
        <f t="shared" si="158"/>
        <v>83.850395721925139</v>
      </c>
      <c r="AK571" s="9">
        <f t="shared" si="159"/>
        <v>120</v>
      </c>
    </row>
    <row r="572" spans="1:37">
      <c r="A572" s="9">
        <v>6</v>
      </c>
      <c r="B572" s="9">
        <v>2024</v>
      </c>
      <c r="C572" s="9" t="s">
        <v>46</v>
      </c>
      <c r="D572" s="9" t="s">
        <v>47</v>
      </c>
      <c r="E572" s="9" t="s">
        <v>47</v>
      </c>
      <c r="F572" s="10">
        <v>45330</v>
      </c>
      <c r="G572" s="9" t="s">
        <v>155</v>
      </c>
      <c r="H572" s="9" t="s">
        <v>48</v>
      </c>
      <c r="I572" s="9">
        <v>1</v>
      </c>
      <c r="J572" s="11">
        <f>K572/440*12</f>
        <v>7.6363636363636367</v>
      </c>
      <c r="K572" s="9">
        <v>280</v>
      </c>
      <c r="L572" s="12">
        <v>0.47</v>
      </c>
      <c r="M572" s="27">
        <v>131.6</v>
      </c>
      <c r="N572" s="13" t="s">
        <v>49</v>
      </c>
      <c r="Q572" s="9">
        <f>IF(Auction_Sales[[#This Row],[Payment Date]]=0,"",-1+WEEKNUM(Auction_Sales[[#This Row],[Payment Date]]))</f>
        <v>7</v>
      </c>
      <c r="R572" s="9">
        <f t="shared" si="153"/>
        <v>280</v>
      </c>
      <c r="S572" s="1" t="str">
        <f t="shared" si="162"/>
        <v>Floribunda Roses</v>
      </c>
      <c r="T572" s="9" t="str">
        <f t="shared" si="162"/>
        <v>60CM</v>
      </c>
      <c r="W572" s="13">
        <f t="shared" si="154"/>
        <v>0</v>
      </c>
      <c r="X572" s="14">
        <f t="shared" si="151"/>
        <v>0</v>
      </c>
      <c r="Y572" s="13">
        <f t="shared" si="155"/>
        <v>0</v>
      </c>
      <c r="Z572" s="10">
        <v>45343</v>
      </c>
      <c r="AA572" s="9">
        <f t="shared" si="156"/>
        <v>-280</v>
      </c>
      <c r="AC572" s="9">
        <v>428475</v>
      </c>
      <c r="AD572" s="14">
        <f t="shared" si="152"/>
        <v>24.761487603305785</v>
      </c>
      <c r="AF572" s="14">
        <f t="shared" si="150"/>
        <v>0</v>
      </c>
      <c r="AH572" s="14">
        <f t="shared" si="161"/>
        <v>24.761487603305785</v>
      </c>
      <c r="AI572" s="13">
        <f t="shared" si="158"/>
        <v>-24.761487603305785</v>
      </c>
      <c r="AK572" s="9">
        <f t="shared" si="159"/>
        <v>0</v>
      </c>
    </row>
    <row r="573" spans="1:37">
      <c r="A573" s="9">
        <v>6</v>
      </c>
      <c r="B573" s="9">
        <v>2024</v>
      </c>
      <c r="C573" s="9" t="s">
        <v>46</v>
      </c>
      <c r="D573" s="9" t="s">
        <v>47</v>
      </c>
      <c r="E573" s="9" t="s">
        <v>47</v>
      </c>
      <c r="F573" s="10">
        <v>45330</v>
      </c>
      <c r="G573" s="9" t="s">
        <v>155</v>
      </c>
      <c r="H573" s="9" t="s">
        <v>52</v>
      </c>
      <c r="J573" s="11">
        <f>K573/440*12</f>
        <v>4.3636363636363633</v>
      </c>
      <c r="K573" s="9">
        <v>160</v>
      </c>
      <c r="L573" s="12">
        <v>0.52</v>
      </c>
      <c r="M573" s="27">
        <v>83.2</v>
      </c>
      <c r="N573" s="13" t="s">
        <v>49</v>
      </c>
      <c r="Q573" s="9">
        <f>IF(Auction_Sales[[#This Row],[Payment Date]]=0,"",-1+WEEKNUM(Auction_Sales[[#This Row],[Payment Date]]))</f>
        <v>7</v>
      </c>
      <c r="R573" s="9">
        <f t="shared" si="153"/>
        <v>160</v>
      </c>
      <c r="S573" s="1" t="str">
        <f t="shared" si="162"/>
        <v>Floribunda Roses</v>
      </c>
      <c r="T573" s="9" t="str">
        <f t="shared" si="162"/>
        <v>70CM</v>
      </c>
      <c r="W573" s="13">
        <f t="shared" si="154"/>
        <v>0</v>
      </c>
      <c r="X573" s="14">
        <f t="shared" si="151"/>
        <v>0</v>
      </c>
      <c r="Y573" s="13">
        <f t="shared" si="155"/>
        <v>0</v>
      </c>
      <c r="Z573" s="10">
        <v>45343</v>
      </c>
      <c r="AA573" s="9">
        <f t="shared" si="156"/>
        <v>-160</v>
      </c>
      <c r="AC573" s="9">
        <v>428475</v>
      </c>
      <c r="AD573" s="14">
        <f t="shared" si="152"/>
        <v>14.149421487603306</v>
      </c>
      <c r="AF573" s="14">
        <f t="shared" si="150"/>
        <v>0</v>
      </c>
      <c r="AH573" s="14">
        <f t="shared" si="161"/>
        <v>14.149421487603306</v>
      </c>
      <c r="AI573" s="13">
        <f t="shared" si="158"/>
        <v>-14.149421487603306</v>
      </c>
      <c r="AK573" s="9">
        <f t="shared" si="159"/>
        <v>0</v>
      </c>
    </row>
    <row r="574" spans="1:37">
      <c r="A574" s="9">
        <v>6</v>
      </c>
      <c r="B574" s="9">
        <v>2024</v>
      </c>
      <c r="C574" s="9" t="s">
        <v>46</v>
      </c>
      <c r="D574" s="9" t="s">
        <v>47</v>
      </c>
      <c r="E574" s="9" t="s">
        <v>47</v>
      </c>
      <c r="F574" s="10">
        <v>45330</v>
      </c>
      <c r="G574" s="9" t="s">
        <v>156</v>
      </c>
      <c r="H574" s="9" t="s">
        <v>48</v>
      </c>
      <c r="I574" s="9">
        <v>1</v>
      </c>
      <c r="J574" s="11">
        <f>K574/520*12</f>
        <v>1.8461538461538463</v>
      </c>
      <c r="K574" s="9">
        <v>80</v>
      </c>
      <c r="L574" s="12">
        <v>0.52</v>
      </c>
      <c r="M574" s="27">
        <v>41.6</v>
      </c>
      <c r="N574" s="13" t="s">
        <v>49</v>
      </c>
      <c r="Q574" s="9">
        <f>IF(Auction_Sales[[#This Row],[Payment Date]]=0,"",-1+WEEKNUM(Auction_Sales[[#This Row],[Payment Date]]))</f>
        <v>7</v>
      </c>
      <c r="R574" s="9">
        <f t="shared" si="153"/>
        <v>0</v>
      </c>
      <c r="S574" s="1" t="str">
        <f t="shared" si="162"/>
        <v>Polyantha Roses</v>
      </c>
      <c r="T574" s="9" t="str">
        <f t="shared" si="162"/>
        <v>60CM</v>
      </c>
      <c r="U574" s="9">
        <v>80</v>
      </c>
      <c r="V574" s="13">
        <f>46.4/U574</f>
        <v>0.57999999999999996</v>
      </c>
      <c r="W574" s="13">
        <f t="shared" si="154"/>
        <v>46.4</v>
      </c>
      <c r="X574" s="14">
        <f t="shared" si="151"/>
        <v>-3.202039215686276</v>
      </c>
      <c r="Y574" s="13">
        <f t="shared" si="155"/>
        <v>43.197960784313722</v>
      </c>
      <c r="Z574" s="10">
        <v>45343</v>
      </c>
      <c r="AA574" s="9">
        <f t="shared" si="156"/>
        <v>0</v>
      </c>
      <c r="AC574" s="9">
        <v>428475</v>
      </c>
      <c r="AD574" s="14">
        <f t="shared" si="152"/>
        <v>5.9862937062937061</v>
      </c>
      <c r="AF574" s="14">
        <f t="shared" si="150"/>
        <v>1.6</v>
      </c>
      <c r="AH574" s="14">
        <f t="shared" si="161"/>
        <v>7.5862937062937057</v>
      </c>
      <c r="AI574" s="13">
        <f t="shared" si="158"/>
        <v>35.61166707802002</v>
      </c>
      <c r="AK574" s="9">
        <f t="shared" si="159"/>
        <v>80</v>
      </c>
    </row>
    <row r="575" spans="1:37">
      <c r="A575" s="9">
        <v>6</v>
      </c>
      <c r="B575" s="9">
        <v>2024</v>
      </c>
      <c r="C575" s="9" t="s">
        <v>46</v>
      </c>
      <c r="D575" s="9" t="s">
        <v>47</v>
      </c>
      <c r="E575" s="9" t="s">
        <v>47</v>
      </c>
      <c r="F575" s="10">
        <v>45330</v>
      </c>
      <c r="G575" s="9" t="s">
        <v>156</v>
      </c>
      <c r="H575" s="9" t="s">
        <v>51</v>
      </c>
      <c r="J575" s="11">
        <f>K575/520*12</f>
        <v>10.153846153846153</v>
      </c>
      <c r="K575" s="9">
        <v>440</v>
      </c>
      <c r="L575" s="12">
        <v>0.42</v>
      </c>
      <c r="M575" s="27">
        <v>184.8</v>
      </c>
      <c r="N575" s="13" t="s">
        <v>49</v>
      </c>
      <c r="Q575" s="9">
        <f>IF(Auction_Sales[[#This Row],[Payment Date]]=0,"",-1+WEEKNUM(Auction_Sales[[#This Row],[Payment Date]]))</f>
        <v>7</v>
      </c>
      <c r="R575" s="9">
        <f t="shared" si="153"/>
        <v>0</v>
      </c>
      <c r="S575" s="1" t="str">
        <f t="shared" si="162"/>
        <v>Polyantha Roses</v>
      </c>
      <c r="T575" s="9" t="str">
        <f t="shared" si="162"/>
        <v>50CM</v>
      </c>
      <c r="U575" s="9">
        <v>440</v>
      </c>
      <c r="V575" s="13">
        <f>146.4/U575</f>
        <v>0.33272727272727276</v>
      </c>
      <c r="W575" s="13">
        <f t="shared" si="154"/>
        <v>146.4</v>
      </c>
      <c r="X575" s="14">
        <f t="shared" si="151"/>
        <v>-17.611215686274519</v>
      </c>
      <c r="Y575" s="13">
        <f t="shared" si="155"/>
        <v>128.7887843137255</v>
      </c>
      <c r="Z575" s="10">
        <v>45343</v>
      </c>
      <c r="AA575" s="9">
        <f t="shared" si="156"/>
        <v>0</v>
      </c>
      <c r="AC575" s="9">
        <v>428475</v>
      </c>
      <c r="AD575" s="14">
        <f t="shared" si="152"/>
        <v>32.924615384615379</v>
      </c>
      <c r="AF575" s="14">
        <f t="shared" si="150"/>
        <v>8.8000000000000007</v>
      </c>
      <c r="AH575" s="14">
        <f t="shared" si="161"/>
        <v>41.724615384615376</v>
      </c>
      <c r="AI575" s="13">
        <f t="shared" si="158"/>
        <v>87.064168929110124</v>
      </c>
      <c r="AK575" s="9">
        <f t="shared" si="159"/>
        <v>440</v>
      </c>
    </row>
    <row r="576" spans="1:37">
      <c r="A576" s="9">
        <v>6</v>
      </c>
      <c r="B576" s="9">
        <v>2024</v>
      </c>
      <c r="C576" s="9" t="s">
        <v>46</v>
      </c>
      <c r="D576" s="9" t="s">
        <v>47</v>
      </c>
      <c r="E576" s="9" t="s">
        <v>47</v>
      </c>
      <c r="F576" s="10">
        <v>45330</v>
      </c>
      <c r="G576" s="9" t="s">
        <v>153</v>
      </c>
      <c r="H576" s="9" t="s">
        <v>52</v>
      </c>
      <c r="I576" s="9">
        <v>1</v>
      </c>
      <c r="J576" s="11">
        <f>K576/600*12</f>
        <v>7.1999999999999993</v>
      </c>
      <c r="K576" s="9">
        <v>360</v>
      </c>
      <c r="L576" s="12">
        <v>0.28000000000000003</v>
      </c>
      <c r="M576" s="27">
        <v>100.8</v>
      </c>
      <c r="N576" s="13" t="s">
        <v>49</v>
      </c>
      <c r="Q576" s="9">
        <f>IF(Auction_Sales[[#This Row],[Payment Date]]=0,"",-1+WEEKNUM(Auction_Sales[[#This Row],[Payment Date]]))</f>
        <v>7</v>
      </c>
      <c r="R576" s="9">
        <f t="shared" si="153"/>
        <v>40</v>
      </c>
      <c r="S576" s="1" t="str">
        <f t="shared" si="162"/>
        <v>Grandiflora Roses</v>
      </c>
      <c r="T576" s="9" t="str">
        <f t="shared" si="162"/>
        <v>70CM</v>
      </c>
      <c r="U576" s="9">
        <v>320</v>
      </c>
      <c r="V576" s="13">
        <f>171.6/U576</f>
        <v>0.53625</v>
      </c>
      <c r="W576" s="13">
        <f t="shared" si="154"/>
        <v>171.6</v>
      </c>
      <c r="X576" s="14">
        <f t="shared" si="151"/>
        <v>-12.808156862745104</v>
      </c>
      <c r="Y576" s="13">
        <f t="shared" si="155"/>
        <v>158.79184313725489</v>
      </c>
      <c r="Z576" s="10">
        <v>45343</v>
      </c>
      <c r="AA576" s="9">
        <f t="shared" si="156"/>
        <v>-40</v>
      </c>
      <c r="AC576" s="9">
        <v>428475</v>
      </c>
      <c r="AD576" s="14">
        <f t="shared" si="152"/>
        <v>23.346545454545453</v>
      </c>
      <c r="AF576" s="14">
        <f t="shared" si="150"/>
        <v>6.4</v>
      </c>
      <c r="AH576" s="14">
        <f t="shared" si="161"/>
        <v>29.746545454545455</v>
      </c>
      <c r="AI576" s="13">
        <f t="shared" si="158"/>
        <v>129.04529768270942</v>
      </c>
      <c r="AK576" s="9">
        <f t="shared" si="159"/>
        <v>320</v>
      </c>
    </row>
    <row r="577" spans="1:37">
      <c r="A577" s="9">
        <v>6</v>
      </c>
      <c r="B577" s="9">
        <v>2024</v>
      </c>
      <c r="C577" s="9" t="s">
        <v>46</v>
      </c>
      <c r="D577" s="9" t="s">
        <v>47</v>
      </c>
      <c r="E577" s="9" t="s">
        <v>47</v>
      </c>
      <c r="F577" s="10">
        <v>45330</v>
      </c>
      <c r="G577" s="9" t="s">
        <v>153</v>
      </c>
      <c r="H577" s="9" t="s">
        <v>48</v>
      </c>
      <c r="J577" s="11">
        <f>K577/600*12</f>
        <v>4.8000000000000007</v>
      </c>
      <c r="K577" s="9">
        <v>240</v>
      </c>
      <c r="L577" s="12">
        <v>0.24</v>
      </c>
      <c r="M577" s="27">
        <v>57.6</v>
      </c>
      <c r="N577" s="13" t="s">
        <v>49</v>
      </c>
      <c r="Q577" s="9">
        <f>IF(Auction_Sales[[#This Row],[Payment Date]]=0,"",-1+WEEKNUM(Auction_Sales[[#This Row],[Payment Date]]))</f>
        <v>7</v>
      </c>
      <c r="R577" s="9">
        <f t="shared" si="153"/>
        <v>240</v>
      </c>
      <c r="S577" s="1" t="str">
        <f t="shared" si="162"/>
        <v>Grandiflora Roses</v>
      </c>
      <c r="T577" s="9" t="str">
        <f t="shared" si="162"/>
        <v>60CM</v>
      </c>
      <c r="W577" s="13">
        <f t="shared" si="154"/>
        <v>0</v>
      </c>
      <c r="X577" s="14">
        <f t="shared" si="151"/>
        <v>0</v>
      </c>
      <c r="Y577" s="13">
        <f t="shared" si="155"/>
        <v>0</v>
      </c>
      <c r="Z577" s="10">
        <v>45343</v>
      </c>
      <c r="AA577" s="9">
        <f t="shared" si="156"/>
        <v>-240</v>
      </c>
      <c r="AC577" s="9">
        <v>428475</v>
      </c>
      <c r="AD577" s="14">
        <f t="shared" si="152"/>
        <v>15.564363636363638</v>
      </c>
      <c r="AF577" s="14">
        <f t="shared" si="150"/>
        <v>0</v>
      </c>
      <c r="AH577" s="14">
        <f t="shared" si="161"/>
        <v>15.564363636363638</v>
      </c>
      <c r="AI577" s="13">
        <f t="shared" si="158"/>
        <v>-15.564363636363638</v>
      </c>
      <c r="AK577" s="9">
        <f t="shared" si="159"/>
        <v>0</v>
      </c>
    </row>
    <row r="578" spans="1:37">
      <c r="F578" s="10"/>
      <c r="G578" s="9" t="s">
        <v>155</v>
      </c>
      <c r="H578" s="9" t="s">
        <v>54</v>
      </c>
      <c r="J578" s="11"/>
      <c r="L578" s="12"/>
      <c r="M578" s="27"/>
      <c r="N578" s="13"/>
      <c r="Q578" s="9">
        <f>IF(Auction_Sales[[#This Row],[Payment Date]]=0,"",-1+WEEKNUM(Auction_Sales[[#This Row],[Payment Date]]))</f>
        <v>7</v>
      </c>
      <c r="R578" s="9">
        <f t="shared" si="153"/>
        <v>-560</v>
      </c>
      <c r="S578" s="1" t="str">
        <f t="shared" si="162"/>
        <v>Floribunda Roses</v>
      </c>
      <c r="T578" s="9" t="str">
        <f t="shared" si="162"/>
        <v>80CM</v>
      </c>
      <c r="U578" s="9">
        <v>560</v>
      </c>
      <c r="V578" s="13">
        <f>442.4/U578</f>
        <v>0.78999999999999992</v>
      </c>
      <c r="W578" s="13">
        <f t="shared" si="154"/>
        <v>442.4</v>
      </c>
      <c r="X578" s="14">
        <f t="shared" si="151"/>
        <v>-22.414274509803935</v>
      </c>
      <c r="Y578" s="13">
        <f t="shared" si="155"/>
        <v>419.98572549019605</v>
      </c>
      <c r="Z578" s="10">
        <v>45343</v>
      </c>
      <c r="AA578" s="9">
        <f t="shared" si="156"/>
        <v>560</v>
      </c>
      <c r="AC578" s="9">
        <v>428475</v>
      </c>
      <c r="AD578" s="14">
        <f t="shared" si="152"/>
        <v>0</v>
      </c>
      <c r="AF578" s="14">
        <f t="shared" si="150"/>
        <v>11.200000000000001</v>
      </c>
      <c r="AH578" s="14">
        <f t="shared" ref="AH578" si="163">SUM(AD578:AG578)</f>
        <v>11.200000000000001</v>
      </c>
      <c r="AI578" s="13">
        <f t="shared" si="158"/>
        <v>408.78572549019606</v>
      </c>
      <c r="AK578" s="9">
        <f t="shared" si="159"/>
        <v>560</v>
      </c>
    </row>
    <row r="579" spans="1:37">
      <c r="A579" s="9">
        <v>5</v>
      </c>
      <c r="B579" s="9">
        <v>2024</v>
      </c>
      <c r="C579" s="9" t="s">
        <v>46</v>
      </c>
      <c r="D579" s="9" t="s">
        <v>47</v>
      </c>
      <c r="E579" s="9" t="s">
        <v>47</v>
      </c>
      <c r="F579" s="10">
        <v>45318</v>
      </c>
      <c r="G579" s="9" t="s">
        <v>155</v>
      </c>
      <c r="H579" s="9" t="s">
        <v>51</v>
      </c>
      <c r="I579" s="9">
        <v>1</v>
      </c>
      <c r="J579" s="11">
        <f>12*I579</f>
        <v>12</v>
      </c>
      <c r="K579" s="9">
        <v>600</v>
      </c>
      <c r="L579" s="12">
        <v>0.15</v>
      </c>
      <c r="M579" s="12">
        <v>90</v>
      </c>
      <c r="N579" s="13" t="s">
        <v>49</v>
      </c>
      <c r="Q579" s="9">
        <f>IF(Auction_Sales[[#This Row],[Payment Date]]=0,"",-1+WEEKNUM(Auction_Sales[[#This Row],[Payment Date]]))</f>
        <v>5</v>
      </c>
      <c r="R579" s="9">
        <f>K579-U579</f>
        <v>-320</v>
      </c>
      <c r="S579" s="1" t="str">
        <f>G579</f>
        <v>Floribunda Roses</v>
      </c>
      <c r="T579" s="9" t="str">
        <f>H579</f>
        <v>50CM</v>
      </c>
      <c r="U579" s="9">
        <f>920</f>
        <v>920</v>
      </c>
      <c r="V579" s="13">
        <f>330/U579</f>
        <v>0.35869565217391303</v>
      </c>
      <c r="W579" s="13">
        <f t="shared" ref="W579:W599" si="164">U579*V579</f>
        <v>330</v>
      </c>
      <c r="X579" s="14">
        <f>-(4446.1-4025.89)*U579/(3650+1720+2630)</f>
        <v>-48.32415000000006</v>
      </c>
      <c r="Y579" s="13">
        <f>W579+X579</f>
        <v>281.67584999999997</v>
      </c>
      <c r="Z579" s="10">
        <v>45329</v>
      </c>
      <c r="AA579" s="9">
        <f>U579-K579</f>
        <v>320</v>
      </c>
      <c r="AC579" s="9">
        <v>425971</v>
      </c>
      <c r="AD579" s="14">
        <f>J579/(17*12)*743.34</f>
        <v>43.725882352941177</v>
      </c>
      <c r="AF579" s="14">
        <f>U579*0.02</f>
        <v>18.400000000000002</v>
      </c>
      <c r="AH579" s="14">
        <f>SUM(AD579:AG579)</f>
        <v>62.125882352941176</v>
      </c>
      <c r="AI579" s="13">
        <f>Y579-AH579</f>
        <v>219.54996764705879</v>
      </c>
      <c r="AK579" s="9">
        <f>U579</f>
        <v>920</v>
      </c>
    </row>
    <row r="580" spans="1:37">
      <c r="A580" s="9">
        <v>5</v>
      </c>
      <c r="B580" s="9">
        <v>2024</v>
      </c>
      <c r="C580" s="9" t="s">
        <v>46</v>
      </c>
      <c r="D580" s="9" t="s">
        <v>47</v>
      </c>
      <c r="E580" s="9" t="s">
        <v>47</v>
      </c>
      <c r="F580" s="10">
        <v>45318</v>
      </c>
      <c r="G580" s="9" t="s">
        <v>155</v>
      </c>
      <c r="H580" s="9" t="s">
        <v>48</v>
      </c>
      <c r="I580" s="9">
        <v>3</v>
      </c>
      <c r="J580" s="11">
        <f t="shared" ref="J580:J588" si="165">12*I580</f>
        <v>36</v>
      </c>
      <c r="K580" s="9">
        <v>1560</v>
      </c>
      <c r="L580" s="12">
        <v>0.15</v>
      </c>
      <c r="M580" s="12">
        <v>234</v>
      </c>
      <c r="N580" s="13" t="s">
        <v>49</v>
      </c>
      <c r="Q580" s="9">
        <f>IF(Auction_Sales[[#This Row],[Payment Date]]=0,"",-1+WEEKNUM(Auction_Sales[[#This Row],[Payment Date]]))</f>
        <v>5</v>
      </c>
      <c r="R580" s="9">
        <f t="shared" ref="R580:R643" si="166">K580-U580</f>
        <v>0</v>
      </c>
      <c r="S580" s="1" t="str">
        <f t="shared" ref="S580:T596" si="167">G580</f>
        <v>Floribunda Roses</v>
      </c>
      <c r="T580" s="9" t="str">
        <f t="shared" si="167"/>
        <v>60CM</v>
      </c>
      <c r="U580" s="9">
        <f>280+640+640</f>
        <v>1560</v>
      </c>
      <c r="V580" s="13">
        <f>(173.6+472.8+325.6)/U580</f>
        <v>0.62307692307692308</v>
      </c>
      <c r="W580" s="13">
        <f t="shared" si="164"/>
        <v>972</v>
      </c>
      <c r="X580" s="14">
        <f t="shared" ref="X580:X601" si="168">-(4446.1-4025.89)*U580/(3650+1720+2630)</f>
        <v>-81.9409500000001</v>
      </c>
      <c r="Y580" s="13">
        <f t="shared" ref="Y580:Y602" si="169">W580+X580</f>
        <v>890.05904999999984</v>
      </c>
      <c r="Z580" s="10">
        <v>45329</v>
      </c>
      <c r="AA580" s="9">
        <f t="shared" ref="AA580:AA602" si="170">U580-K580</f>
        <v>0</v>
      </c>
      <c r="AC580" s="9">
        <v>425971</v>
      </c>
      <c r="AD580" s="14">
        <f t="shared" ref="AD580:AD602" si="171">J580/(17*12)*743.34</f>
        <v>131.17764705882354</v>
      </c>
      <c r="AF580" s="14">
        <f t="shared" ref="AF580:AF640" si="172">U580*0.02</f>
        <v>31.2</v>
      </c>
      <c r="AH580" s="14">
        <f t="shared" ref="AH580:AH594" si="173">SUM(AD580:AG580)</f>
        <v>162.37764705882353</v>
      </c>
      <c r="AI580" s="13">
        <f t="shared" ref="AI580:AI602" si="174">Y580-AH580</f>
        <v>727.68140294117632</v>
      </c>
      <c r="AK580" s="9">
        <f t="shared" ref="AK580:AK602" si="175">U580</f>
        <v>1560</v>
      </c>
    </row>
    <row r="581" spans="1:37">
      <c r="A581" s="9">
        <v>5</v>
      </c>
      <c r="B581" s="9">
        <v>2024</v>
      </c>
      <c r="C581" s="9" t="s">
        <v>46</v>
      </c>
      <c r="D581" s="9" t="s">
        <v>47</v>
      </c>
      <c r="E581" s="9" t="s">
        <v>47</v>
      </c>
      <c r="F581" s="10">
        <v>45318</v>
      </c>
      <c r="G581" s="9" t="s">
        <v>155</v>
      </c>
      <c r="H581" s="9" t="s">
        <v>52</v>
      </c>
      <c r="I581" s="9">
        <v>1</v>
      </c>
      <c r="J581" s="11">
        <f t="shared" si="165"/>
        <v>12</v>
      </c>
      <c r="K581" s="9">
        <v>400</v>
      </c>
      <c r="L581" s="12">
        <v>0.15</v>
      </c>
      <c r="M581" s="12">
        <v>60</v>
      </c>
      <c r="N581" s="13" t="s">
        <v>49</v>
      </c>
      <c r="Q581" s="9">
        <f>IF(Auction_Sales[[#This Row],[Payment Date]]=0,"",-1+WEEKNUM(Auction_Sales[[#This Row],[Payment Date]]))</f>
        <v>5</v>
      </c>
      <c r="R581" s="9">
        <f t="shared" si="166"/>
        <v>-240</v>
      </c>
      <c r="S581" s="1" t="str">
        <f t="shared" si="167"/>
        <v>Floribunda Roses</v>
      </c>
      <c r="T581" s="9" t="str">
        <f t="shared" si="167"/>
        <v>70CM</v>
      </c>
      <c r="U581" s="9">
        <v>640</v>
      </c>
      <c r="V581" s="13">
        <f>468/U581</f>
        <v>0.73124999999999996</v>
      </c>
      <c r="W581" s="13">
        <f t="shared" si="164"/>
        <v>468</v>
      </c>
      <c r="X581" s="14">
        <f t="shared" si="168"/>
        <v>-33.61680000000004</v>
      </c>
      <c r="Y581" s="13">
        <f t="shared" si="169"/>
        <v>434.38319999999999</v>
      </c>
      <c r="Z581" s="10">
        <v>45329</v>
      </c>
      <c r="AA581" s="9">
        <f t="shared" si="170"/>
        <v>240</v>
      </c>
      <c r="AC581" s="9">
        <v>425971</v>
      </c>
      <c r="AD581" s="14">
        <f t="shared" si="171"/>
        <v>43.725882352941177</v>
      </c>
      <c r="AF581" s="14">
        <f t="shared" si="172"/>
        <v>12.8</v>
      </c>
      <c r="AH581" s="14">
        <f t="shared" si="173"/>
        <v>56.525882352941181</v>
      </c>
      <c r="AI581" s="13">
        <f t="shared" si="174"/>
        <v>377.85731764705884</v>
      </c>
      <c r="AK581" s="9">
        <f t="shared" si="175"/>
        <v>640</v>
      </c>
    </row>
    <row r="582" spans="1:37">
      <c r="A582" s="9">
        <v>5</v>
      </c>
      <c r="B582" s="9">
        <v>2024</v>
      </c>
      <c r="C582" s="9" t="s">
        <v>46</v>
      </c>
      <c r="D582" s="9" t="s">
        <v>47</v>
      </c>
      <c r="E582" s="9" t="s">
        <v>47</v>
      </c>
      <c r="F582" s="10">
        <v>45318</v>
      </c>
      <c r="G582" s="9" t="s">
        <v>155</v>
      </c>
      <c r="H582" s="9" t="s">
        <v>54</v>
      </c>
      <c r="I582" s="9">
        <v>1</v>
      </c>
      <c r="J582" s="11">
        <f t="shared" si="165"/>
        <v>12</v>
      </c>
      <c r="K582" s="9">
        <v>320</v>
      </c>
      <c r="L582" s="12">
        <v>0.15</v>
      </c>
      <c r="M582" s="12">
        <v>48</v>
      </c>
      <c r="N582" s="13" t="s">
        <v>49</v>
      </c>
      <c r="Q582" s="9">
        <f>IF(Auction_Sales[[#This Row],[Payment Date]]=0,"",-1+WEEKNUM(Auction_Sales[[#This Row],[Payment Date]]))</f>
        <v>5</v>
      </c>
      <c r="R582" s="9">
        <f t="shared" si="166"/>
        <v>0</v>
      </c>
      <c r="S582" s="1" t="str">
        <f t="shared" si="167"/>
        <v>Floribunda Roses</v>
      </c>
      <c r="T582" s="9" t="str">
        <f t="shared" si="167"/>
        <v>80CM</v>
      </c>
      <c r="U582" s="9">
        <v>320</v>
      </c>
      <c r="V582" s="13">
        <f>250/U582</f>
        <v>0.78125</v>
      </c>
      <c r="W582" s="13">
        <f t="shared" si="164"/>
        <v>250</v>
      </c>
      <c r="X582" s="14">
        <f t="shared" si="168"/>
        <v>-16.80840000000002</v>
      </c>
      <c r="Y582" s="13">
        <f t="shared" si="169"/>
        <v>233.19159999999999</v>
      </c>
      <c r="Z582" s="10">
        <v>45329</v>
      </c>
      <c r="AA582" s="9">
        <f t="shared" si="170"/>
        <v>0</v>
      </c>
      <c r="AC582" s="9">
        <v>425971</v>
      </c>
      <c r="AD582" s="14">
        <f t="shared" si="171"/>
        <v>43.725882352941177</v>
      </c>
      <c r="AF582" s="14">
        <f t="shared" si="172"/>
        <v>6.4</v>
      </c>
      <c r="AH582" s="14">
        <f t="shared" si="173"/>
        <v>50.125882352941176</v>
      </c>
      <c r="AI582" s="13">
        <f t="shared" si="174"/>
        <v>183.06571764705882</v>
      </c>
      <c r="AK582" s="9">
        <f t="shared" si="175"/>
        <v>320</v>
      </c>
    </row>
    <row r="583" spans="1:37">
      <c r="A583" s="9">
        <v>5</v>
      </c>
      <c r="B583" s="9">
        <v>2024</v>
      </c>
      <c r="C583" s="9" t="s">
        <v>46</v>
      </c>
      <c r="D583" s="9" t="s">
        <v>47</v>
      </c>
      <c r="E583" s="9" t="s">
        <v>47</v>
      </c>
      <c r="F583" s="10">
        <v>45318</v>
      </c>
      <c r="G583" s="9" t="s">
        <v>155</v>
      </c>
      <c r="H583" s="9" t="s">
        <v>56</v>
      </c>
      <c r="I583" s="9">
        <v>1</v>
      </c>
      <c r="J583" s="11">
        <f t="shared" si="165"/>
        <v>12</v>
      </c>
      <c r="K583" s="9">
        <v>280</v>
      </c>
      <c r="L583" s="12">
        <v>0.15</v>
      </c>
      <c r="M583" s="12">
        <v>42</v>
      </c>
      <c r="N583" s="13" t="s">
        <v>49</v>
      </c>
      <c r="Q583" s="9">
        <f>IF(Auction_Sales[[#This Row],[Payment Date]]=0,"",-1+WEEKNUM(Auction_Sales[[#This Row],[Payment Date]]))</f>
        <v>5</v>
      </c>
      <c r="R583" s="9">
        <f t="shared" si="166"/>
        <v>0</v>
      </c>
      <c r="S583" s="1" t="str">
        <f t="shared" si="167"/>
        <v>Floribunda Roses</v>
      </c>
      <c r="T583" s="9" t="str">
        <f t="shared" si="167"/>
        <v>90CM</v>
      </c>
      <c r="U583" s="9">
        <v>280</v>
      </c>
      <c r="V583" s="13">
        <f>234.8/U583</f>
        <v>0.83857142857142863</v>
      </c>
      <c r="W583" s="13">
        <f t="shared" si="164"/>
        <v>234.8</v>
      </c>
      <c r="X583" s="14">
        <f t="shared" si="168"/>
        <v>-14.707350000000016</v>
      </c>
      <c r="Y583" s="13">
        <f t="shared" si="169"/>
        <v>220.09264999999999</v>
      </c>
      <c r="Z583" s="10">
        <v>45329</v>
      </c>
      <c r="AA583" s="9">
        <f t="shared" si="170"/>
        <v>0</v>
      </c>
      <c r="AC583" s="9">
        <v>425971</v>
      </c>
      <c r="AD583" s="14">
        <f t="shared" si="171"/>
        <v>43.725882352941177</v>
      </c>
      <c r="AF583" s="14">
        <f t="shared" si="172"/>
        <v>5.6000000000000005</v>
      </c>
      <c r="AH583" s="14">
        <f t="shared" si="173"/>
        <v>49.325882352941179</v>
      </c>
      <c r="AI583" s="13">
        <f t="shared" si="174"/>
        <v>170.76676764705883</v>
      </c>
      <c r="AK583" s="9">
        <f t="shared" si="175"/>
        <v>280</v>
      </c>
    </row>
    <row r="584" spans="1:37">
      <c r="A584" s="9">
        <v>5</v>
      </c>
      <c r="B584" s="9">
        <v>2024</v>
      </c>
      <c r="C584" s="9" t="s">
        <v>46</v>
      </c>
      <c r="D584" s="9" t="s">
        <v>47</v>
      </c>
      <c r="E584" s="9" t="s">
        <v>47</v>
      </c>
      <c r="F584" s="10">
        <v>45318</v>
      </c>
      <c r="G584" s="9" t="s">
        <v>154</v>
      </c>
      <c r="H584" s="9" t="s">
        <v>51</v>
      </c>
      <c r="I584" s="9">
        <v>1</v>
      </c>
      <c r="J584" s="11">
        <f t="shared" si="165"/>
        <v>12</v>
      </c>
      <c r="K584" s="9">
        <v>560</v>
      </c>
      <c r="L584" s="12">
        <v>0.15</v>
      </c>
      <c r="M584" s="12">
        <v>84</v>
      </c>
      <c r="N584" s="13" t="s">
        <v>49</v>
      </c>
      <c r="Q584" s="9">
        <f>IF(Auction_Sales[[#This Row],[Payment Date]]=0,"",-1+WEEKNUM(Auction_Sales[[#This Row],[Payment Date]]))</f>
        <v>5</v>
      </c>
      <c r="R584" s="9">
        <f t="shared" si="166"/>
        <v>0</v>
      </c>
      <c r="S584" s="1" t="str">
        <f t="shared" si="167"/>
        <v>English Roses</v>
      </c>
      <c r="T584" s="9" t="str">
        <f t="shared" si="167"/>
        <v>50CM</v>
      </c>
      <c r="U584" s="9">
        <f>280+280</f>
        <v>560</v>
      </c>
      <c r="V584" s="13">
        <f>(70+116.4)/U584</f>
        <v>0.33285714285714285</v>
      </c>
      <c r="W584" s="13">
        <f t="shared" si="164"/>
        <v>186.4</v>
      </c>
      <c r="X584" s="14">
        <f t="shared" si="168"/>
        <v>-29.414700000000032</v>
      </c>
      <c r="Y584" s="13">
        <f t="shared" si="169"/>
        <v>156.98529999999997</v>
      </c>
      <c r="Z584" s="10">
        <v>45329</v>
      </c>
      <c r="AA584" s="9">
        <f t="shared" si="170"/>
        <v>0</v>
      </c>
      <c r="AC584" s="9">
        <v>425971</v>
      </c>
      <c r="AD584" s="14">
        <f t="shared" si="171"/>
        <v>43.725882352941177</v>
      </c>
      <c r="AF584" s="14">
        <f t="shared" si="172"/>
        <v>11.200000000000001</v>
      </c>
      <c r="AH584" s="14">
        <f t="shared" si="173"/>
        <v>54.92588235294118</v>
      </c>
      <c r="AI584" s="13">
        <f t="shared" si="174"/>
        <v>102.05941764705878</v>
      </c>
      <c r="AK584" s="9">
        <f t="shared" si="175"/>
        <v>560</v>
      </c>
    </row>
    <row r="585" spans="1:37">
      <c r="A585" s="9">
        <v>5</v>
      </c>
      <c r="B585" s="9">
        <v>2024</v>
      </c>
      <c r="C585" s="9" t="s">
        <v>46</v>
      </c>
      <c r="D585" s="9" t="s">
        <v>47</v>
      </c>
      <c r="E585" s="9" t="s">
        <v>47</v>
      </c>
      <c r="F585" s="10">
        <v>45318</v>
      </c>
      <c r="G585" s="9" t="s">
        <v>154</v>
      </c>
      <c r="H585" s="9" t="s">
        <v>48</v>
      </c>
      <c r="I585" s="9">
        <v>1</v>
      </c>
      <c r="J585" s="11">
        <f t="shared" si="165"/>
        <v>12</v>
      </c>
      <c r="K585" s="9">
        <v>480</v>
      </c>
      <c r="L585" s="12">
        <v>0.15</v>
      </c>
      <c r="M585" s="12">
        <v>72</v>
      </c>
      <c r="N585" s="13" t="s">
        <v>49</v>
      </c>
      <c r="Q585" s="9">
        <f>IF(Auction_Sales[[#This Row],[Payment Date]]=0,"",-1+WEEKNUM(Auction_Sales[[#This Row],[Payment Date]]))</f>
        <v>5</v>
      </c>
      <c r="R585" s="9">
        <f t="shared" si="166"/>
        <v>480</v>
      </c>
      <c r="S585" s="1" t="str">
        <f t="shared" si="167"/>
        <v>English Roses</v>
      </c>
      <c r="T585" s="9" t="str">
        <f t="shared" si="167"/>
        <v>60CM</v>
      </c>
      <c r="W585" s="13">
        <f t="shared" si="164"/>
        <v>0</v>
      </c>
      <c r="X585" s="14">
        <f t="shared" si="168"/>
        <v>0</v>
      </c>
      <c r="Y585" s="13">
        <f t="shared" si="169"/>
        <v>0</v>
      </c>
      <c r="Z585" s="10">
        <v>45329</v>
      </c>
      <c r="AA585" s="9">
        <f t="shared" si="170"/>
        <v>-480</v>
      </c>
      <c r="AC585" s="9">
        <v>425971</v>
      </c>
      <c r="AD585" s="14">
        <f t="shared" si="171"/>
        <v>43.725882352941177</v>
      </c>
      <c r="AF585" s="14">
        <f t="shared" si="172"/>
        <v>0</v>
      </c>
      <c r="AH585" s="14">
        <f t="shared" si="173"/>
        <v>43.725882352941177</v>
      </c>
      <c r="AI585" s="13">
        <f t="shared" si="174"/>
        <v>-43.725882352941177</v>
      </c>
      <c r="AK585" s="9">
        <f t="shared" si="175"/>
        <v>0</v>
      </c>
    </row>
    <row r="586" spans="1:37">
      <c r="A586" s="9">
        <v>5</v>
      </c>
      <c r="B586" s="9">
        <v>2024</v>
      </c>
      <c r="C586" s="9" t="s">
        <v>46</v>
      </c>
      <c r="D586" s="9" t="s">
        <v>47</v>
      </c>
      <c r="E586" s="9" t="s">
        <v>47</v>
      </c>
      <c r="F586" s="10">
        <v>45318</v>
      </c>
      <c r="G586" s="9" t="s">
        <v>154</v>
      </c>
      <c r="H586" s="9" t="s">
        <v>56</v>
      </c>
      <c r="I586" s="9">
        <v>1</v>
      </c>
      <c r="J586" s="11">
        <f t="shared" si="165"/>
        <v>12</v>
      </c>
      <c r="K586" s="9">
        <v>280</v>
      </c>
      <c r="L586" s="12">
        <v>0.15</v>
      </c>
      <c r="M586" s="12">
        <v>42</v>
      </c>
      <c r="N586" s="13" t="s">
        <v>49</v>
      </c>
      <c r="Q586" s="9">
        <f>IF(Auction_Sales[[#This Row],[Payment Date]]=0,"",-1+WEEKNUM(Auction_Sales[[#This Row],[Payment Date]]))</f>
        <v>5</v>
      </c>
      <c r="R586" s="9">
        <f t="shared" si="166"/>
        <v>-40</v>
      </c>
      <c r="S586" s="1" t="str">
        <f t="shared" si="167"/>
        <v>English Roses</v>
      </c>
      <c r="T586" s="9" t="str">
        <f t="shared" si="167"/>
        <v>90CM</v>
      </c>
      <c r="U586" s="9">
        <v>320</v>
      </c>
      <c r="V586" s="13">
        <f>202.4/U586</f>
        <v>0.63250000000000006</v>
      </c>
      <c r="W586" s="13">
        <f t="shared" si="164"/>
        <v>202.40000000000003</v>
      </c>
      <c r="X586" s="14">
        <f t="shared" si="168"/>
        <v>-16.80840000000002</v>
      </c>
      <c r="Y586" s="13">
        <f t="shared" si="169"/>
        <v>185.59160000000003</v>
      </c>
      <c r="Z586" s="10">
        <v>45329</v>
      </c>
      <c r="AA586" s="9">
        <f t="shared" si="170"/>
        <v>40</v>
      </c>
      <c r="AC586" s="9">
        <v>425971</v>
      </c>
      <c r="AD586" s="14">
        <f t="shared" si="171"/>
        <v>43.725882352941177</v>
      </c>
      <c r="AF586" s="14">
        <f t="shared" si="172"/>
        <v>6.4</v>
      </c>
      <c r="AH586" s="14">
        <f t="shared" si="173"/>
        <v>50.125882352941176</v>
      </c>
      <c r="AI586" s="13">
        <f t="shared" si="174"/>
        <v>135.46571764705885</v>
      </c>
      <c r="AK586" s="9">
        <f t="shared" si="175"/>
        <v>320</v>
      </c>
    </row>
    <row r="587" spans="1:37">
      <c r="A587" s="9">
        <v>5</v>
      </c>
      <c r="B587" s="9">
        <v>2024</v>
      </c>
      <c r="C587" s="9" t="s">
        <v>46</v>
      </c>
      <c r="D587" s="9" t="s">
        <v>47</v>
      </c>
      <c r="E587" s="9" t="s">
        <v>47</v>
      </c>
      <c r="F587" s="10">
        <v>45318</v>
      </c>
      <c r="G587" s="9" t="s">
        <v>153</v>
      </c>
      <c r="H587" s="9" t="s">
        <v>48</v>
      </c>
      <c r="I587" s="9">
        <v>1</v>
      </c>
      <c r="J587" s="11">
        <f t="shared" si="165"/>
        <v>12</v>
      </c>
      <c r="K587" s="9">
        <v>720</v>
      </c>
      <c r="L587" s="12">
        <v>0.15</v>
      </c>
      <c r="M587" s="12">
        <v>108</v>
      </c>
      <c r="N587" s="13" t="s">
        <v>49</v>
      </c>
      <c r="Q587" s="9">
        <f>IF(Auction_Sales[[#This Row],[Payment Date]]=0,"",-1+WEEKNUM(Auction_Sales[[#This Row],[Payment Date]]))</f>
        <v>5</v>
      </c>
      <c r="R587" s="9">
        <f t="shared" si="166"/>
        <v>240</v>
      </c>
      <c r="S587" s="1" t="str">
        <f t="shared" si="167"/>
        <v>Grandiflora Roses</v>
      </c>
      <c r="T587" s="9" t="str">
        <f t="shared" si="167"/>
        <v>60CM</v>
      </c>
      <c r="U587" s="9">
        <f>480</f>
        <v>480</v>
      </c>
      <c r="V587" s="13">
        <f>206.4/U587</f>
        <v>0.43</v>
      </c>
      <c r="W587" s="13">
        <f t="shared" si="164"/>
        <v>206.4</v>
      </c>
      <c r="X587" s="14">
        <f t="shared" si="168"/>
        <v>-25.212600000000027</v>
      </c>
      <c r="Y587" s="13">
        <f t="shared" si="169"/>
        <v>181.18739999999997</v>
      </c>
      <c r="Z587" s="10">
        <v>45329</v>
      </c>
      <c r="AA587" s="9">
        <f t="shared" si="170"/>
        <v>-240</v>
      </c>
      <c r="AC587" s="9">
        <v>425971</v>
      </c>
      <c r="AD587" s="14">
        <f t="shared" si="171"/>
        <v>43.725882352941177</v>
      </c>
      <c r="AF587" s="14">
        <f t="shared" si="172"/>
        <v>9.6</v>
      </c>
      <c r="AH587" s="14">
        <f t="shared" si="173"/>
        <v>53.325882352941179</v>
      </c>
      <c r="AI587" s="13">
        <f t="shared" si="174"/>
        <v>127.86151764705879</v>
      </c>
      <c r="AK587" s="9">
        <f t="shared" si="175"/>
        <v>480</v>
      </c>
    </row>
    <row r="588" spans="1:37">
      <c r="A588" s="9">
        <v>5</v>
      </c>
      <c r="B588" s="9">
        <v>2024</v>
      </c>
      <c r="C588" s="9" t="s">
        <v>46</v>
      </c>
      <c r="D588" s="9" t="s">
        <v>47</v>
      </c>
      <c r="E588" s="9" t="s">
        <v>47</v>
      </c>
      <c r="F588" s="10">
        <v>45318</v>
      </c>
      <c r="G588" s="9" t="s">
        <v>153</v>
      </c>
      <c r="H588" s="9" t="s">
        <v>52</v>
      </c>
      <c r="I588" s="9">
        <v>1</v>
      </c>
      <c r="J588" s="11">
        <f t="shared" si="165"/>
        <v>12</v>
      </c>
      <c r="K588" s="9">
        <v>520</v>
      </c>
      <c r="L588" s="12">
        <v>0.15</v>
      </c>
      <c r="M588" s="12">
        <v>78</v>
      </c>
      <c r="N588" s="13" t="s">
        <v>49</v>
      </c>
      <c r="Q588" s="9">
        <f>IF(Auction_Sales[[#This Row],[Payment Date]]=0,"",-1+WEEKNUM(Auction_Sales[[#This Row],[Payment Date]]))</f>
        <v>5</v>
      </c>
      <c r="R588" s="9">
        <f t="shared" si="166"/>
        <v>0</v>
      </c>
      <c r="S588" s="1" t="str">
        <f t="shared" si="167"/>
        <v>Grandiflora Roses</v>
      </c>
      <c r="T588" s="9" t="str">
        <f t="shared" si="167"/>
        <v>70CM</v>
      </c>
      <c r="U588" s="9">
        <f>280+240</f>
        <v>520</v>
      </c>
      <c r="V588" s="13">
        <f>(170.4+128)/U588</f>
        <v>0.57384615384615378</v>
      </c>
      <c r="W588" s="13">
        <f t="shared" si="164"/>
        <v>298.39999999999998</v>
      </c>
      <c r="X588" s="14">
        <f t="shared" si="168"/>
        <v>-27.313650000000031</v>
      </c>
      <c r="Y588" s="13">
        <f t="shared" si="169"/>
        <v>271.08634999999992</v>
      </c>
      <c r="Z588" s="10">
        <v>45329</v>
      </c>
      <c r="AA588" s="9">
        <f t="shared" si="170"/>
        <v>0</v>
      </c>
      <c r="AC588" s="9">
        <v>425971</v>
      </c>
      <c r="AD588" s="14">
        <f t="shared" si="171"/>
        <v>43.725882352941177</v>
      </c>
      <c r="AF588" s="14">
        <f t="shared" si="172"/>
        <v>10.4</v>
      </c>
      <c r="AH588" s="14">
        <f t="shared" si="173"/>
        <v>54.125882352941176</v>
      </c>
      <c r="AI588" s="13">
        <f t="shared" si="174"/>
        <v>216.96046764705875</v>
      </c>
      <c r="AK588" s="9">
        <f t="shared" si="175"/>
        <v>520</v>
      </c>
    </row>
    <row r="589" spans="1:37">
      <c r="A589" s="9">
        <v>5</v>
      </c>
      <c r="B589" s="9">
        <v>2024</v>
      </c>
      <c r="C589" s="9" t="s">
        <v>46</v>
      </c>
      <c r="D589" s="9" t="s">
        <v>47</v>
      </c>
      <c r="E589" s="9" t="s">
        <v>47</v>
      </c>
      <c r="F589" s="10">
        <v>45318</v>
      </c>
      <c r="G589" s="9" t="s">
        <v>155</v>
      </c>
      <c r="H589" s="9" t="s">
        <v>51</v>
      </c>
      <c r="I589" s="9">
        <v>1</v>
      </c>
      <c r="J589" s="11">
        <f>K589/560*12</f>
        <v>6.8571428571428568</v>
      </c>
      <c r="K589" s="9">
        <v>320</v>
      </c>
      <c r="L589" s="12">
        <v>0.15</v>
      </c>
      <c r="M589" s="12">
        <v>48</v>
      </c>
      <c r="N589" s="13" t="s">
        <v>49</v>
      </c>
      <c r="Q589" s="9">
        <f>IF(Auction_Sales[[#This Row],[Payment Date]]=0,"",-1+WEEKNUM(Auction_Sales[[#This Row],[Payment Date]]))</f>
        <v>5</v>
      </c>
      <c r="R589" s="9">
        <f t="shared" si="166"/>
        <v>320</v>
      </c>
      <c r="S589" s="1" t="str">
        <f t="shared" si="167"/>
        <v>Floribunda Roses</v>
      </c>
      <c r="T589" s="9" t="str">
        <f t="shared" si="167"/>
        <v>50CM</v>
      </c>
      <c r="W589" s="13">
        <f t="shared" si="164"/>
        <v>0</v>
      </c>
      <c r="X589" s="14">
        <f t="shared" si="168"/>
        <v>0</v>
      </c>
      <c r="Y589" s="13">
        <f t="shared" si="169"/>
        <v>0</v>
      </c>
      <c r="Z589" s="10">
        <v>45329</v>
      </c>
      <c r="AA589" s="9">
        <f t="shared" si="170"/>
        <v>-320</v>
      </c>
      <c r="AC589" s="9">
        <v>425971</v>
      </c>
      <c r="AD589" s="14">
        <f t="shared" si="171"/>
        <v>24.986218487394957</v>
      </c>
      <c r="AF589" s="14">
        <f t="shared" si="172"/>
        <v>0</v>
      </c>
      <c r="AH589" s="14">
        <f t="shared" si="173"/>
        <v>24.986218487394957</v>
      </c>
      <c r="AI589" s="13">
        <f t="shared" si="174"/>
        <v>-24.986218487394957</v>
      </c>
      <c r="AK589" s="9">
        <f t="shared" si="175"/>
        <v>0</v>
      </c>
    </row>
    <row r="590" spans="1:37">
      <c r="A590" s="9">
        <v>5</v>
      </c>
      <c r="B590" s="9">
        <v>2024</v>
      </c>
      <c r="C590" s="9" t="s">
        <v>46</v>
      </c>
      <c r="D590" s="9" t="s">
        <v>47</v>
      </c>
      <c r="E590" s="9" t="s">
        <v>47</v>
      </c>
      <c r="F590" s="10">
        <v>45318</v>
      </c>
      <c r="G590" s="9" t="s">
        <v>155</v>
      </c>
      <c r="H590" s="9" t="s">
        <v>52</v>
      </c>
      <c r="J590" s="11">
        <f>K590/560*12</f>
        <v>5.1428571428571423</v>
      </c>
      <c r="K590" s="9">
        <v>240</v>
      </c>
      <c r="L590" s="12">
        <v>0.15</v>
      </c>
      <c r="M590" s="12">
        <v>36</v>
      </c>
      <c r="N590" s="13" t="s">
        <v>49</v>
      </c>
      <c r="Q590" s="9">
        <f>IF(Auction_Sales[[#This Row],[Payment Date]]=0,"",-1+WEEKNUM(Auction_Sales[[#This Row],[Payment Date]]))</f>
        <v>5</v>
      </c>
      <c r="R590" s="9">
        <f t="shared" si="166"/>
        <v>240</v>
      </c>
      <c r="S590" s="1" t="str">
        <f t="shared" si="167"/>
        <v>Floribunda Roses</v>
      </c>
      <c r="T590" s="9" t="str">
        <f t="shared" si="167"/>
        <v>70CM</v>
      </c>
      <c r="W590" s="13">
        <f t="shared" si="164"/>
        <v>0</v>
      </c>
      <c r="X590" s="14">
        <f t="shared" si="168"/>
        <v>0</v>
      </c>
      <c r="Y590" s="13">
        <f t="shared" si="169"/>
        <v>0</v>
      </c>
      <c r="Z590" s="10">
        <v>45329</v>
      </c>
      <c r="AA590" s="9">
        <f t="shared" si="170"/>
        <v>-240</v>
      </c>
      <c r="AC590" s="9">
        <v>425971</v>
      </c>
      <c r="AD590" s="14">
        <f t="shared" si="171"/>
        <v>18.739663865546216</v>
      </c>
      <c r="AF590" s="14">
        <f t="shared" si="172"/>
        <v>0</v>
      </c>
      <c r="AH590" s="14">
        <f t="shared" si="173"/>
        <v>18.739663865546216</v>
      </c>
      <c r="AI590" s="13">
        <f t="shared" si="174"/>
        <v>-18.739663865546216</v>
      </c>
      <c r="AK590" s="9">
        <f t="shared" si="175"/>
        <v>0</v>
      </c>
    </row>
    <row r="591" spans="1:37">
      <c r="A591" s="9">
        <v>5</v>
      </c>
      <c r="B591" s="9">
        <v>2024</v>
      </c>
      <c r="C591" s="9" t="s">
        <v>46</v>
      </c>
      <c r="D591" s="9" t="s">
        <v>47</v>
      </c>
      <c r="E591" s="9" t="s">
        <v>47</v>
      </c>
      <c r="F591" s="10">
        <v>45318</v>
      </c>
      <c r="G591" s="9" t="s">
        <v>153</v>
      </c>
      <c r="H591" s="9" t="s">
        <v>52</v>
      </c>
      <c r="I591" s="9">
        <v>1</v>
      </c>
      <c r="J591" s="11">
        <f>K591/600*12</f>
        <v>6.4</v>
      </c>
      <c r="K591" s="9">
        <v>320</v>
      </c>
      <c r="L591" s="12">
        <v>0.15</v>
      </c>
      <c r="M591" s="12">
        <v>48</v>
      </c>
      <c r="N591" s="13" t="s">
        <v>49</v>
      </c>
      <c r="Q591" s="9">
        <f>IF(Auction_Sales[[#This Row],[Payment Date]]=0,"",-1+WEEKNUM(Auction_Sales[[#This Row],[Payment Date]]))</f>
        <v>5</v>
      </c>
      <c r="R591" s="9">
        <f t="shared" si="166"/>
        <v>0</v>
      </c>
      <c r="S591" s="1" t="str">
        <f t="shared" si="167"/>
        <v>Grandiflora Roses</v>
      </c>
      <c r="T591" s="9" t="str">
        <f t="shared" si="167"/>
        <v>70CM</v>
      </c>
      <c r="U591" s="9">
        <v>320</v>
      </c>
      <c r="V591" s="13">
        <f>211.2/U591</f>
        <v>0.65999999999999992</v>
      </c>
      <c r="W591" s="13">
        <f t="shared" si="164"/>
        <v>211.2</v>
      </c>
      <c r="X591" s="14">
        <f t="shared" si="168"/>
        <v>-16.80840000000002</v>
      </c>
      <c r="Y591" s="13">
        <f t="shared" si="169"/>
        <v>194.39159999999998</v>
      </c>
      <c r="Z591" s="10">
        <v>45329</v>
      </c>
      <c r="AA591" s="9">
        <f t="shared" si="170"/>
        <v>0</v>
      </c>
      <c r="AC591" s="9">
        <v>425971</v>
      </c>
      <c r="AD591" s="14">
        <f t="shared" si="171"/>
        <v>23.320470588235295</v>
      </c>
      <c r="AF591" s="14">
        <f t="shared" si="172"/>
        <v>6.4</v>
      </c>
      <c r="AH591" s="14">
        <f t="shared" si="173"/>
        <v>29.720470588235294</v>
      </c>
      <c r="AI591" s="13">
        <f t="shared" si="174"/>
        <v>164.6711294117647</v>
      </c>
      <c r="AK591" s="9">
        <f t="shared" si="175"/>
        <v>320</v>
      </c>
    </row>
    <row r="592" spans="1:37">
      <c r="A592" s="9">
        <v>5</v>
      </c>
      <c r="B592" s="9">
        <v>2024</v>
      </c>
      <c r="C592" s="9" t="s">
        <v>46</v>
      </c>
      <c r="D592" s="9" t="s">
        <v>47</v>
      </c>
      <c r="E592" s="9" t="s">
        <v>47</v>
      </c>
      <c r="F592" s="10">
        <v>45318</v>
      </c>
      <c r="G592" s="9" t="s">
        <v>153</v>
      </c>
      <c r="H592" s="9" t="s">
        <v>48</v>
      </c>
      <c r="J592" s="11">
        <f>K592/600*12</f>
        <v>5.6</v>
      </c>
      <c r="K592" s="9">
        <v>280</v>
      </c>
      <c r="L592" s="12">
        <v>0.15</v>
      </c>
      <c r="M592" s="12">
        <v>42</v>
      </c>
      <c r="N592" s="13" t="s">
        <v>49</v>
      </c>
      <c r="Q592" s="9">
        <f>IF(Auction_Sales[[#This Row],[Payment Date]]=0,"",-1+WEEKNUM(Auction_Sales[[#This Row],[Payment Date]]))</f>
        <v>5</v>
      </c>
      <c r="R592" s="9">
        <f t="shared" si="166"/>
        <v>-240</v>
      </c>
      <c r="S592" s="1" t="str">
        <f t="shared" si="167"/>
        <v>Grandiflora Roses</v>
      </c>
      <c r="T592" s="9" t="str">
        <f t="shared" si="167"/>
        <v>60CM</v>
      </c>
      <c r="U592" s="9">
        <v>520</v>
      </c>
      <c r="V592" s="13">
        <f>307.6/U592</f>
        <v>0.59153846153846157</v>
      </c>
      <c r="W592" s="13">
        <f t="shared" si="164"/>
        <v>307.60000000000002</v>
      </c>
      <c r="X592" s="14">
        <f t="shared" si="168"/>
        <v>-27.313650000000031</v>
      </c>
      <c r="Y592" s="13">
        <f t="shared" si="169"/>
        <v>280.28634999999997</v>
      </c>
      <c r="Z592" s="10">
        <v>45329</v>
      </c>
      <c r="AA592" s="9">
        <f t="shared" si="170"/>
        <v>240</v>
      </c>
      <c r="AC592" s="9">
        <v>425971</v>
      </c>
      <c r="AD592" s="14">
        <f t="shared" si="171"/>
        <v>20.405411764705882</v>
      </c>
      <c r="AF592" s="14">
        <f t="shared" si="172"/>
        <v>10.4</v>
      </c>
      <c r="AH592" s="14">
        <f t="shared" si="173"/>
        <v>30.80541176470588</v>
      </c>
      <c r="AI592" s="13">
        <f t="shared" si="174"/>
        <v>249.4809382352941</v>
      </c>
      <c r="AK592" s="9">
        <f t="shared" si="175"/>
        <v>520</v>
      </c>
    </row>
    <row r="593" spans="1:37">
      <c r="A593" s="9">
        <v>5</v>
      </c>
      <c r="B593" s="9">
        <v>2024</v>
      </c>
      <c r="C593" s="9" t="s">
        <v>46</v>
      </c>
      <c r="D593" s="9" t="s">
        <v>47</v>
      </c>
      <c r="E593" s="9" t="s">
        <v>47</v>
      </c>
      <c r="F593" s="10">
        <v>45318</v>
      </c>
      <c r="G593" s="9" t="s">
        <v>154</v>
      </c>
      <c r="H593" s="9" t="s">
        <v>52</v>
      </c>
      <c r="I593" s="9">
        <v>1</v>
      </c>
      <c r="J593" s="11">
        <f>K593/440*12</f>
        <v>5.4545454545454541</v>
      </c>
      <c r="K593" s="9">
        <v>200</v>
      </c>
      <c r="L593" s="12">
        <v>0.15</v>
      </c>
      <c r="M593" s="12">
        <v>30</v>
      </c>
      <c r="N593" s="13" t="s">
        <v>49</v>
      </c>
      <c r="Q593" s="9">
        <f>IF(Auction_Sales[[#This Row],[Payment Date]]=0,"",-1+WEEKNUM(Auction_Sales[[#This Row],[Payment Date]]))</f>
        <v>5</v>
      </c>
      <c r="R593" s="9">
        <f t="shared" si="166"/>
        <v>0</v>
      </c>
      <c r="S593" s="1" t="str">
        <f t="shared" si="167"/>
        <v>English Roses</v>
      </c>
      <c r="T593" s="9" t="str">
        <f t="shared" si="167"/>
        <v>70CM</v>
      </c>
      <c r="U593" s="9">
        <v>200</v>
      </c>
      <c r="V593" s="13">
        <f>92/U593</f>
        <v>0.46</v>
      </c>
      <c r="W593" s="13">
        <f t="shared" si="164"/>
        <v>92</v>
      </c>
      <c r="X593" s="14">
        <f t="shared" si="168"/>
        <v>-10.505250000000013</v>
      </c>
      <c r="Y593" s="13">
        <f t="shared" si="169"/>
        <v>81.494749999999982</v>
      </c>
      <c r="Z593" s="10">
        <v>45329</v>
      </c>
      <c r="AA593" s="9">
        <f t="shared" si="170"/>
        <v>0</v>
      </c>
      <c r="AC593" s="9">
        <v>425971</v>
      </c>
      <c r="AD593" s="14">
        <f t="shared" si="171"/>
        <v>19.875401069518716</v>
      </c>
      <c r="AF593" s="14">
        <f t="shared" si="172"/>
        <v>4</v>
      </c>
      <c r="AH593" s="14">
        <f t="shared" si="173"/>
        <v>23.875401069518716</v>
      </c>
      <c r="AI593" s="13">
        <f t="shared" si="174"/>
        <v>57.619348930481266</v>
      </c>
      <c r="AK593" s="9">
        <f t="shared" si="175"/>
        <v>200</v>
      </c>
    </row>
    <row r="594" spans="1:37">
      <c r="A594" s="9">
        <v>5</v>
      </c>
      <c r="B594" s="9">
        <v>2024</v>
      </c>
      <c r="C594" s="9" t="s">
        <v>46</v>
      </c>
      <c r="D594" s="9" t="s">
        <v>47</v>
      </c>
      <c r="E594" s="9" t="s">
        <v>47</v>
      </c>
      <c r="F594" s="10">
        <v>45318</v>
      </c>
      <c r="G594" s="9" t="s">
        <v>154</v>
      </c>
      <c r="H594" s="9" t="s">
        <v>48</v>
      </c>
      <c r="J594" s="11">
        <f>K594/440*12</f>
        <v>6.545454545454545</v>
      </c>
      <c r="K594" s="9">
        <v>240</v>
      </c>
      <c r="L594" s="12">
        <v>0.15</v>
      </c>
      <c r="M594" s="12">
        <v>36</v>
      </c>
      <c r="N594" s="13" t="s">
        <v>49</v>
      </c>
      <c r="Q594" s="9">
        <f>IF(Auction_Sales[[#This Row],[Payment Date]]=0,"",-1+WEEKNUM(Auction_Sales[[#This Row],[Payment Date]]))</f>
        <v>5</v>
      </c>
      <c r="R594" s="9">
        <f t="shared" si="166"/>
        <v>-480</v>
      </c>
      <c r="S594" s="1" t="str">
        <f t="shared" si="167"/>
        <v>English Roses</v>
      </c>
      <c r="T594" s="9" t="str">
        <f t="shared" si="167"/>
        <v>60CM</v>
      </c>
      <c r="U594" s="9">
        <v>720</v>
      </c>
      <c r="V594" s="13">
        <f>310/U594</f>
        <v>0.43055555555555558</v>
      </c>
      <c r="W594" s="13">
        <f t="shared" si="164"/>
        <v>310</v>
      </c>
      <c r="X594" s="14">
        <f t="shared" si="168"/>
        <v>-37.818900000000042</v>
      </c>
      <c r="Y594" s="13">
        <f t="shared" si="169"/>
        <v>272.18109999999996</v>
      </c>
      <c r="Z594" s="10">
        <v>45329</v>
      </c>
      <c r="AA594" s="9">
        <f t="shared" si="170"/>
        <v>480</v>
      </c>
      <c r="AC594" s="9">
        <v>425971</v>
      </c>
      <c r="AD594" s="14">
        <f t="shared" si="171"/>
        <v>23.850481283422457</v>
      </c>
      <c r="AF594" s="14">
        <f t="shared" si="172"/>
        <v>14.4</v>
      </c>
      <c r="AH594" s="14">
        <f t="shared" si="173"/>
        <v>38.250481283422459</v>
      </c>
      <c r="AI594" s="13">
        <f t="shared" si="174"/>
        <v>233.9306187165775</v>
      </c>
      <c r="AK594" s="9">
        <f t="shared" si="175"/>
        <v>720</v>
      </c>
    </row>
    <row r="595" spans="1:37">
      <c r="A595" s="9">
        <v>5</v>
      </c>
      <c r="B595" s="9">
        <v>2024</v>
      </c>
      <c r="C595" s="9" t="s">
        <v>46</v>
      </c>
      <c r="D595" s="9" t="s">
        <v>47</v>
      </c>
      <c r="E595" s="9" t="s">
        <v>47</v>
      </c>
      <c r="F595" s="10">
        <v>45318</v>
      </c>
      <c r="G595" s="9" t="s">
        <v>153</v>
      </c>
      <c r="H595" s="9" t="s">
        <v>57</v>
      </c>
      <c r="I595" s="9">
        <v>1</v>
      </c>
      <c r="J595" s="11">
        <f>K595/400*12</f>
        <v>3.5999999999999996</v>
      </c>
      <c r="K595" s="9">
        <v>120</v>
      </c>
      <c r="L595" s="12">
        <v>0.15</v>
      </c>
      <c r="M595" s="12">
        <v>18</v>
      </c>
      <c r="N595" s="13" t="s">
        <v>49</v>
      </c>
      <c r="Q595" s="9">
        <f>IF(Auction_Sales[[#This Row],[Payment Date]]=0,"",-1+WEEKNUM(Auction_Sales[[#This Row],[Payment Date]]))</f>
        <v>5</v>
      </c>
      <c r="R595" s="9">
        <f t="shared" si="166"/>
        <v>0</v>
      </c>
      <c r="S595" s="1" t="str">
        <f t="shared" si="167"/>
        <v>Grandiflora Roses</v>
      </c>
      <c r="T595" s="9" t="str">
        <f t="shared" si="167"/>
        <v>100CM</v>
      </c>
      <c r="U595" s="9">
        <v>120</v>
      </c>
      <c r="V595" s="13">
        <f>87.6/U595</f>
        <v>0.73</v>
      </c>
      <c r="W595" s="13">
        <f t="shared" si="164"/>
        <v>87.6</v>
      </c>
      <c r="X595" s="14">
        <f t="shared" si="168"/>
        <v>-6.3031500000000067</v>
      </c>
      <c r="Y595" s="13">
        <f t="shared" si="169"/>
        <v>81.296849999999992</v>
      </c>
      <c r="Z595" s="10">
        <v>45329</v>
      </c>
      <c r="AA595" s="9">
        <f t="shared" si="170"/>
        <v>0</v>
      </c>
      <c r="AC595" s="9">
        <v>425971</v>
      </c>
      <c r="AD595" s="14">
        <f t="shared" si="171"/>
        <v>13.117764705882353</v>
      </c>
      <c r="AF595" s="14">
        <f t="shared" si="172"/>
        <v>2.4</v>
      </c>
      <c r="AH595" s="14">
        <f t="shared" ref="AH595" si="176">SUM(AD595:AG595)</f>
        <v>15.517764705882353</v>
      </c>
      <c r="AI595" s="13">
        <f t="shared" si="174"/>
        <v>65.779085294117635</v>
      </c>
      <c r="AK595" s="9">
        <f t="shared" si="175"/>
        <v>120</v>
      </c>
    </row>
    <row r="596" spans="1:37">
      <c r="A596" s="9">
        <v>5</v>
      </c>
      <c r="B596" s="9">
        <v>2024</v>
      </c>
      <c r="C596" s="9" t="s">
        <v>46</v>
      </c>
      <c r="D596" s="9" t="s">
        <v>47</v>
      </c>
      <c r="E596" s="9" t="s">
        <v>47</v>
      </c>
      <c r="F596" s="10">
        <v>45318</v>
      </c>
      <c r="G596" s="9" t="s">
        <v>153</v>
      </c>
      <c r="H596" s="9" t="s">
        <v>56</v>
      </c>
      <c r="J596" s="11">
        <f t="shared" ref="J596:J597" si="177">K596/400*12</f>
        <v>6</v>
      </c>
      <c r="K596" s="9">
        <v>200</v>
      </c>
      <c r="L596" s="12">
        <v>0.15</v>
      </c>
      <c r="M596" s="12">
        <v>30</v>
      </c>
      <c r="N596" s="13" t="s">
        <v>49</v>
      </c>
      <c r="Q596" s="9">
        <f>IF(Auction_Sales[[#This Row],[Payment Date]]=0,"",-1+WEEKNUM(Auction_Sales[[#This Row],[Payment Date]]))</f>
        <v>5</v>
      </c>
      <c r="R596" s="9">
        <f t="shared" si="166"/>
        <v>0</v>
      </c>
      <c r="S596" s="1" t="str">
        <f t="shared" si="167"/>
        <v>Grandiflora Roses</v>
      </c>
      <c r="T596" s="9" t="str">
        <f t="shared" si="167"/>
        <v>90CM</v>
      </c>
      <c r="U596" s="9">
        <v>200</v>
      </c>
      <c r="V596" s="13">
        <f>142/U596</f>
        <v>0.71</v>
      </c>
      <c r="W596" s="13">
        <f t="shared" si="164"/>
        <v>142</v>
      </c>
      <c r="X596" s="14">
        <f t="shared" si="168"/>
        <v>-10.505250000000013</v>
      </c>
      <c r="Y596" s="13">
        <f t="shared" si="169"/>
        <v>131.49474999999998</v>
      </c>
      <c r="Z596" s="10">
        <v>45329</v>
      </c>
      <c r="AA596" s="9">
        <f t="shared" si="170"/>
        <v>0</v>
      </c>
      <c r="AC596" s="9">
        <v>425971</v>
      </c>
      <c r="AD596" s="14">
        <f t="shared" si="171"/>
        <v>21.862941176470589</v>
      </c>
      <c r="AF596" s="14">
        <f t="shared" si="172"/>
        <v>4</v>
      </c>
      <c r="AH596" s="14">
        <f t="shared" ref="AH596:AH599" si="178">SUM(AD596:AG596)</f>
        <v>25.862941176470589</v>
      </c>
      <c r="AI596" s="13">
        <f t="shared" si="174"/>
        <v>105.6318088235294</v>
      </c>
      <c r="AK596" s="9">
        <f t="shared" si="175"/>
        <v>200</v>
      </c>
    </row>
    <row r="597" spans="1:37">
      <c r="A597" s="9">
        <v>5</v>
      </c>
      <c r="B597" s="9">
        <v>2024</v>
      </c>
      <c r="C597" s="9" t="s">
        <v>46</v>
      </c>
      <c r="D597" s="9" t="s">
        <v>47</v>
      </c>
      <c r="E597" s="9" t="s">
        <v>47</v>
      </c>
      <c r="F597" s="10">
        <v>45318</v>
      </c>
      <c r="G597" s="9" t="s">
        <v>153</v>
      </c>
      <c r="H597" s="9" t="s">
        <v>60</v>
      </c>
      <c r="J597" s="11">
        <f t="shared" si="177"/>
        <v>2.4000000000000004</v>
      </c>
      <c r="K597" s="9">
        <v>80</v>
      </c>
      <c r="L597" s="12">
        <v>0.15</v>
      </c>
      <c r="M597" s="12">
        <v>12</v>
      </c>
      <c r="N597" s="13" t="s">
        <v>49</v>
      </c>
      <c r="Q597" s="9">
        <f>IF(Auction_Sales[[#This Row],[Payment Date]]=0,"",-1+WEEKNUM(Auction_Sales[[#This Row],[Payment Date]]))</f>
        <v>5</v>
      </c>
      <c r="R597" s="9">
        <f t="shared" si="166"/>
        <v>0</v>
      </c>
      <c r="S597" s="1" t="str">
        <f>G597</f>
        <v>Grandiflora Roses</v>
      </c>
      <c r="T597" s="9" t="str">
        <f>H597</f>
        <v>110CM</v>
      </c>
      <c r="U597" s="9">
        <v>80</v>
      </c>
      <c r="V597" s="13">
        <f>59.2/U597</f>
        <v>0.74</v>
      </c>
      <c r="W597" s="13">
        <f t="shared" si="164"/>
        <v>59.2</v>
      </c>
      <c r="X597" s="14">
        <f t="shared" si="168"/>
        <v>-4.2021000000000051</v>
      </c>
      <c r="Y597" s="13">
        <f t="shared" si="169"/>
        <v>54.997900000000001</v>
      </c>
      <c r="Z597" s="10">
        <v>45329</v>
      </c>
      <c r="AA597" s="9">
        <f t="shared" si="170"/>
        <v>0</v>
      </c>
      <c r="AC597" s="9">
        <v>425971</v>
      </c>
      <c r="AD597" s="14">
        <f t="shared" si="171"/>
        <v>8.7451764705882375</v>
      </c>
      <c r="AF597" s="14">
        <f t="shared" si="172"/>
        <v>1.6</v>
      </c>
      <c r="AH597" s="14">
        <f t="shared" si="178"/>
        <v>10.345176470588237</v>
      </c>
      <c r="AI597" s="13">
        <f t="shared" si="174"/>
        <v>44.652723529411766</v>
      </c>
      <c r="AK597" s="9">
        <f t="shared" si="175"/>
        <v>80</v>
      </c>
    </row>
    <row r="598" spans="1:37">
      <c r="A598" s="9">
        <v>5</v>
      </c>
      <c r="B598" s="9">
        <v>2024</v>
      </c>
      <c r="C598" s="9" t="s">
        <v>46</v>
      </c>
      <c r="D598" s="9" t="s">
        <v>47</v>
      </c>
      <c r="E598" s="9" t="s">
        <v>47</v>
      </c>
      <c r="F598" s="10">
        <v>45318</v>
      </c>
      <c r="G598" s="9" t="s">
        <v>154</v>
      </c>
      <c r="H598" s="9" t="s">
        <v>56</v>
      </c>
      <c r="I598" s="9">
        <v>1</v>
      </c>
      <c r="J598" s="11">
        <f>K598/280*12</f>
        <v>1.7142857142857142</v>
      </c>
      <c r="K598" s="9">
        <v>40</v>
      </c>
      <c r="L598" s="12">
        <v>0.15</v>
      </c>
      <c r="M598" s="12">
        <v>6</v>
      </c>
      <c r="N598" s="13" t="s">
        <v>49</v>
      </c>
      <c r="Q598" s="9">
        <f>IF(Auction_Sales[[#This Row],[Payment Date]]=0,"",-1+WEEKNUM(Auction_Sales[[#This Row],[Payment Date]]))</f>
        <v>5</v>
      </c>
      <c r="R598" s="9">
        <f t="shared" si="166"/>
        <v>40</v>
      </c>
      <c r="S598" s="1" t="str">
        <f>G598</f>
        <v>English Roses</v>
      </c>
      <c r="T598" s="9" t="str">
        <f>H598</f>
        <v>90CM</v>
      </c>
      <c r="W598" s="13">
        <f t="shared" si="164"/>
        <v>0</v>
      </c>
      <c r="X598" s="14">
        <f t="shared" si="168"/>
        <v>0</v>
      </c>
      <c r="Y598" s="13">
        <f t="shared" si="169"/>
        <v>0</v>
      </c>
      <c r="Z598" s="10">
        <v>45329</v>
      </c>
      <c r="AA598" s="9">
        <f t="shared" si="170"/>
        <v>-40</v>
      </c>
      <c r="AC598" s="9">
        <v>425971</v>
      </c>
      <c r="AD598" s="14">
        <f t="shared" si="171"/>
        <v>6.2465546218487393</v>
      </c>
      <c r="AF598" s="14">
        <f t="shared" si="172"/>
        <v>0</v>
      </c>
      <c r="AH598" s="14">
        <f t="shared" si="178"/>
        <v>6.2465546218487393</v>
      </c>
      <c r="AI598" s="13">
        <f t="shared" si="174"/>
        <v>-6.2465546218487393</v>
      </c>
      <c r="AK598" s="9">
        <f t="shared" si="175"/>
        <v>0</v>
      </c>
    </row>
    <row r="599" spans="1:37">
      <c r="A599" s="9">
        <v>5</v>
      </c>
      <c r="B599" s="9">
        <v>2024</v>
      </c>
      <c r="C599" s="9" t="s">
        <v>46</v>
      </c>
      <c r="D599" s="9" t="s">
        <v>47</v>
      </c>
      <c r="E599" s="9" t="s">
        <v>47</v>
      </c>
      <c r="F599" s="10">
        <v>45318</v>
      </c>
      <c r="G599" s="9" t="s">
        <v>154</v>
      </c>
      <c r="H599" s="9" t="s">
        <v>54</v>
      </c>
      <c r="J599" s="11">
        <f>K599/280*12</f>
        <v>10.285714285714285</v>
      </c>
      <c r="K599" s="9">
        <v>240</v>
      </c>
      <c r="L599" s="12">
        <v>0.15</v>
      </c>
      <c r="M599" s="12">
        <v>36</v>
      </c>
      <c r="N599" s="13" t="s">
        <v>49</v>
      </c>
      <c r="Q599" s="9">
        <f>IF(Auction_Sales[[#This Row],[Payment Date]]=0,"",-1+WEEKNUM(Auction_Sales[[#This Row],[Payment Date]]))</f>
        <v>5</v>
      </c>
      <c r="R599" s="9">
        <f t="shared" si="166"/>
        <v>0</v>
      </c>
      <c r="S599" s="1" t="str">
        <f t="shared" ref="S599:T613" si="179">G599</f>
        <v>English Roses</v>
      </c>
      <c r="T599" s="9" t="str">
        <f t="shared" si="179"/>
        <v>80CM</v>
      </c>
      <c r="U599" s="9">
        <v>240</v>
      </c>
      <c r="V599" s="13">
        <f>146/U599</f>
        <v>0.60833333333333328</v>
      </c>
      <c r="W599" s="13">
        <f t="shared" si="164"/>
        <v>146</v>
      </c>
      <c r="X599" s="14">
        <f t="shared" si="168"/>
        <v>-12.606300000000013</v>
      </c>
      <c r="Y599" s="13">
        <f t="shared" si="169"/>
        <v>133.3937</v>
      </c>
      <c r="Z599" s="10">
        <v>45329</v>
      </c>
      <c r="AA599" s="9">
        <f t="shared" si="170"/>
        <v>0</v>
      </c>
      <c r="AC599" s="9">
        <v>425971</v>
      </c>
      <c r="AD599" s="14">
        <f t="shared" si="171"/>
        <v>37.479327731092432</v>
      </c>
      <c r="AF599" s="14">
        <f t="shared" si="172"/>
        <v>4.8</v>
      </c>
      <c r="AH599" s="14">
        <f t="shared" si="178"/>
        <v>42.27932773109243</v>
      </c>
      <c r="AI599" s="13">
        <f t="shared" si="174"/>
        <v>91.114372268907573</v>
      </c>
      <c r="AK599" s="9">
        <f t="shared" si="175"/>
        <v>240</v>
      </c>
    </row>
    <row r="600" spans="1:37">
      <c r="F600" s="10"/>
      <c r="G600" s="9" t="s">
        <v>158</v>
      </c>
      <c r="H600" s="9" t="s">
        <v>48</v>
      </c>
      <c r="J600" s="11"/>
      <c r="L600" s="12"/>
      <c r="M600" s="12"/>
      <c r="N600" s="13"/>
      <c r="Q600" s="9">
        <f>IF(Auction_Sales[[#This Row],[Payment Date]]=0,"",-1+WEEKNUM(Auction_Sales[[#This Row],[Payment Date]]))</f>
        <v>5</v>
      </c>
      <c r="R600" s="9">
        <f t="shared" si="166"/>
        <v>0</v>
      </c>
      <c r="S600" s="1" t="str">
        <f t="shared" si="179"/>
        <v>Climbing Roses</v>
      </c>
      <c r="T600" s="9" t="str">
        <f t="shared" si="179"/>
        <v>60CM</v>
      </c>
      <c r="V600" s="28">
        <f>13.5/450</f>
        <v>0.03</v>
      </c>
      <c r="W600" s="28">
        <f>450*V600-40.5</f>
        <v>-27</v>
      </c>
      <c r="X600" s="14">
        <f t="shared" si="168"/>
        <v>0</v>
      </c>
      <c r="Y600" s="13">
        <f t="shared" si="169"/>
        <v>-27</v>
      </c>
      <c r="Z600" s="10">
        <v>45329</v>
      </c>
      <c r="AA600" s="9">
        <f t="shared" si="170"/>
        <v>0</v>
      </c>
      <c r="AC600" s="9">
        <v>425971</v>
      </c>
      <c r="AD600" s="14">
        <f t="shared" si="171"/>
        <v>0</v>
      </c>
      <c r="AF600" s="14">
        <f t="shared" si="172"/>
        <v>0</v>
      </c>
      <c r="AH600" s="14">
        <f t="shared" ref="AH600:AH602" si="180">SUM(AD600:AG600)</f>
        <v>0</v>
      </c>
      <c r="AI600" s="13">
        <f t="shared" si="174"/>
        <v>-27</v>
      </c>
      <c r="AK600" s="9">
        <f t="shared" si="175"/>
        <v>0</v>
      </c>
    </row>
    <row r="601" spans="1:37">
      <c r="F601" s="10"/>
      <c r="G601" s="9" t="s">
        <v>158</v>
      </c>
      <c r="H601" s="9" t="s">
        <v>52</v>
      </c>
      <c r="J601" s="11"/>
      <c r="L601" s="12"/>
      <c r="M601" s="12"/>
      <c r="N601" s="13"/>
      <c r="Q601" s="9">
        <f>IF(Auction_Sales[[#This Row],[Payment Date]]=0,"",-1+WEEKNUM(Auction_Sales[[#This Row],[Payment Date]]))</f>
        <v>5</v>
      </c>
      <c r="R601" s="9">
        <f t="shared" si="166"/>
        <v>0</v>
      </c>
      <c r="S601" s="1" t="str">
        <f t="shared" si="179"/>
        <v>Climbing Roses</v>
      </c>
      <c r="T601" s="9" t="str">
        <f t="shared" si="179"/>
        <v>70CM</v>
      </c>
      <c r="V601" s="28">
        <f>33.9/540</f>
        <v>6.277777777777778E-2</v>
      </c>
      <c r="W601" s="28">
        <f>540*V601-64.8</f>
        <v>-30.9</v>
      </c>
      <c r="X601" s="14">
        <f t="shared" si="168"/>
        <v>0</v>
      </c>
      <c r="Y601" s="13">
        <f t="shared" si="169"/>
        <v>-30.9</v>
      </c>
      <c r="Z601" s="10">
        <v>45329</v>
      </c>
      <c r="AA601" s="9">
        <f t="shared" si="170"/>
        <v>0</v>
      </c>
      <c r="AC601" s="9">
        <v>425971</v>
      </c>
      <c r="AD601" s="14">
        <f t="shared" si="171"/>
        <v>0</v>
      </c>
      <c r="AF601" s="14">
        <f t="shared" si="172"/>
        <v>0</v>
      </c>
      <c r="AH601" s="14">
        <f t="shared" si="180"/>
        <v>0</v>
      </c>
      <c r="AI601" s="13">
        <f t="shared" si="174"/>
        <v>-30.9</v>
      </c>
      <c r="AK601" s="9">
        <f t="shared" si="175"/>
        <v>0</v>
      </c>
    </row>
    <row r="602" spans="1:37">
      <c r="F602" s="10"/>
      <c r="G602" s="9" t="s">
        <v>154</v>
      </c>
      <c r="H602" s="9" t="s">
        <v>51</v>
      </c>
      <c r="J602" s="11"/>
      <c r="L602" s="12"/>
      <c r="M602" s="12"/>
      <c r="N602" s="13"/>
      <c r="Q602" s="9">
        <f>IF(Auction_Sales[[#This Row],[Payment Date]]=0,"",-1+WEEKNUM(Auction_Sales[[#This Row],[Payment Date]]))</f>
        <v>5</v>
      </c>
      <c r="R602" s="9">
        <f t="shared" si="166"/>
        <v>10</v>
      </c>
      <c r="S602" s="1" t="str">
        <f t="shared" si="179"/>
        <v>English Roses</v>
      </c>
      <c r="T602" s="9" t="str">
        <f t="shared" si="179"/>
        <v>50CM</v>
      </c>
      <c r="U602" s="9">
        <v>-10</v>
      </c>
      <c r="V602" s="28">
        <f>-4/U602</f>
        <v>0.4</v>
      </c>
      <c r="W602" s="13">
        <f t="shared" ref="W602" si="181">U602*V602</f>
        <v>-4</v>
      </c>
      <c r="X602" s="14">
        <f>-(4-3.83)*U602/(10)</f>
        <v>0.16999999999999993</v>
      </c>
      <c r="Y602" s="13">
        <f t="shared" si="169"/>
        <v>-3.83</v>
      </c>
      <c r="Z602" s="10">
        <v>45329</v>
      </c>
      <c r="AA602" s="9">
        <f t="shared" si="170"/>
        <v>-10</v>
      </c>
      <c r="AC602" s="9">
        <v>425971</v>
      </c>
      <c r="AD602" s="14">
        <f t="shared" si="171"/>
        <v>0</v>
      </c>
      <c r="AF602" s="14">
        <f t="shared" si="172"/>
        <v>-0.2</v>
      </c>
      <c r="AH602" s="14">
        <f t="shared" si="180"/>
        <v>-0.2</v>
      </c>
      <c r="AI602" s="13">
        <f t="shared" si="174"/>
        <v>-3.63</v>
      </c>
      <c r="AK602" s="9">
        <f t="shared" si="175"/>
        <v>-10</v>
      </c>
    </row>
    <row r="603" spans="1:37">
      <c r="A603" s="9">
        <v>5</v>
      </c>
      <c r="B603" s="9">
        <v>2024</v>
      </c>
      <c r="C603" s="9" t="s">
        <v>46</v>
      </c>
      <c r="D603" s="9" t="s">
        <v>47</v>
      </c>
      <c r="E603" s="9" t="s">
        <v>47</v>
      </c>
      <c r="F603" s="10">
        <v>45320</v>
      </c>
      <c r="G603" s="9" t="s">
        <v>155</v>
      </c>
      <c r="H603" s="9" t="s">
        <v>51</v>
      </c>
      <c r="I603" s="9">
        <v>2</v>
      </c>
      <c r="J603" s="11">
        <f t="shared" ref="J603:J614" si="182">12*I603</f>
        <v>24</v>
      </c>
      <c r="K603" s="1">
        <v>1040</v>
      </c>
      <c r="L603" s="12">
        <v>0.15</v>
      </c>
      <c r="M603" s="12">
        <v>156</v>
      </c>
      <c r="N603" s="13" t="s">
        <v>49</v>
      </c>
      <c r="Q603" s="9">
        <f>IF(Auction_Sales[[#This Row],[Payment Date]]=0,"",-1+WEEKNUM(Auction_Sales[[#This Row],[Payment Date]]))</f>
        <v>5</v>
      </c>
      <c r="R603" s="9">
        <f t="shared" ref="R603:R605" si="183">K603-U603</f>
        <v>-80</v>
      </c>
      <c r="S603" s="1" t="str">
        <f t="shared" ref="S603:T618" si="184">G603</f>
        <v>Floribunda Roses</v>
      </c>
      <c r="T603" s="9" t="str">
        <f t="shared" si="179"/>
        <v>50CM</v>
      </c>
      <c r="U603" s="9">
        <f>1120</f>
        <v>1120</v>
      </c>
      <c r="V603" s="13">
        <f>427.2/U603</f>
        <v>0.38142857142857139</v>
      </c>
      <c r="W603" s="13">
        <f t="shared" ref="W603:W644" si="185">U603*V603</f>
        <v>427.2</v>
      </c>
      <c r="X603" s="14">
        <f>-(4606.4-4211.49)*U603/(3740+2080+2040)</f>
        <v>-56.27216284987275</v>
      </c>
      <c r="Y603" s="13">
        <f t="shared" ref="Y603:Y644" si="186">W603+X603</f>
        <v>370.92783715012723</v>
      </c>
      <c r="Z603" s="10">
        <v>45329</v>
      </c>
      <c r="AA603" s="9">
        <f t="shared" ref="AA603:AA644" si="187">U603-K603</f>
        <v>80</v>
      </c>
      <c r="AC603" s="9" t="s">
        <v>82</v>
      </c>
      <c r="AD603" s="14">
        <f>J603/(18*12)*781.03</f>
        <v>86.781111111111102</v>
      </c>
      <c r="AF603" s="14">
        <f t="shared" si="172"/>
        <v>22.400000000000002</v>
      </c>
      <c r="AH603" s="14">
        <f t="shared" ref="AH603:AH604" si="188">SUM(AD603:AG603)</f>
        <v>109.18111111111111</v>
      </c>
      <c r="AI603" s="13">
        <f t="shared" ref="AI603:AI644" si="189">Y603-AH603</f>
        <v>261.74672603901615</v>
      </c>
      <c r="AK603" s="9">
        <f t="shared" ref="AK603:AK644" si="190">U603</f>
        <v>1120</v>
      </c>
    </row>
    <row r="604" spans="1:37">
      <c r="A604" s="9">
        <v>5</v>
      </c>
      <c r="B604" s="9">
        <v>2024</v>
      </c>
      <c r="C604" s="9" t="s">
        <v>46</v>
      </c>
      <c r="D604" s="9" t="s">
        <v>47</v>
      </c>
      <c r="E604" s="9" t="s">
        <v>47</v>
      </c>
      <c r="F604" s="10">
        <v>45320</v>
      </c>
      <c r="G604" s="9" t="s">
        <v>155</v>
      </c>
      <c r="H604" s="9" t="s">
        <v>48</v>
      </c>
      <c r="I604" s="9">
        <v>1</v>
      </c>
      <c r="J604" s="11">
        <f t="shared" si="182"/>
        <v>12</v>
      </c>
      <c r="K604" s="1">
        <v>520</v>
      </c>
      <c r="L604" s="12">
        <v>0.15</v>
      </c>
      <c r="M604" s="12">
        <v>78</v>
      </c>
      <c r="N604" s="13" t="s">
        <v>49</v>
      </c>
      <c r="Q604" s="9">
        <f>IF(Auction_Sales[[#This Row],[Payment Date]]=0,"",-1+WEEKNUM(Auction_Sales[[#This Row],[Payment Date]]))</f>
        <v>5</v>
      </c>
      <c r="R604" s="9">
        <f t="shared" si="183"/>
        <v>200</v>
      </c>
      <c r="S604" s="1" t="str">
        <f t="shared" si="184"/>
        <v>Floribunda Roses</v>
      </c>
      <c r="T604" s="9" t="str">
        <f t="shared" si="179"/>
        <v>60CM</v>
      </c>
      <c r="U604" s="9">
        <f>320</f>
        <v>320</v>
      </c>
      <c r="V604" s="13">
        <f>(236.8)/U604</f>
        <v>0.74</v>
      </c>
      <c r="W604" s="13">
        <f t="shared" si="185"/>
        <v>236.8</v>
      </c>
      <c r="X604" s="14">
        <f t="shared" ref="X604:X624" si="191">-(4606.4-4211.49)*U604/(3740+2080+2040)</f>
        <v>-16.077760814249359</v>
      </c>
      <c r="Y604" s="13">
        <f t="shared" si="186"/>
        <v>220.72223918575065</v>
      </c>
      <c r="Z604" s="10">
        <v>45329</v>
      </c>
      <c r="AA604" s="9">
        <f t="shared" si="187"/>
        <v>-200</v>
      </c>
      <c r="AC604" s="9" t="s">
        <v>82</v>
      </c>
      <c r="AD604" s="14">
        <f t="shared" ref="AD604:AD624" si="192">J604/(18*12)*781.03</f>
        <v>43.390555555555551</v>
      </c>
      <c r="AF604" s="14">
        <f t="shared" si="172"/>
        <v>6.4</v>
      </c>
      <c r="AH604" s="14">
        <f t="shared" si="188"/>
        <v>49.790555555555549</v>
      </c>
      <c r="AI604" s="13">
        <f t="shared" si="189"/>
        <v>170.9316836301951</v>
      </c>
      <c r="AK604" s="9">
        <f t="shared" si="190"/>
        <v>320</v>
      </c>
    </row>
    <row r="605" spans="1:37">
      <c r="A605" s="9">
        <v>5</v>
      </c>
      <c r="B605" s="9">
        <v>2024</v>
      </c>
      <c r="C605" s="9" t="s">
        <v>46</v>
      </c>
      <c r="D605" s="9" t="s">
        <v>47</v>
      </c>
      <c r="E605" s="9" t="s">
        <v>47</v>
      </c>
      <c r="F605" s="10">
        <v>45320</v>
      </c>
      <c r="G605" s="9" t="s">
        <v>155</v>
      </c>
      <c r="H605" s="9" t="s">
        <v>48</v>
      </c>
      <c r="I605" s="9">
        <v>1</v>
      </c>
      <c r="J605" s="11">
        <f t="shared" si="182"/>
        <v>12</v>
      </c>
      <c r="K605" s="1">
        <v>480</v>
      </c>
      <c r="L605" s="12">
        <v>0.15</v>
      </c>
      <c r="M605" s="12">
        <v>72</v>
      </c>
      <c r="N605" s="13" t="s">
        <v>49</v>
      </c>
      <c r="Q605" s="9">
        <f>IF(Auction_Sales[[#This Row],[Payment Date]]=0,"",-1+WEEKNUM(Auction_Sales[[#This Row],[Payment Date]]))</f>
        <v>5</v>
      </c>
      <c r="R605" s="9">
        <f t="shared" si="183"/>
        <v>-240</v>
      </c>
      <c r="S605" s="1" t="str">
        <f t="shared" si="184"/>
        <v>Floribunda Roses</v>
      </c>
      <c r="T605" s="9" t="str">
        <f t="shared" si="179"/>
        <v>60CM</v>
      </c>
      <c r="U605" s="9">
        <f>400+320</f>
        <v>720</v>
      </c>
      <c r="V605" s="13">
        <f>(261.2+185.6)/U605</f>
        <v>0.62055555555555553</v>
      </c>
      <c r="W605" s="13">
        <f t="shared" si="185"/>
        <v>446.79999999999995</v>
      </c>
      <c r="X605" s="14">
        <f t="shared" si="191"/>
        <v>-36.174961832061058</v>
      </c>
      <c r="Y605" s="13">
        <f t="shared" si="186"/>
        <v>410.6250381679389</v>
      </c>
      <c r="Z605" s="10">
        <v>45329</v>
      </c>
      <c r="AA605" s="9">
        <f t="shared" si="187"/>
        <v>240</v>
      </c>
      <c r="AC605" s="9" t="s">
        <v>82</v>
      </c>
      <c r="AD605" s="14">
        <f t="shared" si="192"/>
        <v>43.390555555555551</v>
      </c>
      <c r="AF605" s="14">
        <f t="shared" si="172"/>
        <v>14.4</v>
      </c>
      <c r="AH605" s="14">
        <f t="shared" ref="AH605" si="193">SUM(AD605:AG605)</f>
        <v>57.790555555555549</v>
      </c>
      <c r="AI605" s="13">
        <f t="shared" si="189"/>
        <v>352.83448261238334</v>
      </c>
      <c r="AK605" s="9">
        <f t="shared" si="190"/>
        <v>720</v>
      </c>
    </row>
    <row r="606" spans="1:37">
      <c r="A606" s="9">
        <v>5</v>
      </c>
      <c r="B606" s="9">
        <v>2024</v>
      </c>
      <c r="C606" s="9" t="s">
        <v>46</v>
      </c>
      <c r="D606" s="9" t="s">
        <v>47</v>
      </c>
      <c r="E606" s="9" t="s">
        <v>47</v>
      </c>
      <c r="F606" s="10">
        <v>45320</v>
      </c>
      <c r="G606" s="9" t="s">
        <v>155</v>
      </c>
      <c r="H606" s="9" t="s">
        <v>52</v>
      </c>
      <c r="I606" s="9">
        <v>1</v>
      </c>
      <c r="J606" s="11">
        <f t="shared" si="182"/>
        <v>12</v>
      </c>
      <c r="K606" s="1">
        <v>440</v>
      </c>
      <c r="L606" s="12">
        <v>0.15</v>
      </c>
      <c r="M606" s="12">
        <v>66</v>
      </c>
      <c r="N606" s="13" t="s">
        <v>49</v>
      </c>
      <c r="Q606" s="9">
        <f>IF(Auction_Sales[[#This Row],[Payment Date]]=0,"",-1+WEEKNUM(Auction_Sales[[#This Row],[Payment Date]]))</f>
        <v>5</v>
      </c>
      <c r="R606" s="9">
        <f t="shared" si="166"/>
        <v>-200</v>
      </c>
      <c r="S606" s="1" t="str">
        <f t="shared" si="184"/>
        <v>Floribunda Roses</v>
      </c>
      <c r="T606" s="9" t="str">
        <f t="shared" si="179"/>
        <v>70CM</v>
      </c>
      <c r="U606" s="1">
        <f>320+320</f>
        <v>640</v>
      </c>
      <c r="V606" s="15">
        <f>(243.6+210)/U606</f>
        <v>0.70874999999999999</v>
      </c>
      <c r="W606" s="15">
        <f t="shared" si="185"/>
        <v>453.6</v>
      </c>
      <c r="X606" s="14">
        <f t="shared" si="191"/>
        <v>-32.155521628498718</v>
      </c>
      <c r="Y606" s="15">
        <f t="shared" si="186"/>
        <v>421.4444783715013</v>
      </c>
      <c r="Z606" s="10">
        <v>45329</v>
      </c>
      <c r="AA606" s="9">
        <f t="shared" si="187"/>
        <v>200</v>
      </c>
      <c r="AC606" s="9" t="s">
        <v>82</v>
      </c>
      <c r="AD606" s="14">
        <f t="shared" si="192"/>
        <v>43.390555555555551</v>
      </c>
      <c r="AF606" s="14">
        <f t="shared" si="172"/>
        <v>12.8</v>
      </c>
      <c r="AH606" s="14">
        <f t="shared" ref="AH606:AH644" si="194">SUM(AD606:AG606)</f>
        <v>56.190555555555548</v>
      </c>
      <c r="AI606" s="13">
        <f t="shared" si="189"/>
        <v>365.25392281594577</v>
      </c>
      <c r="AK606" s="9">
        <f t="shared" si="190"/>
        <v>640</v>
      </c>
    </row>
    <row r="607" spans="1:37">
      <c r="A607" s="9">
        <v>5</v>
      </c>
      <c r="B607" s="9">
        <v>2024</v>
      </c>
      <c r="C607" s="9" t="s">
        <v>46</v>
      </c>
      <c r="D607" s="9" t="s">
        <v>47</v>
      </c>
      <c r="E607" s="9" t="s">
        <v>47</v>
      </c>
      <c r="F607" s="10">
        <v>45320</v>
      </c>
      <c r="G607" s="9" t="s">
        <v>155</v>
      </c>
      <c r="H607" s="9" t="s">
        <v>54</v>
      </c>
      <c r="I607" s="9">
        <v>1</v>
      </c>
      <c r="J607" s="11">
        <f t="shared" si="182"/>
        <v>12</v>
      </c>
      <c r="K607" s="1">
        <v>320</v>
      </c>
      <c r="L607" s="12">
        <v>0.15</v>
      </c>
      <c r="M607" s="12">
        <v>48</v>
      </c>
      <c r="N607" s="13" t="s">
        <v>49</v>
      </c>
      <c r="Q607" s="9">
        <f>IF(Auction_Sales[[#This Row],[Payment Date]]=0,"",-1+WEEKNUM(Auction_Sales[[#This Row],[Payment Date]]))</f>
        <v>5</v>
      </c>
      <c r="R607" s="9">
        <f t="shared" si="166"/>
        <v>-80</v>
      </c>
      <c r="S607" s="1" t="str">
        <f t="shared" si="184"/>
        <v>Floribunda Roses</v>
      </c>
      <c r="T607" s="9" t="str">
        <f t="shared" si="179"/>
        <v>80CM</v>
      </c>
      <c r="U607" s="9">
        <v>400</v>
      </c>
      <c r="V607" s="13">
        <f>345.6/U607</f>
        <v>0.8640000000000001</v>
      </c>
      <c r="W607" s="13">
        <f t="shared" si="185"/>
        <v>345.6</v>
      </c>
      <c r="X607" s="14">
        <f t="shared" si="191"/>
        <v>-20.097201017811699</v>
      </c>
      <c r="Y607" s="13">
        <f t="shared" si="186"/>
        <v>325.50279898218832</v>
      </c>
      <c r="Z607" s="10">
        <v>45329</v>
      </c>
      <c r="AA607" s="9">
        <f t="shared" si="187"/>
        <v>80</v>
      </c>
      <c r="AC607" s="9" t="s">
        <v>82</v>
      </c>
      <c r="AD607" s="14">
        <f t="shared" si="192"/>
        <v>43.390555555555551</v>
      </c>
      <c r="AF607" s="14">
        <f t="shared" si="172"/>
        <v>8</v>
      </c>
      <c r="AH607" s="14">
        <f t="shared" si="194"/>
        <v>51.390555555555551</v>
      </c>
      <c r="AI607" s="13">
        <f t="shared" si="189"/>
        <v>274.11224342663274</v>
      </c>
      <c r="AK607" s="9">
        <f t="shared" si="190"/>
        <v>400</v>
      </c>
    </row>
    <row r="608" spans="1:37">
      <c r="A608" s="9">
        <v>5</v>
      </c>
      <c r="B608" s="9">
        <v>2024</v>
      </c>
      <c r="C608" s="9" t="s">
        <v>46</v>
      </c>
      <c r="D608" s="9" t="s">
        <v>47</v>
      </c>
      <c r="E608" s="9" t="s">
        <v>47</v>
      </c>
      <c r="F608" s="10">
        <v>45320</v>
      </c>
      <c r="G608" s="9" t="s">
        <v>155</v>
      </c>
      <c r="H608" s="9" t="s">
        <v>57</v>
      </c>
      <c r="I608" s="9">
        <v>1</v>
      </c>
      <c r="J608" s="11">
        <f t="shared" si="182"/>
        <v>12</v>
      </c>
      <c r="K608" s="1">
        <v>160</v>
      </c>
      <c r="L608" s="12">
        <v>0.15</v>
      </c>
      <c r="M608" s="12">
        <v>24</v>
      </c>
      <c r="N608" s="13" t="s">
        <v>49</v>
      </c>
      <c r="Q608" s="9">
        <f>IF(Auction_Sales[[#This Row],[Payment Date]]=0,"",-1+WEEKNUM(Auction_Sales[[#This Row],[Payment Date]]))</f>
        <v>5</v>
      </c>
      <c r="R608" s="9">
        <f t="shared" si="166"/>
        <v>0</v>
      </c>
      <c r="S608" s="1" t="str">
        <f t="shared" si="184"/>
        <v>Floribunda Roses</v>
      </c>
      <c r="T608" s="9" t="str">
        <f t="shared" si="179"/>
        <v>100CM</v>
      </c>
      <c r="U608" s="1">
        <v>160</v>
      </c>
      <c r="V608" s="15">
        <f>136/U608</f>
        <v>0.85</v>
      </c>
      <c r="W608" s="15">
        <f t="shared" si="185"/>
        <v>136</v>
      </c>
      <c r="X608" s="14">
        <f t="shared" si="191"/>
        <v>-8.0388804071246796</v>
      </c>
      <c r="Y608" s="15">
        <f t="shared" si="186"/>
        <v>127.96111959287532</v>
      </c>
      <c r="Z608" s="10">
        <v>45329</v>
      </c>
      <c r="AA608" s="9">
        <f t="shared" si="187"/>
        <v>0</v>
      </c>
      <c r="AC608" s="9" t="s">
        <v>82</v>
      </c>
      <c r="AD608" s="14">
        <f t="shared" si="192"/>
        <v>43.390555555555551</v>
      </c>
      <c r="AF608" s="14">
        <f t="shared" si="172"/>
        <v>3.2</v>
      </c>
      <c r="AH608" s="14">
        <f t="shared" si="194"/>
        <v>46.590555555555554</v>
      </c>
      <c r="AI608" s="13">
        <f t="shared" si="189"/>
        <v>81.370564037319767</v>
      </c>
      <c r="AK608" s="9">
        <f t="shared" si="190"/>
        <v>160</v>
      </c>
    </row>
    <row r="609" spans="1:37">
      <c r="A609" s="9">
        <v>5</v>
      </c>
      <c r="B609" s="9">
        <v>2024</v>
      </c>
      <c r="C609" s="9" t="s">
        <v>46</v>
      </c>
      <c r="D609" s="9" t="s">
        <v>47</v>
      </c>
      <c r="E609" s="9" t="s">
        <v>47</v>
      </c>
      <c r="F609" s="10">
        <v>45320</v>
      </c>
      <c r="G609" s="9" t="s">
        <v>154</v>
      </c>
      <c r="H609" s="9" t="s">
        <v>51</v>
      </c>
      <c r="I609" s="9">
        <v>1</v>
      </c>
      <c r="J609" s="11">
        <f t="shared" si="182"/>
        <v>12</v>
      </c>
      <c r="K609" s="1">
        <v>520</v>
      </c>
      <c r="L609" s="12">
        <v>0.15</v>
      </c>
      <c r="M609" s="12">
        <v>78</v>
      </c>
      <c r="N609" s="13" t="s">
        <v>49</v>
      </c>
      <c r="Q609" s="9">
        <f>IF(Auction_Sales[[#This Row],[Payment Date]]=0,"",-1+WEEKNUM(Auction_Sales[[#This Row],[Payment Date]]))</f>
        <v>5</v>
      </c>
      <c r="R609" s="9">
        <f t="shared" si="166"/>
        <v>0</v>
      </c>
      <c r="S609" s="1" t="str">
        <f t="shared" si="184"/>
        <v>English Roses</v>
      </c>
      <c r="T609" s="9" t="str">
        <f t="shared" si="179"/>
        <v>50CM</v>
      </c>
      <c r="U609" s="1">
        <v>520</v>
      </c>
      <c r="V609" s="15">
        <f>184/U609</f>
        <v>0.35384615384615387</v>
      </c>
      <c r="W609" s="15">
        <f t="shared" si="185"/>
        <v>184</v>
      </c>
      <c r="X609" s="14">
        <f t="shared" si="191"/>
        <v>-26.126361323155205</v>
      </c>
      <c r="Y609" s="15">
        <f t="shared" si="186"/>
        <v>157.87363867684479</v>
      </c>
      <c r="Z609" s="10">
        <v>45329</v>
      </c>
      <c r="AA609" s="9">
        <f t="shared" si="187"/>
        <v>0</v>
      </c>
      <c r="AC609" s="9" t="s">
        <v>82</v>
      </c>
      <c r="AD609" s="14">
        <f t="shared" si="192"/>
        <v>43.390555555555551</v>
      </c>
      <c r="AF609" s="14">
        <f t="shared" si="172"/>
        <v>10.4</v>
      </c>
      <c r="AH609" s="14">
        <f t="shared" ref="AH609:AH610" si="195">SUM(AD609:AG609)</f>
        <v>53.790555555555549</v>
      </c>
      <c r="AI609" s="13">
        <f t="shared" si="189"/>
        <v>104.08308312128923</v>
      </c>
      <c r="AK609" s="9">
        <f t="shared" si="190"/>
        <v>520</v>
      </c>
    </row>
    <row r="610" spans="1:37">
      <c r="A610" s="9">
        <v>5</v>
      </c>
      <c r="B610" s="9">
        <v>2024</v>
      </c>
      <c r="C610" s="9" t="s">
        <v>46</v>
      </c>
      <c r="D610" s="9" t="s">
        <v>47</v>
      </c>
      <c r="E610" s="9" t="s">
        <v>47</v>
      </c>
      <c r="F610" s="10">
        <v>45320</v>
      </c>
      <c r="G610" s="9" t="s">
        <v>154</v>
      </c>
      <c r="H610" s="9" t="s">
        <v>48</v>
      </c>
      <c r="I610" s="9">
        <v>1</v>
      </c>
      <c r="J610" s="11">
        <f t="shared" si="182"/>
        <v>12</v>
      </c>
      <c r="K610" s="1">
        <v>480</v>
      </c>
      <c r="L610" s="12">
        <v>0.15</v>
      </c>
      <c r="M610" s="12">
        <v>72</v>
      </c>
      <c r="N610" s="13" t="s">
        <v>49</v>
      </c>
      <c r="Q610" s="9">
        <f>IF(Auction_Sales[[#This Row],[Payment Date]]=0,"",-1+WEEKNUM(Auction_Sales[[#This Row],[Payment Date]]))</f>
        <v>5</v>
      </c>
      <c r="R610" s="9">
        <f t="shared" si="166"/>
        <v>0</v>
      </c>
      <c r="S610" s="1" t="str">
        <f t="shared" si="184"/>
        <v>English Roses</v>
      </c>
      <c r="T610" s="9" t="str">
        <f t="shared" si="179"/>
        <v>60CM</v>
      </c>
      <c r="U610" s="1">
        <f>240+240</f>
        <v>480</v>
      </c>
      <c r="V610" s="15">
        <f>(122.4+107.6)/U610</f>
        <v>0.47916666666666669</v>
      </c>
      <c r="W610" s="15">
        <f t="shared" si="185"/>
        <v>230</v>
      </c>
      <c r="X610" s="14">
        <f t="shared" si="191"/>
        <v>-24.116641221374039</v>
      </c>
      <c r="Y610" s="15">
        <f t="shared" si="186"/>
        <v>205.88335877862596</v>
      </c>
      <c r="Z610" s="10">
        <v>45329</v>
      </c>
      <c r="AA610" s="9">
        <f t="shared" si="187"/>
        <v>0</v>
      </c>
      <c r="AC610" s="9" t="s">
        <v>82</v>
      </c>
      <c r="AD610" s="14">
        <f t="shared" si="192"/>
        <v>43.390555555555551</v>
      </c>
      <c r="AF610" s="14">
        <f t="shared" si="172"/>
        <v>9.6</v>
      </c>
      <c r="AH610" s="14">
        <f t="shared" si="195"/>
        <v>52.990555555555552</v>
      </c>
      <c r="AI610" s="13">
        <f t="shared" si="189"/>
        <v>152.89280322307042</v>
      </c>
      <c r="AK610" s="9">
        <f t="shared" si="190"/>
        <v>480</v>
      </c>
    </row>
    <row r="611" spans="1:37">
      <c r="A611" s="9">
        <v>5</v>
      </c>
      <c r="B611" s="9">
        <v>2024</v>
      </c>
      <c r="C611" s="9" t="s">
        <v>46</v>
      </c>
      <c r="D611" s="9" t="s">
        <v>47</v>
      </c>
      <c r="E611" s="9" t="s">
        <v>47</v>
      </c>
      <c r="F611" s="10">
        <v>45320</v>
      </c>
      <c r="G611" s="9" t="s">
        <v>154</v>
      </c>
      <c r="H611" s="9" t="s">
        <v>52</v>
      </c>
      <c r="I611" s="9">
        <v>1</v>
      </c>
      <c r="J611" s="11">
        <f t="shared" si="182"/>
        <v>12</v>
      </c>
      <c r="K611" s="1">
        <v>400</v>
      </c>
      <c r="L611" s="12">
        <v>0.15</v>
      </c>
      <c r="M611" s="12">
        <v>60</v>
      </c>
      <c r="N611" s="13" t="s">
        <v>49</v>
      </c>
      <c r="Q611" s="9">
        <f>IF(Auction_Sales[[#This Row],[Payment Date]]=0,"",-1+WEEKNUM(Auction_Sales[[#This Row],[Payment Date]]))</f>
        <v>5</v>
      </c>
      <c r="R611" s="9">
        <f t="shared" si="166"/>
        <v>0</v>
      </c>
      <c r="S611" s="1" t="str">
        <f t="shared" si="184"/>
        <v>English Roses</v>
      </c>
      <c r="T611" s="9" t="str">
        <f t="shared" si="179"/>
        <v>70CM</v>
      </c>
      <c r="U611" s="9">
        <f>200+200</f>
        <v>400</v>
      </c>
      <c r="V611" s="13">
        <f>(118.4+108)/U611</f>
        <v>0.56600000000000006</v>
      </c>
      <c r="W611" s="13">
        <f t="shared" si="185"/>
        <v>226.40000000000003</v>
      </c>
      <c r="X611" s="14">
        <f t="shared" si="191"/>
        <v>-20.097201017811699</v>
      </c>
      <c r="Y611" s="13">
        <f t="shared" si="186"/>
        <v>206.30279898218834</v>
      </c>
      <c r="Z611" s="10">
        <v>45329</v>
      </c>
      <c r="AA611" s="9">
        <f t="shared" si="187"/>
        <v>0</v>
      </c>
      <c r="AC611" s="9" t="s">
        <v>82</v>
      </c>
      <c r="AD611" s="14">
        <f t="shared" si="192"/>
        <v>43.390555555555551</v>
      </c>
      <c r="AF611" s="14">
        <f t="shared" si="172"/>
        <v>8</v>
      </c>
      <c r="AH611" s="14">
        <f t="shared" si="194"/>
        <v>51.390555555555551</v>
      </c>
      <c r="AI611" s="13">
        <f t="shared" si="189"/>
        <v>154.91224342663278</v>
      </c>
      <c r="AK611" s="9">
        <f t="shared" si="190"/>
        <v>400</v>
      </c>
    </row>
    <row r="612" spans="1:37">
      <c r="A612" s="9">
        <v>5</v>
      </c>
      <c r="B612" s="9">
        <v>2024</v>
      </c>
      <c r="C612" s="9" t="s">
        <v>46</v>
      </c>
      <c r="D612" s="9" t="s">
        <v>47</v>
      </c>
      <c r="E612" s="9" t="s">
        <v>47</v>
      </c>
      <c r="F612" s="10">
        <v>45320</v>
      </c>
      <c r="G612" s="9" t="s">
        <v>153</v>
      </c>
      <c r="H612" s="9" t="s">
        <v>48</v>
      </c>
      <c r="I612" s="9">
        <v>1</v>
      </c>
      <c r="J612" s="11">
        <f t="shared" si="182"/>
        <v>12</v>
      </c>
      <c r="K612" s="1">
        <v>720</v>
      </c>
      <c r="L612" s="12">
        <v>0.15</v>
      </c>
      <c r="M612" s="12">
        <v>108</v>
      </c>
      <c r="N612" s="13" t="s">
        <v>49</v>
      </c>
      <c r="Q612" s="9">
        <f>IF(Auction_Sales[[#This Row],[Payment Date]]=0,"",-1+WEEKNUM(Auction_Sales[[#This Row],[Payment Date]]))</f>
        <v>5</v>
      </c>
      <c r="R612" s="9">
        <f>K612-U612</f>
        <v>0</v>
      </c>
      <c r="S612" s="1" t="str">
        <f t="shared" si="184"/>
        <v>Grandiflora Roses</v>
      </c>
      <c r="T612" s="9" t="str">
        <f t="shared" si="179"/>
        <v>60CM</v>
      </c>
      <c r="U612" s="1">
        <f>360+360</f>
        <v>720</v>
      </c>
      <c r="V612" s="15">
        <f>(200+198)/U612</f>
        <v>0.55277777777777781</v>
      </c>
      <c r="W612" s="15">
        <f t="shared" si="185"/>
        <v>398</v>
      </c>
      <c r="X612" s="14">
        <f t="shared" si="191"/>
        <v>-36.174961832061058</v>
      </c>
      <c r="Y612" s="15">
        <f t="shared" si="186"/>
        <v>361.82503816793894</v>
      </c>
      <c r="Z612" s="10">
        <v>45329</v>
      </c>
      <c r="AA612" s="9">
        <f t="shared" si="187"/>
        <v>0</v>
      </c>
      <c r="AC612" s="9" t="s">
        <v>82</v>
      </c>
      <c r="AD612" s="14">
        <f t="shared" si="192"/>
        <v>43.390555555555551</v>
      </c>
      <c r="AF612" s="14">
        <f t="shared" si="172"/>
        <v>14.4</v>
      </c>
      <c r="AH612" s="14">
        <f t="shared" si="194"/>
        <v>57.790555555555549</v>
      </c>
      <c r="AI612" s="13">
        <f t="shared" si="189"/>
        <v>304.03448261238339</v>
      </c>
      <c r="AK612" s="9">
        <f t="shared" si="190"/>
        <v>720</v>
      </c>
    </row>
    <row r="613" spans="1:37">
      <c r="A613" s="9">
        <v>5</v>
      </c>
      <c r="B613" s="9">
        <v>2024</v>
      </c>
      <c r="C613" s="9" t="s">
        <v>46</v>
      </c>
      <c r="D613" s="9" t="s">
        <v>47</v>
      </c>
      <c r="E613" s="9" t="s">
        <v>47</v>
      </c>
      <c r="F613" s="10">
        <v>45320</v>
      </c>
      <c r="G613" s="9" t="s">
        <v>153</v>
      </c>
      <c r="H613" s="9" t="s">
        <v>52</v>
      </c>
      <c r="I613" s="9">
        <v>1</v>
      </c>
      <c r="J613" s="11">
        <f t="shared" si="182"/>
        <v>12</v>
      </c>
      <c r="K613" s="1">
        <v>520</v>
      </c>
      <c r="L613" s="12">
        <v>0.15</v>
      </c>
      <c r="M613" s="12">
        <v>78</v>
      </c>
      <c r="N613" s="13" t="s">
        <v>49</v>
      </c>
      <c r="Q613" s="9">
        <f>IF(Auction_Sales[[#This Row],[Payment Date]]=0,"",-1+WEEKNUM(Auction_Sales[[#This Row],[Payment Date]]))</f>
        <v>5</v>
      </c>
      <c r="R613" s="9">
        <f>K613-U613</f>
        <v>120</v>
      </c>
      <c r="S613" s="1" t="str">
        <f t="shared" si="184"/>
        <v>Grandiflora Roses</v>
      </c>
      <c r="T613" s="9" t="str">
        <f t="shared" si="179"/>
        <v>70CM</v>
      </c>
      <c r="U613" s="9">
        <f>400</f>
        <v>400</v>
      </c>
      <c r="V613" s="13">
        <f>(258)/U613</f>
        <v>0.64500000000000002</v>
      </c>
      <c r="W613" s="13">
        <f t="shared" si="185"/>
        <v>258</v>
      </c>
      <c r="X613" s="14">
        <f t="shared" si="191"/>
        <v>-20.097201017811699</v>
      </c>
      <c r="Y613" s="13">
        <f t="shared" si="186"/>
        <v>237.9027989821883</v>
      </c>
      <c r="Z613" s="10">
        <v>45329</v>
      </c>
      <c r="AA613" s="9">
        <f t="shared" si="187"/>
        <v>-120</v>
      </c>
      <c r="AC613" s="9" t="s">
        <v>82</v>
      </c>
      <c r="AD613" s="14">
        <f t="shared" si="192"/>
        <v>43.390555555555551</v>
      </c>
      <c r="AF613" s="14">
        <f t="shared" si="172"/>
        <v>8</v>
      </c>
      <c r="AH613" s="14">
        <f t="shared" si="194"/>
        <v>51.390555555555551</v>
      </c>
      <c r="AI613" s="13">
        <f t="shared" si="189"/>
        <v>186.51224342663275</v>
      </c>
      <c r="AK613" s="9">
        <f t="shared" si="190"/>
        <v>400</v>
      </c>
    </row>
    <row r="614" spans="1:37">
      <c r="A614" s="9">
        <v>5</v>
      </c>
      <c r="B614" s="9">
        <v>2024</v>
      </c>
      <c r="C614" s="9" t="s">
        <v>46</v>
      </c>
      <c r="D614" s="9" t="s">
        <v>47</v>
      </c>
      <c r="E614" s="9" t="s">
        <v>47</v>
      </c>
      <c r="F614" s="10">
        <v>45320</v>
      </c>
      <c r="G614" s="9" t="s">
        <v>153</v>
      </c>
      <c r="H614" s="9" t="s">
        <v>54</v>
      </c>
      <c r="I614" s="9">
        <v>1</v>
      </c>
      <c r="J614" s="11">
        <f t="shared" si="182"/>
        <v>12</v>
      </c>
      <c r="K614" s="1">
        <v>400</v>
      </c>
      <c r="L614" s="12">
        <v>0.15</v>
      </c>
      <c r="M614" s="12">
        <v>60</v>
      </c>
      <c r="N614" s="13" t="s">
        <v>49</v>
      </c>
      <c r="Q614" s="9">
        <f>IF(Auction_Sales[[#This Row],[Payment Date]]=0,"",-1+WEEKNUM(Auction_Sales[[#This Row],[Payment Date]]))</f>
        <v>5</v>
      </c>
      <c r="R614" s="9">
        <f t="shared" ref="R614:R620" si="196">K614-U614</f>
        <v>0</v>
      </c>
      <c r="S614" s="1" t="str">
        <f t="shared" si="184"/>
        <v>Grandiflora Roses</v>
      </c>
      <c r="T614" s="9" t="str">
        <f t="shared" si="184"/>
        <v>80CM</v>
      </c>
      <c r="U614" s="9">
        <f>400</f>
        <v>400</v>
      </c>
      <c r="V614" s="13">
        <f>295.2/U614</f>
        <v>0.73799999999999999</v>
      </c>
      <c r="W614" s="13">
        <f t="shared" si="185"/>
        <v>295.2</v>
      </c>
      <c r="X614" s="14">
        <f t="shared" si="191"/>
        <v>-20.097201017811699</v>
      </c>
      <c r="Y614" s="13">
        <f t="shared" si="186"/>
        <v>275.10279898218829</v>
      </c>
      <c r="Z614" s="10">
        <v>45329</v>
      </c>
      <c r="AA614" s="9">
        <f t="shared" si="187"/>
        <v>0</v>
      </c>
      <c r="AC614" s="9" t="s">
        <v>82</v>
      </c>
      <c r="AD614" s="14">
        <f t="shared" si="192"/>
        <v>43.390555555555551</v>
      </c>
      <c r="AF614" s="14">
        <f t="shared" si="172"/>
        <v>8</v>
      </c>
      <c r="AH614" s="14">
        <f t="shared" si="194"/>
        <v>51.390555555555551</v>
      </c>
      <c r="AI614" s="13">
        <f t="shared" si="189"/>
        <v>223.71224342663274</v>
      </c>
      <c r="AK614" s="9">
        <f t="shared" si="190"/>
        <v>400</v>
      </c>
    </row>
    <row r="615" spans="1:37">
      <c r="A615" s="9">
        <v>5</v>
      </c>
      <c r="B615" s="9">
        <v>2024</v>
      </c>
      <c r="C615" s="9" t="s">
        <v>46</v>
      </c>
      <c r="D615" s="9" t="s">
        <v>47</v>
      </c>
      <c r="E615" s="9" t="s">
        <v>47</v>
      </c>
      <c r="F615" s="10">
        <v>45320</v>
      </c>
      <c r="G615" s="9" t="s">
        <v>154</v>
      </c>
      <c r="H615" s="9" t="s">
        <v>57</v>
      </c>
      <c r="I615" s="9">
        <v>1</v>
      </c>
      <c r="J615" s="11">
        <v>6</v>
      </c>
      <c r="K615" s="1">
        <v>80</v>
      </c>
      <c r="L615" s="12">
        <v>0.15</v>
      </c>
      <c r="M615" s="12">
        <v>12</v>
      </c>
      <c r="N615" s="13" t="s">
        <v>49</v>
      </c>
      <c r="Q615" s="9">
        <f>IF(Auction_Sales[[#This Row],[Payment Date]]=0,"",-1+WEEKNUM(Auction_Sales[[#This Row],[Payment Date]]))</f>
        <v>5</v>
      </c>
      <c r="R615" s="9">
        <f t="shared" si="196"/>
        <v>0</v>
      </c>
      <c r="S615" s="1" t="str">
        <f t="shared" si="184"/>
        <v>English Roses</v>
      </c>
      <c r="T615" s="9" t="str">
        <f t="shared" si="184"/>
        <v>100CM</v>
      </c>
      <c r="U615" s="9">
        <v>80</v>
      </c>
      <c r="V615" s="13">
        <f>57.2/U615</f>
        <v>0.71500000000000008</v>
      </c>
      <c r="W615" s="13">
        <f t="shared" si="185"/>
        <v>57.2</v>
      </c>
      <c r="X615" s="14">
        <f t="shared" si="191"/>
        <v>-4.0194402035623398</v>
      </c>
      <c r="Y615" s="13">
        <f t="shared" si="186"/>
        <v>53.180559796437663</v>
      </c>
      <c r="Z615" s="10">
        <v>45329</v>
      </c>
      <c r="AA615" s="9">
        <f t="shared" si="187"/>
        <v>0</v>
      </c>
      <c r="AC615" s="9" t="s">
        <v>82</v>
      </c>
      <c r="AD615" s="14">
        <f t="shared" si="192"/>
        <v>21.695277777777775</v>
      </c>
      <c r="AF615" s="14">
        <f t="shared" si="172"/>
        <v>1.6</v>
      </c>
      <c r="AH615" s="14">
        <f t="shared" si="194"/>
        <v>23.295277777777777</v>
      </c>
      <c r="AI615" s="13">
        <f t="shared" si="189"/>
        <v>29.885282018659886</v>
      </c>
      <c r="AK615" s="9">
        <f t="shared" si="190"/>
        <v>80</v>
      </c>
    </row>
    <row r="616" spans="1:37">
      <c r="A616" s="9">
        <v>5</v>
      </c>
      <c r="B616" s="9">
        <v>2024</v>
      </c>
      <c r="C616" s="9" t="s">
        <v>46</v>
      </c>
      <c r="D616" s="9" t="s">
        <v>47</v>
      </c>
      <c r="E616" s="9" t="s">
        <v>47</v>
      </c>
      <c r="F616" s="10">
        <v>45320</v>
      </c>
      <c r="G616" s="9" t="s">
        <v>154</v>
      </c>
      <c r="H616" s="9" t="s">
        <v>60</v>
      </c>
      <c r="J616" s="11">
        <v>6</v>
      </c>
      <c r="K616" s="1">
        <v>80</v>
      </c>
      <c r="L616" s="12">
        <v>0.15</v>
      </c>
      <c r="M616" s="12">
        <v>12</v>
      </c>
      <c r="N616" s="13" t="s">
        <v>49</v>
      </c>
      <c r="Q616" s="9">
        <f>IF(Auction_Sales[[#This Row],[Payment Date]]=0,"",-1+WEEKNUM(Auction_Sales[[#This Row],[Payment Date]]))</f>
        <v>5</v>
      </c>
      <c r="R616" s="9">
        <f t="shared" si="196"/>
        <v>20</v>
      </c>
      <c r="S616" s="1" t="str">
        <f t="shared" si="184"/>
        <v>English Roses</v>
      </c>
      <c r="T616" s="9" t="str">
        <f t="shared" si="184"/>
        <v>110CM</v>
      </c>
      <c r="U616" s="9">
        <v>60</v>
      </c>
      <c r="V616" s="13">
        <f>44.4/U616</f>
        <v>0.74</v>
      </c>
      <c r="W616" s="13">
        <f t="shared" si="185"/>
        <v>44.4</v>
      </c>
      <c r="X616" s="14">
        <f t="shared" si="191"/>
        <v>-3.0145801526717548</v>
      </c>
      <c r="Y616" s="13">
        <f t="shared" si="186"/>
        <v>41.385419847328244</v>
      </c>
      <c r="Z616" s="10">
        <v>45329</v>
      </c>
      <c r="AA616" s="9">
        <f t="shared" si="187"/>
        <v>-20</v>
      </c>
      <c r="AC616" s="9" t="s">
        <v>82</v>
      </c>
      <c r="AD616" s="14">
        <f t="shared" si="192"/>
        <v>21.695277777777775</v>
      </c>
      <c r="AF616" s="14">
        <f t="shared" si="172"/>
        <v>1.2</v>
      </c>
      <c r="AH616" s="14">
        <f t="shared" si="194"/>
        <v>22.895277777777775</v>
      </c>
      <c r="AI616" s="13">
        <f t="shared" si="189"/>
        <v>18.490142069550469</v>
      </c>
      <c r="AK616" s="9">
        <f t="shared" si="190"/>
        <v>60</v>
      </c>
    </row>
    <row r="617" spans="1:37">
      <c r="A617" s="9">
        <v>5</v>
      </c>
      <c r="B617" s="9">
        <v>2024</v>
      </c>
      <c r="C617" s="9" t="s">
        <v>46</v>
      </c>
      <c r="D617" s="9" t="s">
        <v>47</v>
      </c>
      <c r="E617" s="9" t="s">
        <v>47</v>
      </c>
      <c r="F617" s="10">
        <v>45320</v>
      </c>
      <c r="G617" s="9" t="s">
        <v>153</v>
      </c>
      <c r="H617" s="9" t="s">
        <v>57</v>
      </c>
      <c r="I617" s="9">
        <v>1</v>
      </c>
      <c r="J617" s="11">
        <f>K617/400*12</f>
        <v>3.5999999999999996</v>
      </c>
      <c r="K617" s="1">
        <v>120</v>
      </c>
      <c r="L617" s="12">
        <v>0.15</v>
      </c>
      <c r="M617" s="12">
        <v>18</v>
      </c>
      <c r="N617" s="13" t="s">
        <v>49</v>
      </c>
      <c r="Q617" s="9">
        <f>IF(Auction_Sales[[#This Row],[Payment Date]]=0,"",-1+WEEKNUM(Auction_Sales[[#This Row],[Payment Date]]))</f>
        <v>5</v>
      </c>
      <c r="R617" s="9">
        <f t="shared" si="196"/>
        <v>0</v>
      </c>
      <c r="S617" s="1" t="str">
        <f t="shared" si="184"/>
        <v>Grandiflora Roses</v>
      </c>
      <c r="T617" s="9" t="str">
        <f t="shared" si="184"/>
        <v>100CM</v>
      </c>
      <c r="U617" s="9">
        <v>120</v>
      </c>
      <c r="V617" s="13">
        <f>88.8/U617</f>
        <v>0.74</v>
      </c>
      <c r="W617" s="13">
        <f t="shared" si="185"/>
        <v>88.8</v>
      </c>
      <c r="X617" s="14">
        <f t="shared" si="191"/>
        <v>-6.0291603053435097</v>
      </c>
      <c r="Y617" s="13">
        <f t="shared" si="186"/>
        <v>82.770839694656487</v>
      </c>
      <c r="Z617" s="10">
        <v>45329</v>
      </c>
      <c r="AA617" s="9">
        <f t="shared" si="187"/>
        <v>0</v>
      </c>
      <c r="AC617" s="9" t="s">
        <v>82</v>
      </c>
      <c r="AD617" s="14">
        <f t="shared" si="192"/>
        <v>13.017166666666666</v>
      </c>
      <c r="AF617" s="14">
        <f t="shared" si="172"/>
        <v>2.4</v>
      </c>
      <c r="AH617" s="14">
        <f t="shared" si="194"/>
        <v>15.417166666666667</v>
      </c>
      <c r="AI617" s="13">
        <f t="shared" si="189"/>
        <v>67.353673027989828</v>
      </c>
      <c r="AK617" s="9">
        <f t="shared" si="190"/>
        <v>120</v>
      </c>
    </row>
    <row r="618" spans="1:37">
      <c r="A618" s="9">
        <v>5</v>
      </c>
      <c r="B618" s="9">
        <v>2024</v>
      </c>
      <c r="C618" s="9" t="s">
        <v>46</v>
      </c>
      <c r="D618" s="9" t="s">
        <v>47</v>
      </c>
      <c r="E618" s="9" t="s">
        <v>47</v>
      </c>
      <c r="F618" s="10">
        <v>45320</v>
      </c>
      <c r="G618" s="9" t="s">
        <v>153</v>
      </c>
      <c r="H618" s="9" t="s">
        <v>56</v>
      </c>
      <c r="J618" s="11">
        <f>K618/400*12</f>
        <v>8.3999999999999986</v>
      </c>
      <c r="K618" s="9">
        <v>280</v>
      </c>
      <c r="L618" s="12">
        <v>0.15</v>
      </c>
      <c r="M618" s="12">
        <v>42</v>
      </c>
      <c r="N618" s="13" t="s">
        <v>49</v>
      </c>
      <c r="Q618" s="9">
        <f>IF(Auction_Sales[[#This Row],[Payment Date]]=0,"",-1+WEEKNUM(Auction_Sales[[#This Row],[Payment Date]]))</f>
        <v>5</v>
      </c>
      <c r="R618" s="9">
        <f t="shared" si="196"/>
        <v>0</v>
      </c>
      <c r="S618" s="1" t="str">
        <f t="shared" si="184"/>
        <v>Grandiflora Roses</v>
      </c>
      <c r="T618" s="9" t="str">
        <f t="shared" si="184"/>
        <v>90CM</v>
      </c>
      <c r="U618" s="9">
        <v>280</v>
      </c>
      <c r="V618" s="13">
        <f>214.8/U618</f>
        <v>0.76714285714285724</v>
      </c>
      <c r="W618" s="13">
        <f t="shared" si="185"/>
        <v>214.80000000000004</v>
      </c>
      <c r="X618" s="14">
        <f t="shared" si="191"/>
        <v>-14.068040712468187</v>
      </c>
      <c r="Y618" s="13">
        <f t="shared" si="186"/>
        <v>200.73195928753185</v>
      </c>
      <c r="Z618" s="10">
        <v>45329</v>
      </c>
      <c r="AA618" s="9">
        <f t="shared" si="187"/>
        <v>0</v>
      </c>
      <c r="AC618" s="9" t="s">
        <v>82</v>
      </c>
      <c r="AD618" s="14">
        <f t="shared" si="192"/>
        <v>30.373388888888883</v>
      </c>
      <c r="AF618" s="14">
        <f t="shared" si="172"/>
        <v>5.6000000000000005</v>
      </c>
      <c r="AH618" s="14">
        <f t="shared" si="194"/>
        <v>35.973388888888884</v>
      </c>
      <c r="AI618" s="13">
        <f t="shared" si="189"/>
        <v>164.75857039864297</v>
      </c>
      <c r="AK618" s="9">
        <f t="shared" si="190"/>
        <v>280</v>
      </c>
    </row>
    <row r="619" spans="1:37">
      <c r="A619" s="9">
        <v>5</v>
      </c>
      <c r="B619" s="9">
        <v>2024</v>
      </c>
      <c r="C619" s="9" t="s">
        <v>46</v>
      </c>
      <c r="D619" s="9" t="s">
        <v>47</v>
      </c>
      <c r="E619" s="9" t="s">
        <v>47</v>
      </c>
      <c r="F619" s="10">
        <v>45320</v>
      </c>
      <c r="G619" s="9" t="s">
        <v>155</v>
      </c>
      <c r="H619" s="9" t="s">
        <v>56</v>
      </c>
      <c r="I619" s="9">
        <v>1</v>
      </c>
      <c r="J619" s="11">
        <f>K619/200*12</f>
        <v>7.1999999999999993</v>
      </c>
      <c r="K619" s="9">
        <v>120</v>
      </c>
      <c r="L619" s="12">
        <v>0.15</v>
      </c>
      <c r="M619" s="12">
        <v>18</v>
      </c>
      <c r="N619" s="13" t="s">
        <v>49</v>
      </c>
      <c r="Q619" s="9">
        <f>IF(Auction_Sales[[#This Row],[Payment Date]]=0,"",-1+WEEKNUM(Auction_Sales[[#This Row],[Payment Date]]))</f>
        <v>5</v>
      </c>
      <c r="R619" s="9">
        <f t="shared" si="196"/>
        <v>0</v>
      </c>
      <c r="S619" s="1" t="str">
        <f t="shared" ref="S619:T632" si="197">G619</f>
        <v>Floribunda Roses</v>
      </c>
      <c r="T619" s="9" t="str">
        <f t="shared" si="197"/>
        <v>90CM</v>
      </c>
      <c r="U619" s="9">
        <v>120</v>
      </c>
      <c r="V619" s="13">
        <f>102/U619</f>
        <v>0.85</v>
      </c>
      <c r="W619" s="13">
        <f t="shared" si="185"/>
        <v>102</v>
      </c>
      <c r="X619" s="14">
        <f t="shared" si="191"/>
        <v>-6.0291603053435097</v>
      </c>
      <c r="Y619" s="13">
        <f t="shared" si="186"/>
        <v>95.97083969465649</v>
      </c>
      <c r="Z619" s="10">
        <v>45329</v>
      </c>
      <c r="AA619" s="9">
        <f t="shared" si="187"/>
        <v>0</v>
      </c>
      <c r="AC619" s="9" t="s">
        <v>82</v>
      </c>
      <c r="AD619" s="14">
        <f t="shared" si="192"/>
        <v>26.034333333333333</v>
      </c>
      <c r="AF619" s="14">
        <f t="shared" si="172"/>
        <v>2.4</v>
      </c>
      <c r="AH619" s="14">
        <f t="shared" si="194"/>
        <v>28.434333333333331</v>
      </c>
      <c r="AI619" s="13">
        <f t="shared" si="189"/>
        <v>67.536506361323163</v>
      </c>
      <c r="AK619" s="9">
        <f t="shared" si="190"/>
        <v>120</v>
      </c>
    </row>
    <row r="620" spans="1:37">
      <c r="A620" s="9">
        <v>5</v>
      </c>
      <c r="B620" s="9">
        <v>2024</v>
      </c>
      <c r="C620" s="9" t="s">
        <v>46</v>
      </c>
      <c r="D620" s="9" t="s">
        <v>47</v>
      </c>
      <c r="E620" s="9" t="s">
        <v>47</v>
      </c>
      <c r="F620" s="10">
        <v>45320</v>
      </c>
      <c r="G620" s="9" t="s">
        <v>155</v>
      </c>
      <c r="H620" s="9" t="s">
        <v>60</v>
      </c>
      <c r="J620" s="11">
        <f>K620/200*12</f>
        <v>4.8000000000000007</v>
      </c>
      <c r="K620" s="9">
        <v>80</v>
      </c>
      <c r="L620" s="12">
        <v>0.15</v>
      </c>
      <c r="M620" s="12">
        <v>12</v>
      </c>
      <c r="N620" s="13" t="s">
        <v>49</v>
      </c>
      <c r="Q620" s="9">
        <f>IF(Auction_Sales[[#This Row],[Payment Date]]=0,"",-1+WEEKNUM(Auction_Sales[[#This Row],[Payment Date]]))</f>
        <v>5</v>
      </c>
      <c r="R620" s="9">
        <f t="shared" si="196"/>
        <v>0</v>
      </c>
      <c r="S620" s="1" t="str">
        <f t="shared" si="197"/>
        <v>Floribunda Roses</v>
      </c>
      <c r="T620" s="9" t="str">
        <f t="shared" si="197"/>
        <v>110CM</v>
      </c>
      <c r="U620" s="9">
        <v>80</v>
      </c>
      <c r="V620" s="13">
        <f>75.2/U620</f>
        <v>0.94000000000000006</v>
      </c>
      <c r="W620" s="13">
        <f t="shared" si="185"/>
        <v>75.2</v>
      </c>
      <c r="X620" s="14">
        <f t="shared" si="191"/>
        <v>-4.0194402035623398</v>
      </c>
      <c r="Y620" s="13">
        <f t="shared" si="186"/>
        <v>71.180559796437663</v>
      </c>
      <c r="Z620" s="10">
        <v>45329</v>
      </c>
      <c r="AA620" s="9">
        <f t="shared" si="187"/>
        <v>0</v>
      </c>
      <c r="AC620" s="9" t="s">
        <v>82</v>
      </c>
      <c r="AD620" s="14">
        <f t="shared" si="192"/>
        <v>17.356222222222225</v>
      </c>
      <c r="AF620" s="14">
        <f t="shared" si="172"/>
        <v>1.6</v>
      </c>
      <c r="AH620" s="14">
        <f t="shared" si="194"/>
        <v>18.956222222222227</v>
      </c>
      <c r="AI620" s="13">
        <f t="shared" si="189"/>
        <v>52.22433757421544</v>
      </c>
      <c r="AK620" s="9">
        <f t="shared" si="190"/>
        <v>80</v>
      </c>
    </row>
    <row r="621" spans="1:37">
      <c r="A621" s="9">
        <v>5</v>
      </c>
      <c r="B621" s="9">
        <v>2024</v>
      </c>
      <c r="C621" s="9" t="s">
        <v>46</v>
      </c>
      <c r="D621" s="9" t="s">
        <v>47</v>
      </c>
      <c r="E621" s="9" t="s">
        <v>47</v>
      </c>
      <c r="F621" s="10">
        <v>45320</v>
      </c>
      <c r="G621" s="9" t="s">
        <v>153</v>
      </c>
      <c r="H621" s="9" t="s">
        <v>51</v>
      </c>
      <c r="I621" s="9">
        <v>1</v>
      </c>
      <c r="J621" s="11">
        <f>K621/720*12</f>
        <v>8</v>
      </c>
      <c r="K621" s="9">
        <v>480</v>
      </c>
      <c r="L621" s="12">
        <v>0.15</v>
      </c>
      <c r="M621" s="12">
        <v>72</v>
      </c>
      <c r="N621" s="13" t="s">
        <v>49</v>
      </c>
      <c r="Q621" s="9">
        <f>IF(Auction_Sales[[#This Row],[Payment Date]]=0,"",-1+WEEKNUM(Auction_Sales[[#This Row],[Payment Date]]))</f>
        <v>5</v>
      </c>
      <c r="R621" s="9">
        <f t="shared" si="166"/>
        <v>0</v>
      </c>
      <c r="S621" s="1" t="str">
        <f t="shared" si="197"/>
        <v>Grandiflora Roses</v>
      </c>
      <c r="T621" s="9" t="str">
        <f t="shared" si="197"/>
        <v>50CM</v>
      </c>
      <c r="U621" s="1">
        <f>240+240</f>
        <v>480</v>
      </c>
      <c r="V621" s="15">
        <f>(81.6+67.2)/U621</f>
        <v>0.31</v>
      </c>
      <c r="W621" s="15">
        <f t="shared" si="185"/>
        <v>148.80000000000001</v>
      </c>
      <c r="X621" s="14">
        <f t="shared" si="191"/>
        <v>-24.116641221374039</v>
      </c>
      <c r="Y621" s="15">
        <f t="shared" si="186"/>
        <v>124.68335877862597</v>
      </c>
      <c r="Z621" s="10">
        <v>45329</v>
      </c>
      <c r="AA621" s="9">
        <f t="shared" si="187"/>
        <v>0</v>
      </c>
      <c r="AC621" s="9" t="s">
        <v>82</v>
      </c>
      <c r="AD621" s="14">
        <f t="shared" si="192"/>
        <v>28.927037037037035</v>
      </c>
      <c r="AF621" s="14">
        <f t="shared" si="172"/>
        <v>9.6</v>
      </c>
      <c r="AH621" s="14">
        <f t="shared" si="194"/>
        <v>38.527037037037033</v>
      </c>
      <c r="AI621" s="13">
        <f t="shared" si="189"/>
        <v>86.15632174158894</v>
      </c>
      <c r="AK621" s="9">
        <f t="shared" si="190"/>
        <v>480</v>
      </c>
    </row>
    <row r="622" spans="1:37">
      <c r="A622" s="9">
        <v>5</v>
      </c>
      <c r="B622" s="9">
        <v>2024</v>
      </c>
      <c r="C622" s="9" t="s">
        <v>46</v>
      </c>
      <c r="D622" s="9" t="s">
        <v>47</v>
      </c>
      <c r="E622" s="9" t="s">
        <v>47</v>
      </c>
      <c r="F622" s="10">
        <v>45320</v>
      </c>
      <c r="G622" s="9" t="s">
        <v>153</v>
      </c>
      <c r="H622" s="9" t="s">
        <v>52</v>
      </c>
      <c r="J622" s="11">
        <f>K622/720*12</f>
        <v>4</v>
      </c>
      <c r="K622" s="9">
        <v>240</v>
      </c>
      <c r="L622" s="12">
        <v>0.15</v>
      </c>
      <c r="M622" s="12">
        <v>36</v>
      </c>
      <c r="N622" s="13" t="s">
        <v>49</v>
      </c>
      <c r="Q622" s="9">
        <f>IF(Auction_Sales[[#This Row],[Payment Date]]=0,"",-1+WEEKNUM(Auction_Sales[[#This Row],[Payment Date]]))</f>
        <v>5</v>
      </c>
      <c r="R622" s="9">
        <f t="shared" si="166"/>
        <v>-120</v>
      </c>
      <c r="S622" s="1" t="str">
        <f t="shared" si="197"/>
        <v>Grandiflora Roses</v>
      </c>
      <c r="T622" s="9" t="str">
        <f t="shared" si="197"/>
        <v>70CM</v>
      </c>
      <c r="U622" s="9">
        <f>360</f>
        <v>360</v>
      </c>
      <c r="V622" s="13">
        <f>237.6/U622</f>
        <v>0.66</v>
      </c>
      <c r="W622" s="13">
        <f t="shared" si="185"/>
        <v>237.60000000000002</v>
      </c>
      <c r="X622" s="14">
        <f t="shared" si="191"/>
        <v>-18.087480916030529</v>
      </c>
      <c r="Y622" s="13">
        <f t="shared" si="186"/>
        <v>219.51251908396949</v>
      </c>
      <c r="Z622" s="10">
        <v>45329</v>
      </c>
      <c r="AA622" s="9">
        <f t="shared" si="187"/>
        <v>120</v>
      </c>
      <c r="AC622" s="9" t="s">
        <v>82</v>
      </c>
      <c r="AD622" s="14">
        <f t="shared" si="192"/>
        <v>14.463518518518518</v>
      </c>
      <c r="AF622" s="14">
        <f t="shared" si="172"/>
        <v>7.2</v>
      </c>
      <c r="AH622" s="14">
        <f t="shared" si="194"/>
        <v>21.663518518518519</v>
      </c>
      <c r="AI622" s="13">
        <f t="shared" si="189"/>
        <v>197.84900056545098</v>
      </c>
      <c r="AK622" s="9">
        <f t="shared" si="190"/>
        <v>360</v>
      </c>
    </row>
    <row r="623" spans="1:37">
      <c r="A623" s="9">
        <v>5</v>
      </c>
      <c r="B623" s="9">
        <v>2024</v>
      </c>
      <c r="C623" s="9" t="s">
        <v>46</v>
      </c>
      <c r="D623" s="9" t="s">
        <v>47</v>
      </c>
      <c r="E623" s="9" t="s">
        <v>47</v>
      </c>
      <c r="F623" s="10">
        <v>45320</v>
      </c>
      <c r="G623" s="9" t="s">
        <v>155</v>
      </c>
      <c r="H623" s="9" t="s">
        <v>54</v>
      </c>
      <c r="I623" s="9">
        <v>1</v>
      </c>
      <c r="J623" s="11">
        <f>K623/320*12</f>
        <v>3</v>
      </c>
      <c r="K623" s="9">
        <v>80</v>
      </c>
      <c r="L623" s="12">
        <v>0.15</v>
      </c>
      <c r="M623" s="12">
        <v>12</v>
      </c>
      <c r="N623" s="13" t="s">
        <v>49</v>
      </c>
      <c r="Q623" s="9">
        <f>IF(Auction_Sales[[#This Row],[Payment Date]]=0,"",-1+WEEKNUM(Auction_Sales[[#This Row],[Payment Date]]))</f>
        <v>5</v>
      </c>
      <c r="R623" s="9">
        <f t="shared" si="166"/>
        <v>80</v>
      </c>
      <c r="S623" s="1" t="str">
        <f t="shared" si="197"/>
        <v>Floribunda Roses</v>
      </c>
      <c r="T623" s="9" t="str">
        <f t="shared" si="197"/>
        <v>80CM</v>
      </c>
      <c r="W623" s="13">
        <f t="shared" si="185"/>
        <v>0</v>
      </c>
      <c r="X623" s="14">
        <f t="shared" si="191"/>
        <v>0</v>
      </c>
      <c r="Y623" s="13">
        <f t="shared" si="186"/>
        <v>0</v>
      </c>
      <c r="Z623" s="10">
        <v>45329</v>
      </c>
      <c r="AA623" s="9">
        <f t="shared" si="187"/>
        <v>-80</v>
      </c>
      <c r="AC623" s="9" t="s">
        <v>82</v>
      </c>
      <c r="AD623" s="14">
        <f t="shared" si="192"/>
        <v>10.847638888888888</v>
      </c>
      <c r="AF623" s="14">
        <f t="shared" si="172"/>
        <v>0</v>
      </c>
      <c r="AH623" s="14">
        <f t="shared" si="194"/>
        <v>10.847638888888888</v>
      </c>
      <c r="AI623" s="13">
        <f t="shared" si="189"/>
        <v>-10.847638888888888</v>
      </c>
      <c r="AK623" s="9">
        <f t="shared" si="190"/>
        <v>0</v>
      </c>
    </row>
    <row r="624" spans="1:37">
      <c r="A624" s="9">
        <v>5</v>
      </c>
      <c r="B624" s="9">
        <v>2024</v>
      </c>
      <c r="C624" s="9" t="s">
        <v>46</v>
      </c>
      <c r="D624" s="9" t="s">
        <v>47</v>
      </c>
      <c r="E624" s="9" t="s">
        <v>47</v>
      </c>
      <c r="F624" s="10">
        <v>45320</v>
      </c>
      <c r="G624" s="9" t="s">
        <v>155</v>
      </c>
      <c r="H624" s="9" t="s">
        <v>52</v>
      </c>
      <c r="J624" s="11">
        <f>K624/320*12</f>
        <v>9</v>
      </c>
      <c r="K624" s="9">
        <v>240</v>
      </c>
      <c r="L624" s="12">
        <v>0.15</v>
      </c>
      <c r="M624" s="12">
        <v>36</v>
      </c>
      <c r="N624" s="13" t="s">
        <v>49</v>
      </c>
      <c r="Q624" s="9">
        <f>IF(Auction_Sales[[#This Row],[Payment Date]]=0,"",-1+WEEKNUM(Auction_Sales[[#This Row],[Payment Date]]))</f>
        <v>5</v>
      </c>
      <c r="R624" s="9">
        <f>K624-U624</f>
        <v>240</v>
      </c>
      <c r="S624" s="1" t="str">
        <f t="shared" si="197"/>
        <v>Floribunda Roses</v>
      </c>
      <c r="T624" s="9" t="str">
        <f t="shared" si="197"/>
        <v>70CM</v>
      </c>
      <c r="W624" s="13">
        <f t="shared" si="185"/>
        <v>0</v>
      </c>
      <c r="X624" s="14">
        <f t="shared" si="191"/>
        <v>0</v>
      </c>
      <c r="Y624" s="13">
        <f t="shared" si="186"/>
        <v>0</v>
      </c>
      <c r="Z624" s="10">
        <v>45329</v>
      </c>
      <c r="AA624" s="9">
        <f t="shared" si="187"/>
        <v>-240</v>
      </c>
      <c r="AC624" s="9" t="s">
        <v>82</v>
      </c>
      <c r="AD624" s="14">
        <f t="shared" si="192"/>
        <v>32.542916666666663</v>
      </c>
      <c r="AF624" s="14">
        <f t="shared" si="172"/>
        <v>0</v>
      </c>
      <c r="AH624" s="14">
        <f t="shared" si="194"/>
        <v>32.542916666666663</v>
      </c>
      <c r="AI624" s="13">
        <f t="shared" si="189"/>
        <v>-32.542916666666663</v>
      </c>
      <c r="AK624" s="9">
        <f t="shared" si="190"/>
        <v>0</v>
      </c>
    </row>
    <row r="625" spans="1:37">
      <c r="A625" s="9">
        <v>5</v>
      </c>
      <c r="B625" s="9">
        <v>2024</v>
      </c>
      <c r="C625" s="9" t="s">
        <v>46</v>
      </c>
      <c r="D625" s="9" t="s">
        <v>47</v>
      </c>
      <c r="E625" s="9" t="s">
        <v>47</v>
      </c>
      <c r="F625" s="10">
        <v>45321</v>
      </c>
      <c r="G625" s="9" t="s">
        <v>155</v>
      </c>
      <c r="H625" s="9" t="s">
        <v>51</v>
      </c>
      <c r="I625" s="9">
        <v>1</v>
      </c>
      <c r="J625" s="11">
        <f t="shared" ref="J625:J628" si="198">I625*12</f>
        <v>12</v>
      </c>
      <c r="K625" s="9">
        <v>520</v>
      </c>
      <c r="L625" s="12">
        <v>0.15</v>
      </c>
      <c r="M625" s="12">
        <v>78</v>
      </c>
      <c r="N625" s="13" t="s">
        <v>49</v>
      </c>
      <c r="Q625" s="9">
        <f>IF(Auction_Sales[[#This Row],[Payment Date]]=0,"",-1+WEEKNUM(Auction_Sales[[#This Row],[Payment Date]]))</f>
        <v>5</v>
      </c>
      <c r="R625" s="9">
        <f t="shared" si="166"/>
        <v>520</v>
      </c>
      <c r="S625" s="1" t="str">
        <f t="shared" si="197"/>
        <v>Floribunda Roses</v>
      </c>
      <c r="T625" s="9" t="str">
        <f t="shared" si="197"/>
        <v>50CM</v>
      </c>
      <c r="W625" s="13">
        <f t="shared" si="185"/>
        <v>0</v>
      </c>
      <c r="X625" s="14">
        <f>-(3188-2918.44)*U625/(3160+1120+1120)</f>
        <v>0</v>
      </c>
      <c r="Y625" s="13">
        <f t="shared" si="186"/>
        <v>0</v>
      </c>
      <c r="Z625" s="10">
        <v>45329</v>
      </c>
      <c r="AA625" s="9">
        <f t="shared" si="187"/>
        <v>-520</v>
      </c>
      <c r="AC625" s="9" t="s">
        <v>83</v>
      </c>
      <c r="AD625" s="14">
        <f>J625/(10*12)*450.64</f>
        <v>45.064</v>
      </c>
      <c r="AF625" s="14">
        <f t="shared" si="172"/>
        <v>0</v>
      </c>
      <c r="AH625" s="14">
        <f t="shared" si="194"/>
        <v>45.064</v>
      </c>
      <c r="AI625" s="13">
        <f t="shared" si="189"/>
        <v>-45.064</v>
      </c>
      <c r="AK625" s="9">
        <f t="shared" si="190"/>
        <v>0</v>
      </c>
    </row>
    <row r="626" spans="1:37">
      <c r="A626" s="9">
        <v>5</v>
      </c>
      <c r="B626" s="9">
        <v>2024</v>
      </c>
      <c r="C626" s="9" t="s">
        <v>46</v>
      </c>
      <c r="D626" s="9" t="s">
        <v>47</v>
      </c>
      <c r="E626" s="9" t="s">
        <v>47</v>
      </c>
      <c r="F626" s="10">
        <v>45321</v>
      </c>
      <c r="G626" s="9" t="s">
        <v>155</v>
      </c>
      <c r="H626" s="9" t="s">
        <v>48</v>
      </c>
      <c r="I626" s="9">
        <v>1</v>
      </c>
      <c r="J626" s="11">
        <f t="shared" si="198"/>
        <v>12</v>
      </c>
      <c r="K626" s="9">
        <v>520</v>
      </c>
      <c r="L626" s="12">
        <v>0.15</v>
      </c>
      <c r="M626" s="12">
        <v>78</v>
      </c>
      <c r="N626" s="13" t="s">
        <v>49</v>
      </c>
      <c r="Q626" s="9">
        <f>IF(Auction_Sales[[#This Row],[Payment Date]]=0,"",-1+WEEKNUM(Auction_Sales[[#This Row],[Payment Date]]))</f>
        <v>5</v>
      </c>
      <c r="R626" s="9">
        <f t="shared" si="166"/>
        <v>160</v>
      </c>
      <c r="S626" s="1" t="str">
        <f t="shared" si="197"/>
        <v>Floribunda Roses</v>
      </c>
      <c r="T626" s="9" t="str">
        <f t="shared" si="197"/>
        <v>60CM</v>
      </c>
      <c r="U626" s="9">
        <f>360</f>
        <v>360</v>
      </c>
      <c r="V626" s="13">
        <f>244.4/U626</f>
        <v>0.67888888888888888</v>
      </c>
      <c r="W626" s="13">
        <f t="shared" si="185"/>
        <v>244.4</v>
      </c>
      <c r="X626" s="14">
        <f t="shared" ref="X626:X644" si="199">-(3188-2918.44)*U626/(3160+1120+1120)</f>
        <v>-17.970666666666663</v>
      </c>
      <c r="Y626" s="13">
        <f t="shared" si="186"/>
        <v>226.42933333333335</v>
      </c>
      <c r="Z626" s="10">
        <v>45329</v>
      </c>
      <c r="AA626" s="9">
        <f t="shared" si="187"/>
        <v>-160</v>
      </c>
      <c r="AC626" s="9" t="s">
        <v>83</v>
      </c>
      <c r="AD626" s="14">
        <f t="shared" ref="AD626:AD644" si="200">J626/(10*12)*450.64</f>
        <v>45.064</v>
      </c>
      <c r="AF626" s="14">
        <f t="shared" si="172"/>
        <v>7.2</v>
      </c>
      <c r="AH626" s="14">
        <f t="shared" si="194"/>
        <v>52.264000000000003</v>
      </c>
      <c r="AI626" s="13">
        <f t="shared" si="189"/>
        <v>174.16533333333334</v>
      </c>
      <c r="AK626" s="9">
        <f t="shared" si="190"/>
        <v>360</v>
      </c>
    </row>
    <row r="627" spans="1:37">
      <c r="A627" s="9">
        <v>5</v>
      </c>
      <c r="B627" s="9">
        <v>2024</v>
      </c>
      <c r="C627" s="9" t="s">
        <v>46</v>
      </c>
      <c r="D627" s="9" t="s">
        <v>47</v>
      </c>
      <c r="E627" s="9" t="s">
        <v>47</v>
      </c>
      <c r="F627" s="10">
        <v>45321</v>
      </c>
      <c r="G627" s="9" t="s">
        <v>155</v>
      </c>
      <c r="H627" s="9" t="s">
        <v>51</v>
      </c>
      <c r="I627" s="9">
        <v>1</v>
      </c>
      <c r="J627" s="11">
        <f t="shared" si="198"/>
        <v>12</v>
      </c>
      <c r="K627" s="9">
        <v>600</v>
      </c>
      <c r="L627" s="12">
        <v>0.15</v>
      </c>
      <c r="M627" s="12">
        <v>90</v>
      </c>
      <c r="N627" s="13" t="s">
        <v>49</v>
      </c>
      <c r="Q627" s="9">
        <f>IF(Auction_Sales[[#This Row],[Payment Date]]=0,"",-1+WEEKNUM(Auction_Sales[[#This Row],[Payment Date]]))</f>
        <v>5</v>
      </c>
      <c r="R627" s="9">
        <f t="shared" si="166"/>
        <v>-840</v>
      </c>
      <c r="S627" s="1" t="str">
        <f t="shared" si="197"/>
        <v>Floribunda Roses</v>
      </c>
      <c r="T627" s="9" t="str">
        <f t="shared" si="197"/>
        <v>50CM</v>
      </c>
      <c r="U627" s="9">
        <f>1440</f>
        <v>1440</v>
      </c>
      <c r="V627" s="13">
        <f>532.8/U627</f>
        <v>0.37</v>
      </c>
      <c r="W627" s="13">
        <f t="shared" si="185"/>
        <v>532.79999999999995</v>
      </c>
      <c r="X627" s="14">
        <f t="shared" si="199"/>
        <v>-71.882666666666651</v>
      </c>
      <c r="Y627" s="13">
        <f t="shared" si="186"/>
        <v>460.91733333333332</v>
      </c>
      <c r="Z627" s="10">
        <v>45329</v>
      </c>
      <c r="AA627" s="9">
        <f t="shared" si="187"/>
        <v>840</v>
      </c>
      <c r="AC627" s="9" t="s">
        <v>83</v>
      </c>
      <c r="AD627" s="14">
        <f t="shared" si="200"/>
        <v>45.064</v>
      </c>
      <c r="AF627" s="14">
        <f t="shared" si="172"/>
        <v>28.8</v>
      </c>
      <c r="AH627" s="14">
        <f t="shared" si="194"/>
        <v>73.864000000000004</v>
      </c>
      <c r="AI627" s="13">
        <f t="shared" si="189"/>
        <v>387.05333333333328</v>
      </c>
      <c r="AK627" s="9">
        <f t="shared" si="190"/>
        <v>1440</v>
      </c>
    </row>
    <row r="628" spans="1:37">
      <c r="A628" s="9">
        <v>5</v>
      </c>
      <c r="B628" s="9">
        <v>2024</v>
      </c>
      <c r="C628" s="9" t="s">
        <v>46</v>
      </c>
      <c r="D628" s="9" t="s">
        <v>47</v>
      </c>
      <c r="E628" s="9" t="s">
        <v>47</v>
      </c>
      <c r="F628" s="10">
        <v>45321</v>
      </c>
      <c r="G628" s="9" t="s">
        <v>153</v>
      </c>
      <c r="H628" s="9" t="s">
        <v>51</v>
      </c>
      <c r="I628" s="9">
        <v>1</v>
      </c>
      <c r="J628" s="11">
        <f t="shared" si="198"/>
        <v>12</v>
      </c>
      <c r="K628" s="9">
        <v>800</v>
      </c>
      <c r="L628" s="12">
        <v>0.15</v>
      </c>
      <c r="M628" s="12">
        <v>120</v>
      </c>
      <c r="N628" s="13" t="s">
        <v>49</v>
      </c>
      <c r="Q628" s="9">
        <f>IF(Auction_Sales[[#This Row],[Payment Date]]=0,"",-1+WEEKNUM(Auction_Sales[[#This Row],[Payment Date]]))</f>
        <v>5</v>
      </c>
      <c r="R628" s="9">
        <f t="shared" si="166"/>
        <v>0</v>
      </c>
      <c r="S628" s="1" t="str">
        <f t="shared" si="197"/>
        <v>Grandiflora Roses</v>
      </c>
      <c r="T628" s="9" t="str">
        <f t="shared" si="197"/>
        <v>50CM</v>
      </c>
      <c r="U628" s="9">
        <f>400+400</f>
        <v>800</v>
      </c>
      <c r="V628" s="13">
        <f>(161.6+137.6)/U628</f>
        <v>0.374</v>
      </c>
      <c r="W628" s="13">
        <f t="shared" si="185"/>
        <v>299.2</v>
      </c>
      <c r="X628" s="14">
        <f t="shared" si="199"/>
        <v>-39.934814814814807</v>
      </c>
      <c r="Y628" s="13">
        <f t="shared" si="186"/>
        <v>259.2651851851852</v>
      </c>
      <c r="Z628" s="10">
        <v>45329</v>
      </c>
      <c r="AA628" s="9">
        <f t="shared" si="187"/>
        <v>0</v>
      </c>
      <c r="AC628" s="9" t="s">
        <v>83</v>
      </c>
      <c r="AD628" s="14">
        <f t="shared" si="200"/>
        <v>45.064</v>
      </c>
      <c r="AF628" s="14">
        <f t="shared" si="172"/>
        <v>16</v>
      </c>
      <c r="AH628" s="14">
        <f t="shared" si="194"/>
        <v>61.064</v>
      </c>
      <c r="AI628" s="13">
        <f t="shared" si="189"/>
        <v>198.20118518518521</v>
      </c>
      <c r="AK628" s="9">
        <f t="shared" si="190"/>
        <v>800</v>
      </c>
    </row>
    <row r="629" spans="1:37">
      <c r="A629" s="9">
        <v>5</v>
      </c>
      <c r="B629" s="9">
        <v>2024</v>
      </c>
      <c r="C629" s="9" t="s">
        <v>46</v>
      </c>
      <c r="D629" s="9" t="s">
        <v>47</v>
      </c>
      <c r="E629" s="9" t="s">
        <v>47</v>
      </c>
      <c r="F629" s="10">
        <v>45321</v>
      </c>
      <c r="G629" s="9" t="s">
        <v>157</v>
      </c>
      <c r="H629" s="9" t="s">
        <v>54</v>
      </c>
      <c r="I629" s="9">
        <v>1</v>
      </c>
      <c r="J629" s="11">
        <f>K629/360*12</f>
        <v>2.6666666666666665</v>
      </c>
      <c r="K629" s="9">
        <v>80</v>
      </c>
      <c r="L629" s="12">
        <v>0.15</v>
      </c>
      <c r="M629" s="12">
        <v>12</v>
      </c>
      <c r="N629" s="13" t="s">
        <v>49</v>
      </c>
      <c r="Q629" s="9">
        <f>IF(Auction_Sales[[#This Row],[Payment Date]]=0,"",-1+WEEKNUM(Auction_Sales[[#This Row],[Payment Date]]))</f>
        <v>5</v>
      </c>
      <c r="R629" s="9">
        <f t="shared" si="166"/>
        <v>0</v>
      </c>
      <c r="S629" s="9" t="s">
        <v>157</v>
      </c>
      <c r="T629" s="9" t="str">
        <f t="shared" si="197"/>
        <v>80CM</v>
      </c>
      <c r="U629" s="9">
        <v>80</v>
      </c>
      <c r="V629" s="13">
        <f>88.8/U629</f>
        <v>1.1099999999999999</v>
      </c>
      <c r="W629" s="13">
        <f t="shared" si="185"/>
        <v>88.799999999999983</v>
      </c>
      <c r="X629" s="14">
        <f t="shared" si="199"/>
        <v>-3.9934814814814805</v>
      </c>
      <c r="Y629" s="13">
        <f t="shared" si="186"/>
        <v>84.806518518518502</v>
      </c>
      <c r="Z629" s="10">
        <v>45329</v>
      </c>
      <c r="AA629" s="9">
        <f t="shared" si="187"/>
        <v>0</v>
      </c>
      <c r="AC629" s="9" t="s">
        <v>83</v>
      </c>
      <c r="AD629" s="14">
        <f t="shared" si="200"/>
        <v>10.014222222222221</v>
      </c>
      <c r="AF629" s="14">
        <f t="shared" si="172"/>
        <v>1.6</v>
      </c>
      <c r="AH629" s="14">
        <f t="shared" si="194"/>
        <v>11.614222222222221</v>
      </c>
      <c r="AI629" s="13">
        <f t="shared" si="189"/>
        <v>73.192296296296277</v>
      </c>
      <c r="AK629" s="9">
        <f t="shared" si="190"/>
        <v>80</v>
      </c>
    </row>
    <row r="630" spans="1:37">
      <c r="A630" s="9">
        <v>5</v>
      </c>
      <c r="B630" s="9">
        <v>2024</v>
      </c>
      <c r="C630" s="9" t="s">
        <v>46</v>
      </c>
      <c r="D630" s="9" t="s">
        <v>47</v>
      </c>
      <c r="E630" s="9" t="s">
        <v>47</v>
      </c>
      <c r="F630" s="10">
        <v>45321</v>
      </c>
      <c r="G630" s="9" t="s">
        <v>157</v>
      </c>
      <c r="H630" s="9" t="s">
        <v>56</v>
      </c>
      <c r="J630" s="11">
        <f t="shared" ref="J630:J632" si="201">K630/360*12</f>
        <v>1.3333333333333333</v>
      </c>
      <c r="K630" s="9">
        <v>40</v>
      </c>
      <c r="L630" s="12">
        <v>0.15</v>
      </c>
      <c r="M630" s="12">
        <v>6</v>
      </c>
      <c r="N630" s="13" t="s">
        <v>49</v>
      </c>
      <c r="Q630" s="9">
        <f>IF(Auction_Sales[[#This Row],[Payment Date]]=0,"",-1+WEEKNUM(Auction_Sales[[#This Row],[Payment Date]]))</f>
        <v>5</v>
      </c>
      <c r="R630" s="9">
        <f t="shared" si="166"/>
        <v>0</v>
      </c>
      <c r="S630" s="9" t="s">
        <v>157</v>
      </c>
      <c r="T630" s="9" t="str">
        <f t="shared" si="197"/>
        <v>90CM</v>
      </c>
      <c r="U630" s="9">
        <v>40</v>
      </c>
      <c r="V630" s="13">
        <f>41.2/U630</f>
        <v>1.03</v>
      </c>
      <c r="W630" s="13">
        <f t="shared" si="185"/>
        <v>41.2</v>
      </c>
      <c r="X630" s="14">
        <f t="shared" si="199"/>
        <v>-1.9967407407407403</v>
      </c>
      <c r="Y630" s="13">
        <f t="shared" si="186"/>
        <v>39.203259259259262</v>
      </c>
      <c r="Z630" s="10">
        <v>45329</v>
      </c>
      <c r="AA630" s="9">
        <f t="shared" si="187"/>
        <v>0</v>
      </c>
      <c r="AC630" s="9" t="s">
        <v>83</v>
      </c>
      <c r="AD630" s="14">
        <f t="shared" si="200"/>
        <v>5.0071111111111106</v>
      </c>
      <c r="AF630" s="14">
        <f t="shared" si="172"/>
        <v>0.8</v>
      </c>
      <c r="AH630" s="14">
        <f t="shared" ref="AH630" si="202">SUM(AD630:AG630)</f>
        <v>5.8071111111111104</v>
      </c>
      <c r="AI630" s="13">
        <f t="shared" si="189"/>
        <v>33.39614814814815</v>
      </c>
      <c r="AK630" s="9">
        <f t="shared" si="190"/>
        <v>40</v>
      </c>
    </row>
    <row r="631" spans="1:37">
      <c r="A631" s="9">
        <v>5</v>
      </c>
      <c r="B631" s="9">
        <v>2024</v>
      </c>
      <c r="C631" s="9" t="s">
        <v>46</v>
      </c>
      <c r="D631" s="9" t="s">
        <v>47</v>
      </c>
      <c r="E631" s="9" t="s">
        <v>47</v>
      </c>
      <c r="F631" s="10">
        <v>45321</v>
      </c>
      <c r="G631" s="9" t="s">
        <v>157</v>
      </c>
      <c r="H631" s="9" t="s">
        <v>52</v>
      </c>
      <c r="J631" s="11">
        <f t="shared" si="201"/>
        <v>4</v>
      </c>
      <c r="K631" s="9">
        <v>120</v>
      </c>
      <c r="L631" s="12">
        <v>0.15</v>
      </c>
      <c r="M631" s="12">
        <v>18</v>
      </c>
      <c r="N631" s="13" t="s">
        <v>49</v>
      </c>
      <c r="Q631" s="9">
        <f>IF(Auction_Sales[[#This Row],[Payment Date]]=0,"",-1+WEEKNUM(Auction_Sales[[#This Row],[Payment Date]]))</f>
        <v>5</v>
      </c>
      <c r="R631" s="9">
        <f t="shared" si="166"/>
        <v>0</v>
      </c>
      <c r="S631" s="9" t="s">
        <v>157</v>
      </c>
      <c r="T631" s="9" t="str">
        <f t="shared" si="197"/>
        <v>70CM</v>
      </c>
      <c r="U631" s="9">
        <v>120</v>
      </c>
      <c r="V631" s="13">
        <f>115.2/U631</f>
        <v>0.96000000000000008</v>
      </c>
      <c r="W631" s="13">
        <f t="shared" si="185"/>
        <v>115.2</v>
      </c>
      <c r="X631" s="14">
        <f t="shared" si="199"/>
        <v>-5.9902222222222212</v>
      </c>
      <c r="Y631" s="13">
        <f t="shared" si="186"/>
        <v>109.20977777777779</v>
      </c>
      <c r="Z631" s="10">
        <v>45329</v>
      </c>
      <c r="AA631" s="9">
        <f t="shared" si="187"/>
        <v>0</v>
      </c>
      <c r="AC631" s="9" t="s">
        <v>83</v>
      </c>
      <c r="AD631" s="14">
        <f t="shared" si="200"/>
        <v>15.021333333333333</v>
      </c>
      <c r="AF631" s="14">
        <f t="shared" si="172"/>
        <v>2.4</v>
      </c>
      <c r="AH631" s="14">
        <f t="shared" si="194"/>
        <v>17.421333333333333</v>
      </c>
      <c r="AI631" s="13">
        <f t="shared" si="189"/>
        <v>91.788444444444451</v>
      </c>
      <c r="AK631" s="9">
        <f t="shared" si="190"/>
        <v>120</v>
      </c>
    </row>
    <row r="632" spans="1:37">
      <c r="A632" s="9">
        <v>5</v>
      </c>
      <c r="B632" s="9">
        <v>2024</v>
      </c>
      <c r="C632" s="9" t="s">
        <v>46</v>
      </c>
      <c r="D632" s="9" t="s">
        <v>47</v>
      </c>
      <c r="E632" s="9" t="s">
        <v>47</v>
      </c>
      <c r="F632" s="10">
        <v>45321</v>
      </c>
      <c r="G632" s="9" t="s">
        <v>157</v>
      </c>
      <c r="H632" s="9" t="s">
        <v>48</v>
      </c>
      <c r="J632" s="11">
        <f t="shared" si="201"/>
        <v>4</v>
      </c>
      <c r="K632" s="9">
        <v>120</v>
      </c>
      <c r="L632" s="12">
        <v>0.15</v>
      </c>
      <c r="M632" s="12">
        <v>18</v>
      </c>
      <c r="N632" s="13" t="s">
        <v>49</v>
      </c>
      <c r="Q632" s="9">
        <f>IF(Auction_Sales[[#This Row],[Payment Date]]=0,"",-1+WEEKNUM(Auction_Sales[[#This Row],[Payment Date]]))</f>
        <v>5</v>
      </c>
      <c r="R632" s="9">
        <f t="shared" si="166"/>
        <v>0</v>
      </c>
      <c r="S632" s="9" t="s">
        <v>157</v>
      </c>
      <c r="T632" s="9" t="str">
        <f t="shared" si="197"/>
        <v>60CM</v>
      </c>
      <c r="U632" s="9">
        <v>120</v>
      </c>
      <c r="V632" s="13">
        <f>92.8/U632</f>
        <v>0.77333333333333332</v>
      </c>
      <c r="W632" s="13">
        <f t="shared" si="185"/>
        <v>92.8</v>
      </c>
      <c r="X632" s="14">
        <f t="shared" si="199"/>
        <v>-5.9902222222222212</v>
      </c>
      <c r="Y632" s="13">
        <f t="shared" si="186"/>
        <v>86.809777777777782</v>
      </c>
      <c r="Z632" s="10">
        <v>45329</v>
      </c>
      <c r="AA632" s="9">
        <f t="shared" si="187"/>
        <v>0</v>
      </c>
      <c r="AC632" s="9" t="s">
        <v>83</v>
      </c>
      <c r="AD632" s="14">
        <f t="shared" si="200"/>
        <v>15.021333333333333</v>
      </c>
      <c r="AF632" s="14">
        <f t="shared" si="172"/>
        <v>2.4</v>
      </c>
      <c r="AH632" s="14">
        <f t="shared" si="194"/>
        <v>17.421333333333333</v>
      </c>
      <c r="AI632" s="13">
        <f t="shared" si="189"/>
        <v>69.388444444444445</v>
      </c>
      <c r="AK632" s="9">
        <f t="shared" si="190"/>
        <v>120</v>
      </c>
    </row>
    <row r="633" spans="1:37">
      <c r="A633" s="9">
        <v>5</v>
      </c>
      <c r="B633" s="9">
        <v>2024</v>
      </c>
      <c r="C633" s="9" t="s">
        <v>46</v>
      </c>
      <c r="D633" s="9" t="s">
        <v>47</v>
      </c>
      <c r="E633" s="9" t="s">
        <v>47</v>
      </c>
      <c r="F633" s="10">
        <v>45321</v>
      </c>
      <c r="G633" s="9" t="s">
        <v>154</v>
      </c>
      <c r="H633" s="9" t="s">
        <v>52</v>
      </c>
      <c r="I633" s="9">
        <v>1</v>
      </c>
      <c r="J633" s="11">
        <f>K633/360*12</f>
        <v>8</v>
      </c>
      <c r="K633" s="11">
        <v>240</v>
      </c>
      <c r="L633" s="12">
        <v>0.15</v>
      </c>
      <c r="M633" s="12">
        <v>36</v>
      </c>
      <c r="N633" s="13" t="s">
        <v>49</v>
      </c>
      <c r="Q633" s="9">
        <f>IF(Auction_Sales[[#This Row],[Payment Date]]=0,"",-1+WEEKNUM(Auction_Sales[[#This Row],[Payment Date]]))</f>
        <v>5</v>
      </c>
      <c r="R633" s="9">
        <f>K633-U633</f>
        <v>0</v>
      </c>
      <c r="S633" s="1" t="str">
        <f t="shared" ref="S633:T644" si="203">G633</f>
        <v>English Roses</v>
      </c>
      <c r="T633" s="9" t="str">
        <f t="shared" si="203"/>
        <v>70CM</v>
      </c>
      <c r="U633" s="9">
        <f>240</f>
        <v>240</v>
      </c>
      <c r="V633" s="13">
        <f>212.8/U633</f>
        <v>0.88666666666666671</v>
      </c>
      <c r="W633" s="13">
        <f t="shared" si="185"/>
        <v>212.8</v>
      </c>
      <c r="X633" s="14">
        <f t="shared" si="199"/>
        <v>-11.980444444444442</v>
      </c>
      <c r="Y633" s="13">
        <f t="shared" si="186"/>
        <v>200.81955555555558</v>
      </c>
      <c r="Z633" s="10">
        <v>45329</v>
      </c>
      <c r="AA633" s="9">
        <f t="shared" si="187"/>
        <v>0</v>
      </c>
      <c r="AC633" s="9" t="s">
        <v>83</v>
      </c>
      <c r="AD633" s="14">
        <f t="shared" si="200"/>
        <v>30.042666666666666</v>
      </c>
      <c r="AF633" s="14">
        <f t="shared" si="172"/>
        <v>4.8</v>
      </c>
      <c r="AH633" s="14">
        <f t="shared" si="194"/>
        <v>34.842666666666666</v>
      </c>
      <c r="AI633" s="13">
        <f t="shared" si="189"/>
        <v>165.97688888888891</v>
      </c>
      <c r="AK633" s="9">
        <f t="shared" si="190"/>
        <v>240</v>
      </c>
    </row>
    <row r="634" spans="1:37">
      <c r="A634" s="9">
        <v>5</v>
      </c>
      <c r="B634" s="9">
        <v>2024</v>
      </c>
      <c r="C634" s="9" t="s">
        <v>46</v>
      </c>
      <c r="D634" s="9" t="s">
        <v>47</v>
      </c>
      <c r="E634" s="9" t="s">
        <v>47</v>
      </c>
      <c r="F634" s="10">
        <v>45321</v>
      </c>
      <c r="G634" s="9" t="s">
        <v>154</v>
      </c>
      <c r="H634" s="9" t="s">
        <v>54</v>
      </c>
      <c r="J634" s="11">
        <f>K634/360*12</f>
        <v>4</v>
      </c>
      <c r="K634" s="11">
        <v>120</v>
      </c>
      <c r="L634" s="12">
        <v>0.15</v>
      </c>
      <c r="M634" s="12">
        <v>18</v>
      </c>
      <c r="N634" s="13" t="s">
        <v>49</v>
      </c>
      <c r="Q634" s="9">
        <f>IF(Auction_Sales[[#This Row],[Payment Date]]=0,"",-1+WEEKNUM(Auction_Sales[[#This Row],[Payment Date]]))</f>
        <v>5</v>
      </c>
      <c r="R634" s="9">
        <f t="shared" si="166"/>
        <v>0</v>
      </c>
      <c r="S634" s="1" t="str">
        <f t="shared" si="203"/>
        <v>English Roses</v>
      </c>
      <c r="T634" s="9" t="str">
        <f t="shared" si="203"/>
        <v>80CM</v>
      </c>
      <c r="U634" s="9">
        <v>120</v>
      </c>
      <c r="V634" s="13">
        <f>123.2/U634</f>
        <v>1.0266666666666666</v>
      </c>
      <c r="W634" s="13">
        <f t="shared" si="185"/>
        <v>123.19999999999999</v>
      </c>
      <c r="X634" s="14">
        <f t="shared" si="199"/>
        <v>-5.9902222222222212</v>
      </c>
      <c r="Y634" s="13">
        <f t="shared" si="186"/>
        <v>117.20977777777777</v>
      </c>
      <c r="Z634" s="10">
        <v>45329</v>
      </c>
      <c r="AA634" s="9">
        <f t="shared" si="187"/>
        <v>0</v>
      </c>
      <c r="AC634" s="9" t="s">
        <v>83</v>
      </c>
      <c r="AD634" s="14">
        <f t="shared" si="200"/>
        <v>15.021333333333333</v>
      </c>
      <c r="AF634" s="14">
        <f t="shared" si="172"/>
        <v>2.4</v>
      </c>
      <c r="AH634" s="14">
        <f t="shared" si="194"/>
        <v>17.421333333333333</v>
      </c>
      <c r="AI634" s="13">
        <f t="shared" si="189"/>
        <v>99.788444444444437</v>
      </c>
      <c r="AK634" s="9">
        <f t="shared" si="190"/>
        <v>120</v>
      </c>
    </row>
    <row r="635" spans="1:37">
      <c r="A635" s="9">
        <v>5</v>
      </c>
      <c r="B635" s="9">
        <v>2024</v>
      </c>
      <c r="C635" s="9" t="s">
        <v>46</v>
      </c>
      <c r="D635" s="9" t="s">
        <v>47</v>
      </c>
      <c r="E635" s="9" t="s">
        <v>47</v>
      </c>
      <c r="F635" s="10">
        <v>45321</v>
      </c>
      <c r="G635" s="9" t="s">
        <v>154</v>
      </c>
      <c r="H635" s="9" t="s">
        <v>48</v>
      </c>
      <c r="I635" s="9">
        <v>1</v>
      </c>
      <c r="J635" s="11">
        <f>K635/640*12</f>
        <v>7.5</v>
      </c>
      <c r="K635" s="11">
        <v>400</v>
      </c>
      <c r="L635" s="12">
        <v>0.15</v>
      </c>
      <c r="M635" s="12">
        <v>60</v>
      </c>
      <c r="N635" s="13" t="s">
        <v>49</v>
      </c>
      <c r="Q635" s="9">
        <f>IF(Auction_Sales[[#This Row],[Payment Date]]=0,"",-1+WEEKNUM(Auction_Sales[[#This Row],[Payment Date]]))</f>
        <v>5</v>
      </c>
      <c r="R635" s="9">
        <f>K635-U635</f>
        <v>0</v>
      </c>
      <c r="S635" s="1" t="str">
        <f t="shared" si="203"/>
        <v>English Roses</v>
      </c>
      <c r="T635" s="9" t="str">
        <f t="shared" si="203"/>
        <v>60CM</v>
      </c>
      <c r="U635" s="9">
        <f>200+200</f>
        <v>400</v>
      </c>
      <c r="V635" s="13">
        <f>(126+134)/U635</f>
        <v>0.65</v>
      </c>
      <c r="W635" s="13">
        <f t="shared" si="185"/>
        <v>260</v>
      </c>
      <c r="X635" s="14">
        <f t="shared" si="199"/>
        <v>-19.967407407407403</v>
      </c>
      <c r="Y635" s="13">
        <f t="shared" si="186"/>
        <v>240.03259259259261</v>
      </c>
      <c r="Z635" s="10">
        <v>45329</v>
      </c>
      <c r="AA635" s="9">
        <f t="shared" si="187"/>
        <v>0</v>
      </c>
      <c r="AC635" s="9" t="s">
        <v>83</v>
      </c>
      <c r="AD635" s="14">
        <f t="shared" si="200"/>
        <v>28.164999999999999</v>
      </c>
      <c r="AF635" s="14">
        <f t="shared" si="172"/>
        <v>8</v>
      </c>
      <c r="AH635" s="14">
        <f t="shared" si="194"/>
        <v>36.164999999999999</v>
      </c>
      <c r="AI635" s="13">
        <f t="shared" si="189"/>
        <v>203.86759259259262</v>
      </c>
      <c r="AK635" s="9">
        <f t="shared" si="190"/>
        <v>400</v>
      </c>
    </row>
    <row r="636" spans="1:37">
      <c r="A636" s="9">
        <v>5</v>
      </c>
      <c r="B636" s="9">
        <v>2024</v>
      </c>
      <c r="C636" s="9" t="s">
        <v>46</v>
      </c>
      <c r="D636" s="9" t="s">
        <v>47</v>
      </c>
      <c r="E636" s="9" t="s">
        <v>47</v>
      </c>
      <c r="F636" s="10">
        <v>45321</v>
      </c>
      <c r="G636" s="9" t="s">
        <v>154</v>
      </c>
      <c r="H636" s="9" t="s">
        <v>51</v>
      </c>
      <c r="J636" s="11">
        <f>K636/640*12</f>
        <v>4.5</v>
      </c>
      <c r="K636" s="11">
        <v>240</v>
      </c>
      <c r="L636" s="12">
        <v>0.15</v>
      </c>
      <c r="M636" s="12">
        <v>36</v>
      </c>
      <c r="N636" s="13" t="s">
        <v>49</v>
      </c>
      <c r="Q636" s="9">
        <f>IF(Auction_Sales[[#This Row],[Payment Date]]=0,"",-1+WEEKNUM(Auction_Sales[[#This Row],[Payment Date]]))</f>
        <v>5</v>
      </c>
      <c r="R636" s="9">
        <f>K636-U636</f>
        <v>0</v>
      </c>
      <c r="S636" s="1" t="str">
        <f t="shared" si="203"/>
        <v>English Roses</v>
      </c>
      <c r="T636" s="9" t="str">
        <f t="shared" si="203"/>
        <v>50CM</v>
      </c>
      <c r="U636" s="9">
        <f>240</f>
        <v>240</v>
      </c>
      <c r="V636" s="13">
        <f>88.8/U636</f>
        <v>0.37</v>
      </c>
      <c r="W636" s="13">
        <f t="shared" si="185"/>
        <v>88.8</v>
      </c>
      <c r="X636" s="14">
        <f t="shared" si="199"/>
        <v>-11.980444444444442</v>
      </c>
      <c r="Y636" s="13">
        <f t="shared" si="186"/>
        <v>76.819555555555553</v>
      </c>
      <c r="Z636" s="10">
        <v>45329</v>
      </c>
      <c r="AA636" s="9">
        <f t="shared" si="187"/>
        <v>0</v>
      </c>
      <c r="AC636" s="9" t="s">
        <v>83</v>
      </c>
      <c r="AD636" s="14">
        <f t="shared" si="200"/>
        <v>16.898999999999997</v>
      </c>
      <c r="AF636" s="14">
        <f t="shared" si="172"/>
        <v>4.8</v>
      </c>
      <c r="AH636" s="14">
        <f t="shared" ref="AH636:AH640" si="204">SUM(AD636:AG636)</f>
        <v>21.698999999999998</v>
      </c>
      <c r="AI636" s="13">
        <f t="shared" si="189"/>
        <v>55.120555555555555</v>
      </c>
      <c r="AK636" s="9">
        <f t="shared" si="190"/>
        <v>240</v>
      </c>
    </row>
    <row r="637" spans="1:37">
      <c r="A637" s="9">
        <v>5</v>
      </c>
      <c r="B637" s="9">
        <v>2024</v>
      </c>
      <c r="C637" s="9" t="s">
        <v>46</v>
      </c>
      <c r="D637" s="9" t="s">
        <v>47</v>
      </c>
      <c r="E637" s="9" t="s">
        <v>47</v>
      </c>
      <c r="F637" s="10">
        <v>45321</v>
      </c>
      <c r="G637" s="9" t="s">
        <v>153</v>
      </c>
      <c r="H637" s="9" t="s">
        <v>48</v>
      </c>
      <c r="I637" s="9">
        <v>1</v>
      </c>
      <c r="J637" s="11">
        <f>K637/680*12</f>
        <v>6.3529411764705888</v>
      </c>
      <c r="K637" s="11">
        <v>360</v>
      </c>
      <c r="L637" s="12">
        <v>0.15</v>
      </c>
      <c r="M637" s="12">
        <v>54</v>
      </c>
      <c r="N637" s="13" t="s">
        <v>49</v>
      </c>
      <c r="Q637" s="9">
        <f>IF(Auction_Sales[[#This Row],[Payment Date]]=0,"",-1+WEEKNUM(Auction_Sales[[#This Row],[Payment Date]]))</f>
        <v>5</v>
      </c>
      <c r="R637" s="9">
        <f t="shared" ref="R637:R640" si="205">K637-U637</f>
        <v>0</v>
      </c>
      <c r="S637" s="1" t="str">
        <f t="shared" si="203"/>
        <v>Grandiflora Roses</v>
      </c>
      <c r="T637" s="9" t="str">
        <f t="shared" si="203"/>
        <v>60CM</v>
      </c>
      <c r="U637" s="9">
        <f>360</f>
        <v>360</v>
      </c>
      <c r="V637" s="13">
        <f>197.6/U637</f>
        <v>0.54888888888888887</v>
      </c>
      <c r="W637" s="13">
        <f t="shared" si="185"/>
        <v>197.6</v>
      </c>
      <c r="X637" s="14">
        <f t="shared" si="199"/>
        <v>-17.970666666666663</v>
      </c>
      <c r="Y637" s="13">
        <f t="shared" si="186"/>
        <v>179.62933333333334</v>
      </c>
      <c r="Z637" s="10">
        <v>45329</v>
      </c>
      <c r="AA637" s="9">
        <f t="shared" si="187"/>
        <v>0</v>
      </c>
      <c r="AC637" s="9" t="s">
        <v>83</v>
      </c>
      <c r="AD637" s="14">
        <f t="shared" si="200"/>
        <v>23.857411764705883</v>
      </c>
      <c r="AF637" s="14">
        <f t="shared" si="172"/>
        <v>7.2</v>
      </c>
      <c r="AH637" s="14">
        <f t="shared" si="204"/>
        <v>31.057411764705883</v>
      </c>
      <c r="AI637" s="13">
        <f t="shared" si="189"/>
        <v>148.57192156862746</v>
      </c>
      <c r="AK637" s="9">
        <f t="shared" si="190"/>
        <v>360</v>
      </c>
    </row>
    <row r="638" spans="1:37">
      <c r="A638" s="9">
        <v>5</v>
      </c>
      <c r="B638" s="9">
        <v>2024</v>
      </c>
      <c r="C638" s="9" t="s">
        <v>46</v>
      </c>
      <c r="D638" s="9" t="s">
        <v>47</v>
      </c>
      <c r="E638" s="9" t="s">
        <v>47</v>
      </c>
      <c r="F638" s="10">
        <v>45321</v>
      </c>
      <c r="G638" s="9" t="s">
        <v>153</v>
      </c>
      <c r="H638" s="9" t="s">
        <v>52</v>
      </c>
      <c r="J638" s="11">
        <f>K638/680*12</f>
        <v>5.6470588235294112</v>
      </c>
      <c r="K638" s="11">
        <v>320</v>
      </c>
      <c r="L638" s="12">
        <v>0.15</v>
      </c>
      <c r="M638" s="12">
        <v>48</v>
      </c>
      <c r="N638" s="13" t="s">
        <v>49</v>
      </c>
      <c r="Q638" s="9">
        <f>IF(Auction_Sales[[#This Row],[Payment Date]]=0,"",-1+WEEKNUM(Auction_Sales[[#This Row],[Payment Date]]))</f>
        <v>5</v>
      </c>
      <c r="R638" s="9">
        <f t="shared" si="205"/>
        <v>0</v>
      </c>
      <c r="S638" s="1" t="str">
        <f t="shared" si="203"/>
        <v>Grandiflora Roses</v>
      </c>
      <c r="T638" s="9" t="str">
        <f t="shared" si="203"/>
        <v>70CM</v>
      </c>
      <c r="U638" s="9">
        <f>160+160</f>
        <v>320</v>
      </c>
      <c r="V638" s="13">
        <f>(120.4+124.4)/U638</f>
        <v>0.76500000000000001</v>
      </c>
      <c r="W638" s="13">
        <f t="shared" si="185"/>
        <v>244.8</v>
      </c>
      <c r="X638" s="14">
        <f t="shared" si="199"/>
        <v>-15.973925925925922</v>
      </c>
      <c r="Y638" s="13">
        <f t="shared" si="186"/>
        <v>228.82607407407409</v>
      </c>
      <c r="Z638" s="10">
        <v>45329</v>
      </c>
      <c r="AA638" s="9">
        <f t="shared" si="187"/>
        <v>0</v>
      </c>
      <c r="AC638" s="9" t="s">
        <v>83</v>
      </c>
      <c r="AD638" s="14">
        <f t="shared" si="200"/>
        <v>21.206588235294113</v>
      </c>
      <c r="AF638" s="14">
        <f t="shared" si="172"/>
        <v>6.4</v>
      </c>
      <c r="AH638" s="14">
        <f t="shared" si="204"/>
        <v>27.606588235294112</v>
      </c>
      <c r="AI638" s="13">
        <f t="shared" si="189"/>
        <v>201.21948583877997</v>
      </c>
      <c r="AK638" s="9">
        <f t="shared" si="190"/>
        <v>320</v>
      </c>
    </row>
    <row r="639" spans="1:37">
      <c r="A639" s="9">
        <v>5</v>
      </c>
      <c r="B639" s="9">
        <v>2024</v>
      </c>
      <c r="C639" s="9" t="s">
        <v>46</v>
      </c>
      <c r="D639" s="9" t="s">
        <v>47</v>
      </c>
      <c r="E639" s="9" t="s">
        <v>47</v>
      </c>
      <c r="F639" s="10">
        <v>45321</v>
      </c>
      <c r="G639" s="9" t="s">
        <v>155</v>
      </c>
      <c r="H639" s="9" t="s">
        <v>51</v>
      </c>
      <c r="I639" s="9">
        <v>1</v>
      </c>
      <c r="J639" s="11">
        <f>K639/520*12</f>
        <v>7.384615384615385</v>
      </c>
      <c r="K639" s="11">
        <v>320</v>
      </c>
      <c r="L639" s="12">
        <v>0.15</v>
      </c>
      <c r="M639" s="12">
        <v>48</v>
      </c>
      <c r="N639" s="13" t="s">
        <v>49</v>
      </c>
      <c r="Q639" s="9">
        <f>IF(Auction_Sales[[#This Row],[Payment Date]]=0,"",-1+WEEKNUM(Auction_Sales[[#This Row],[Payment Date]]))</f>
        <v>5</v>
      </c>
      <c r="R639" s="9">
        <f t="shared" si="205"/>
        <v>320</v>
      </c>
      <c r="S639" s="1" t="str">
        <f t="shared" si="203"/>
        <v>Floribunda Roses</v>
      </c>
      <c r="T639" s="9" t="str">
        <f t="shared" si="203"/>
        <v>50CM</v>
      </c>
      <c r="W639" s="13">
        <f t="shared" si="185"/>
        <v>0</v>
      </c>
      <c r="X639" s="14">
        <f t="shared" si="199"/>
        <v>0</v>
      </c>
      <c r="Y639" s="13">
        <f t="shared" si="186"/>
        <v>0</v>
      </c>
      <c r="Z639" s="10">
        <v>45329</v>
      </c>
      <c r="AA639" s="9">
        <f t="shared" si="187"/>
        <v>-320</v>
      </c>
      <c r="AC639" s="9" t="s">
        <v>83</v>
      </c>
      <c r="AD639" s="14">
        <f t="shared" si="200"/>
        <v>27.73169230769231</v>
      </c>
      <c r="AF639" s="14">
        <f t="shared" si="172"/>
        <v>0</v>
      </c>
      <c r="AH639" s="14">
        <f t="shared" si="204"/>
        <v>27.73169230769231</v>
      </c>
      <c r="AI639" s="13">
        <f t="shared" si="189"/>
        <v>-27.73169230769231</v>
      </c>
      <c r="AK639" s="9">
        <f t="shared" si="190"/>
        <v>0</v>
      </c>
    </row>
    <row r="640" spans="1:37">
      <c r="A640" s="9">
        <v>5</v>
      </c>
      <c r="B640" s="9">
        <v>2024</v>
      </c>
      <c r="C640" s="9" t="s">
        <v>46</v>
      </c>
      <c r="D640" s="9" t="s">
        <v>47</v>
      </c>
      <c r="E640" s="9" t="s">
        <v>47</v>
      </c>
      <c r="F640" s="10">
        <v>45321</v>
      </c>
      <c r="G640" s="9" t="s">
        <v>155</v>
      </c>
      <c r="H640" s="9" t="s">
        <v>48</v>
      </c>
      <c r="J640" s="11">
        <f>K640/520*12</f>
        <v>4.6153846153846159</v>
      </c>
      <c r="K640" s="11">
        <v>200</v>
      </c>
      <c r="L640" s="12">
        <v>0.15</v>
      </c>
      <c r="M640" s="12">
        <v>30</v>
      </c>
      <c r="N640" s="13" t="s">
        <v>49</v>
      </c>
      <c r="Q640" s="9">
        <f>IF(Auction_Sales[[#This Row],[Payment Date]]=0,"",-1+WEEKNUM(Auction_Sales[[#This Row],[Payment Date]]))</f>
        <v>5</v>
      </c>
      <c r="R640" s="9">
        <f t="shared" si="205"/>
        <v>-160</v>
      </c>
      <c r="S640" s="1" t="str">
        <f t="shared" si="203"/>
        <v>Floribunda Roses</v>
      </c>
      <c r="T640" s="9" t="str">
        <f t="shared" si="203"/>
        <v>60CM</v>
      </c>
      <c r="U640" s="9">
        <f>360</f>
        <v>360</v>
      </c>
      <c r="V640" s="13">
        <f>277.2/U640</f>
        <v>0.77</v>
      </c>
      <c r="W640" s="13">
        <f t="shared" si="185"/>
        <v>277.2</v>
      </c>
      <c r="X640" s="14">
        <f t="shared" si="199"/>
        <v>-17.970666666666663</v>
      </c>
      <c r="Y640" s="13">
        <f t="shared" si="186"/>
        <v>259.22933333333333</v>
      </c>
      <c r="Z640" s="10">
        <v>45329</v>
      </c>
      <c r="AA640" s="9">
        <f t="shared" si="187"/>
        <v>160</v>
      </c>
      <c r="AC640" s="9" t="s">
        <v>83</v>
      </c>
      <c r="AD640" s="14">
        <f t="shared" si="200"/>
        <v>17.332307692307694</v>
      </c>
      <c r="AF640" s="14">
        <f t="shared" si="172"/>
        <v>7.2</v>
      </c>
      <c r="AH640" s="14">
        <f t="shared" si="204"/>
        <v>24.532307692307693</v>
      </c>
      <c r="AI640" s="13">
        <f t="shared" si="189"/>
        <v>234.69702564102565</v>
      </c>
      <c r="AK640" s="9">
        <f t="shared" si="190"/>
        <v>360</v>
      </c>
    </row>
    <row r="641" spans="1:37">
      <c r="A641" s="9">
        <v>5</v>
      </c>
      <c r="B641" s="9">
        <v>2024</v>
      </c>
      <c r="C641" s="9" t="s">
        <v>46</v>
      </c>
      <c r="D641" s="9" t="s">
        <v>47</v>
      </c>
      <c r="E641" s="9" t="s">
        <v>47</v>
      </c>
      <c r="F641" s="10">
        <v>45321</v>
      </c>
      <c r="G641" s="9" t="s">
        <v>153</v>
      </c>
      <c r="H641" s="9" t="s">
        <v>54</v>
      </c>
      <c r="I641" s="9">
        <v>1</v>
      </c>
      <c r="J641" s="11">
        <f>K641/400*12</f>
        <v>6</v>
      </c>
      <c r="K641" s="11">
        <v>200</v>
      </c>
      <c r="L641" s="12">
        <v>0.15</v>
      </c>
      <c r="M641" s="12">
        <v>30</v>
      </c>
      <c r="N641" s="13" t="s">
        <v>49</v>
      </c>
      <c r="Q641" s="9">
        <f>IF(Auction_Sales[[#This Row],[Payment Date]]=0,"",-1+WEEKNUM(Auction_Sales[[#This Row],[Payment Date]]))</f>
        <v>5</v>
      </c>
      <c r="R641" s="9">
        <f t="shared" si="166"/>
        <v>0</v>
      </c>
      <c r="S641" s="1" t="str">
        <f t="shared" si="203"/>
        <v>Grandiflora Roses</v>
      </c>
      <c r="T641" s="9" t="str">
        <f t="shared" si="203"/>
        <v>80CM</v>
      </c>
      <c r="U641" s="9">
        <f>200</f>
        <v>200</v>
      </c>
      <c r="V641" s="13">
        <f>175.6/U641</f>
        <v>0.878</v>
      </c>
      <c r="W641" s="13">
        <f t="shared" si="185"/>
        <v>175.6</v>
      </c>
      <c r="X641" s="14">
        <f t="shared" si="199"/>
        <v>-9.9837037037037017</v>
      </c>
      <c r="Y641" s="13">
        <f t="shared" si="186"/>
        <v>165.6162962962963</v>
      </c>
      <c r="Z641" s="10">
        <v>45329</v>
      </c>
      <c r="AA641" s="9">
        <f t="shared" si="187"/>
        <v>0</v>
      </c>
      <c r="AC641" s="9" t="s">
        <v>83</v>
      </c>
      <c r="AD641" s="14">
        <f t="shared" si="200"/>
        <v>22.532</v>
      </c>
      <c r="AF641" s="14">
        <f t="shared" ref="AF641:AF644" si="206">U641*0.02</f>
        <v>4</v>
      </c>
      <c r="AH641" s="14">
        <f t="shared" si="194"/>
        <v>26.532</v>
      </c>
      <c r="AI641" s="13">
        <f t="shared" si="189"/>
        <v>139.08429629629629</v>
      </c>
      <c r="AK641" s="9">
        <f t="shared" si="190"/>
        <v>200</v>
      </c>
    </row>
    <row r="642" spans="1:37">
      <c r="A642" s="9">
        <v>5</v>
      </c>
      <c r="B642" s="9">
        <v>2024</v>
      </c>
      <c r="C642" s="9" t="s">
        <v>46</v>
      </c>
      <c r="D642" s="9" t="s">
        <v>47</v>
      </c>
      <c r="E642" s="9" t="s">
        <v>47</v>
      </c>
      <c r="F642" s="10">
        <v>45321</v>
      </c>
      <c r="G642" s="9" t="s">
        <v>153</v>
      </c>
      <c r="H642" s="9" t="s">
        <v>56</v>
      </c>
      <c r="J642" s="11">
        <f t="shared" ref="J642:J644" si="207">K642/400*12</f>
        <v>3.5999999999999996</v>
      </c>
      <c r="K642" s="11">
        <v>120</v>
      </c>
      <c r="L642" s="12">
        <v>0.15</v>
      </c>
      <c r="M642" s="12">
        <v>18</v>
      </c>
      <c r="N642" s="13" t="s">
        <v>49</v>
      </c>
      <c r="Q642" s="9">
        <f>IF(Auction_Sales[[#This Row],[Payment Date]]=0,"",-1+WEEKNUM(Auction_Sales[[#This Row],[Payment Date]]))</f>
        <v>5</v>
      </c>
      <c r="R642" s="9">
        <f>K642-U642</f>
        <v>0</v>
      </c>
      <c r="S642" s="1" t="str">
        <f t="shared" si="203"/>
        <v>Grandiflora Roses</v>
      </c>
      <c r="T642" s="9" t="str">
        <f t="shared" si="203"/>
        <v>90CM</v>
      </c>
      <c r="U642" s="9">
        <v>120</v>
      </c>
      <c r="V642" s="13">
        <f>112.8/U642</f>
        <v>0.94</v>
      </c>
      <c r="W642" s="13">
        <f t="shared" si="185"/>
        <v>112.8</v>
      </c>
      <c r="X642" s="14">
        <f t="shared" si="199"/>
        <v>-5.9902222222222212</v>
      </c>
      <c r="Y642" s="13">
        <f t="shared" si="186"/>
        <v>106.80977777777778</v>
      </c>
      <c r="Z642" s="10">
        <v>45329</v>
      </c>
      <c r="AA642" s="9">
        <f t="shared" si="187"/>
        <v>0</v>
      </c>
      <c r="AC642" s="9" t="s">
        <v>83</v>
      </c>
      <c r="AD642" s="14">
        <f t="shared" si="200"/>
        <v>13.519199999999998</v>
      </c>
      <c r="AF642" s="14">
        <f t="shared" si="206"/>
        <v>2.4</v>
      </c>
      <c r="AH642" s="14">
        <f t="shared" si="194"/>
        <v>15.919199999999998</v>
      </c>
      <c r="AI642" s="13">
        <f t="shared" si="189"/>
        <v>90.890577777777779</v>
      </c>
      <c r="AK642" s="9">
        <f t="shared" si="190"/>
        <v>120</v>
      </c>
    </row>
    <row r="643" spans="1:37">
      <c r="A643" s="9">
        <v>5</v>
      </c>
      <c r="B643" s="9">
        <v>2024</v>
      </c>
      <c r="C643" s="9" t="s">
        <v>46</v>
      </c>
      <c r="D643" s="9" t="s">
        <v>47</v>
      </c>
      <c r="E643" s="9" t="s">
        <v>47</v>
      </c>
      <c r="F643" s="10">
        <v>45321</v>
      </c>
      <c r="G643" s="9" t="s">
        <v>153</v>
      </c>
      <c r="H643" s="9" t="s">
        <v>57</v>
      </c>
      <c r="J643" s="11">
        <f t="shared" si="207"/>
        <v>1.2000000000000002</v>
      </c>
      <c r="K643" s="11">
        <v>40</v>
      </c>
      <c r="L643" s="12">
        <v>0.15</v>
      </c>
      <c r="M643" s="12">
        <v>6</v>
      </c>
      <c r="N643" s="13" t="s">
        <v>49</v>
      </c>
      <c r="Q643" s="9">
        <f>IF(Auction_Sales[[#This Row],[Payment Date]]=0,"",-1+WEEKNUM(Auction_Sales[[#This Row],[Payment Date]]))</f>
        <v>5</v>
      </c>
      <c r="R643" s="9">
        <f t="shared" si="166"/>
        <v>-40</v>
      </c>
      <c r="S643" s="1" t="str">
        <f t="shared" si="203"/>
        <v>Grandiflora Roses</v>
      </c>
      <c r="T643" s="9" t="str">
        <f t="shared" si="203"/>
        <v>100CM</v>
      </c>
      <c r="U643" s="9">
        <v>80</v>
      </c>
      <c r="V643" s="13">
        <f>80.8/U643</f>
        <v>1.01</v>
      </c>
      <c r="W643" s="13">
        <f t="shared" si="185"/>
        <v>80.8</v>
      </c>
      <c r="X643" s="14">
        <f t="shared" si="199"/>
        <v>-3.9934814814814805</v>
      </c>
      <c r="Y643" s="13">
        <f t="shared" si="186"/>
        <v>76.806518518518516</v>
      </c>
      <c r="Z643" s="10">
        <v>45329</v>
      </c>
      <c r="AA643" s="9">
        <f t="shared" si="187"/>
        <v>40</v>
      </c>
      <c r="AC643" s="9" t="s">
        <v>83</v>
      </c>
      <c r="AD643" s="14">
        <f t="shared" si="200"/>
        <v>4.5064000000000011</v>
      </c>
      <c r="AF643" s="14">
        <f t="shared" si="206"/>
        <v>1.6</v>
      </c>
      <c r="AH643" s="14">
        <f t="shared" si="194"/>
        <v>6.1064000000000007</v>
      </c>
      <c r="AI643" s="13">
        <f t="shared" si="189"/>
        <v>70.700118518518508</v>
      </c>
      <c r="AK643" s="9">
        <f t="shared" si="190"/>
        <v>80</v>
      </c>
    </row>
    <row r="644" spans="1:37">
      <c r="A644" s="9">
        <v>5</v>
      </c>
      <c r="B644" s="9">
        <v>2024</v>
      </c>
      <c r="C644" s="9" t="s">
        <v>46</v>
      </c>
      <c r="D644" s="9" t="s">
        <v>47</v>
      </c>
      <c r="E644" s="9" t="s">
        <v>47</v>
      </c>
      <c r="F644" s="10">
        <v>45321</v>
      </c>
      <c r="G644" s="9" t="s">
        <v>153</v>
      </c>
      <c r="H644" s="9" t="s">
        <v>60</v>
      </c>
      <c r="J644" s="11">
        <f t="shared" si="207"/>
        <v>1.2000000000000002</v>
      </c>
      <c r="K644" s="11">
        <v>40</v>
      </c>
      <c r="L644" s="12">
        <v>0.15</v>
      </c>
      <c r="M644" s="12">
        <v>6</v>
      </c>
      <c r="N644" s="13" t="s">
        <v>49</v>
      </c>
      <c r="Q644" s="9">
        <f>IF(Auction_Sales[[#This Row],[Payment Date]]=0,"",-1+WEEKNUM(Auction_Sales[[#This Row],[Payment Date]]))</f>
        <v>5</v>
      </c>
      <c r="R644" s="9">
        <f>K644-U644</f>
        <v>40</v>
      </c>
      <c r="S644" s="1" t="str">
        <f t="shared" si="203"/>
        <v>Grandiflora Roses</v>
      </c>
      <c r="T644" s="9" t="str">
        <f t="shared" si="203"/>
        <v>110CM</v>
      </c>
      <c r="W644" s="13">
        <f t="shared" si="185"/>
        <v>0</v>
      </c>
      <c r="X644" s="14">
        <f t="shared" si="199"/>
        <v>0</v>
      </c>
      <c r="Y644" s="13">
        <f t="shared" si="186"/>
        <v>0</v>
      </c>
      <c r="Z644" s="10">
        <v>45329</v>
      </c>
      <c r="AA644" s="9">
        <f t="shared" si="187"/>
        <v>-40</v>
      </c>
      <c r="AC644" s="9" t="s">
        <v>83</v>
      </c>
      <c r="AD644" s="14">
        <f t="shared" si="200"/>
        <v>4.5064000000000011</v>
      </c>
      <c r="AF644" s="14">
        <f t="shared" si="206"/>
        <v>0</v>
      </c>
      <c r="AH644" s="14">
        <f t="shared" si="194"/>
        <v>4.5064000000000011</v>
      </c>
      <c r="AI644" s="13">
        <f t="shared" si="189"/>
        <v>-4.5064000000000011</v>
      </c>
      <c r="AK644" s="9">
        <f t="shared" si="190"/>
        <v>0</v>
      </c>
    </row>
    <row r="645" spans="1:37">
      <c r="A645" s="9">
        <v>5</v>
      </c>
      <c r="B645" s="9">
        <v>2024</v>
      </c>
      <c r="C645" s="9" t="s">
        <v>46</v>
      </c>
      <c r="D645" s="9" t="s">
        <v>47</v>
      </c>
      <c r="E645" s="9" t="s">
        <v>47</v>
      </c>
      <c r="F645" s="10">
        <v>45323</v>
      </c>
      <c r="G645" s="9" t="s">
        <v>155</v>
      </c>
      <c r="H645" s="9" t="s">
        <v>51</v>
      </c>
      <c r="I645" s="9">
        <v>2</v>
      </c>
      <c r="J645" s="11">
        <f t="shared" ref="J645:J651" si="208">I645*12</f>
        <v>24</v>
      </c>
      <c r="K645" s="11">
        <v>1200</v>
      </c>
      <c r="L645" s="12">
        <v>0.15</v>
      </c>
      <c r="M645" s="12">
        <v>180</v>
      </c>
      <c r="N645" s="13" t="s">
        <v>49</v>
      </c>
      <c r="Q645" s="9">
        <f>IF(Auction_Sales[[#This Row],[Payment Date]]=0,"",-1+WEEKNUM(Auction_Sales[[#This Row],[Payment Date]]))</f>
        <v>6</v>
      </c>
      <c r="R645" s="9">
        <f t="shared" ref="R645:R657" si="209">K645-U645</f>
        <v>-40</v>
      </c>
      <c r="S645" s="1" t="str">
        <f t="shared" ref="S645:T657" si="210">G645</f>
        <v>Floribunda Roses</v>
      </c>
      <c r="T645" s="9" t="str">
        <f t="shared" si="210"/>
        <v>50CM</v>
      </c>
      <c r="U645" s="9">
        <f>1240</f>
        <v>1240</v>
      </c>
      <c r="V645" s="13">
        <f>516/U645</f>
        <v>0.41612903225806452</v>
      </c>
      <c r="W645" s="13">
        <f t="shared" ref="W645:W657" si="211">U645*V645</f>
        <v>516</v>
      </c>
      <c r="X645" s="14">
        <f>-(3329.6-3046.79)*U645/(4160+1360+1320)</f>
        <v>-51.269649122807003</v>
      </c>
      <c r="Y645" s="13">
        <f t="shared" ref="Y645:Y657" si="212">W645+X645</f>
        <v>464.73035087719302</v>
      </c>
      <c r="Z645" s="10">
        <v>45336</v>
      </c>
      <c r="AA645" s="9">
        <f t="shared" ref="AA645:AA657" si="213">U645-K645</f>
        <v>40</v>
      </c>
      <c r="AC645" s="9">
        <v>425970</v>
      </c>
      <c r="AD645" s="14">
        <f>J645/(12*12)*497.5</f>
        <v>82.916666666666657</v>
      </c>
      <c r="AF645" s="14">
        <f t="shared" ref="AF645:AF657" si="214">U645*0.02</f>
        <v>24.8</v>
      </c>
      <c r="AH645" s="14">
        <f t="shared" ref="AH645:AH652" si="215">SUM(AD645:AG645)</f>
        <v>107.71666666666665</v>
      </c>
      <c r="AI645" s="13">
        <f t="shared" ref="AI645:AI657" si="216">Y645-AH645</f>
        <v>357.01368421052638</v>
      </c>
      <c r="AK645" s="9">
        <f t="shared" ref="AK645:AK657" si="217">U645</f>
        <v>1240</v>
      </c>
    </row>
    <row r="646" spans="1:37">
      <c r="A646" s="9">
        <v>5</v>
      </c>
      <c r="B646" s="9">
        <v>2024</v>
      </c>
      <c r="C646" s="9" t="s">
        <v>46</v>
      </c>
      <c r="D646" s="9" t="s">
        <v>47</v>
      </c>
      <c r="E646" s="9" t="s">
        <v>47</v>
      </c>
      <c r="F646" s="10">
        <v>45323</v>
      </c>
      <c r="G646" s="9" t="s">
        <v>155</v>
      </c>
      <c r="H646" s="9" t="s">
        <v>48</v>
      </c>
      <c r="I646" s="9">
        <v>2</v>
      </c>
      <c r="J646" s="11">
        <f t="shared" si="208"/>
        <v>24</v>
      </c>
      <c r="K646" s="11">
        <v>1040</v>
      </c>
      <c r="L646" s="12">
        <v>0.15</v>
      </c>
      <c r="M646" s="12">
        <v>156</v>
      </c>
      <c r="N646" s="13" t="s">
        <v>49</v>
      </c>
      <c r="Q646" s="9">
        <f>IF(Auction_Sales[[#This Row],[Payment Date]]=0,"",-1+WEEKNUM(Auction_Sales[[#This Row],[Payment Date]]))</f>
        <v>6</v>
      </c>
      <c r="R646" s="9">
        <f t="shared" si="209"/>
        <v>-200</v>
      </c>
      <c r="S646" s="1" t="str">
        <f t="shared" si="210"/>
        <v>Floribunda Roses</v>
      </c>
      <c r="T646" s="9" t="str">
        <f t="shared" si="210"/>
        <v>60CM</v>
      </c>
      <c r="U646" s="9">
        <f>640+600</f>
        <v>1240</v>
      </c>
      <c r="V646" s="13">
        <f>(518.8+388)/U646</f>
        <v>0.73129032258064508</v>
      </c>
      <c r="W646" s="13">
        <f t="shared" si="211"/>
        <v>906.8</v>
      </c>
      <c r="X646" s="14">
        <f t="shared" ref="X646:X657" si="218">-(3329.6-3046.79)*U646/(4160+1360+1320)</f>
        <v>-51.269649122807003</v>
      </c>
      <c r="Y646" s="13">
        <f t="shared" si="212"/>
        <v>855.53035087719297</v>
      </c>
      <c r="Z646" s="10">
        <v>45336</v>
      </c>
      <c r="AA646" s="9">
        <f t="shared" si="213"/>
        <v>200</v>
      </c>
      <c r="AC646" s="9">
        <v>425970</v>
      </c>
      <c r="AD646" s="14">
        <f t="shared" ref="AD646:AD657" si="219">J646/(12*12)*497.5</f>
        <v>82.916666666666657</v>
      </c>
      <c r="AF646" s="14">
        <f t="shared" si="214"/>
        <v>24.8</v>
      </c>
      <c r="AH646" s="14">
        <f t="shared" si="215"/>
        <v>107.71666666666665</v>
      </c>
      <c r="AI646" s="13">
        <f t="shared" si="216"/>
        <v>747.81368421052628</v>
      </c>
      <c r="AK646" s="9">
        <f t="shared" si="217"/>
        <v>1240</v>
      </c>
    </row>
    <row r="647" spans="1:37">
      <c r="A647" s="9">
        <v>5</v>
      </c>
      <c r="B647" s="9">
        <v>2024</v>
      </c>
      <c r="C647" s="9" t="s">
        <v>46</v>
      </c>
      <c r="D647" s="9" t="s">
        <v>47</v>
      </c>
      <c r="E647" s="9" t="s">
        <v>47</v>
      </c>
      <c r="F647" s="10">
        <v>45323</v>
      </c>
      <c r="G647" s="9" t="s">
        <v>154</v>
      </c>
      <c r="H647" s="9" t="s">
        <v>51</v>
      </c>
      <c r="I647" s="9">
        <v>1</v>
      </c>
      <c r="J647" s="11">
        <f t="shared" si="208"/>
        <v>12</v>
      </c>
      <c r="K647" s="11">
        <v>600</v>
      </c>
      <c r="L647" s="12">
        <v>0.15</v>
      </c>
      <c r="M647" s="12">
        <v>90</v>
      </c>
      <c r="N647" s="13" t="s">
        <v>49</v>
      </c>
      <c r="Q647" s="9">
        <f>IF(Auction_Sales[[#This Row],[Payment Date]]=0,"",-1+WEEKNUM(Auction_Sales[[#This Row],[Payment Date]]))</f>
        <v>6</v>
      </c>
      <c r="R647" s="9">
        <f t="shared" si="209"/>
        <v>0</v>
      </c>
      <c r="S647" s="1" t="str">
        <f t="shared" si="210"/>
        <v>English Roses</v>
      </c>
      <c r="T647" s="9" t="str">
        <f t="shared" si="210"/>
        <v>50CM</v>
      </c>
      <c r="U647" s="9">
        <f>600</f>
        <v>600</v>
      </c>
      <c r="V647" s="13">
        <f>189.6/U647</f>
        <v>0.316</v>
      </c>
      <c r="W647" s="13">
        <f t="shared" si="211"/>
        <v>189.6</v>
      </c>
      <c r="X647" s="14">
        <f t="shared" si="218"/>
        <v>-24.807894736842101</v>
      </c>
      <c r="Y647" s="13">
        <f t="shared" si="212"/>
        <v>164.79210526315791</v>
      </c>
      <c r="Z647" s="10">
        <v>45336</v>
      </c>
      <c r="AA647" s="9">
        <f t="shared" si="213"/>
        <v>0</v>
      </c>
      <c r="AC647" s="9">
        <v>425970</v>
      </c>
      <c r="AD647" s="14">
        <f t="shared" si="219"/>
        <v>41.458333333333329</v>
      </c>
      <c r="AF647" s="14">
        <f t="shared" si="214"/>
        <v>12</v>
      </c>
      <c r="AH647" s="14">
        <f t="shared" si="215"/>
        <v>53.458333333333329</v>
      </c>
      <c r="AI647" s="13">
        <f t="shared" si="216"/>
        <v>111.33377192982458</v>
      </c>
      <c r="AK647" s="9">
        <f t="shared" si="217"/>
        <v>600</v>
      </c>
    </row>
    <row r="648" spans="1:37">
      <c r="A648" s="9">
        <v>5</v>
      </c>
      <c r="B648" s="9">
        <v>2024</v>
      </c>
      <c r="C648" s="9" t="s">
        <v>46</v>
      </c>
      <c r="D648" s="9" t="s">
        <v>47</v>
      </c>
      <c r="E648" s="9" t="s">
        <v>47</v>
      </c>
      <c r="F648" s="10">
        <v>45323</v>
      </c>
      <c r="G648" s="9" t="s">
        <v>154</v>
      </c>
      <c r="H648" s="9" t="s">
        <v>48</v>
      </c>
      <c r="I648" s="9">
        <v>1</v>
      </c>
      <c r="J648" s="11">
        <f t="shared" si="208"/>
        <v>12</v>
      </c>
      <c r="K648" s="9">
        <v>480</v>
      </c>
      <c r="L648" s="12">
        <v>0.15</v>
      </c>
      <c r="M648" s="27">
        <v>72</v>
      </c>
      <c r="N648" s="13" t="s">
        <v>49</v>
      </c>
      <c r="Q648" s="9">
        <f>IF(Auction_Sales[[#This Row],[Payment Date]]=0,"",-1+WEEKNUM(Auction_Sales[[#This Row],[Payment Date]]))</f>
        <v>6</v>
      </c>
      <c r="R648" s="9">
        <f t="shared" si="209"/>
        <v>0</v>
      </c>
      <c r="S648" s="1" t="str">
        <f t="shared" si="210"/>
        <v>English Roses</v>
      </c>
      <c r="T648" s="9" t="str">
        <f t="shared" si="210"/>
        <v>60CM</v>
      </c>
      <c r="U648" s="9">
        <f>240+240</f>
        <v>480</v>
      </c>
      <c r="V648" s="13">
        <f>(168+98.4)/U648</f>
        <v>0.55499999999999994</v>
      </c>
      <c r="W648" s="13">
        <f t="shared" si="211"/>
        <v>266.39999999999998</v>
      </c>
      <c r="X648" s="14">
        <f t="shared" si="218"/>
        <v>-19.846315789473682</v>
      </c>
      <c r="Y648" s="13">
        <f t="shared" si="212"/>
        <v>246.55368421052628</v>
      </c>
      <c r="Z648" s="10">
        <v>45336</v>
      </c>
      <c r="AA648" s="9">
        <f t="shared" si="213"/>
        <v>0</v>
      </c>
      <c r="AC648" s="9">
        <v>425970</v>
      </c>
      <c r="AD648" s="14">
        <f t="shared" si="219"/>
        <v>41.458333333333329</v>
      </c>
      <c r="AF648" s="14">
        <f t="shared" si="214"/>
        <v>9.6</v>
      </c>
      <c r="AH648" s="14">
        <f t="shared" si="215"/>
        <v>51.05833333333333</v>
      </c>
      <c r="AI648" s="13">
        <f t="shared" si="216"/>
        <v>195.49535087719295</v>
      </c>
      <c r="AK648" s="9">
        <f t="shared" si="217"/>
        <v>480</v>
      </c>
    </row>
    <row r="649" spans="1:37">
      <c r="A649" s="9">
        <v>5</v>
      </c>
      <c r="B649" s="9">
        <v>2024</v>
      </c>
      <c r="C649" s="9" t="s">
        <v>46</v>
      </c>
      <c r="D649" s="9" t="s">
        <v>47</v>
      </c>
      <c r="E649" s="9" t="s">
        <v>47</v>
      </c>
      <c r="F649" s="10">
        <v>45323</v>
      </c>
      <c r="G649" s="9" t="s">
        <v>153</v>
      </c>
      <c r="H649" s="9" t="s">
        <v>48</v>
      </c>
      <c r="I649" s="9">
        <v>1</v>
      </c>
      <c r="J649" s="11">
        <f t="shared" si="208"/>
        <v>12</v>
      </c>
      <c r="K649" s="9">
        <v>720</v>
      </c>
      <c r="L649" s="12">
        <v>0.15</v>
      </c>
      <c r="M649" s="27">
        <v>108</v>
      </c>
      <c r="N649" s="13" t="s">
        <v>49</v>
      </c>
      <c r="Q649" s="9">
        <f>IF(Auction_Sales[[#This Row],[Payment Date]]=0,"",-1+WEEKNUM(Auction_Sales[[#This Row],[Payment Date]]))</f>
        <v>6</v>
      </c>
      <c r="R649" s="9">
        <f>K649-U649</f>
        <v>-240</v>
      </c>
      <c r="S649" s="1" t="str">
        <f t="shared" si="210"/>
        <v>Grandiflora Roses</v>
      </c>
      <c r="T649" s="9" t="str">
        <f t="shared" si="210"/>
        <v>60CM</v>
      </c>
      <c r="U649" s="9">
        <f>480+480</f>
        <v>960</v>
      </c>
      <c r="V649" s="13">
        <f>(240+226.4)/U649</f>
        <v>0.48583333333333328</v>
      </c>
      <c r="W649" s="13">
        <f>U649*V649</f>
        <v>466.4</v>
      </c>
      <c r="X649" s="14">
        <f t="shared" si="218"/>
        <v>-39.692631578947363</v>
      </c>
      <c r="Y649" s="13">
        <f>W649+X649</f>
        <v>426.70736842105259</v>
      </c>
      <c r="Z649" s="10">
        <v>45336</v>
      </c>
      <c r="AA649" s="9">
        <f>U649-K649</f>
        <v>240</v>
      </c>
      <c r="AC649" s="9">
        <v>425970</v>
      </c>
      <c r="AD649" s="14">
        <f t="shared" si="219"/>
        <v>41.458333333333329</v>
      </c>
      <c r="AF649" s="14">
        <f t="shared" si="214"/>
        <v>19.2</v>
      </c>
      <c r="AH649" s="14">
        <f>SUM(AD649:AG649)</f>
        <v>60.658333333333331</v>
      </c>
      <c r="AI649" s="13">
        <f>Y649-AH649</f>
        <v>366.04903508771929</v>
      </c>
      <c r="AK649" s="9">
        <f>U649</f>
        <v>960</v>
      </c>
    </row>
    <row r="650" spans="1:37">
      <c r="A650" s="9">
        <v>5</v>
      </c>
      <c r="B650" s="9">
        <v>2024</v>
      </c>
      <c r="C650" s="9" t="s">
        <v>46</v>
      </c>
      <c r="D650" s="9" t="s">
        <v>47</v>
      </c>
      <c r="E650" s="9" t="s">
        <v>47</v>
      </c>
      <c r="F650" s="10">
        <v>45323</v>
      </c>
      <c r="G650" s="9" t="s">
        <v>153</v>
      </c>
      <c r="H650" s="9" t="s">
        <v>51</v>
      </c>
      <c r="I650" s="9">
        <v>1</v>
      </c>
      <c r="J650" s="11">
        <f t="shared" si="208"/>
        <v>12</v>
      </c>
      <c r="K650" s="9">
        <v>920</v>
      </c>
      <c r="L650" s="12">
        <v>0.15</v>
      </c>
      <c r="M650" s="27">
        <v>138</v>
      </c>
      <c r="N650" s="13" t="s">
        <v>49</v>
      </c>
      <c r="Q650" s="9">
        <f>IF(Auction_Sales[[#This Row],[Payment Date]]=0,"",-1+WEEKNUM(Auction_Sales[[#This Row],[Payment Date]]))</f>
        <v>6</v>
      </c>
      <c r="R650" s="9">
        <f>K650-U650</f>
        <v>-320</v>
      </c>
      <c r="S650" s="1" t="str">
        <f t="shared" si="210"/>
        <v>Grandiflora Roses</v>
      </c>
      <c r="T650" s="9" t="str">
        <f t="shared" si="210"/>
        <v>50CM</v>
      </c>
      <c r="U650" s="9">
        <f>1240</f>
        <v>1240</v>
      </c>
      <c r="V650" s="13">
        <f>288.4/U650</f>
        <v>0.23258064516129032</v>
      </c>
      <c r="W650" s="13">
        <f>U650*V650</f>
        <v>288.39999999999998</v>
      </c>
      <c r="X650" s="14">
        <f t="shared" si="218"/>
        <v>-51.269649122807003</v>
      </c>
      <c r="Y650" s="13">
        <f>W650+X650</f>
        <v>237.13035087719297</v>
      </c>
      <c r="Z650" s="10">
        <v>45336</v>
      </c>
      <c r="AA650" s="9">
        <f>U650-K650</f>
        <v>320</v>
      </c>
      <c r="AC650" s="9">
        <v>425970</v>
      </c>
      <c r="AD650" s="14">
        <f t="shared" si="219"/>
        <v>41.458333333333329</v>
      </c>
      <c r="AF650" s="14">
        <f t="shared" si="214"/>
        <v>24.8</v>
      </c>
      <c r="AH650" s="14">
        <f>SUM(AD650:AG650)</f>
        <v>66.258333333333326</v>
      </c>
      <c r="AI650" s="13">
        <f>Y650-AH650</f>
        <v>170.87201754385964</v>
      </c>
      <c r="AK650" s="9">
        <f>U650</f>
        <v>1240</v>
      </c>
    </row>
    <row r="651" spans="1:37">
      <c r="A651" s="9">
        <v>5</v>
      </c>
      <c r="B651" s="9">
        <v>2024</v>
      </c>
      <c r="C651" s="9" t="s">
        <v>46</v>
      </c>
      <c r="D651" s="9" t="s">
        <v>47</v>
      </c>
      <c r="E651" s="9" t="s">
        <v>47</v>
      </c>
      <c r="F651" s="10">
        <v>45323</v>
      </c>
      <c r="G651" s="9" t="s">
        <v>153</v>
      </c>
      <c r="H651" s="9" t="s">
        <v>56</v>
      </c>
      <c r="I651" s="9">
        <v>1</v>
      </c>
      <c r="J651" s="11">
        <f t="shared" si="208"/>
        <v>12</v>
      </c>
      <c r="K651" s="9">
        <v>360</v>
      </c>
      <c r="L651" s="12">
        <v>0.15</v>
      </c>
      <c r="M651" s="27">
        <v>54</v>
      </c>
      <c r="N651" s="13" t="s">
        <v>49</v>
      </c>
      <c r="Q651" s="9">
        <f>IF(Auction_Sales[[#This Row],[Payment Date]]=0,"",-1+WEEKNUM(Auction_Sales[[#This Row],[Payment Date]]))</f>
        <v>6</v>
      </c>
      <c r="R651" s="9">
        <f>K651-U651</f>
        <v>40</v>
      </c>
      <c r="S651" s="1" t="str">
        <f t="shared" si="210"/>
        <v>Grandiflora Roses</v>
      </c>
      <c r="T651" s="9" t="str">
        <f t="shared" si="210"/>
        <v>90CM</v>
      </c>
      <c r="U651" s="9">
        <f>320</f>
        <v>320</v>
      </c>
      <c r="V651" s="13">
        <f>198.4/U651</f>
        <v>0.62</v>
      </c>
      <c r="W651" s="13">
        <f>U651*V651</f>
        <v>198.4</v>
      </c>
      <c r="X651" s="14">
        <f t="shared" si="218"/>
        <v>-13.230877192982454</v>
      </c>
      <c r="Y651" s="13">
        <f>W651+X651</f>
        <v>185.16912280701754</v>
      </c>
      <c r="Z651" s="10">
        <v>45336</v>
      </c>
      <c r="AA651" s="9">
        <f>U651-K651</f>
        <v>-40</v>
      </c>
      <c r="AC651" s="9">
        <v>425970</v>
      </c>
      <c r="AD651" s="14">
        <f t="shared" si="219"/>
        <v>41.458333333333329</v>
      </c>
      <c r="AF651" s="14">
        <f t="shared" si="214"/>
        <v>6.4</v>
      </c>
      <c r="AH651" s="14">
        <f>SUM(AD651:AG651)</f>
        <v>47.858333333333327</v>
      </c>
      <c r="AI651" s="13">
        <f>Y651-AH651</f>
        <v>137.31078947368422</v>
      </c>
      <c r="AK651" s="9">
        <f>U651</f>
        <v>320</v>
      </c>
    </row>
    <row r="652" spans="1:37">
      <c r="A652" s="9">
        <v>5</v>
      </c>
      <c r="B652" s="9">
        <v>2024</v>
      </c>
      <c r="C652" s="9" t="s">
        <v>46</v>
      </c>
      <c r="D652" s="9" t="s">
        <v>47</v>
      </c>
      <c r="E652" s="9" t="s">
        <v>47</v>
      </c>
      <c r="F652" s="10">
        <v>45323</v>
      </c>
      <c r="G652" s="9" t="s">
        <v>155</v>
      </c>
      <c r="H652" s="9" t="s">
        <v>48</v>
      </c>
      <c r="I652" s="9">
        <v>1</v>
      </c>
      <c r="J652" s="11">
        <v>6</v>
      </c>
      <c r="K652" s="9">
        <v>200</v>
      </c>
      <c r="L652" s="12">
        <v>0.15</v>
      </c>
      <c r="M652" s="27">
        <v>30</v>
      </c>
      <c r="N652" s="13" t="s">
        <v>49</v>
      </c>
      <c r="Q652" s="9">
        <f>IF(Auction_Sales[[#This Row],[Payment Date]]=0,"",-1+WEEKNUM(Auction_Sales[[#This Row],[Payment Date]]))</f>
        <v>6</v>
      </c>
      <c r="R652" s="9">
        <f t="shared" si="209"/>
        <v>200</v>
      </c>
      <c r="S652" s="1" t="str">
        <f t="shared" si="210"/>
        <v>Floribunda Roses</v>
      </c>
      <c r="T652" s="9" t="str">
        <f t="shared" si="210"/>
        <v>60CM</v>
      </c>
      <c r="W652" s="13">
        <f t="shared" si="211"/>
        <v>0</v>
      </c>
      <c r="X652" s="14">
        <f t="shared" si="218"/>
        <v>0</v>
      </c>
      <c r="Y652" s="13">
        <f t="shared" si="212"/>
        <v>0</v>
      </c>
      <c r="Z652" s="10">
        <v>45336</v>
      </c>
      <c r="AA652" s="9">
        <f t="shared" si="213"/>
        <v>-200</v>
      </c>
      <c r="AC652" s="9">
        <v>425970</v>
      </c>
      <c r="AD652" s="14">
        <f t="shared" si="219"/>
        <v>20.729166666666664</v>
      </c>
      <c r="AF652" s="14">
        <f t="shared" si="214"/>
        <v>0</v>
      </c>
      <c r="AH652" s="14">
        <f t="shared" si="215"/>
        <v>20.729166666666664</v>
      </c>
      <c r="AI652" s="13">
        <f t="shared" si="216"/>
        <v>-20.729166666666664</v>
      </c>
      <c r="AK652" s="9">
        <f t="shared" si="217"/>
        <v>0</v>
      </c>
    </row>
    <row r="653" spans="1:37">
      <c r="A653" s="9">
        <v>5</v>
      </c>
      <c r="B653" s="9">
        <v>2024</v>
      </c>
      <c r="C653" s="9" t="s">
        <v>46</v>
      </c>
      <c r="D653" s="9" t="s">
        <v>47</v>
      </c>
      <c r="E653" s="9" t="s">
        <v>47</v>
      </c>
      <c r="F653" s="10">
        <v>45323</v>
      </c>
      <c r="G653" s="9" t="s">
        <v>155</v>
      </c>
      <c r="H653" s="9" t="s">
        <v>56</v>
      </c>
      <c r="J653" s="11">
        <v>6</v>
      </c>
      <c r="K653" s="9">
        <v>200</v>
      </c>
      <c r="L653" s="12">
        <v>0.15</v>
      </c>
      <c r="M653" s="27">
        <v>30</v>
      </c>
      <c r="N653" s="13" t="s">
        <v>49</v>
      </c>
      <c r="Q653" s="9">
        <f>IF(Auction_Sales[[#This Row],[Payment Date]]=0,"",-1+WEEKNUM(Auction_Sales[[#This Row],[Payment Date]]))</f>
        <v>6</v>
      </c>
      <c r="R653" s="9">
        <f t="shared" si="209"/>
        <v>0</v>
      </c>
      <c r="S653" s="1" t="str">
        <f t="shared" si="210"/>
        <v>Floribunda Roses</v>
      </c>
      <c r="T653" s="9" t="str">
        <f t="shared" si="210"/>
        <v>90CM</v>
      </c>
      <c r="U653" s="9">
        <f>200</f>
        <v>200</v>
      </c>
      <c r="V653" s="13">
        <f>203.2/U653</f>
        <v>1.016</v>
      </c>
      <c r="W653" s="13">
        <f t="shared" si="211"/>
        <v>203.2</v>
      </c>
      <c r="X653" s="14">
        <f t="shared" si="218"/>
        <v>-8.2692982456140331</v>
      </c>
      <c r="Y653" s="13">
        <f t="shared" si="212"/>
        <v>194.93070175438595</v>
      </c>
      <c r="Z653" s="10">
        <v>45336</v>
      </c>
      <c r="AA653" s="9">
        <f t="shared" si="213"/>
        <v>0</v>
      </c>
      <c r="AC653" s="9">
        <v>425970</v>
      </c>
      <c r="AD653" s="14">
        <f t="shared" si="219"/>
        <v>20.729166666666664</v>
      </c>
      <c r="AF653" s="14">
        <f t="shared" si="214"/>
        <v>4</v>
      </c>
      <c r="AH653" s="14">
        <f t="shared" ref="AH653:AH657" si="220">SUM(AD653:AG653)</f>
        <v>24.729166666666664</v>
      </c>
      <c r="AI653" s="13">
        <f t="shared" si="216"/>
        <v>170.20153508771929</v>
      </c>
      <c r="AK653" s="9">
        <f t="shared" si="217"/>
        <v>200</v>
      </c>
    </row>
    <row r="654" spans="1:37">
      <c r="A654" s="9">
        <v>5</v>
      </c>
      <c r="B654" s="9">
        <v>2024</v>
      </c>
      <c r="C654" s="9" t="s">
        <v>46</v>
      </c>
      <c r="D654" s="9" t="s">
        <v>47</v>
      </c>
      <c r="E654" s="9" t="s">
        <v>47</v>
      </c>
      <c r="F654" s="10">
        <v>45323</v>
      </c>
      <c r="G654" s="9" t="s">
        <v>153</v>
      </c>
      <c r="H654" s="9" t="s">
        <v>52</v>
      </c>
      <c r="I654" s="9">
        <v>1</v>
      </c>
      <c r="J654" s="11">
        <f>K654/520*12</f>
        <v>6.4615384615384617</v>
      </c>
      <c r="K654" s="11">
        <v>280</v>
      </c>
      <c r="L654" s="12">
        <v>0.15</v>
      </c>
      <c r="M654" s="12">
        <v>42</v>
      </c>
      <c r="N654" s="13" t="s">
        <v>49</v>
      </c>
      <c r="Q654" s="9">
        <f>IF(Auction_Sales[[#This Row],[Payment Date]]=0,"",-1+WEEKNUM(Auction_Sales[[#This Row],[Payment Date]]))</f>
        <v>6</v>
      </c>
      <c r="R654" s="9">
        <f t="shared" si="209"/>
        <v>0</v>
      </c>
      <c r="S654" s="1" t="str">
        <f t="shared" si="210"/>
        <v>Grandiflora Roses</v>
      </c>
      <c r="T654" s="9" t="str">
        <f t="shared" si="210"/>
        <v>70CM</v>
      </c>
      <c r="U654" s="9">
        <f>280</f>
        <v>280</v>
      </c>
      <c r="V654" s="13">
        <f>137.2/U654</f>
        <v>0.48999999999999994</v>
      </c>
      <c r="W654" s="13">
        <f t="shared" si="211"/>
        <v>137.19999999999999</v>
      </c>
      <c r="X654" s="14">
        <f t="shared" si="218"/>
        <v>-11.577017543859647</v>
      </c>
      <c r="Y654" s="13">
        <f t="shared" si="212"/>
        <v>125.62298245614033</v>
      </c>
      <c r="Z654" s="10">
        <v>45336</v>
      </c>
      <c r="AA654" s="9">
        <f t="shared" si="213"/>
        <v>0</v>
      </c>
      <c r="AC654" s="9">
        <v>425970</v>
      </c>
      <c r="AD654" s="14">
        <f t="shared" si="219"/>
        <v>22.323717948717949</v>
      </c>
      <c r="AF654" s="14">
        <f t="shared" si="214"/>
        <v>5.6000000000000005</v>
      </c>
      <c r="AH654" s="14">
        <f t="shared" si="220"/>
        <v>27.92371794871795</v>
      </c>
      <c r="AI654" s="13">
        <f t="shared" si="216"/>
        <v>97.699264507422384</v>
      </c>
      <c r="AK654" s="9">
        <f t="shared" si="217"/>
        <v>280</v>
      </c>
    </row>
    <row r="655" spans="1:37">
      <c r="A655" s="9">
        <v>5</v>
      </c>
      <c r="B655" s="9">
        <v>2024</v>
      </c>
      <c r="C655" s="9" t="s">
        <v>46</v>
      </c>
      <c r="D655" s="9" t="s">
        <v>47</v>
      </c>
      <c r="E655" s="9" t="s">
        <v>47</v>
      </c>
      <c r="F655" s="10">
        <v>45323</v>
      </c>
      <c r="G655" s="9" t="s">
        <v>153</v>
      </c>
      <c r="H655" s="9" t="s">
        <v>48</v>
      </c>
      <c r="J655" s="11">
        <f>K655/520*12</f>
        <v>5.5384615384615383</v>
      </c>
      <c r="K655" s="11">
        <v>240</v>
      </c>
      <c r="L655" s="12">
        <v>0.15</v>
      </c>
      <c r="M655" s="12">
        <v>36</v>
      </c>
      <c r="N655" s="13" t="s">
        <v>49</v>
      </c>
      <c r="Q655" s="9">
        <f>IF(Auction_Sales[[#This Row],[Payment Date]]=0,"",-1+WEEKNUM(Auction_Sales[[#This Row],[Payment Date]]))</f>
        <v>6</v>
      </c>
      <c r="R655" s="9">
        <f t="shared" si="209"/>
        <v>240</v>
      </c>
      <c r="S655" s="1" t="str">
        <f t="shared" si="210"/>
        <v>Grandiflora Roses</v>
      </c>
      <c r="T655" s="9" t="str">
        <f t="shared" si="210"/>
        <v>60CM</v>
      </c>
      <c r="W655" s="13">
        <f t="shared" si="211"/>
        <v>0</v>
      </c>
      <c r="X655" s="14">
        <f t="shared" si="218"/>
        <v>0</v>
      </c>
      <c r="Y655" s="13">
        <f t="shared" si="212"/>
        <v>0</v>
      </c>
      <c r="Z655" s="10">
        <v>45336</v>
      </c>
      <c r="AA655" s="9">
        <f t="shared" si="213"/>
        <v>-240</v>
      </c>
      <c r="AC655" s="9">
        <v>425970</v>
      </c>
      <c r="AD655" s="14">
        <f t="shared" si="219"/>
        <v>19.134615384615387</v>
      </c>
      <c r="AF655" s="14">
        <f t="shared" si="214"/>
        <v>0</v>
      </c>
      <c r="AH655" s="14">
        <f t="shared" si="220"/>
        <v>19.134615384615387</v>
      </c>
      <c r="AI655" s="13">
        <f t="shared" si="216"/>
        <v>-19.134615384615387</v>
      </c>
      <c r="AK655" s="9">
        <f t="shared" si="217"/>
        <v>0</v>
      </c>
    </row>
    <row r="656" spans="1:37">
      <c r="A656" s="9">
        <v>5</v>
      </c>
      <c r="B656" s="9">
        <v>2024</v>
      </c>
      <c r="C656" s="9" t="s">
        <v>46</v>
      </c>
      <c r="D656" s="9" t="s">
        <v>47</v>
      </c>
      <c r="E656" s="9" t="s">
        <v>47</v>
      </c>
      <c r="F656" s="10">
        <v>45323</v>
      </c>
      <c r="G656" s="9" t="s">
        <v>153</v>
      </c>
      <c r="H656" s="9" t="s">
        <v>54</v>
      </c>
      <c r="I656" s="9">
        <v>1</v>
      </c>
      <c r="J656" s="11">
        <f>K656/560*12</f>
        <v>5.1428571428571423</v>
      </c>
      <c r="K656" s="11">
        <v>240</v>
      </c>
      <c r="L656" s="12">
        <v>0.15</v>
      </c>
      <c r="M656" s="12">
        <v>36</v>
      </c>
      <c r="N656" s="13" t="s">
        <v>49</v>
      </c>
      <c r="Q656" s="9">
        <f>IF(Auction_Sales[[#This Row],[Payment Date]]=0,"",-1+WEEKNUM(Auction_Sales[[#This Row],[Payment Date]]))</f>
        <v>6</v>
      </c>
      <c r="R656" s="9">
        <f t="shared" si="209"/>
        <v>-40</v>
      </c>
      <c r="S656" s="1" t="str">
        <f t="shared" si="210"/>
        <v>Grandiflora Roses</v>
      </c>
      <c r="T656" s="9" t="str">
        <f t="shared" si="210"/>
        <v>80CM</v>
      </c>
      <c r="U656" s="9">
        <f>280</f>
        <v>280</v>
      </c>
      <c r="V656" s="13">
        <f>157.2/U656</f>
        <v>0.56142857142857139</v>
      </c>
      <c r="W656" s="13">
        <f t="shared" si="211"/>
        <v>157.19999999999999</v>
      </c>
      <c r="X656" s="14">
        <f t="shared" si="218"/>
        <v>-11.577017543859647</v>
      </c>
      <c r="Y656" s="13">
        <f t="shared" si="212"/>
        <v>145.62298245614033</v>
      </c>
      <c r="Z656" s="10">
        <v>45336</v>
      </c>
      <c r="AA656" s="9">
        <f t="shared" si="213"/>
        <v>40</v>
      </c>
      <c r="AC656" s="9">
        <v>425970</v>
      </c>
      <c r="AD656" s="14">
        <f t="shared" si="219"/>
        <v>17.767857142857142</v>
      </c>
      <c r="AF656" s="14">
        <f t="shared" si="214"/>
        <v>5.6000000000000005</v>
      </c>
      <c r="AH656" s="14">
        <f t="shared" si="220"/>
        <v>23.367857142857144</v>
      </c>
      <c r="AI656" s="13">
        <f t="shared" si="216"/>
        <v>122.25512531328319</v>
      </c>
      <c r="AK656" s="9">
        <f t="shared" si="217"/>
        <v>280</v>
      </c>
    </row>
    <row r="657" spans="1:37">
      <c r="A657" s="9">
        <v>5</v>
      </c>
      <c r="B657" s="9">
        <v>2024</v>
      </c>
      <c r="C657" s="9" t="s">
        <v>46</v>
      </c>
      <c r="D657" s="9" t="s">
        <v>47</v>
      </c>
      <c r="E657" s="9" t="s">
        <v>47</v>
      </c>
      <c r="F657" s="10">
        <v>45323</v>
      </c>
      <c r="G657" s="9" t="s">
        <v>153</v>
      </c>
      <c r="H657" s="9" t="s">
        <v>51</v>
      </c>
      <c r="J657" s="11">
        <f>K657/560*12</f>
        <v>6.8571428571428568</v>
      </c>
      <c r="K657" s="11">
        <v>320</v>
      </c>
      <c r="L657" s="12">
        <v>0.15</v>
      </c>
      <c r="M657" s="12">
        <v>48</v>
      </c>
      <c r="N657" s="13" t="s">
        <v>49</v>
      </c>
      <c r="Q657" s="9">
        <f>IF(Auction_Sales[[#This Row],[Payment Date]]=0,"",-1+WEEKNUM(Auction_Sales[[#This Row],[Payment Date]]))</f>
        <v>6</v>
      </c>
      <c r="R657" s="9">
        <f t="shared" si="209"/>
        <v>320</v>
      </c>
      <c r="S657" s="1" t="str">
        <f t="shared" si="210"/>
        <v>Grandiflora Roses</v>
      </c>
      <c r="T657" s="9" t="str">
        <f t="shared" si="210"/>
        <v>50CM</v>
      </c>
      <c r="W657" s="13">
        <f t="shared" si="211"/>
        <v>0</v>
      </c>
      <c r="X657" s="14">
        <f t="shared" si="218"/>
        <v>0</v>
      </c>
      <c r="Y657" s="13">
        <f t="shared" si="212"/>
        <v>0</v>
      </c>
      <c r="Z657" s="10">
        <v>45336</v>
      </c>
      <c r="AA657" s="9">
        <f t="shared" si="213"/>
        <v>-320</v>
      </c>
      <c r="AC657" s="9">
        <v>425970</v>
      </c>
      <c r="AD657" s="14">
        <f t="shared" si="219"/>
        <v>23.69047619047619</v>
      </c>
      <c r="AF657" s="14">
        <f t="shared" si="214"/>
        <v>0</v>
      </c>
      <c r="AH657" s="14">
        <f t="shared" si="220"/>
        <v>23.69047619047619</v>
      </c>
      <c r="AI657" s="13">
        <f t="shared" si="216"/>
        <v>-23.69047619047619</v>
      </c>
      <c r="AK657" s="9">
        <f t="shared" si="217"/>
        <v>0</v>
      </c>
    </row>
    <row r="658" spans="1:37">
      <c r="A658" s="9">
        <v>4</v>
      </c>
      <c r="B658" s="9">
        <v>2024</v>
      </c>
      <c r="C658" s="9" t="s">
        <v>46</v>
      </c>
      <c r="D658" s="9" t="s">
        <v>47</v>
      </c>
      <c r="E658" s="9" t="s">
        <v>47</v>
      </c>
      <c r="F658" s="10">
        <v>45311</v>
      </c>
      <c r="G658" s="9" t="s">
        <v>155</v>
      </c>
      <c r="H658" s="9" t="s">
        <v>48</v>
      </c>
      <c r="I658" s="9">
        <v>4</v>
      </c>
      <c r="J658" s="11">
        <f>12*I658</f>
        <v>48</v>
      </c>
      <c r="K658" s="9">
        <v>2080</v>
      </c>
      <c r="L658" s="12">
        <v>0.15</v>
      </c>
      <c r="M658" s="12">
        <v>312</v>
      </c>
      <c r="N658" s="13" t="s">
        <v>49</v>
      </c>
      <c r="Q658" s="9">
        <f>IF(Auction_Sales[[#This Row],[Payment Date]]=0,"",-1+WEEKNUM(Auction_Sales[[#This Row],[Payment Date]]))</f>
        <v>4</v>
      </c>
      <c r="R658" s="9">
        <f>K658-U658</f>
        <v>160</v>
      </c>
      <c r="S658" s="1" t="str">
        <f>G658</f>
        <v>Floribunda Roses</v>
      </c>
      <c r="T658" s="9" t="str">
        <f>H658</f>
        <v>60CM</v>
      </c>
      <c r="U658" s="9">
        <f>640+960+960-640</f>
        <v>1920</v>
      </c>
      <c r="V658" s="13">
        <f>(115.2+374.4+320.4-236.8)/U658</f>
        <v>0.29854166666666671</v>
      </c>
      <c r="W658" s="13">
        <f t="shared" ref="W658:W718" si="221">U658*V658</f>
        <v>573.20000000000005</v>
      </c>
      <c r="X658" s="14">
        <f>-(2592.8-2291.89)*U658/(3600+1960+1960)</f>
        <v>-76.828085106383071</v>
      </c>
      <c r="Y658" s="13">
        <f>W658+X658</f>
        <v>496.37191489361697</v>
      </c>
      <c r="Z658" s="10">
        <v>45322</v>
      </c>
      <c r="AA658" s="9">
        <f>U658-K658</f>
        <v>-160</v>
      </c>
      <c r="AC658" s="9">
        <v>424705</v>
      </c>
      <c r="AD658" s="14">
        <f>J658/(17*12)*712.67</f>
        <v>167.68705882352941</v>
      </c>
      <c r="AF658" s="14">
        <f>U658*0.02</f>
        <v>38.4</v>
      </c>
      <c r="AH658" s="14">
        <f>SUM(AD658:AG658)</f>
        <v>206.08705882352942</v>
      </c>
      <c r="AI658" s="13">
        <f>Y658-AH658</f>
        <v>290.28485607008759</v>
      </c>
      <c r="AK658" s="9">
        <f>U658</f>
        <v>1920</v>
      </c>
    </row>
    <row r="659" spans="1:37">
      <c r="A659" s="9">
        <v>4</v>
      </c>
      <c r="B659" s="9">
        <v>2024</v>
      </c>
      <c r="C659" s="9" t="s">
        <v>46</v>
      </c>
      <c r="D659" s="9" t="s">
        <v>47</v>
      </c>
      <c r="E659" s="9" t="s">
        <v>47</v>
      </c>
      <c r="F659" s="10">
        <v>45311</v>
      </c>
      <c r="G659" s="9" t="s">
        <v>155</v>
      </c>
      <c r="H659" s="9" t="s">
        <v>48</v>
      </c>
      <c r="I659" s="9">
        <v>1</v>
      </c>
      <c r="J659" s="11">
        <f t="shared" ref="J659:J667" si="222">12*I659</f>
        <v>12</v>
      </c>
      <c r="K659" s="9">
        <v>440</v>
      </c>
      <c r="L659" s="12">
        <v>0.15</v>
      </c>
      <c r="M659" s="12">
        <v>66</v>
      </c>
      <c r="N659" s="13" t="s">
        <v>49</v>
      </c>
      <c r="Q659" s="9">
        <f>IF(Auction_Sales[[#This Row],[Payment Date]]=0,"",-1+WEEKNUM(Auction_Sales[[#This Row],[Payment Date]]))</f>
        <v>4</v>
      </c>
      <c r="R659" s="9">
        <f t="shared" ref="R659:R720" si="223">K659-U659</f>
        <v>-160</v>
      </c>
      <c r="S659" s="1" t="str">
        <f t="shared" ref="S659:T674" si="224">G659</f>
        <v>Floribunda Roses</v>
      </c>
      <c r="T659" s="9" t="str">
        <f t="shared" si="224"/>
        <v>60CM</v>
      </c>
      <c r="U659" s="9">
        <v>600</v>
      </c>
      <c r="V659" s="13">
        <f>116/U659</f>
        <v>0.19333333333333333</v>
      </c>
      <c r="W659" s="13">
        <f t="shared" si="221"/>
        <v>116</v>
      </c>
      <c r="X659" s="14">
        <f t="shared" ref="X659:X673" si="225">-(2592.8-2291.89)*U659/(3600+1960+1960)</f>
        <v>-24.008776595744703</v>
      </c>
      <c r="Y659" s="13">
        <f t="shared" ref="Y659:Y719" si="226">W659+X659</f>
        <v>91.991223404255294</v>
      </c>
      <c r="Z659" s="10">
        <v>45322</v>
      </c>
      <c r="AA659" s="9">
        <f t="shared" ref="AA659:AA719" si="227">U659-K659</f>
        <v>160</v>
      </c>
      <c r="AC659" s="9">
        <v>424705</v>
      </c>
      <c r="AD659" s="14">
        <f t="shared" ref="AD659:AD673" si="228">J659/(17*12)*712.67</f>
        <v>41.921764705882353</v>
      </c>
      <c r="AF659" s="14">
        <f t="shared" ref="AF659:AF719" si="229">U659*0.02</f>
        <v>12</v>
      </c>
      <c r="AH659" s="14">
        <f t="shared" ref="AH659:AH673" si="230">SUM(AD659:AG659)</f>
        <v>53.921764705882353</v>
      </c>
      <c r="AI659" s="13">
        <f t="shared" ref="AI659:AI673" si="231">Y659-AH659</f>
        <v>38.069458698372941</v>
      </c>
      <c r="AK659" s="9">
        <f t="shared" ref="AK659:AK673" si="232">U659</f>
        <v>600</v>
      </c>
    </row>
    <row r="660" spans="1:37">
      <c r="A660" s="9">
        <v>4</v>
      </c>
      <c r="B660" s="9">
        <v>2024</v>
      </c>
      <c r="C660" s="9" t="s">
        <v>46</v>
      </c>
      <c r="D660" s="9" t="s">
        <v>47</v>
      </c>
      <c r="E660" s="9" t="s">
        <v>47</v>
      </c>
      <c r="F660" s="10">
        <v>45311</v>
      </c>
      <c r="G660" s="9" t="s">
        <v>155</v>
      </c>
      <c r="H660" s="9" t="s">
        <v>52</v>
      </c>
      <c r="I660" s="9">
        <v>2</v>
      </c>
      <c r="J660" s="11">
        <f t="shared" si="222"/>
        <v>24</v>
      </c>
      <c r="K660" s="9">
        <v>800</v>
      </c>
      <c r="L660" s="12">
        <v>0.15</v>
      </c>
      <c r="M660" s="12">
        <v>120</v>
      </c>
      <c r="N660" s="13" t="s">
        <v>49</v>
      </c>
      <c r="Q660" s="9">
        <f>IF(Auction_Sales[[#This Row],[Payment Date]]=0,"",-1+WEEKNUM(Auction_Sales[[#This Row],[Payment Date]]))</f>
        <v>4</v>
      </c>
      <c r="R660" s="9">
        <f t="shared" si="223"/>
        <v>360</v>
      </c>
      <c r="S660" s="1" t="str">
        <f t="shared" si="224"/>
        <v>Floribunda Roses</v>
      </c>
      <c r="T660" s="9" t="str">
        <f t="shared" si="224"/>
        <v>70CM</v>
      </c>
      <c r="U660" s="9">
        <f>440</f>
        <v>440</v>
      </c>
      <c r="V660" s="13">
        <f>(247.2)/U660</f>
        <v>0.56181818181818177</v>
      </c>
      <c r="W660" s="13">
        <f t="shared" si="221"/>
        <v>247.2</v>
      </c>
      <c r="X660" s="14">
        <f t="shared" si="225"/>
        <v>-17.606436170212785</v>
      </c>
      <c r="Y660" s="13">
        <f t="shared" si="226"/>
        <v>229.5935638297872</v>
      </c>
      <c r="Z660" s="10">
        <v>45322</v>
      </c>
      <c r="AA660" s="9">
        <f t="shared" si="227"/>
        <v>-360</v>
      </c>
      <c r="AC660" s="9">
        <v>424705</v>
      </c>
      <c r="AD660" s="14">
        <f t="shared" si="228"/>
        <v>83.843529411764706</v>
      </c>
      <c r="AF660" s="14">
        <f t="shared" si="229"/>
        <v>8.8000000000000007</v>
      </c>
      <c r="AH660" s="14">
        <f t="shared" si="230"/>
        <v>92.643529411764703</v>
      </c>
      <c r="AI660" s="13">
        <f t="shared" si="231"/>
        <v>136.95003441802248</v>
      </c>
      <c r="AK660" s="9">
        <f t="shared" si="232"/>
        <v>440</v>
      </c>
    </row>
    <row r="661" spans="1:37">
      <c r="A661" s="9">
        <v>4</v>
      </c>
      <c r="B661" s="9">
        <v>2024</v>
      </c>
      <c r="C661" s="9" t="s">
        <v>46</v>
      </c>
      <c r="D661" s="9" t="s">
        <v>47</v>
      </c>
      <c r="E661" s="9" t="s">
        <v>47</v>
      </c>
      <c r="F661" s="10">
        <v>45311</v>
      </c>
      <c r="G661" s="9" t="s">
        <v>155</v>
      </c>
      <c r="H661" s="9" t="s">
        <v>54</v>
      </c>
      <c r="I661" s="9">
        <v>1</v>
      </c>
      <c r="J661" s="11">
        <f t="shared" si="222"/>
        <v>12</v>
      </c>
      <c r="K661" s="9">
        <v>320</v>
      </c>
      <c r="L661" s="12">
        <v>0.15</v>
      </c>
      <c r="M661" s="12">
        <v>48</v>
      </c>
      <c r="N661" s="13" t="s">
        <v>49</v>
      </c>
      <c r="Q661" s="9">
        <f>IF(Auction_Sales[[#This Row],[Payment Date]]=0,"",-1+WEEKNUM(Auction_Sales[[#This Row],[Payment Date]]))</f>
        <v>4</v>
      </c>
      <c r="R661" s="9">
        <f t="shared" si="223"/>
        <v>0</v>
      </c>
      <c r="S661" s="1" t="str">
        <f t="shared" si="224"/>
        <v>Floribunda Roses</v>
      </c>
      <c r="T661" s="9" t="str">
        <f t="shared" si="224"/>
        <v>80CM</v>
      </c>
      <c r="U661" s="9">
        <v>320</v>
      </c>
      <c r="V661" s="13">
        <f>111.6/320</f>
        <v>0.34875</v>
      </c>
      <c r="W661" s="13">
        <f t="shared" si="221"/>
        <v>111.6</v>
      </c>
      <c r="X661" s="14">
        <f t="shared" si="225"/>
        <v>-12.804680851063843</v>
      </c>
      <c r="Y661" s="13">
        <f t="shared" si="226"/>
        <v>98.795319148936159</v>
      </c>
      <c r="Z661" s="10">
        <v>45322</v>
      </c>
      <c r="AA661" s="9">
        <f t="shared" si="227"/>
        <v>0</v>
      </c>
      <c r="AC661" s="9">
        <v>424705</v>
      </c>
      <c r="AD661" s="14">
        <f t="shared" si="228"/>
        <v>41.921764705882353</v>
      </c>
      <c r="AF661" s="14">
        <f t="shared" si="229"/>
        <v>6.4</v>
      </c>
      <c r="AH661" s="14">
        <f t="shared" si="230"/>
        <v>48.321764705882352</v>
      </c>
      <c r="AI661" s="13">
        <f t="shared" si="231"/>
        <v>50.473554443053807</v>
      </c>
      <c r="AK661" s="9">
        <f t="shared" si="232"/>
        <v>320</v>
      </c>
    </row>
    <row r="662" spans="1:37">
      <c r="A662" s="9">
        <v>4</v>
      </c>
      <c r="B662" s="9">
        <v>2024</v>
      </c>
      <c r="C662" s="9" t="s">
        <v>46</v>
      </c>
      <c r="D662" s="9" t="s">
        <v>47</v>
      </c>
      <c r="E662" s="9" t="s">
        <v>47</v>
      </c>
      <c r="F662" s="10">
        <v>45311</v>
      </c>
      <c r="G662" s="9" t="s">
        <v>155</v>
      </c>
      <c r="H662" s="9" t="s">
        <v>56</v>
      </c>
      <c r="I662" s="9">
        <v>1</v>
      </c>
      <c r="J662" s="11">
        <f t="shared" si="222"/>
        <v>12</v>
      </c>
      <c r="K662" s="9">
        <v>240</v>
      </c>
      <c r="L662" s="12">
        <v>0.15</v>
      </c>
      <c r="M662" s="12">
        <v>36</v>
      </c>
      <c r="N662" s="13" t="s">
        <v>49</v>
      </c>
      <c r="Q662" s="9">
        <f>IF(Auction_Sales[[#This Row],[Payment Date]]=0,"",-1+WEEKNUM(Auction_Sales[[#This Row],[Payment Date]]))</f>
        <v>4</v>
      </c>
      <c r="R662" s="9">
        <f t="shared" si="223"/>
        <v>-200</v>
      </c>
      <c r="S662" s="1" t="str">
        <f t="shared" si="224"/>
        <v>Floribunda Roses</v>
      </c>
      <c r="T662" s="9" t="str">
        <f t="shared" si="224"/>
        <v>90CM</v>
      </c>
      <c r="U662" s="9">
        <v>440</v>
      </c>
      <c r="V662" s="13">
        <f>174.8/440</f>
        <v>0.39727272727272728</v>
      </c>
      <c r="W662" s="13">
        <f t="shared" si="221"/>
        <v>174.8</v>
      </c>
      <c r="X662" s="14">
        <f t="shared" si="225"/>
        <v>-17.606436170212785</v>
      </c>
      <c r="Y662" s="13">
        <f t="shared" si="226"/>
        <v>157.19356382978722</v>
      </c>
      <c r="Z662" s="10">
        <v>45322</v>
      </c>
      <c r="AA662" s="9">
        <f t="shared" si="227"/>
        <v>200</v>
      </c>
      <c r="AC662" s="9">
        <v>424705</v>
      </c>
      <c r="AD662" s="14">
        <f t="shared" si="228"/>
        <v>41.921764705882353</v>
      </c>
      <c r="AF662" s="14">
        <f t="shared" si="229"/>
        <v>8.8000000000000007</v>
      </c>
      <c r="AH662" s="14">
        <f t="shared" si="230"/>
        <v>50.72176470588235</v>
      </c>
      <c r="AI662" s="13">
        <f t="shared" si="231"/>
        <v>106.47179912390487</v>
      </c>
      <c r="AK662" s="9">
        <f t="shared" si="232"/>
        <v>440</v>
      </c>
    </row>
    <row r="663" spans="1:37">
      <c r="A663" s="9">
        <v>4</v>
      </c>
      <c r="B663" s="9">
        <v>2024</v>
      </c>
      <c r="C663" s="9" t="s">
        <v>46</v>
      </c>
      <c r="D663" s="9" t="s">
        <v>47</v>
      </c>
      <c r="E663" s="9" t="s">
        <v>47</v>
      </c>
      <c r="F663" s="10">
        <v>45311</v>
      </c>
      <c r="G663" s="9" t="s">
        <v>153</v>
      </c>
      <c r="H663" s="9" t="s">
        <v>48</v>
      </c>
      <c r="I663" s="9">
        <v>1</v>
      </c>
      <c r="J663" s="11">
        <f t="shared" si="222"/>
        <v>12</v>
      </c>
      <c r="K663" s="9">
        <v>720</v>
      </c>
      <c r="L663" s="12">
        <v>0.15</v>
      </c>
      <c r="M663" s="12">
        <v>108</v>
      </c>
      <c r="N663" s="13" t="s">
        <v>49</v>
      </c>
      <c r="Q663" s="9">
        <f>IF(Auction_Sales[[#This Row],[Payment Date]]=0,"",-1+WEEKNUM(Auction_Sales[[#This Row],[Payment Date]]))</f>
        <v>4</v>
      </c>
      <c r="R663" s="9">
        <f t="shared" si="223"/>
        <v>160</v>
      </c>
      <c r="S663" s="1" t="str">
        <f t="shared" si="224"/>
        <v>Grandiflora Roses</v>
      </c>
      <c r="T663" s="9" t="str">
        <f t="shared" si="224"/>
        <v>60CM</v>
      </c>
      <c r="U663" s="9">
        <v>560</v>
      </c>
      <c r="V663" s="13">
        <f>162.4/U663</f>
        <v>0.29000000000000004</v>
      </c>
      <c r="W663" s="13">
        <f t="shared" si="221"/>
        <v>162.40000000000003</v>
      </c>
      <c r="X663" s="14">
        <f t="shared" si="225"/>
        <v>-22.408191489361727</v>
      </c>
      <c r="Y663" s="13">
        <f t="shared" si="226"/>
        <v>139.99180851063829</v>
      </c>
      <c r="Z663" s="10">
        <v>45322</v>
      </c>
      <c r="AA663" s="9">
        <f t="shared" si="227"/>
        <v>-160</v>
      </c>
      <c r="AC663" s="9">
        <v>424705</v>
      </c>
      <c r="AD663" s="14">
        <f t="shared" si="228"/>
        <v>41.921764705882353</v>
      </c>
      <c r="AF663" s="14">
        <f t="shared" si="229"/>
        <v>11.200000000000001</v>
      </c>
      <c r="AH663" s="14">
        <f t="shared" si="230"/>
        <v>53.121764705882356</v>
      </c>
      <c r="AI663" s="13">
        <f t="shared" si="231"/>
        <v>86.870043804755937</v>
      </c>
      <c r="AK663" s="9">
        <f t="shared" si="232"/>
        <v>560</v>
      </c>
    </row>
    <row r="664" spans="1:37">
      <c r="A664" s="9">
        <v>4</v>
      </c>
      <c r="B664" s="9">
        <v>2024</v>
      </c>
      <c r="C664" s="9" t="s">
        <v>46</v>
      </c>
      <c r="D664" s="9" t="s">
        <v>47</v>
      </c>
      <c r="E664" s="9" t="s">
        <v>47</v>
      </c>
      <c r="F664" s="10">
        <v>45311</v>
      </c>
      <c r="G664" s="9" t="s">
        <v>153</v>
      </c>
      <c r="H664" s="9" t="s">
        <v>52</v>
      </c>
      <c r="I664" s="9">
        <v>1</v>
      </c>
      <c r="J664" s="11">
        <f t="shared" si="222"/>
        <v>12</v>
      </c>
      <c r="K664" s="9">
        <v>520</v>
      </c>
      <c r="L664" s="12">
        <v>0.15</v>
      </c>
      <c r="M664" s="12">
        <v>78</v>
      </c>
      <c r="N664" s="13" t="s">
        <v>49</v>
      </c>
      <c r="Q664" s="9">
        <f>IF(Auction_Sales[[#This Row],[Payment Date]]=0,"",-1+WEEKNUM(Auction_Sales[[#This Row],[Payment Date]]))</f>
        <v>4</v>
      </c>
      <c r="R664" s="9">
        <f t="shared" si="223"/>
        <v>-240</v>
      </c>
      <c r="S664" s="1" t="str">
        <f t="shared" si="224"/>
        <v>Grandiflora Roses</v>
      </c>
      <c r="T664" s="9" t="str">
        <f t="shared" si="224"/>
        <v>70CM</v>
      </c>
      <c r="U664" s="9">
        <v>760</v>
      </c>
      <c r="V664" s="13">
        <f>266.8/U664</f>
        <v>0.35105263157894739</v>
      </c>
      <c r="W664" s="13">
        <f t="shared" si="221"/>
        <v>266.8</v>
      </c>
      <c r="X664" s="14">
        <f t="shared" si="225"/>
        <v>-30.411117021276628</v>
      </c>
      <c r="Y664" s="13">
        <f t="shared" si="226"/>
        <v>236.38888297872339</v>
      </c>
      <c r="Z664" s="10">
        <v>45322</v>
      </c>
      <c r="AA664" s="9">
        <f t="shared" si="227"/>
        <v>240</v>
      </c>
      <c r="AC664" s="9">
        <v>424705</v>
      </c>
      <c r="AD664" s="14">
        <f t="shared" si="228"/>
        <v>41.921764705882353</v>
      </c>
      <c r="AF664" s="14">
        <f t="shared" si="229"/>
        <v>15.200000000000001</v>
      </c>
      <c r="AH664" s="14">
        <f t="shared" si="230"/>
        <v>57.121764705882356</v>
      </c>
      <c r="AI664" s="13">
        <f t="shared" si="231"/>
        <v>179.26711827284103</v>
      </c>
      <c r="AK664" s="9">
        <f t="shared" si="232"/>
        <v>760</v>
      </c>
    </row>
    <row r="665" spans="1:37">
      <c r="A665" s="9">
        <v>4</v>
      </c>
      <c r="B665" s="9">
        <v>2024</v>
      </c>
      <c r="C665" s="9" t="s">
        <v>46</v>
      </c>
      <c r="D665" s="9" t="s">
        <v>47</v>
      </c>
      <c r="E665" s="9" t="s">
        <v>47</v>
      </c>
      <c r="F665" s="10">
        <v>45311</v>
      </c>
      <c r="G665" s="9" t="s">
        <v>153</v>
      </c>
      <c r="H665" s="9" t="s">
        <v>54</v>
      </c>
      <c r="I665" s="9">
        <v>1</v>
      </c>
      <c r="J665" s="11">
        <f t="shared" si="222"/>
        <v>12</v>
      </c>
      <c r="K665" s="9">
        <v>360</v>
      </c>
      <c r="L665" s="12">
        <v>0.15</v>
      </c>
      <c r="M665" s="12">
        <v>54</v>
      </c>
      <c r="N665" s="13" t="s">
        <v>49</v>
      </c>
      <c r="Q665" s="9">
        <f>IF(Auction_Sales[[#This Row],[Payment Date]]=0,"",-1+WEEKNUM(Auction_Sales[[#This Row],[Payment Date]]))</f>
        <v>4</v>
      </c>
      <c r="R665" s="9">
        <f t="shared" si="223"/>
        <v>0</v>
      </c>
      <c r="S665" s="1" t="str">
        <f t="shared" si="224"/>
        <v>Grandiflora Roses</v>
      </c>
      <c r="T665" s="9" t="str">
        <f t="shared" si="224"/>
        <v>80CM</v>
      </c>
      <c r="U665" s="9">
        <v>360</v>
      </c>
      <c r="V665" s="13">
        <f>136.8/U665</f>
        <v>0.38</v>
      </c>
      <c r="W665" s="13">
        <f t="shared" si="221"/>
        <v>136.80000000000001</v>
      </c>
      <c r="X665" s="14">
        <f t="shared" si="225"/>
        <v>-14.405265957446822</v>
      </c>
      <c r="Y665" s="13">
        <f t="shared" si="226"/>
        <v>122.39473404255318</v>
      </c>
      <c r="Z665" s="10">
        <v>45322</v>
      </c>
      <c r="AA665" s="9">
        <f t="shared" si="227"/>
        <v>0</v>
      </c>
      <c r="AC665" s="9">
        <v>424705</v>
      </c>
      <c r="AD665" s="14">
        <f t="shared" si="228"/>
        <v>41.921764705882353</v>
      </c>
      <c r="AF665" s="14">
        <f t="shared" si="229"/>
        <v>7.2</v>
      </c>
      <c r="AH665" s="14">
        <f t="shared" si="230"/>
        <v>49.121764705882356</v>
      </c>
      <c r="AI665" s="13">
        <f t="shared" si="231"/>
        <v>73.272969336670826</v>
      </c>
      <c r="AK665" s="9">
        <f t="shared" si="232"/>
        <v>360</v>
      </c>
    </row>
    <row r="666" spans="1:37">
      <c r="A666" s="9">
        <v>4</v>
      </c>
      <c r="B666" s="9">
        <v>2024</v>
      </c>
      <c r="C666" s="9" t="s">
        <v>46</v>
      </c>
      <c r="D666" s="9" t="s">
        <v>47</v>
      </c>
      <c r="E666" s="9" t="s">
        <v>47</v>
      </c>
      <c r="F666" s="10">
        <v>45311</v>
      </c>
      <c r="G666" s="9" t="s">
        <v>154</v>
      </c>
      <c r="H666" s="9" t="s">
        <v>48</v>
      </c>
      <c r="I666" s="9">
        <v>1</v>
      </c>
      <c r="J666" s="11">
        <f t="shared" si="222"/>
        <v>12</v>
      </c>
      <c r="K666" s="9">
        <v>480</v>
      </c>
      <c r="L666" s="12">
        <v>0.15</v>
      </c>
      <c r="M666" s="12">
        <v>72</v>
      </c>
      <c r="N666" s="13" t="s">
        <v>49</v>
      </c>
      <c r="Q666" s="9">
        <f>IF(Auction_Sales[[#This Row],[Payment Date]]=0,"",-1+WEEKNUM(Auction_Sales[[#This Row],[Payment Date]]))</f>
        <v>4</v>
      </c>
      <c r="R666" s="9">
        <f t="shared" si="223"/>
        <v>0</v>
      </c>
      <c r="S666" s="1" t="str">
        <f t="shared" si="224"/>
        <v>English Roses</v>
      </c>
      <c r="T666" s="9" t="str">
        <f t="shared" si="224"/>
        <v>60CM</v>
      </c>
      <c r="U666" s="9">
        <v>480</v>
      </c>
      <c r="V666" s="13">
        <f>134/480</f>
        <v>0.27916666666666667</v>
      </c>
      <c r="W666" s="13">
        <f t="shared" si="221"/>
        <v>134</v>
      </c>
      <c r="X666" s="14">
        <f t="shared" si="225"/>
        <v>-19.207021276595768</v>
      </c>
      <c r="Y666" s="13">
        <f t="shared" si="226"/>
        <v>114.79297872340423</v>
      </c>
      <c r="Z666" s="10">
        <v>45322</v>
      </c>
      <c r="AA666" s="9">
        <f t="shared" si="227"/>
        <v>0</v>
      </c>
      <c r="AC666" s="9">
        <v>424705</v>
      </c>
      <c r="AD666" s="14">
        <f t="shared" si="228"/>
        <v>41.921764705882353</v>
      </c>
      <c r="AF666" s="14">
        <f t="shared" si="229"/>
        <v>9.6</v>
      </c>
      <c r="AH666" s="14">
        <f t="shared" si="230"/>
        <v>51.521764705882354</v>
      </c>
      <c r="AI666" s="13">
        <f t="shared" si="231"/>
        <v>63.271214017521878</v>
      </c>
      <c r="AK666" s="9">
        <f t="shared" si="232"/>
        <v>480</v>
      </c>
    </row>
    <row r="667" spans="1:37">
      <c r="A667" s="9">
        <v>4</v>
      </c>
      <c r="B667" s="9">
        <v>2024</v>
      </c>
      <c r="C667" s="9" t="s">
        <v>46</v>
      </c>
      <c r="D667" s="9" t="s">
        <v>47</v>
      </c>
      <c r="E667" s="9" t="s">
        <v>47</v>
      </c>
      <c r="F667" s="10">
        <v>45311</v>
      </c>
      <c r="G667" s="9" t="s">
        <v>154</v>
      </c>
      <c r="H667" s="9" t="s">
        <v>52</v>
      </c>
      <c r="I667" s="9">
        <v>1</v>
      </c>
      <c r="J667" s="11">
        <f t="shared" si="222"/>
        <v>12</v>
      </c>
      <c r="K667" s="9">
        <v>400</v>
      </c>
      <c r="L667" s="12">
        <v>0.15</v>
      </c>
      <c r="M667" s="12">
        <v>60</v>
      </c>
      <c r="N667" s="13" t="s">
        <v>49</v>
      </c>
      <c r="Q667" s="9">
        <f>IF(Auction_Sales[[#This Row],[Payment Date]]=0,"",-1+WEEKNUM(Auction_Sales[[#This Row],[Payment Date]]))</f>
        <v>4</v>
      </c>
      <c r="R667" s="9">
        <f t="shared" si="223"/>
        <v>0</v>
      </c>
      <c r="S667" s="1" t="str">
        <f t="shared" si="224"/>
        <v>English Roses</v>
      </c>
      <c r="T667" s="9" t="str">
        <f t="shared" si="224"/>
        <v>70CM</v>
      </c>
      <c r="U667" s="9">
        <v>400</v>
      </c>
      <c r="V667" s="13">
        <f>142.4/400</f>
        <v>0.35600000000000004</v>
      </c>
      <c r="W667" s="13">
        <f t="shared" si="221"/>
        <v>142.4</v>
      </c>
      <c r="X667" s="14">
        <f t="shared" si="225"/>
        <v>-16.005851063829802</v>
      </c>
      <c r="Y667" s="13">
        <f t="shared" si="226"/>
        <v>126.39414893617021</v>
      </c>
      <c r="Z667" s="10">
        <v>45322</v>
      </c>
      <c r="AA667" s="9">
        <f t="shared" si="227"/>
        <v>0</v>
      </c>
      <c r="AC667" s="9">
        <v>424705</v>
      </c>
      <c r="AD667" s="14">
        <f t="shared" si="228"/>
        <v>41.921764705882353</v>
      </c>
      <c r="AF667" s="14">
        <f t="shared" si="229"/>
        <v>8</v>
      </c>
      <c r="AH667" s="14">
        <f t="shared" si="230"/>
        <v>49.921764705882353</v>
      </c>
      <c r="AI667" s="13">
        <f t="shared" si="231"/>
        <v>76.472384230287858</v>
      </c>
      <c r="AK667" s="9">
        <f t="shared" si="232"/>
        <v>400</v>
      </c>
    </row>
    <row r="668" spans="1:37">
      <c r="A668" s="9">
        <v>4</v>
      </c>
      <c r="B668" s="9">
        <v>2024</v>
      </c>
      <c r="C668" s="9" t="s">
        <v>46</v>
      </c>
      <c r="D668" s="9" t="s">
        <v>47</v>
      </c>
      <c r="E668" s="9" t="s">
        <v>47</v>
      </c>
      <c r="F668" s="10">
        <v>45311</v>
      </c>
      <c r="G668" s="9" t="s">
        <v>153</v>
      </c>
      <c r="H668" s="9" t="s">
        <v>56</v>
      </c>
      <c r="I668" s="9">
        <v>1</v>
      </c>
      <c r="J668" s="11">
        <f>K668/240*12</f>
        <v>10</v>
      </c>
      <c r="K668" s="9">
        <v>200</v>
      </c>
      <c r="L668" s="12">
        <v>0.15</v>
      </c>
      <c r="M668" s="12">
        <v>30</v>
      </c>
      <c r="N668" s="13" t="s">
        <v>49</v>
      </c>
      <c r="Q668" s="9">
        <f>IF(Auction_Sales[[#This Row],[Payment Date]]=0,"",-1+WEEKNUM(Auction_Sales[[#This Row],[Payment Date]]))</f>
        <v>4</v>
      </c>
      <c r="R668" s="9">
        <f t="shared" si="223"/>
        <v>0</v>
      </c>
      <c r="S668" s="1" t="str">
        <f t="shared" si="224"/>
        <v>Grandiflora Roses</v>
      </c>
      <c r="T668" s="9" t="str">
        <f t="shared" si="224"/>
        <v>90CM</v>
      </c>
      <c r="U668" s="9">
        <v>200</v>
      </c>
      <c r="V668" s="13">
        <f>102.4/200</f>
        <v>0.51200000000000001</v>
      </c>
      <c r="W668" s="13">
        <f t="shared" si="221"/>
        <v>102.4</v>
      </c>
      <c r="X668" s="14">
        <f t="shared" si="225"/>
        <v>-8.0029255319149009</v>
      </c>
      <c r="Y668" s="13">
        <f t="shared" si="226"/>
        <v>94.397074468085108</v>
      </c>
      <c r="Z668" s="10">
        <v>45322</v>
      </c>
      <c r="AA668" s="9">
        <f t="shared" si="227"/>
        <v>0</v>
      </c>
      <c r="AC668" s="9">
        <v>424705</v>
      </c>
      <c r="AD668" s="14">
        <f t="shared" si="228"/>
        <v>34.934803921568623</v>
      </c>
      <c r="AF668" s="14">
        <f t="shared" si="229"/>
        <v>4</v>
      </c>
      <c r="AH668" s="14">
        <f t="shared" si="230"/>
        <v>38.934803921568623</v>
      </c>
      <c r="AI668" s="13">
        <f t="shared" si="231"/>
        <v>55.462270546516486</v>
      </c>
      <c r="AK668" s="9">
        <f t="shared" si="232"/>
        <v>200</v>
      </c>
    </row>
    <row r="669" spans="1:37">
      <c r="A669" s="9">
        <v>4</v>
      </c>
      <c r="B669" s="9">
        <v>2024</v>
      </c>
      <c r="C669" s="9" t="s">
        <v>46</v>
      </c>
      <c r="D669" s="9" t="s">
        <v>47</v>
      </c>
      <c r="E669" s="9" t="s">
        <v>47</v>
      </c>
      <c r="F669" s="10">
        <v>45311</v>
      </c>
      <c r="G669" s="9" t="s">
        <v>153</v>
      </c>
      <c r="H669" s="9" t="s">
        <v>60</v>
      </c>
      <c r="J669" s="11">
        <f>K669/240*12</f>
        <v>2</v>
      </c>
      <c r="K669" s="9">
        <v>40</v>
      </c>
      <c r="L669" s="12">
        <v>0.15</v>
      </c>
      <c r="M669" s="12">
        <v>6</v>
      </c>
      <c r="N669" s="13" t="s">
        <v>49</v>
      </c>
      <c r="Q669" s="9">
        <f>IF(Auction_Sales[[#This Row],[Payment Date]]=0,"",-1+WEEKNUM(Auction_Sales[[#This Row],[Payment Date]]))</f>
        <v>4</v>
      </c>
      <c r="R669" s="9">
        <f t="shared" si="223"/>
        <v>0</v>
      </c>
      <c r="S669" s="1" t="str">
        <f t="shared" si="224"/>
        <v>Grandiflora Roses</v>
      </c>
      <c r="T669" s="9" t="str">
        <f t="shared" si="224"/>
        <v>110CM</v>
      </c>
      <c r="U669" s="9">
        <v>40</v>
      </c>
      <c r="V669" s="13">
        <f>40.8/U669</f>
        <v>1.02</v>
      </c>
      <c r="W669" s="13">
        <f t="shared" si="221"/>
        <v>40.799999999999997</v>
      </c>
      <c r="X669" s="14">
        <f t="shared" si="225"/>
        <v>-1.6005851063829803</v>
      </c>
      <c r="Y669" s="13">
        <f t="shared" si="226"/>
        <v>39.199414893617018</v>
      </c>
      <c r="Z669" s="10">
        <v>45322</v>
      </c>
      <c r="AA669" s="9">
        <f t="shared" si="227"/>
        <v>0</v>
      </c>
      <c r="AC669" s="9">
        <v>424705</v>
      </c>
      <c r="AD669" s="14">
        <f t="shared" si="228"/>
        <v>6.9869607843137249</v>
      </c>
      <c r="AF669" s="14">
        <f t="shared" si="229"/>
        <v>0.8</v>
      </c>
      <c r="AH669" s="14">
        <f t="shared" si="230"/>
        <v>7.7869607843137247</v>
      </c>
      <c r="AI669" s="13">
        <f t="shared" si="231"/>
        <v>31.412454109303294</v>
      </c>
      <c r="AK669" s="9">
        <f t="shared" si="232"/>
        <v>40</v>
      </c>
    </row>
    <row r="670" spans="1:37">
      <c r="A670" s="9">
        <v>4</v>
      </c>
      <c r="B670" s="9">
        <v>2024</v>
      </c>
      <c r="C670" s="9" t="s">
        <v>46</v>
      </c>
      <c r="D670" s="9" t="s">
        <v>47</v>
      </c>
      <c r="E670" s="9" t="s">
        <v>47</v>
      </c>
      <c r="F670" s="10">
        <v>45311</v>
      </c>
      <c r="G670" s="9" t="s">
        <v>153</v>
      </c>
      <c r="H670" s="9" t="s">
        <v>48</v>
      </c>
      <c r="I670" s="9">
        <v>1</v>
      </c>
      <c r="J670" s="11">
        <f>K670/640*12</f>
        <v>7.5</v>
      </c>
      <c r="K670" s="9">
        <v>400</v>
      </c>
      <c r="L670" s="12">
        <v>0.15</v>
      </c>
      <c r="M670" s="12">
        <v>60</v>
      </c>
      <c r="N670" s="13" t="s">
        <v>49</v>
      </c>
      <c r="Q670" s="9">
        <f>IF(Auction_Sales[[#This Row],[Payment Date]]=0,"",-1+WEEKNUM(Auction_Sales[[#This Row],[Payment Date]]))</f>
        <v>4</v>
      </c>
      <c r="R670" s="9">
        <f t="shared" si="223"/>
        <v>-160</v>
      </c>
      <c r="S670" s="1" t="str">
        <f t="shared" si="224"/>
        <v>Grandiflora Roses</v>
      </c>
      <c r="T670" s="9" t="str">
        <f t="shared" si="224"/>
        <v>60CM</v>
      </c>
      <c r="U670" s="9">
        <v>560</v>
      </c>
      <c r="V670" s="13">
        <f>168/U670</f>
        <v>0.3</v>
      </c>
      <c r="W670" s="13">
        <f t="shared" si="221"/>
        <v>168</v>
      </c>
      <c r="X670" s="14">
        <f t="shared" si="225"/>
        <v>-22.408191489361727</v>
      </c>
      <c r="Y670" s="13">
        <f t="shared" si="226"/>
        <v>145.59180851063826</v>
      </c>
      <c r="Z670" s="10">
        <v>45322</v>
      </c>
      <c r="AA670" s="9">
        <f t="shared" si="227"/>
        <v>160</v>
      </c>
      <c r="AC670" s="9">
        <v>424705</v>
      </c>
      <c r="AD670" s="14">
        <f t="shared" si="228"/>
        <v>26.201102941176469</v>
      </c>
      <c r="AF670" s="14">
        <f t="shared" si="229"/>
        <v>11.200000000000001</v>
      </c>
      <c r="AH670" s="14">
        <f t="shared" si="230"/>
        <v>37.401102941176468</v>
      </c>
      <c r="AI670" s="13">
        <f t="shared" si="231"/>
        <v>108.19070556946178</v>
      </c>
      <c r="AK670" s="9">
        <f t="shared" si="232"/>
        <v>560</v>
      </c>
    </row>
    <row r="671" spans="1:37">
      <c r="A671" s="9">
        <v>4</v>
      </c>
      <c r="B671" s="9">
        <v>2024</v>
      </c>
      <c r="C671" s="9" t="s">
        <v>46</v>
      </c>
      <c r="D671" s="9" t="s">
        <v>47</v>
      </c>
      <c r="E671" s="9" t="s">
        <v>47</v>
      </c>
      <c r="F671" s="10">
        <v>45311</v>
      </c>
      <c r="G671" s="9" t="s">
        <v>153</v>
      </c>
      <c r="H671" s="9" t="s">
        <v>52</v>
      </c>
      <c r="J671" s="11">
        <f>K671/640*12</f>
        <v>4.5</v>
      </c>
      <c r="K671" s="9">
        <v>240</v>
      </c>
      <c r="L671" s="12">
        <v>0.15</v>
      </c>
      <c r="M671" s="12">
        <v>36</v>
      </c>
      <c r="N671" s="13" t="s">
        <v>49</v>
      </c>
      <c r="Q671" s="9">
        <f>IF(Auction_Sales[[#This Row],[Payment Date]]=0,"",-1+WEEKNUM(Auction_Sales[[#This Row],[Payment Date]]))</f>
        <v>4</v>
      </c>
      <c r="R671" s="9">
        <f t="shared" si="223"/>
        <v>240</v>
      </c>
      <c r="S671" s="1" t="str">
        <f t="shared" si="224"/>
        <v>Grandiflora Roses</v>
      </c>
      <c r="T671" s="9" t="str">
        <f t="shared" si="224"/>
        <v>70CM</v>
      </c>
      <c r="W671" s="13">
        <f t="shared" si="221"/>
        <v>0</v>
      </c>
      <c r="X671" s="14">
        <f t="shared" si="225"/>
        <v>0</v>
      </c>
      <c r="Y671" s="13">
        <f t="shared" si="226"/>
        <v>0</v>
      </c>
      <c r="Z671" s="10">
        <v>45322</v>
      </c>
      <c r="AA671" s="9">
        <f t="shared" si="227"/>
        <v>-240</v>
      </c>
      <c r="AC671" s="9">
        <v>424705</v>
      </c>
      <c r="AD671" s="14">
        <f t="shared" si="228"/>
        <v>15.720661764705882</v>
      </c>
      <c r="AF671" s="14">
        <f t="shared" si="229"/>
        <v>0</v>
      </c>
      <c r="AH671" s="14">
        <f t="shared" si="230"/>
        <v>15.720661764705882</v>
      </c>
      <c r="AI671" s="13">
        <f t="shared" si="231"/>
        <v>-15.720661764705882</v>
      </c>
      <c r="AK671" s="9">
        <f t="shared" si="232"/>
        <v>0</v>
      </c>
    </row>
    <row r="672" spans="1:37">
      <c r="A672" s="9">
        <v>4</v>
      </c>
      <c r="B672" s="9">
        <v>2024</v>
      </c>
      <c r="C672" s="9" t="s">
        <v>46</v>
      </c>
      <c r="D672" s="9" t="s">
        <v>47</v>
      </c>
      <c r="E672" s="9" t="s">
        <v>47</v>
      </c>
      <c r="F672" s="10">
        <v>45311</v>
      </c>
      <c r="G672" s="9" t="s">
        <v>155</v>
      </c>
      <c r="H672" s="9" t="s">
        <v>56</v>
      </c>
      <c r="I672" s="9">
        <v>1</v>
      </c>
      <c r="J672" s="11">
        <f>K672/280*12</f>
        <v>8.5714285714285712</v>
      </c>
      <c r="K672" s="9">
        <v>200</v>
      </c>
      <c r="L672" s="12">
        <v>0.15</v>
      </c>
      <c r="M672" s="12">
        <v>30</v>
      </c>
      <c r="N672" s="13" t="s">
        <v>49</v>
      </c>
      <c r="Q672" s="9">
        <f>IF(Auction_Sales[[#This Row],[Payment Date]]=0,"",-1+WEEKNUM(Auction_Sales[[#This Row],[Payment Date]]))</f>
        <v>4</v>
      </c>
      <c r="R672" s="9">
        <f t="shared" si="223"/>
        <v>200</v>
      </c>
      <c r="S672" s="1" t="str">
        <f t="shared" si="224"/>
        <v>Floribunda Roses</v>
      </c>
      <c r="T672" s="9" t="str">
        <f t="shared" si="224"/>
        <v>90CM</v>
      </c>
      <c r="W672" s="13">
        <f t="shared" si="221"/>
        <v>0</v>
      </c>
      <c r="X672" s="14">
        <f t="shared" si="225"/>
        <v>0</v>
      </c>
      <c r="Y672" s="13">
        <f t="shared" si="226"/>
        <v>0</v>
      </c>
      <c r="Z672" s="10">
        <v>45322</v>
      </c>
      <c r="AA672" s="9">
        <f t="shared" si="227"/>
        <v>-200</v>
      </c>
      <c r="AC672" s="9">
        <v>424705</v>
      </c>
      <c r="AD672" s="14">
        <f t="shared" si="228"/>
        <v>29.944117647058818</v>
      </c>
      <c r="AF672" s="14">
        <f t="shared" si="229"/>
        <v>0</v>
      </c>
      <c r="AH672" s="14">
        <f t="shared" si="230"/>
        <v>29.944117647058818</v>
      </c>
      <c r="AI672" s="13">
        <f t="shared" si="231"/>
        <v>-29.944117647058818</v>
      </c>
      <c r="AK672" s="9">
        <f t="shared" si="232"/>
        <v>0</v>
      </c>
    </row>
    <row r="673" spans="1:37">
      <c r="A673" s="9">
        <v>4</v>
      </c>
      <c r="B673" s="9">
        <v>2024</v>
      </c>
      <c r="C673" s="9" t="s">
        <v>46</v>
      </c>
      <c r="D673" s="9" t="s">
        <v>47</v>
      </c>
      <c r="E673" s="9" t="s">
        <v>47</v>
      </c>
      <c r="F673" s="10">
        <v>45311</v>
      </c>
      <c r="G673" s="9" t="s">
        <v>155</v>
      </c>
      <c r="H673" s="9" t="s">
        <v>52</v>
      </c>
      <c r="J673" s="11">
        <f>K673/280*12</f>
        <v>3.4285714285714284</v>
      </c>
      <c r="K673" s="9">
        <v>80</v>
      </c>
      <c r="L673" s="12">
        <v>0.15</v>
      </c>
      <c r="M673" s="12">
        <v>12</v>
      </c>
      <c r="N673" s="13" t="s">
        <v>49</v>
      </c>
      <c r="Q673" s="9">
        <f>IF(Auction_Sales[[#This Row],[Payment Date]]=0,"",-1+WEEKNUM(Auction_Sales[[#This Row],[Payment Date]]))</f>
        <v>4</v>
      </c>
      <c r="R673" s="9">
        <f t="shared" si="223"/>
        <v>-360</v>
      </c>
      <c r="S673" s="1" t="str">
        <f t="shared" si="224"/>
        <v>Floribunda Roses</v>
      </c>
      <c r="T673" s="9" t="str">
        <f t="shared" si="224"/>
        <v>70CM</v>
      </c>
      <c r="U673" s="9">
        <v>440</v>
      </c>
      <c r="V673" s="13">
        <f>216.4/U673</f>
        <v>0.49181818181818182</v>
      </c>
      <c r="W673" s="13">
        <f t="shared" si="221"/>
        <v>216.4</v>
      </c>
      <c r="X673" s="14">
        <f t="shared" si="225"/>
        <v>-17.606436170212785</v>
      </c>
      <c r="Y673" s="13">
        <f t="shared" si="226"/>
        <v>198.79356382978722</v>
      </c>
      <c r="Z673" s="10">
        <v>45322</v>
      </c>
      <c r="AA673" s="9">
        <f t="shared" si="227"/>
        <v>360</v>
      </c>
      <c r="AC673" s="9">
        <v>424705</v>
      </c>
      <c r="AD673" s="14">
        <f t="shared" si="228"/>
        <v>11.977647058823528</v>
      </c>
      <c r="AF673" s="14">
        <f t="shared" si="229"/>
        <v>8.8000000000000007</v>
      </c>
      <c r="AH673" s="14">
        <f t="shared" si="230"/>
        <v>20.777647058823529</v>
      </c>
      <c r="AI673" s="13">
        <f t="shared" si="231"/>
        <v>178.01591677096368</v>
      </c>
      <c r="AK673" s="9">
        <f t="shared" si="232"/>
        <v>440</v>
      </c>
    </row>
    <row r="674" spans="1:37">
      <c r="A674" s="9">
        <v>4</v>
      </c>
      <c r="B674" s="9">
        <v>2024</v>
      </c>
      <c r="C674" s="9" t="s">
        <v>46</v>
      </c>
      <c r="D674" s="9" t="s">
        <v>47</v>
      </c>
      <c r="E674" s="9" t="s">
        <v>47</v>
      </c>
      <c r="F674" s="10">
        <v>45313</v>
      </c>
      <c r="G674" s="9" t="s">
        <v>155</v>
      </c>
      <c r="H674" s="9" t="s">
        <v>48</v>
      </c>
      <c r="I674" s="9">
        <v>3</v>
      </c>
      <c r="J674" s="11">
        <f>12*I674</f>
        <v>36</v>
      </c>
      <c r="K674" s="9">
        <v>1560</v>
      </c>
      <c r="L674" s="12">
        <v>0.15</v>
      </c>
      <c r="M674" s="12">
        <v>234</v>
      </c>
      <c r="N674" s="13" t="s">
        <v>49</v>
      </c>
      <c r="Q674" s="9">
        <f>IF(Auction_Sales[[#This Row],[Payment Date]]=0,"",-1+WEEKNUM(Auction_Sales[[#This Row],[Payment Date]]))</f>
        <v>4</v>
      </c>
      <c r="R674" s="9">
        <f t="shared" si="223"/>
        <v>-40</v>
      </c>
      <c r="S674" s="1" t="str">
        <f t="shared" si="224"/>
        <v>Floribunda Roses</v>
      </c>
      <c r="T674" s="9" t="str">
        <f t="shared" si="224"/>
        <v>60CM</v>
      </c>
      <c r="U674" s="9">
        <v>1600</v>
      </c>
      <c r="V674" s="13">
        <f>648.8/U674</f>
        <v>0.40549999999999997</v>
      </c>
      <c r="W674" s="13">
        <f t="shared" si="221"/>
        <v>648.79999999999995</v>
      </c>
      <c r="X674" s="14">
        <f>-(4266-3894.6)*U674/(6240+1160+1160)</f>
        <v>-69.420560747663572</v>
      </c>
      <c r="Y674" s="13">
        <f t="shared" si="226"/>
        <v>579.3794392523364</v>
      </c>
      <c r="Z674" s="10">
        <v>45322</v>
      </c>
      <c r="AA674" s="9">
        <f t="shared" si="227"/>
        <v>40</v>
      </c>
      <c r="AC674" s="9" t="s">
        <v>84</v>
      </c>
      <c r="AD674" s="14">
        <f>J674/(22*12)*946.23</f>
        <v>129.03136363636364</v>
      </c>
      <c r="AF674" s="14">
        <f t="shared" si="229"/>
        <v>32</v>
      </c>
      <c r="AH674" s="14">
        <f t="shared" ref="AH674:AH678" si="233">SUM(AD674:AG674)</f>
        <v>161.03136363636364</v>
      </c>
      <c r="AI674" s="13">
        <f t="shared" ref="AI674:AI735" si="234">Y674-AH674</f>
        <v>418.34807561597279</v>
      </c>
      <c r="AK674" s="9">
        <f t="shared" ref="AK674:AK735" si="235">U674</f>
        <v>1600</v>
      </c>
    </row>
    <row r="675" spans="1:37">
      <c r="A675" s="9">
        <v>4</v>
      </c>
      <c r="B675" s="9">
        <v>2024</v>
      </c>
      <c r="C675" s="9" t="s">
        <v>46</v>
      </c>
      <c r="D675" s="9" t="s">
        <v>47</v>
      </c>
      <c r="E675" s="9" t="s">
        <v>47</v>
      </c>
      <c r="F675" s="10">
        <v>45313</v>
      </c>
      <c r="G675" s="9" t="s">
        <v>155</v>
      </c>
      <c r="H675" s="9" t="s">
        <v>52</v>
      </c>
      <c r="I675" s="9">
        <v>2</v>
      </c>
      <c r="J675" s="11">
        <f t="shared" ref="J675:J688" si="236">12*I675</f>
        <v>24</v>
      </c>
      <c r="K675" s="9">
        <v>800</v>
      </c>
      <c r="L675" s="12">
        <v>0.15</v>
      </c>
      <c r="M675" s="12">
        <v>120</v>
      </c>
      <c r="N675" s="13" t="s">
        <v>49</v>
      </c>
      <c r="Q675" s="9">
        <f>IF(Auction_Sales[[#This Row],[Payment Date]]=0,"",-1+WEEKNUM(Auction_Sales[[#This Row],[Payment Date]]))</f>
        <v>4</v>
      </c>
      <c r="R675" s="9">
        <f t="shared" si="223"/>
        <v>-160</v>
      </c>
      <c r="S675" s="1" t="str">
        <f>G675</f>
        <v>Floribunda Roses</v>
      </c>
      <c r="T675" s="9" t="str">
        <f>H675</f>
        <v>70CM</v>
      </c>
      <c r="U675" s="9">
        <v>960</v>
      </c>
      <c r="V675" s="13">
        <f>622.4/U675</f>
        <v>0.64833333333333332</v>
      </c>
      <c r="W675" s="13">
        <f t="shared" si="221"/>
        <v>622.4</v>
      </c>
      <c r="X675" s="14">
        <f t="shared" ref="X675:X694" si="237">-(4266-3894.6)*U675/(6240+1160+1160)</f>
        <v>-41.652336448598142</v>
      </c>
      <c r="Y675" s="13">
        <f t="shared" si="226"/>
        <v>580.74766355140184</v>
      </c>
      <c r="Z675" s="10">
        <v>45322</v>
      </c>
      <c r="AA675" s="9">
        <f t="shared" si="227"/>
        <v>160</v>
      </c>
      <c r="AC675" s="9" t="s">
        <v>84</v>
      </c>
      <c r="AD675" s="14">
        <f t="shared" ref="AD675:AD694" si="238">J675/(22*12)*946.23</f>
        <v>86.0209090909091</v>
      </c>
      <c r="AF675" s="14">
        <f t="shared" si="229"/>
        <v>19.2</v>
      </c>
      <c r="AH675" s="14">
        <f t="shared" si="233"/>
        <v>105.2209090909091</v>
      </c>
      <c r="AI675" s="13">
        <f t="shared" si="234"/>
        <v>475.52675446049273</v>
      </c>
      <c r="AK675" s="9">
        <f t="shared" si="235"/>
        <v>960</v>
      </c>
    </row>
    <row r="676" spans="1:37">
      <c r="A676" s="9">
        <v>4</v>
      </c>
      <c r="B676" s="9">
        <v>2024</v>
      </c>
      <c r="C676" s="9" t="s">
        <v>46</v>
      </c>
      <c r="D676" s="9" t="s">
        <v>47</v>
      </c>
      <c r="E676" s="9" t="s">
        <v>47</v>
      </c>
      <c r="F676" s="10">
        <v>45313</v>
      </c>
      <c r="G676" s="9" t="s">
        <v>155</v>
      </c>
      <c r="H676" s="9" t="s">
        <v>54</v>
      </c>
      <c r="I676" s="9">
        <v>2</v>
      </c>
      <c r="J676" s="11">
        <f t="shared" si="236"/>
        <v>24</v>
      </c>
      <c r="K676" s="9">
        <v>640</v>
      </c>
      <c r="L676" s="12">
        <v>0.15</v>
      </c>
      <c r="M676" s="12">
        <v>96</v>
      </c>
      <c r="N676" s="13" t="s">
        <v>49</v>
      </c>
      <c r="Q676" s="9">
        <f>IF(Auction_Sales[[#This Row],[Payment Date]]=0,"",-1+WEEKNUM(Auction_Sales[[#This Row],[Payment Date]]))</f>
        <v>4</v>
      </c>
      <c r="R676" s="9">
        <f t="shared" si="223"/>
        <v>0</v>
      </c>
      <c r="S676" s="1" t="str">
        <f>G676</f>
        <v>Floribunda Roses</v>
      </c>
      <c r="T676" s="9" t="str">
        <f>H676</f>
        <v>80CM</v>
      </c>
      <c r="U676" s="9">
        <f>320+320</f>
        <v>640</v>
      </c>
      <c r="V676" s="13">
        <f>(218.8+178.8)/U676</f>
        <v>0.62125000000000008</v>
      </c>
      <c r="W676" s="13">
        <f t="shared" si="221"/>
        <v>397.6</v>
      </c>
      <c r="X676" s="14">
        <f t="shared" si="237"/>
        <v>-27.768224299065427</v>
      </c>
      <c r="Y676" s="13">
        <f t="shared" si="226"/>
        <v>369.8317757009346</v>
      </c>
      <c r="Z676" s="10">
        <v>45322</v>
      </c>
      <c r="AA676" s="9">
        <f t="shared" si="227"/>
        <v>0</v>
      </c>
      <c r="AC676" s="9" t="s">
        <v>84</v>
      </c>
      <c r="AD676" s="14">
        <f t="shared" si="238"/>
        <v>86.0209090909091</v>
      </c>
      <c r="AF676" s="14">
        <f t="shared" si="229"/>
        <v>12.8</v>
      </c>
      <c r="AH676" s="14">
        <f t="shared" si="233"/>
        <v>98.820909090909097</v>
      </c>
      <c r="AI676" s="13">
        <f t="shared" si="234"/>
        <v>271.01086661002552</v>
      </c>
      <c r="AK676" s="9">
        <f t="shared" si="235"/>
        <v>640</v>
      </c>
    </row>
    <row r="677" spans="1:37">
      <c r="A677" s="9">
        <v>4</v>
      </c>
      <c r="B677" s="9">
        <v>2024</v>
      </c>
      <c r="C677" s="9" t="s">
        <v>46</v>
      </c>
      <c r="D677" s="9" t="s">
        <v>47</v>
      </c>
      <c r="E677" s="9" t="s">
        <v>47</v>
      </c>
      <c r="F677" s="10">
        <v>45313</v>
      </c>
      <c r="G677" s="9" t="s">
        <v>155</v>
      </c>
      <c r="H677" s="9" t="s">
        <v>56</v>
      </c>
      <c r="I677" s="9">
        <v>1</v>
      </c>
      <c r="J677" s="11">
        <f t="shared" si="236"/>
        <v>12</v>
      </c>
      <c r="K677" s="9">
        <v>240</v>
      </c>
      <c r="L677" s="12">
        <v>0.15</v>
      </c>
      <c r="M677" s="12">
        <v>36</v>
      </c>
      <c r="N677" s="13" t="s">
        <v>49</v>
      </c>
      <c r="Q677" s="9">
        <f>IF(Auction_Sales[[#This Row],[Payment Date]]=0,"",-1+WEEKNUM(Auction_Sales[[#This Row],[Payment Date]]))</f>
        <v>4</v>
      </c>
      <c r="R677" s="9">
        <f t="shared" si="223"/>
        <v>-80</v>
      </c>
      <c r="S677" s="1" t="str">
        <f t="shared" ref="S677:T692" si="239">G677</f>
        <v>Floribunda Roses</v>
      </c>
      <c r="T677" s="9" t="str">
        <f t="shared" si="239"/>
        <v>90CM</v>
      </c>
      <c r="U677" s="9">
        <v>320</v>
      </c>
      <c r="V677" s="13">
        <f>231.2/U677</f>
        <v>0.72249999999999992</v>
      </c>
      <c r="W677" s="13">
        <f t="shared" si="221"/>
        <v>231.2</v>
      </c>
      <c r="X677" s="14">
        <f t="shared" si="237"/>
        <v>-13.884112149532713</v>
      </c>
      <c r="Y677" s="13">
        <f t="shared" si="226"/>
        <v>217.31588785046728</v>
      </c>
      <c r="Z677" s="10">
        <v>45322</v>
      </c>
      <c r="AA677" s="9">
        <f t="shared" si="227"/>
        <v>80</v>
      </c>
      <c r="AC677" s="9" t="s">
        <v>84</v>
      </c>
      <c r="AD677" s="14">
        <f t="shared" si="238"/>
        <v>43.01045454545455</v>
      </c>
      <c r="AF677" s="14">
        <f t="shared" si="229"/>
        <v>6.4</v>
      </c>
      <c r="AH677" s="14">
        <f t="shared" si="233"/>
        <v>49.410454545454549</v>
      </c>
      <c r="AI677" s="13">
        <f t="shared" si="234"/>
        <v>167.90543330501274</v>
      </c>
      <c r="AK677" s="9">
        <f t="shared" si="235"/>
        <v>320</v>
      </c>
    </row>
    <row r="678" spans="1:37">
      <c r="A678" s="9">
        <v>4</v>
      </c>
      <c r="B678" s="9">
        <v>2024</v>
      </c>
      <c r="C678" s="9" t="s">
        <v>46</v>
      </c>
      <c r="D678" s="9" t="s">
        <v>47</v>
      </c>
      <c r="E678" s="9" t="s">
        <v>47</v>
      </c>
      <c r="F678" s="10">
        <v>45313</v>
      </c>
      <c r="G678" s="9" t="s">
        <v>153</v>
      </c>
      <c r="H678" s="9" t="s">
        <v>48</v>
      </c>
      <c r="I678" s="9">
        <v>1</v>
      </c>
      <c r="J678" s="11">
        <f t="shared" si="236"/>
        <v>12</v>
      </c>
      <c r="K678" s="1">
        <v>720</v>
      </c>
      <c r="L678" s="12">
        <v>0.15</v>
      </c>
      <c r="M678" s="12">
        <v>108</v>
      </c>
      <c r="N678" s="13" t="s">
        <v>49</v>
      </c>
      <c r="Q678" s="9">
        <f>IF(Auction_Sales[[#This Row],[Payment Date]]=0,"",-1+WEEKNUM(Auction_Sales[[#This Row],[Payment Date]]))</f>
        <v>4</v>
      </c>
      <c r="R678" s="9">
        <f t="shared" si="223"/>
        <v>200</v>
      </c>
      <c r="S678" s="1" t="str">
        <f t="shared" si="239"/>
        <v>Grandiflora Roses</v>
      </c>
      <c r="T678" s="9" t="str">
        <f t="shared" si="239"/>
        <v>60CM</v>
      </c>
      <c r="U678" s="9">
        <v>520</v>
      </c>
      <c r="V678" s="13">
        <f>191.2/U678</f>
        <v>0.36769230769230765</v>
      </c>
      <c r="W678" s="13">
        <f t="shared" si="221"/>
        <v>191.2</v>
      </c>
      <c r="X678" s="14">
        <f t="shared" si="237"/>
        <v>-22.56168224299066</v>
      </c>
      <c r="Y678" s="13">
        <f t="shared" si="226"/>
        <v>168.63831775700933</v>
      </c>
      <c r="Z678" s="10">
        <v>45322</v>
      </c>
      <c r="AA678" s="9">
        <f t="shared" si="227"/>
        <v>-200</v>
      </c>
      <c r="AC678" s="9" t="s">
        <v>84</v>
      </c>
      <c r="AD678" s="14">
        <f t="shared" si="238"/>
        <v>43.01045454545455</v>
      </c>
      <c r="AF678" s="14">
        <f t="shared" si="229"/>
        <v>10.4</v>
      </c>
      <c r="AH678" s="14">
        <f t="shared" si="233"/>
        <v>53.410454545454549</v>
      </c>
      <c r="AI678" s="13">
        <f t="shared" si="234"/>
        <v>115.22786321155479</v>
      </c>
      <c r="AK678" s="9">
        <f t="shared" si="235"/>
        <v>520</v>
      </c>
    </row>
    <row r="679" spans="1:37">
      <c r="A679" s="9">
        <v>4</v>
      </c>
      <c r="B679" s="9">
        <v>2024</v>
      </c>
      <c r="C679" s="9" t="s">
        <v>46</v>
      </c>
      <c r="D679" s="9" t="s">
        <v>47</v>
      </c>
      <c r="E679" s="9" t="s">
        <v>47</v>
      </c>
      <c r="F679" s="10">
        <v>45313</v>
      </c>
      <c r="G679" s="9" t="s">
        <v>153</v>
      </c>
      <c r="H679" s="9" t="s">
        <v>52</v>
      </c>
      <c r="I679" s="9">
        <v>1</v>
      </c>
      <c r="J679" s="11">
        <f t="shared" si="236"/>
        <v>12</v>
      </c>
      <c r="K679" s="1">
        <v>520</v>
      </c>
      <c r="L679" s="12">
        <v>0.15</v>
      </c>
      <c r="M679" s="12">
        <v>78</v>
      </c>
      <c r="N679" s="13" t="s">
        <v>49</v>
      </c>
      <c r="Q679" s="9">
        <f>IF(Auction_Sales[[#This Row],[Payment Date]]=0,"",-1+WEEKNUM(Auction_Sales[[#This Row],[Payment Date]]))</f>
        <v>4</v>
      </c>
      <c r="R679" s="9">
        <f t="shared" si="223"/>
        <v>-200</v>
      </c>
      <c r="S679" s="1" t="str">
        <f t="shared" si="239"/>
        <v>Grandiflora Roses</v>
      </c>
      <c r="T679" s="9" t="str">
        <f t="shared" si="239"/>
        <v>70CM</v>
      </c>
      <c r="U679" s="9">
        <v>720</v>
      </c>
      <c r="V679" s="13">
        <f>349.6/U679</f>
        <v>0.48555555555555557</v>
      </c>
      <c r="W679" s="13">
        <f t="shared" si="221"/>
        <v>349.6</v>
      </c>
      <c r="X679" s="14">
        <f t="shared" si="237"/>
        <v>-31.239252336448605</v>
      </c>
      <c r="Y679" s="13">
        <f t="shared" si="226"/>
        <v>318.36074766355142</v>
      </c>
      <c r="Z679" s="10">
        <v>45322</v>
      </c>
      <c r="AA679" s="9">
        <f t="shared" si="227"/>
        <v>200</v>
      </c>
      <c r="AC679" s="9" t="s">
        <v>84</v>
      </c>
      <c r="AD679" s="14">
        <f t="shared" si="238"/>
        <v>43.01045454545455</v>
      </c>
      <c r="AF679" s="14">
        <f t="shared" si="229"/>
        <v>14.4</v>
      </c>
      <c r="AH679" s="14">
        <f t="shared" ref="AH679" si="240">SUM(AD679:AG679)</f>
        <v>57.410454545454549</v>
      </c>
      <c r="AI679" s="13">
        <f t="shared" si="234"/>
        <v>260.95029311809685</v>
      </c>
      <c r="AK679" s="9">
        <f t="shared" si="235"/>
        <v>720</v>
      </c>
    </row>
    <row r="680" spans="1:37">
      <c r="A680" s="9">
        <v>4</v>
      </c>
      <c r="B680" s="9">
        <v>2024</v>
      </c>
      <c r="C680" s="9" t="s">
        <v>46</v>
      </c>
      <c r="D680" s="9" t="s">
        <v>47</v>
      </c>
      <c r="E680" s="9" t="s">
        <v>47</v>
      </c>
      <c r="F680" s="10">
        <v>45313</v>
      </c>
      <c r="G680" s="9" t="s">
        <v>153</v>
      </c>
      <c r="H680" s="9" t="s">
        <v>54</v>
      </c>
      <c r="I680" s="9">
        <v>1</v>
      </c>
      <c r="J680" s="11">
        <f t="shared" si="236"/>
        <v>12</v>
      </c>
      <c r="K680" s="1">
        <v>480</v>
      </c>
      <c r="L680" s="12">
        <v>0.15</v>
      </c>
      <c r="M680" s="12">
        <v>72</v>
      </c>
      <c r="N680" s="13" t="s">
        <v>49</v>
      </c>
      <c r="Q680" s="9">
        <f>IF(Auction_Sales[[#This Row],[Payment Date]]=0,"",-1+WEEKNUM(Auction_Sales[[#This Row],[Payment Date]]))</f>
        <v>4</v>
      </c>
      <c r="R680" s="9">
        <f t="shared" si="223"/>
        <v>0</v>
      </c>
      <c r="S680" s="1" t="str">
        <f t="shared" si="239"/>
        <v>Grandiflora Roses</v>
      </c>
      <c r="T680" s="9" t="str">
        <f t="shared" si="239"/>
        <v>80CM</v>
      </c>
      <c r="U680" s="9">
        <v>480</v>
      </c>
      <c r="V680" s="13">
        <f>264/U680</f>
        <v>0.55000000000000004</v>
      </c>
      <c r="W680" s="13">
        <f t="shared" si="221"/>
        <v>264</v>
      </c>
      <c r="X680" s="14">
        <f t="shared" si="237"/>
        <v>-20.826168224299071</v>
      </c>
      <c r="Y680" s="13">
        <f t="shared" si="226"/>
        <v>243.17383177570093</v>
      </c>
      <c r="Z680" s="10">
        <v>45322</v>
      </c>
      <c r="AA680" s="9">
        <f t="shared" si="227"/>
        <v>0</v>
      </c>
      <c r="AC680" s="9" t="s">
        <v>84</v>
      </c>
      <c r="AD680" s="14">
        <f t="shared" si="238"/>
        <v>43.01045454545455</v>
      </c>
      <c r="AF680" s="14">
        <f t="shared" si="229"/>
        <v>9.6</v>
      </c>
      <c r="AH680" s="14">
        <f t="shared" ref="AH680" si="241">SUM(AD680:AG680)</f>
        <v>52.610454545454552</v>
      </c>
      <c r="AI680" s="13">
        <f t="shared" si="234"/>
        <v>190.56337723024637</v>
      </c>
      <c r="AK680" s="9">
        <f t="shared" si="235"/>
        <v>480</v>
      </c>
    </row>
    <row r="681" spans="1:37">
      <c r="A681" s="9">
        <v>4</v>
      </c>
      <c r="B681" s="9">
        <v>2024</v>
      </c>
      <c r="C681" s="9" t="s">
        <v>46</v>
      </c>
      <c r="D681" s="9" t="s">
        <v>47</v>
      </c>
      <c r="E681" s="9" t="s">
        <v>47</v>
      </c>
      <c r="F681" s="10">
        <v>45313</v>
      </c>
      <c r="G681" s="9" t="s">
        <v>153</v>
      </c>
      <c r="H681" s="9" t="s">
        <v>56</v>
      </c>
      <c r="I681" s="9">
        <v>1</v>
      </c>
      <c r="J681" s="11">
        <f t="shared" si="236"/>
        <v>12</v>
      </c>
      <c r="K681" s="1">
        <v>240</v>
      </c>
      <c r="L681" s="12">
        <v>0.15</v>
      </c>
      <c r="M681" s="12">
        <v>36</v>
      </c>
      <c r="N681" s="13" t="s">
        <v>49</v>
      </c>
      <c r="Q681" s="9">
        <f>IF(Auction_Sales[[#This Row],[Payment Date]]=0,"",-1+WEEKNUM(Auction_Sales[[#This Row],[Payment Date]]))</f>
        <v>4</v>
      </c>
      <c r="R681" s="9">
        <f t="shared" si="223"/>
        <v>0</v>
      </c>
      <c r="S681" s="1" t="str">
        <f t="shared" si="239"/>
        <v>Grandiflora Roses</v>
      </c>
      <c r="T681" s="9" t="str">
        <f t="shared" si="239"/>
        <v>90CM</v>
      </c>
      <c r="U681" s="9">
        <v>240</v>
      </c>
      <c r="V681" s="13">
        <f>160/U681</f>
        <v>0.66666666666666663</v>
      </c>
      <c r="W681" s="13">
        <f t="shared" si="221"/>
        <v>160</v>
      </c>
      <c r="X681" s="14">
        <f t="shared" si="237"/>
        <v>-10.413084112149535</v>
      </c>
      <c r="Y681" s="13">
        <f t="shared" si="226"/>
        <v>149.58691588785047</v>
      </c>
      <c r="Z681" s="10">
        <v>45322</v>
      </c>
      <c r="AA681" s="9">
        <f t="shared" si="227"/>
        <v>0</v>
      </c>
      <c r="AC681" s="9" t="s">
        <v>84</v>
      </c>
      <c r="AD681" s="14">
        <f t="shared" si="238"/>
        <v>43.01045454545455</v>
      </c>
      <c r="AF681" s="14">
        <f t="shared" si="229"/>
        <v>4.8</v>
      </c>
      <c r="AH681" s="14">
        <f t="shared" ref="AH681:AH720" si="242">SUM(AD681:AG681)</f>
        <v>47.810454545454547</v>
      </c>
      <c r="AI681" s="13">
        <f t="shared" si="234"/>
        <v>101.77646134239592</v>
      </c>
      <c r="AK681" s="9">
        <f t="shared" si="235"/>
        <v>240</v>
      </c>
    </row>
    <row r="682" spans="1:37">
      <c r="A682" s="9">
        <v>4</v>
      </c>
      <c r="B682" s="9">
        <v>2024</v>
      </c>
      <c r="C682" s="9" t="s">
        <v>46</v>
      </c>
      <c r="D682" s="9" t="s">
        <v>47</v>
      </c>
      <c r="E682" s="9" t="s">
        <v>47</v>
      </c>
      <c r="F682" s="10">
        <v>45313</v>
      </c>
      <c r="G682" s="9" t="s">
        <v>153</v>
      </c>
      <c r="H682" s="9" t="s">
        <v>57</v>
      </c>
      <c r="I682" s="9">
        <v>1</v>
      </c>
      <c r="J682" s="11">
        <f t="shared" si="236"/>
        <v>12</v>
      </c>
      <c r="K682" s="1">
        <v>240</v>
      </c>
      <c r="L682" s="12">
        <v>0.15</v>
      </c>
      <c r="M682" s="12">
        <v>36</v>
      </c>
      <c r="N682" s="13" t="s">
        <v>49</v>
      </c>
      <c r="Q682" s="9">
        <f>IF(Auction_Sales[[#This Row],[Payment Date]]=0,"",-1+WEEKNUM(Auction_Sales[[#This Row],[Payment Date]]))</f>
        <v>4</v>
      </c>
      <c r="R682" s="9">
        <f t="shared" si="223"/>
        <v>-40</v>
      </c>
      <c r="S682" s="1" t="str">
        <f t="shared" si="239"/>
        <v>Grandiflora Roses</v>
      </c>
      <c r="T682" s="9" t="str">
        <f t="shared" si="239"/>
        <v>100CM</v>
      </c>
      <c r="U682" s="1">
        <v>280</v>
      </c>
      <c r="V682" s="15">
        <f>193.2/U682</f>
        <v>0.69</v>
      </c>
      <c r="W682" s="15">
        <f t="shared" si="221"/>
        <v>193.2</v>
      </c>
      <c r="X682" s="14">
        <f t="shared" si="237"/>
        <v>-12.148598130841124</v>
      </c>
      <c r="Y682" s="15">
        <f t="shared" si="226"/>
        <v>181.05140186915887</v>
      </c>
      <c r="Z682" s="10">
        <v>45322</v>
      </c>
      <c r="AA682" s="9">
        <f t="shared" si="227"/>
        <v>40</v>
      </c>
      <c r="AC682" s="9" t="s">
        <v>84</v>
      </c>
      <c r="AD682" s="14">
        <f t="shared" si="238"/>
        <v>43.01045454545455</v>
      </c>
      <c r="AF682" s="14">
        <f t="shared" si="229"/>
        <v>5.6000000000000005</v>
      </c>
      <c r="AH682" s="14">
        <f t="shared" si="242"/>
        <v>48.610454545454552</v>
      </c>
      <c r="AI682" s="13">
        <f t="shared" si="234"/>
        <v>132.44094732370431</v>
      </c>
      <c r="AK682" s="9">
        <f t="shared" si="235"/>
        <v>280</v>
      </c>
    </row>
    <row r="683" spans="1:37">
      <c r="A683" s="9">
        <v>4</v>
      </c>
      <c r="B683" s="9">
        <v>2024</v>
      </c>
      <c r="C683" s="9" t="s">
        <v>46</v>
      </c>
      <c r="D683" s="9" t="s">
        <v>47</v>
      </c>
      <c r="E683" s="9" t="s">
        <v>47</v>
      </c>
      <c r="F683" s="10">
        <v>45313</v>
      </c>
      <c r="G683" s="9" t="s">
        <v>154</v>
      </c>
      <c r="H683" s="9" t="s">
        <v>48</v>
      </c>
      <c r="I683" s="9">
        <v>1</v>
      </c>
      <c r="J683" s="11">
        <f t="shared" si="236"/>
        <v>12</v>
      </c>
      <c r="K683" s="1">
        <v>360</v>
      </c>
      <c r="L683" s="12">
        <v>0.15</v>
      </c>
      <c r="M683" s="12">
        <v>54</v>
      </c>
      <c r="N683" s="13" t="s">
        <v>49</v>
      </c>
      <c r="Q683" s="9">
        <f>IF(Auction_Sales[[#This Row],[Payment Date]]=0,"",-1+WEEKNUM(Auction_Sales[[#This Row],[Payment Date]]))</f>
        <v>4</v>
      </c>
      <c r="R683" s="9">
        <f t="shared" si="223"/>
        <v>-480</v>
      </c>
      <c r="S683" s="1" t="str">
        <f t="shared" si="239"/>
        <v>English Roses</v>
      </c>
      <c r="T683" s="9" t="str">
        <f t="shared" si="239"/>
        <v>60CM</v>
      </c>
      <c r="U683" s="9">
        <v>840</v>
      </c>
      <c r="V683" s="13">
        <f>210/U683</f>
        <v>0.25</v>
      </c>
      <c r="W683" s="13">
        <f t="shared" si="221"/>
        <v>210</v>
      </c>
      <c r="X683" s="14">
        <f t="shared" si="237"/>
        <v>-36.445794392523368</v>
      </c>
      <c r="Y683" s="13">
        <f t="shared" si="226"/>
        <v>173.55420560747663</v>
      </c>
      <c r="Z683" s="10">
        <v>45322</v>
      </c>
      <c r="AA683" s="9">
        <f t="shared" si="227"/>
        <v>480</v>
      </c>
      <c r="AC683" s="9" t="s">
        <v>84</v>
      </c>
      <c r="AD683" s="14">
        <f t="shared" si="238"/>
        <v>43.01045454545455</v>
      </c>
      <c r="AF683" s="14">
        <f t="shared" si="229"/>
        <v>16.8</v>
      </c>
      <c r="AH683" s="14">
        <f t="shared" si="242"/>
        <v>59.810454545454547</v>
      </c>
      <c r="AI683" s="13">
        <f t="shared" si="234"/>
        <v>113.74375106202208</v>
      </c>
      <c r="AK683" s="9">
        <f t="shared" si="235"/>
        <v>840</v>
      </c>
    </row>
    <row r="684" spans="1:37">
      <c r="A684" s="9">
        <v>4</v>
      </c>
      <c r="B684" s="9">
        <v>2024</v>
      </c>
      <c r="C684" s="9" t="s">
        <v>46</v>
      </c>
      <c r="D684" s="9" t="s">
        <v>47</v>
      </c>
      <c r="E684" s="9" t="s">
        <v>47</v>
      </c>
      <c r="F684" s="10">
        <v>45313</v>
      </c>
      <c r="G684" s="9" t="s">
        <v>154</v>
      </c>
      <c r="H684" s="9" t="s">
        <v>48</v>
      </c>
      <c r="I684" s="9">
        <v>1</v>
      </c>
      <c r="J684" s="11">
        <f t="shared" si="236"/>
        <v>12</v>
      </c>
      <c r="K684" s="1">
        <v>480</v>
      </c>
      <c r="L684" s="12">
        <v>0.15</v>
      </c>
      <c r="M684" s="12">
        <v>72</v>
      </c>
      <c r="N684" s="13" t="s">
        <v>49</v>
      </c>
      <c r="Q684" s="9">
        <f>IF(Auction_Sales[[#This Row],[Payment Date]]=0,"",-1+WEEKNUM(Auction_Sales[[#This Row],[Payment Date]]))</f>
        <v>4</v>
      </c>
      <c r="R684" s="9">
        <f t="shared" si="223"/>
        <v>480</v>
      </c>
      <c r="S684" s="1" t="str">
        <f t="shared" si="239"/>
        <v>English Roses</v>
      </c>
      <c r="T684" s="9" t="str">
        <f t="shared" si="239"/>
        <v>60CM</v>
      </c>
      <c r="U684" s="1"/>
      <c r="V684" s="15"/>
      <c r="W684" s="15">
        <f t="shared" si="221"/>
        <v>0</v>
      </c>
      <c r="X684" s="14">
        <f t="shared" si="237"/>
        <v>0</v>
      </c>
      <c r="Y684" s="15">
        <f t="shared" si="226"/>
        <v>0</v>
      </c>
      <c r="Z684" s="10">
        <v>45322</v>
      </c>
      <c r="AA684" s="9">
        <f t="shared" si="227"/>
        <v>-480</v>
      </c>
      <c r="AC684" s="9" t="s">
        <v>84</v>
      </c>
      <c r="AD684" s="14">
        <f t="shared" si="238"/>
        <v>43.01045454545455</v>
      </c>
      <c r="AF684" s="14">
        <f t="shared" si="229"/>
        <v>0</v>
      </c>
      <c r="AH684" s="14">
        <f t="shared" si="242"/>
        <v>43.01045454545455</v>
      </c>
      <c r="AI684" s="13">
        <f t="shared" si="234"/>
        <v>-43.01045454545455</v>
      </c>
      <c r="AK684" s="9">
        <f t="shared" si="235"/>
        <v>0</v>
      </c>
    </row>
    <row r="685" spans="1:37">
      <c r="A685" s="9">
        <v>4</v>
      </c>
      <c r="B685" s="9">
        <v>2024</v>
      </c>
      <c r="C685" s="9" t="s">
        <v>46</v>
      </c>
      <c r="D685" s="9" t="s">
        <v>47</v>
      </c>
      <c r="E685" s="9" t="s">
        <v>47</v>
      </c>
      <c r="F685" s="10">
        <v>45313</v>
      </c>
      <c r="G685" s="9" t="s">
        <v>154</v>
      </c>
      <c r="H685" s="9" t="s">
        <v>52</v>
      </c>
      <c r="I685" s="9">
        <v>1</v>
      </c>
      <c r="J685" s="11">
        <f t="shared" si="236"/>
        <v>12</v>
      </c>
      <c r="K685" s="1">
        <v>240</v>
      </c>
      <c r="L685" s="12">
        <v>0.15</v>
      </c>
      <c r="M685" s="12">
        <v>36</v>
      </c>
      <c r="N685" s="13" t="s">
        <v>49</v>
      </c>
      <c r="Q685" s="9">
        <f>IF(Auction_Sales[[#This Row],[Payment Date]]=0,"",-1+WEEKNUM(Auction_Sales[[#This Row],[Payment Date]]))</f>
        <v>4</v>
      </c>
      <c r="R685" s="9">
        <f t="shared" si="223"/>
        <v>-80</v>
      </c>
      <c r="S685" s="1" t="str">
        <f t="shared" si="239"/>
        <v>English Roses</v>
      </c>
      <c r="T685" s="9" t="str">
        <f t="shared" si="239"/>
        <v>70CM</v>
      </c>
      <c r="U685" s="1">
        <v>320</v>
      </c>
      <c r="V685" s="15">
        <f>160/U685</f>
        <v>0.5</v>
      </c>
      <c r="W685" s="15">
        <f t="shared" si="221"/>
        <v>160</v>
      </c>
      <c r="X685" s="14">
        <f t="shared" si="237"/>
        <v>-13.884112149532713</v>
      </c>
      <c r="Y685" s="15">
        <f t="shared" si="226"/>
        <v>146.11588785046729</v>
      </c>
      <c r="Z685" s="10">
        <v>45322</v>
      </c>
      <c r="AA685" s="9">
        <f t="shared" si="227"/>
        <v>80</v>
      </c>
      <c r="AC685" s="9" t="s">
        <v>84</v>
      </c>
      <c r="AD685" s="14">
        <f t="shared" si="238"/>
        <v>43.01045454545455</v>
      </c>
      <c r="AF685" s="14">
        <f t="shared" si="229"/>
        <v>6.4</v>
      </c>
      <c r="AH685" s="14">
        <f t="shared" ref="AH685:AH686" si="243">SUM(AD685:AG685)</f>
        <v>49.410454545454549</v>
      </c>
      <c r="AI685" s="13">
        <f t="shared" si="234"/>
        <v>96.705433305012747</v>
      </c>
      <c r="AK685" s="9">
        <f t="shared" si="235"/>
        <v>320</v>
      </c>
    </row>
    <row r="686" spans="1:37">
      <c r="A686" s="9">
        <v>4</v>
      </c>
      <c r="B686" s="9">
        <v>2024</v>
      </c>
      <c r="C686" s="9" t="s">
        <v>46</v>
      </c>
      <c r="D686" s="9" t="s">
        <v>47</v>
      </c>
      <c r="E686" s="9" t="s">
        <v>47</v>
      </c>
      <c r="F686" s="10">
        <v>45313</v>
      </c>
      <c r="G686" s="9" t="s">
        <v>154</v>
      </c>
      <c r="H686" s="9" t="s">
        <v>52</v>
      </c>
      <c r="I686" s="9">
        <v>1</v>
      </c>
      <c r="J686" s="11">
        <f t="shared" si="236"/>
        <v>12</v>
      </c>
      <c r="K686" s="1">
        <v>400</v>
      </c>
      <c r="L686" s="12">
        <v>0.15</v>
      </c>
      <c r="M686" s="12">
        <v>60</v>
      </c>
      <c r="N686" s="13" t="s">
        <v>49</v>
      </c>
      <c r="Q686" s="9">
        <f>IF(Auction_Sales[[#This Row],[Payment Date]]=0,"",-1+WEEKNUM(Auction_Sales[[#This Row],[Payment Date]]))</f>
        <v>4</v>
      </c>
      <c r="R686" s="9">
        <f t="shared" si="223"/>
        <v>80</v>
      </c>
      <c r="S686" s="1" t="str">
        <f t="shared" si="239"/>
        <v>English Roses</v>
      </c>
      <c r="T686" s="9" t="str">
        <f t="shared" si="239"/>
        <v>70CM</v>
      </c>
      <c r="U686" s="1">
        <f>320</f>
        <v>320</v>
      </c>
      <c r="V686" s="15">
        <f>134/U686</f>
        <v>0.41875000000000001</v>
      </c>
      <c r="W686" s="15">
        <f t="shared" si="221"/>
        <v>134</v>
      </c>
      <c r="X686" s="14">
        <f t="shared" si="237"/>
        <v>-13.884112149532713</v>
      </c>
      <c r="Y686" s="15">
        <f t="shared" si="226"/>
        <v>120.11588785046729</v>
      </c>
      <c r="Z686" s="10">
        <v>45322</v>
      </c>
      <c r="AA686" s="9">
        <f t="shared" si="227"/>
        <v>-80</v>
      </c>
      <c r="AC686" s="9" t="s">
        <v>84</v>
      </c>
      <c r="AD686" s="14">
        <f t="shared" si="238"/>
        <v>43.01045454545455</v>
      </c>
      <c r="AF686" s="14">
        <f t="shared" si="229"/>
        <v>6.4</v>
      </c>
      <c r="AH686" s="14">
        <f t="shared" si="243"/>
        <v>49.410454545454549</v>
      </c>
      <c r="AI686" s="13">
        <f t="shared" si="234"/>
        <v>70.705433305012747</v>
      </c>
      <c r="AK686" s="9">
        <f t="shared" si="235"/>
        <v>320</v>
      </c>
    </row>
    <row r="687" spans="1:37">
      <c r="A687" s="9">
        <v>4</v>
      </c>
      <c r="B687" s="9">
        <v>2024</v>
      </c>
      <c r="C687" s="9" t="s">
        <v>46</v>
      </c>
      <c r="D687" s="9" t="s">
        <v>47</v>
      </c>
      <c r="E687" s="9" t="s">
        <v>47</v>
      </c>
      <c r="F687" s="10">
        <v>45313</v>
      </c>
      <c r="G687" s="9" t="s">
        <v>154</v>
      </c>
      <c r="H687" s="9" t="s">
        <v>54</v>
      </c>
      <c r="I687" s="9">
        <v>1</v>
      </c>
      <c r="J687" s="11">
        <f t="shared" si="236"/>
        <v>12</v>
      </c>
      <c r="K687" s="1">
        <v>280</v>
      </c>
      <c r="L687" s="12">
        <v>0.15</v>
      </c>
      <c r="M687" s="12">
        <v>42</v>
      </c>
      <c r="N687" s="13" t="s">
        <v>49</v>
      </c>
      <c r="Q687" s="9">
        <f>IF(Auction_Sales[[#This Row],[Payment Date]]=0,"",-1+WEEKNUM(Auction_Sales[[#This Row],[Payment Date]]))</f>
        <v>4</v>
      </c>
      <c r="R687" s="9">
        <f t="shared" si="223"/>
        <v>0</v>
      </c>
      <c r="S687" s="1" t="str">
        <f t="shared" si="239"/>
        <v>English Roses</v>
      </c>
      <c r="T687" s="9" t="str">
        <f t="shared" si="239"/>
        <v>80CM</v>
      </c>
      <c r="U687" s="9">
        <v>280</v>
      </c>
      <c r="V687" s="13">
        <f>131.6/U687</f>
        <v>0.47</v>
      </c>
      <c r="W687" s="13">
        <f t="shared" si="221"/>
        <v>131.6</v>
      </c>
      <c r="X687" s="14">
        <f t="shared" si="237"/>
        <v>-12.148598130841124</v>
      </c>
      <c r="Y687" s="13">
        <f t="shared" si="226"/>
        <v>119.45140186915887</v>
      </c>
      <c r="Z687" s="10">
        <v>45322</v>
      </c>
      <c r="AA687" s="9">
        <f t="shared" si="227"/>
        <v>0</v>
      </c>
      <c r="AC687" s="9" t="s">
        <v>84</v>
      </c>
      <c r="AD687" s="14">
        <f t="shared" si="238"/>
        <v>43.01045454545455</v>
      </c>
      <c r="AF687" s="14">
        <f t="shared" si="229"/>
        <v>5.6000000000000005</v>
      </c>
      <c r="AH687" s="14">
        <f t="shared" si="242"/>
        <v>48.610454545454552</v>
      </c>
      <c r="AI687" s="13">
        <f t="shared" si="234"/>
        <v>70.840947323704313</v>
      </c>
      <c r="AK687" s="9">
        <f t="shared" si="235"/>
        <v>280</v>
      </c>
    </row>
    <row r="688" spans="1:37">
      <c r="A688" s="9">
        <v>4</v>
      </c>
      <c r="B688" s="9">
        <v>2024</v>
      </c>
      <c r="C688" s="9" t="s">
        <v>46</v>
      </c>
      <c r="D688" s="9" t="s">
        <v>47</v>
      </c>
      <c r="E688" s="9" t="s">
        <v>47</v>
      </c>
      <c r="F688" s="10">
        <v>45313</v>
      </c>
      <c r="G688" s="9" t="s">
        <v>154</v>
      </c>
      <c r="H688" s="9" t="s">
        <v>56</v>
      </c>
      <c r="I688" s="9">
        <v>1</v>
      </c>
      <c r="J688" s="11">
        <f t="shared" si="236"/>
        <v>12</v>
      </c>
      <c r="K688" s="1">
        <v>200</v>
      </c>
      <c r="L688" s="12">
        <v>0.15</v>
      </c>
      <c r="M688" s="12">
        <v>30</v>
      </c>
      <c r="N688" s="13" t="s">
        <v>49</v>
      </c>
      <c r="Q688" s="9">
        <f>IF(Auction_Sales[[#This Row],[Payment Date]]=0,"",-1+WEEKNUM(Auction_Sales[[#This Row],[Payment Date]]))</f>
        <v>4</v>
      </c>
      <c r="R688" s="9">
        <f>K688-U688</f>
        <v>0</v>
      </c>
      <c r="S688" s="1" t="str">
        <f t="shared" si="239"/>
        <v>English Roses</v>
      </c>
      <c r="T688" s="9" t="str">
        <f t="shared" si="239"/>
        <v>90CM</v>
      </c>
      <c r="U688" s="1">
        <v>200</v>
      </c>
      <c r="V688" s="15">
        <f>198/U688</f>
        <v>0.99</v>
      </c>
      <c r="W688" s="15">
        <f t="shared" si="221"/>
        <v>198</v>
      </c>
      <c r="X688" s="14">
        <f t="shared" si="237"/>
        <v>-8.6775700934579465</v>
      </c>
      <c r="Y688" s="15">
        <f t="shared" si="226"/>
        <v>189.32242990654206</v>
      </c>
      <c r="Z688" s="10">
        <v>45322</v>
      </c>
      <c r="AA688" s="9">
        <f t="shared" si="227"/>
        <v>0</v>
      </c>
      <c r="AC688" s="9" t="s">
        <v>84</v>
      </c>
      <c r="AD688" s="14">
        <f t="shared" si="238"/>
        <v>43.01045454545455</v>
      </c>
      <c r="AF688" s="14">
        <f t="shared" si="229"/>
        <v>4</v>
      </c>
      <c r="AH688" s="14">
        <f t="shared" si="242"/>
        <v>47.01045454545455</v>
      </c>
      <c r="AI688" s="13">
        <f t="shared" si="234"/>
        <v>142.31197536108749</v>
      </c>
      <c r="AK688" s="9">
        <f t="shared" si="235"/>
        <v>200</v>
      </c>
    </row>
    <row r="689" spans="1:37">
      <c r="A689" s="9">
        <v>4</v>
      </c>
      <c r="B689" s="9">
        <v>2024</v>
      </c>
      <c r="C689" s="9" t="s">
        <v>46</v>
      </c>
      <c r="D689" s="9" t="s">
        <v>47</v>
      </c>
      <c r="E689" s="9" t="s">
        <v>47</v>
      </c>
      <c r="F689" s="10">
        <v>45313</v>
      </c>
      <c r="G689" s="9" t="s">
        <v>156</v>
      </c>
      <c r="H689" s="9" t="s">
        <v>48</v>
      </c>
      <c r="I689" s="9">
        <v>1</v>
      </c>
      <c r="J689" s="11">
        <f>K689/320*12</f>
        <v>9</v>
      </c>
      <c r="K689" s="1">
        <v>240</v>
      </c>
      <c r="L689" s="12">
        <v>0.15</v>
      </c>
      <c r="M689" s="12">
        <v>36</v>
      </c>
      <c r="N689" s="13" t="s">
        <v>49</v>
      </c>
      <c r="Q689" s="9">
        <f>IF(Auction_Sales[[#This Row],[Payment Date]]=0,"",-1+WEEKNUM(Auction_Sales[[#This Row],[Payment Date]]))</f>
        <v>4</v>
      </c>
      <c r="R689" s="9">
        <f>K689-U689</f>
        <v>0</v>
      </c>
      <c r="S689" s="1" t="str">
        <f t="shared" si="239"/>
        <v>Polyantha Roses</v>
      </c>
      <c r="T689" s="9" t="str">
        <f t="shared" si="239"/>
        <v>60CM</v>
      </c>
      <c r="U689" s="9">
        <v>240</v>
      </c>
      <c r="V689" s="13">
        <f>127.2/U689</f>
        <v>0.53</v>
      </c>
      <c r="W689" s="13">
        <f t="shared" si="221"/>
        <v>127.2</v>
      </c>
      <c r="X689" s="14">
        <f t="shared" si="237"/>
        <v>-10.413084112149535</v>
      </c>
      <c r="Y689" s="13">
        <f t="shared" si="226"/>
        <v>116.78691588785047</v>
      </c>
      <c r="Z689" s="10">
        <v>45322</v>
      </c>
      <c r="AA689" s="9">
        <f t="shared" si="227"/>
        <v>0</v>
      </c>
      <c r="AC689" s="9" t="s">
        <v>84</v>
      </c>
      <c r="AD689" s="14">
        <f t="shared" si="238"/>
        <v>32.257840909090909</v>
      </c>
      <c r="AF689" s="14">
        <f t="shared" si="229"/>
        <v>4.8</v>
      </c>
      <c r="AH689" s="14">
        <f t="shared" si="242"/>
        <v>37.057840909090906</v>
      </c>
      <c r="AI689" s="13">
        <f t="shared" si="234"/>
        <v>79.72907497875957</v>
      </c>
      <c r="AK689" s="9">
        <f t="shared" si="235"/>
        <v>240</v>
      </c>
    </row>
    <row r="690" spans="1:37">
      <c r="A690" s="9">
        <v>4</v>
      </c>
      <c r="B690" s="9">
        <v>2024</v>
      </c>
      <c r="C690" s="9" t="s">
        <v>46</v>
      </c>
      <c r="D690" s="9" t="s">
        <v>47</v>
      </c>
      <c r="E690" s="9" t="s">
        <v>47</v>
      </c>
      <c r="F690" s="10">
        <v>45313</v>
      </c>
      <c r="G690" s="9" t="s">
        <v>156</v>
      </c>
      <c r="H690" s="9" t="s">
        <v>52</v>
      </c>
      <c r="J690" s="11">
        <f>K690/320*12</f>
        <v>3</v>
      </c>
      <c r="K690" s="1">
        <v>80</v>
      </c>
      <c r="L690" s="12">
        <v>0.15</v>
      </c>
      <c r="M690" s="12">
        <v>12</v>
      </c>
      <c r="N690" s="13" t="s">
        <v>49</v>
      </c>
      <c r="Q690" s="9">
        <f>IF(Auction_Sales[[#This Row],[Payment Date]]=0,"",-1+WEEKNUM(Auction_Sales[[#This Row],[Payment Date]]))</f>
        <v>4</v>
      </c>
      <c r="R690" s="9">
        <f t="shared" ref="R690:R694" si="244">K690-U690</f>
        <v>0</v>
      </c>
      <c r="S690" s="1" t="str">
        <f t="shared" si="239"/>
        <v>Polyantha Roses</v>
      </c>
      <c r="T690" s="9" t="str">
        <f t="shared" si="239"/>
        <v>70CM</v>
      </c>
      <c r="U690" s="9">
        <v>80</v>
      </c>
      <c r="V690" s="13">
        <f>56/U690</f>
        <v>0.7</v>
      </c>
      <c r="W690" s="13">
        <f t="shared" si="221"/>
        <v>56</v>
      </c>
      <c r="X690" s="14">
        <f t="shared" si="237"/>
        <v>-3.4710280373831783</v>
      </c>
      <c r="Y690" s="13">
        <f t="shared" si="226"/>
        <v>52.528971962616822</v>
      </c>
      <c r="Z690" s="10">
        <v>45322</v>
      </c>
      <c r="AA690" s="9">
        <f t="shared" si="227"/>
        <v>0</v>
      </c>
      <c r="AC690" s="9" t="s">
        <v>84</v>
      </c>
      <c r="AD690" s="14">
        <f t="shared" si="238"/>
        <v>10.752613636363638</v>
      </c>
      <c r="AF690" s="14">
        <f t="shared" si="229"/>
        <v>1.6</v>
      </c>
      <c r="AH690" s="14">
        <f t="shared" si="242"/>
        <v>12.352613636363637</v>
      </c>
      <c r="AI690" s="13">
        <f t="shared" si="234"/>
        <v>40.176358326253187</v>
      </c>
      <c r="AK690" s="9">
        <f t="shared" si="235"/>
        <v>80</v>
      </c>
    </row>
    <row r="691" spans="1:37">
      <c r="A691" s="9">
        <v>4</v>
      </c>
      <c r="B691" s="9">
        <v>2024</v>
      </c>
      <c r="C691" s="9" t="s">
        <v>46</v>
      </c>
      <c r="D691" s="9" t="s">
        <v>47</v>
      </c>
      <c r="E691" s="9" t="s">
        <v>47</v>
      </c>
      <c r="F691" s="10">
        <v>45313</v>
      </c>
      <c r="G691" s="9" t="s">
        <v>153</v>
      </c>
      <c r="H691" s="9" t="s">
        <v>48</v>
      </c>
      <c r="I691" s="9">
        <v>1</v>
      </c>
      <c r="J691" s="11">
        <f>K691/520*12</f>
        <v>7.384615384615385</v>
      </c>
      <c r="K691" s="1">
        <v>320</v>
      </c>
      <c r="L691" s="12">
        <v>0.15</v>
      </c>
      <c r="M691" s="12">
        <v>48</v>
      </c>
      <c r="N691" s="13" t="s">
        <v>49</v>
      </c>
      <c r="Q691" s="9">
        <f>IF(Auction_Sales[[#This Row],[Payment Date]]=0,"",-1+WEEKNUM(Auction_Sales[[#This Row],[Payment Date]]))</f>
        <v>4</v>
      </c>
      <c r="R691" s="9">
        <f t="shared" si="244"/>
        <v>-200</v>
      </c>
      <c r="S691" s="1" t="str">
        <f t="shared" si="239"/>
        <v>Grandiflora Roses</v>
      </c>
      <c r="T691" s="9" t="str">
        <f t="shared" si="239"/>
        <v>60CM</v>
      </c>
      <c r="U691" s="9">
        <v>520</v>
      </c>
      <c r="V691" s="13">
        <f>191.2/U691</f>
        <v>0.36769230769230765</v>
      </c>
      <c r="W691" s="13">
        <f t="shared" si="221"/>
        <v>191.2</v>
      </c>
      <c r="X691" s="14">
        <f t="shared" si="237"/>
        <v>-22.56168224299066</v>
      </c>
      <c r="Y691" s="13">
        <f t="shared" si="226"/>
        <v>168.63831775700933</v>
      </c>
      <c r="Z691" s="10">
        <v>45322</v>
      </c>
      <c r="AA691" s="9">
        <f t="shared" si="227"/>
        <v>200</v>
      </c>
      <c r="AC691" s="9" t="s">
        <v>84</v>
      </c>
      <c r="AD691" s="14">
        <f t="shared" si="238"/>
        <v>26.467972027972028</v>
      </c>
      <c r="AF691" s="14">
        <f t="shared" si="229"/>
        <v>10.4</v>
      </c>
      <c r="AH691" s="14">
        <f t="shared" si="242"/>
        <v>36.86797202797203</v>
      </c>
      <c r="AI691" s="13">
        <f t="shared" si="234"/>
        <v>131.7703457290373</v>
      </c>
      <c r="AK691" s="9">
        <f t="shared" si="235"/>
        <v>520</v>
      </c>
    </row>
    <row r="692" spans="1:37">
      <c r="A692" s="9">
        <v>4</v>
      </c>
      <c r="B692" s="9">
        <v>2024</v>
      </c>
      <c r="C692" s="9" t="s">
        <v>46</v>
      </c>
      <c r="D692" s="9" t="s">
        <v>47</v>
      </c>
      <c r="E692" s="9" t="s">
        <v>47</v>
      </c>
      <c r="F692" s="10">
        <v>45313</v>
      </c>
      <c r="G692" s="9" t="s">
        <v>153</v>
      </c>
      <c r="H692" s="9" t="s">
        <v>52</v>
      </c>
      <c r="J692" s="11">
        <f>K692/520*12</f>
        <v>4.6153846153846159</v>
      </c>
      <c r="K692" s="1">
        <v>200</v>
      </c>
      <c r="L692" s="12">
        <v>0.15</v>
      </c>
      <c r="M692" s="12">
        <v>30</v>
      </c>
      <c r="N692" s="13" t="s">
        <v>49</v>
      </c>
      <c r="Q692" s="9">
        <f>IF(Auction_Sales[[#This Row],[Payment Date]]=0,"",-1+WEEKNUM(Auction_Sales[[#This Row],[Payment Date]]))</f>
        <v>4</v>
      </c>
      <c r="R692" s="9">
        <f t="shared" si="244"/>
        <v>200</v>
      </c>
      <c r="S692" s="1" t="str">
        <f t="shared" si="239"/>
        <v>Grandiflora Roses</v>
      </c>
      <c r="T692" s="9" t="str">
        <f t="shared" si="239"/>
        <v>70CM</v>
      </c>
      <c r="W692" s="13">
        <f t="shared" si="221"/>
        <v>0</v>
      </c>
      <c r="X692" s="14">
        <f t="shared" si="237"/>
        <v>0</v>
      </c>
      <c r="Y692" s="13">
        <f t="shared" si="226"/>
        <v>0</v>
      </c>
      <c r="Z692" s="10">
        <v>45322</v>
      </c>
      <c r="AA692" s="9">
        <f t="shared" si="227"/>
        <v>-200</v>
      </c>
      <c r="AC692" s="9" t="s">
        <v>84</v>
      </c>
      <c r="AD692" s="14">
        <f t="shared" si="238"/>
        <v>16.542482517482519</v>
      </c>
      <c r="AF692" s="14">
        <f t="shared" si="229"/>
        <v>0</v>
      </c>
      <c r="AH692" s="14">
        <f t="shared" si="242"/>
        <v>16.542482517482519</v>
      </c>
      <c r="AI692" s="13">
        <f t="shared" si="234"/>
        <v>-16.542482517482519</v>
      </c>
      <c r="AK692" s="9">
        <f t="shared" si="235"/>
        <v>0</v>
      </c>
    </row>
    <row r="693" spans="1:37">
      <c r="A693" s="9">
        <v>4</v>
      </c>
      <c r="B693" s="9">
        <v>2024</v>
      </c>
      <c r="C693" s="9" t="s">
        <v>46</v>
      </c>
      <c r="D693" s="9" t="s">
        <v>47</v>
      </c>
      <c r="E693" s="9" t="s">
        <v>47</v>
      </c>
      <c r="F693" s="10">
        <v>45313</v>
      </c>
      <c r="G693" s="9" t="s">
        <v>155</v>
      </c>
      <c r="H693" s="9" t="s">
        <v>56</v>
      </c>
      <c r="I693" s="9">
        <v>1</v>
      </c>
      <c r="J693" s="11">
        <f>K693/280*12</f>
        <v>3.4285714285714284</v>
      </c>
      <c r="K693" s="1">
        <v>80</v>
      </c>
      <c r="L693" s="12">
        <v>0.15</v>
      </c>
      <c r="M693" s="12">
        <v>12</v>
      </c>
      <c r="N693" s="13" t="s">
        <v>49</v>
      </c>
      <c r="Q693" s="9">
        <f>IF(Auction_Sales[[#This Row],[Payment Date]]=0,"",-1+WEEKNUM(Auction_Sales[[#This Row],[Payment Date]]))</f>
        <v>4</v>
      </c>
      <c r="R693" s="9">
        <f t="shared" si="244"/>
        <v>80</v>
      </c>
      <c r="S693" s="1" t="str">
        <f t="shared" ref="S693:T731" si="245">G693</f>
        <v>Floribunda Roses</v>
      </c>
      <c r="T693" s="9" t="str">
        <f t="shared" si="245"/>
        <v>90CM</v>
      </c>
      <c r="W693" s="13">
        <f t="shared" si="221"/>
        <v>0</v>
      </c>
      <c r="X693" s="14">
        <f t="shared" si="237"/>
        <v>0</v>
      </c>
      <c r="Y693" s="13">
        <f t="shared" si="226"/>
        <v>0</v>
      </c>
      <c r="Z693" s="10">
        <v>45322</v>
      </c>
      <c r="AA693" s="9">
        <f t="shared" si="227"/>
        <v>-80</v>
      </c>
      <c r="AC693" s="9" t="s">
        <v>84</v>
      </c>
      <c r="AD693" s="14">
        <f t="shared" si="238"/>
        <v>12.288701298701298</v>
      </c>
      <c r="AF693" s="14">
        <f t="shared" si="229"/>
        <v>0</v>
      </c>
      <c r="AH693" s="14">
        <f t="shared" si="242"/>
        <v>12.288701298701298</v>
      </c>
      <c r="AI693" s="13">
        <f t="shared" si="234"/>
        <v>-12.288701298701298</v>
      </c>
      <c r="AK693" s="9">
        <f t="shared" si="235"/>
        <v>0</v>
      </c>
    </row>
    <row r="694" spans="1:37">
      <c r="A694" s="9">
        <v>4</v>
      </c>
      <c r="B694" s="9">
        <v>2024</v>
      </c>
      <c r="C694" s="9" t="s">
        <v>46</v>
      </c>
      <c r="D694" s="9" t="s">
        <v>47</v>
      </c>
      <c r="E694" s="9" t="s">
        <v>47</v>
      </c>
      <c r="F694" s="10">
        <v>45313</v>
      </c>
      <c r="G694" s="9" t="s">
        <v>155</v>
      </c>
      <c r="H694" s="9" t="s">
        <v>52</v>
      </c>
      <c r="J694" s="11">
        <f>K694/280*12</f>
        <v>8.5714285714285712</v>
      </c>
      <c r="K694" s="9">
        <v>200</v>
      </c>
      <c r="L694" s="12">
        <v>0.15</v>
      </c>
      <c r="M694" s="12">
        <v>30</v>
      </c>
      <c r="N694" s="13" t="s">
        <v>49</v>
      </c>
      <c r="Q694" s="9">
        <f>IF(Auction_Sales[[#This Row],[Payment Date]]=0,"",-1+WEEKNUM(Auction_Sales[[#This Row],[Payment Date]]))</f>
        <v>4</v>
      </c>
      <c r="R694" s="9">
        <f t="shared" si="244"/>
        <v>200</v>
      </c>
      <c r="S694" s="1" t="str">
        <f t="shared" si="245"/>
        <v>Floribunda Roses</v>
      </c>
      <c r="T694" s="9" t="str">
        <f t="shared" si="245"/>
        <v>70CM</v>
      </c>
      <c r="W694" s="13">
        <f t="shared" si="221"/>
        <v>0</v>
      </c>
      <c r="X694" s="14">
        <f t="shared" si="237"/>
        <v>0</v>
      </c>
      <c r="Y694" s="13">
        <f t="shared" si="226"/>
        <v>0</v>
      </c>
      <c r="Z694" s="10">
        <v>45322</v>
      </c>
      <c r="AA694" s="9">
        <f t="shared" si="227"/>
        <v>-200</v>
      </c>
      <c r="AC694" s="9" t="s">
        <v>84</v>
      </c>
      <c r="AD694" s="14">
        <f t="shared" si="238"/>
        <v>30.721753246753245</v>
      </c>
      <c r="AF694" s="14">
        <f t="shared" si="229"/>
        <v>0</v>
      </c>
      <c r="AH694" s="14">
        <f t="shared" si="242"/>
        <v>30.721753246753245</v>
      </c>
      <c r="AI694" s="13">
        <f t="shared" si="234"/>
        <v>-30.721753246753245</v>
      </c>
      <c r="AK694" s="9">
        <f t="shared" si="235"/>
        <v>0</v>
      </c>
    </row>
    <row r="695" spans="1:37">
      <c r="A695" s="9">
        <v>4</v>
      </c>
      <c r="B695" s="9">
        <v>2024</v>
      </c>
      <c r="C695" s="9" t="s">
        <v>46</v>
      </c>
      <c r="D695" s="9" t="s">
        <v>47</v>
      </c>
      <c r="E695" s="9" t="s">
        <v>47</v>
      </c>
      <c r="F695" s="10">
        <v>45314</v>
      </c>
      <c r="G695" s="9" t="s">
        <v>155</v>
      </c>
      <c r="H695" s="9" t="s">
        <v>48</v>
      </c>
      <c r="I695" s="9">
        <v>3</v>
      </c>
      <c r="J695" s="11">
        <f t="shared" ref="J695:J701" si="246">I695*12</f>
        <v>36</v>
      </c>
      <c r="K695" s="9">
        <v>1560</v>
      </c>
      <c r="L695" s="12">
        <v>0.15</v>
      </c>
      <c r="M695" s="12">
        <v>234</v>
      </c>
      <c r="N695" s="13" t="s">
        <v>49</v>
      </c>
      <c r="Q695" s="9">
        <f>IF(Auction_Sales[[#This Row],[Payment Date]]=0,"",-1+WEEKNUM(Auction_Sales[[#This Row],[Payment Date]]))</f>
        <v>4</v>
      </c>
      <c r="R695" s="9">
        <f t="shared" si="223"/>
        <v>-40</v>
      </c>
      <c r="S695" s="1" t="str">
        <f t="shared" si="245"/>
        <v>Floribunda Roses</v>
      </c>
      <c r="T695" s="9" t="str">
        <f t="shared" si="245"/>
        <v>60CM</v>
      </c>
      <c r="U695" s="9">
        <f>320+640+640</f>
        <v>1600</v>
      </c>
      <c r="V695" s="13">
        <f>(228.4+341.2+332.8)/U695</f>
        <v>0.56400000000000006</v>
      </c>
      <c r="W695" s="13">
        <f t="shared" si="221"/>
        <v>902.40000000000009</v>
      </c>
      <c r="X695" s="14">
        <f>-(3994.4-3652.88)*U695/(2640+2040+2040)</f>
        <v>-81.314285714285717</v>
      </c>
      <c r="Y695" s="13">
        <f t="shared" si="226"/>
        <v>821.0857142857144</v>
      </c>
      <c r="Z695" s="10">
        <v>45322</v>
      </c>
      <c r="AA695" s="9">
        <f t="shared" si="227"/>
        <v>40</v>
      </c>
      <c r="AC695" s="9" t="s">
        <v>85</v>
      </c>
      <c r="AD695" s="14">
        <f>J695/(15*12)*721.86</f>
        <v>144.37200000000001</v>
      </c>
      <c r="AF695" s="14">
        <f t="shared" si="229"/>
        <v>32</v>
      </c>
      <c r="AH695" s="14">
        <f t="shared" si="242"/>
        <v>176.37200000000001</v>
      </c>
      <c r="AI695" s="13">
        <f t="shared" si="234"/>
        <v>644.71371428571433</v>
      </c>
      <c r="AK695" s="9">
        <f t="shared" si="235"/>
        <v>1600</v>
      </c>
    </row>
    <row r="696" spans="1:37">
      <c r="A696" s="9">
        <v>4</v>
      </c>
      <c r="B696" s="9">
        <v>2024</v>
      </c>
      <c r="C696" s="9" t="s">
        <v>46</v>
      </c>
      <c r="D696" s="9" t="s">
        <v>47</v>
      </c>
      <c r="E696" s="9" t="s">
        <v>47</v>
      </c>
      <c r="F696" s="10">
        <v>45314</v>
      </c>
      <c r="G696" s="9" t="s">
        <v>155</v>
      </c>
      <c r="H696" s="9" t="s">
        <v>52</v>
      </c>
      <c r="I696" s="9">
        <v>2</v>
      </c>
      <c r="J696" s="11">
        <f t="shared" si="246"/>
        <v>24</v>
      </c>
      <c r="K696" s="9">
        <v>800</v>
      </c>
      <c r="L696" s="12">
        <v>0.15</v>
      </c>
      <c r="M696" s="12">
        <v>120</v>
      </c>
      <c r="N696" s="13" t="s">
        <v>49</v>
      </c>
      <c r="Q696" s="9">
        <f>IF(Auction_Sales[[#This Row],[Payment Date]]=0,"",-1+WEEKNUM(Auction_Sales[[#This Row],[Payment Date]]))</f>
        <v>4</v>
      </c>
      <c r="R696" s="9">
        <f t="shared" si="223"/>
        <v>0</v>
      </c>
      <c r="S696" s="1" t="str">
        <f t="shared" si="245"/>
        <v>Floribunda Roses</v>
      </c>
      <c r="T696" s="9" t="str">
        <f t="shared" si="245"/>
        <v>70CM</v>
      </c>
      <c r="U696" s="1">
        <f>400+400</f>
        <v>800</v>
      </c>
      <c r="V696" s="15">
        <f>(278.4+247.2)/U696</f>
        <v>0.65699999999999992</v>
      </c>
      <c r="W696" s="15">
        <f t="shared" si="221"/>
        <v>525.59999999999991</v>
      </c>
      <c r="X696" s="14">
        <f t="shared" ref="X696:X714" si="247">-(3994.4-3652.88)*U696/(2640+2040+2040)</f>
        <v>-40.657142857142858</v>
      </c>
      <c r="Y696" s="15">
        <f t="shared" si="226"/>
        <v>484.94285714285706</v>
      </c>
      <c r="Z696" s="10">
        <v>45322</v>
      </c>
      <c r="AA696" s="9">
        <f t="shared" si="227"/>
        <v>0</v>
      </c>
      <c r="AC696" s="9" t="s">
        <v>85</v>
      </c>
      <c r="AD696" s="14">
        <f t="shared" ref="AD696:AD714" si="248">J696/(15*12)*721.86</f>
        <v>96.248000000000005</v>
      </c>
      <c r="AF696" s="14">
        <f t="shared" si="229"/>
        <v>16</v>
      </c>
      <c r="AH696" s="14">
        <f t="shared" si="242"/>
        <v>112.248</v>
      </c>
      <c r="AI696" s="13">
        <f t="shared" si="234"/>
        <v>372.69485714285707</v>
      </c>
      <c r="AK696" s="9">
        <f t="shared" si="235"/>
        <v>800</v>
      </c>
    </row>
    <row r="697" spans="1:37">
      <c r="A697" s="9">
        <v>4</v>
      </c>
      <c r="B697" s="9">
        <v>2024</v>
      </c>
      <c r="C697" s="9" t="s">
        <v>46</v>
      </c>
      <c r="D697" s="9" t="s">
        <v>47</v>
      </c>
      <c r="E697" s="9" t="s">
        <v>47</v>
      </c>
      <c r="F697" s="10">
        <v>45314</v>
      </c>
      <c r="G697" s="9" t="s">
        <v>155</v>
      </c>
      <c r="H697" s="9" t="s">
        <v>54</v>
      </c>
      <c r="I697" s="9">
        <v>1</v>
      </c>
      <c r="J697" s="11">
        <f t="shared" si="246"/>
        <v>12</v>
      </c>
      <c r="K697" s="9">
        <v>360</v>
      </c>
      <c r="L697" s="12">
        <v>0.15</v>
      </c>
      <c r="M697" s="12">
        <v>54</v>
      </c>
      <c r="N697" s="13" t="s">
        <v>49</v>
      </c>
      <c r="Q697" s="9">
        <f>IF(Auction_Sales[[#This Row],[Payment Date]]=0,"",-1+WEEKNUM(Auction_Sales[[#This Row],[Payment Date]]))</f>
        <v>4</v>
      </c>
      <c r="R697" s="9">
        <f t="shared" si="223"/>
        <v>-120</v>
      </c>
      <c r="S697" s="1" t="str">
        <f t="shared" si="245"/>
        <v>Floribunda Roses</v>
      </c>
      <c r="T697" s="9" t="str">
        <f t="shared" si="245"/>
        <v>80CM</v>
      </c>
      <c r="U697" s="9">
        <f>240+240</f>
        <v>480</v>
      </c>
      <c r="V697" s="13">
        <f>(178.8+141.6)/U697</f>
        <v>0.66749999999999998</v>
      </c>
      <c r="W697" s="13">
        <f t="shared" si="221"/>
        <v>320.39999999999998</v>
      </c>
      <c r="X697" s="14">
        <f t="shared" si="247"/>
        <v>-24.394285714285711</v>
      </c>
      <c r="Y697" s="13">
        <f t="shared" si="226"/>
        <v>296.00571428571425</v>
      </c>
      <c r="Z697" s="10">
        <v>45322</v>
      </c>
      <c r="AA697" s="9">
        <f t="shared" si="227"/>
        <v>120</v>
      </c>
      <c r="AC697" s="9" t="s">
        <v>85</v>
      </c>
      <c r="AD697" s="14">
        <f t="shared" si="248"/>
        <v>48.124000000000002</v>
      </c>
      <c r="AF697" s="14">
        <f t="shared" si="229"/>
        <v>9.6</v>
      </c>
      <c r="AH697" s="14">
        <f t="shared" si="242"/>
        <v>57.724000000000004</v>
      </c>
      <c r="AI697" s="13">
        <f t="shared" si="234"/>
        <v>238.28171428571426</v>
      </c>
      <c r="AK697" s="9">
        <f t="shared" si="235"/>
        <v>480</v>
      </c>
    </row>
    <row r="698" spans="1:37">
      <c r="A698" s="9">
        <v>4</v>
      </c>
      <c r="B698" s="9">
        <v>2024</v>
      </c>
      <c r="C698" s="9" t="s">
        <v>46</v>
      </c>
      <c r="D698" s="9" t="s">
        <v>47</v>
      </c>
      <c r="E698" s="9" t="s">
        <v>47</v>
      </c>
      <c r="F698" s="10">
        <v>45314</v>
      </c>
      <c r="G698" s="9" t="s">
        <v>155</v>
      </c>
      <c r="H698" s="9" t="s">
        <v>56</v>
      </c>
      <c r="I698" s="9">
        <v>1</v>
      </c>
      <c r="J698" s="11">
        <f t="shared" si="246"/>
        <v>12</v>
      </c>
      <c r="K698" s="9">
        <v>200</v>
      </c>
      <c r="L698" s="12">
        <v>0.15</v>
      </c>
      <c r="M698" s="12">
        <v>30</v>
      </c>
      <c r="N698" s="13" t="s">
        <v>49</v>
      </c>
      <c r="Q698" s="9">
        <f>IF(Auction_Sales[[#This Row],[Payment Date]]=0,"",-1+WEEKNUM(Auction_Sales[[#This Row],[Payment Date]]))</f>
        <v>4</v>
      </c>
      <c r="R698" s="9">
        <f t="shared" si="223"/>
        <v>200</v>
      </c>
      <c r="S698" s="1" t="str">
        <f t="shared" si="245"/>
        <v>Floribunda Roses</v>
      </c>
      <c r="T698" s="9" t="str">
        <f t="shared" si="245"/>
        <v>90CM</v>
      </c>
      <c r="W698" s="13">
        <f t="shared" si="221"/>
        <v>0</v>
      </c>
      <c r="X698" s="14">
        <f t="shared" si="247"/>
        <v>0</v>
      </c>
      <c r="Y698" s="13">
        <f t="shared" si="226"/>
        <v>0</v>
      </c>
      <c r="Z698" s="10">
        <v>45322</v>
      </c>
      <c r="AA698" s="9">
        <f t="shared" si="227"/>
        <v>-200</v>
      </c>
      <c r="AC698" s="9" t="s">
        <v>85</v>
      </c>
      <c r="AD698" s="14">
        <f t="shared" si="248"/>
        <v>48.124000000000002</v>
      </c>
      <c r="AF698" s="14">
        <f t="shared" si="229"/>
        <v>0</v>
      </c>
      <c r="AH698" s="14">
        <f t="shared" si="242"/>
        <v>48.124000000000002</v>
      </c>
      <c r="AI698" s="13">
        <f t="shared" si="234"/>
        <v>-48.124000000000002</v>
      </c>
      <c r="AK698" s="9">
        <f t="shared" si="235"/>
        <v>0</v>
      </c>
    </row>
    <row r="699" spans="1:37">
      <c r="A699" s="9">
        <v>4</v>
      </c>
      <c r="B699" s="9">
        <v>2024</v>
      </c>
      <c r="C699" s="9" t="s">
        <v>46</v>
      </c>
      <c r="D699" s="9" t="s">
        <v>47</v>
      </c>
      <c r="E699" s="9" t="s">
        <v>47</v>
      </c>
      <c r="F699" s="10">
        <v>45314</v>
      </c>
      <c r="G699" s="9" t="s">
        <v>153</v>
      </c>
      <c r="H699" s="9" t="s">
        <v>48</v>
      </c>
      <c r="I699" s="9">
        <v>1</v>
      </c>
      <c r="J699" s="11">
        <f t="shared" si="246"/>
        <v>12</v>
      </c>
      <c r="K699" s="9">
        <v>720</v>
      </c>
      <c r="L699" s="12">
        <v>0.15</v>
      </c>
      <c r="M699" s="12">
        <v>108</v>
      </c>
      <c r="N699" s="13" t="s">
        <v>49</v>
      </c>
      <c r="Q699" s="9">
        <f>IF(Auction_Sales[[#This Row],[Payment Date]]=0,"",-1+WEEKNUM(Auction_Sales[[#This Row],[Payment Date]]))</f>
        <v>4</v>
      </c>
      <c r="R699" s="9">
        <f>K699-U699</f>
        <v>240</v>
      </c>
      <c r="S699" s="1" t="str">
        <f t="shared" si="245"/>
        <v>Grandiflora Roses</v>
      </c>
      <c r="T699" s="9" t="str">
        <f t="shared" si="245"/>
        <v>60CM</v>
      </c>
      <c r="U699" s="9">
        <f>480</f>
        <v>480</v>
      </c>
      <c r="V699" s="13">
        <f>196.4/U699</f>
        <v>0.40916666666666668</v>
      </c>
      <c r="W699" s="13">
        <f t="shared" si="221"/>
        <v>196.4</v>
      </c>
      <c r="X699" s="14">
        <f t="shared" si="247"/>
        <v>-24.394285714285711</v>
      </c>
      <c r="Y699" s="13">
        <f t="shared" si="226"/>
        <v>172.0057142857143</v>
      </c>
      <c r="Z699" s="10">
        <v>45322</v>
      </c>
      <c r="AA699" s="9">
        <f t="shared" si="227"/>
        <v>-240</v>
      </c>
      <c r="AC699" s="9" t="s">
        <v>85</v>
      </c>
      <c r="AD699" s="14">
        <f t="shared" si="248"/>
        <v>48.124000000000002</v>
      </c>
      <c r="AF699" s="14">
        <f t="shared" si="229"/>
        <v>9.6</v>
      </c>
      <c r="AH699" s="14">
        <f t="shared" si="242"/>
        <v>57.724000000000004</v>
      </c>
      <c r="AI699" s="13">
        <f t="shared" si="234"/>
        <v>114.2817142857143</v>
      </c>
      <c r="AK699" s="9">
        <f t="shared" si="235"/>
        <v>480</v>
      </c>
    </row>
    <row r="700" spans="1:37">
      <c r="A700" s="9">
        <v>4</v>
      </c>
      <c r="B700" s="9">
        <v>2024</v>
      </c>
      <c r="C700" s="9" t="s">
        <v>46</v>
      </c>
      <c r="D700" s="9" t="s">
        <v>47</v>
      </c>
      <c r="E700" s="9" t="s">
        <v>47</v>
      </c>
      <c r="F700" s="10">
        <v>45314</v>
      </c>
      <c r="G700" s="9" t="s">
        <v>153</v>
      </c>
      <c r="H700" s="9" t="s">
        <v>52</v>
      </c>
      <c r="I700" s="9">
        <v>1</v>
      </c>
      <c r="J700" s="11">
        <f t="shared" si="246"/>
        <v>12</v>
      </c>
      <c r="K700" s="9">
        <v>600</v>
      </c>
      <c r="L700" s="12">
        <v>0.15</v>
      </c>
      <c r="M700" s="12">
        <v>90</v>
      </c>
      <c r="N700" s="13" t="s">
        <v>49</v>
      </c>
      <c r="Q700" s="9">
        <f>IF(Auction_Sales[[#This Row],[Payment Date]]=0,"",-1+WEEKNUM(Auction_Sales[[#This Row],[Payment Date]]))</f>
        <v>4</v>
      </c>
      <c r="R700" s="9">
        <f>K700-U700</f>
        <v>40</v>
      </c>
      <c r="S700" s="1" t="str">
        <f t="shared" si="245"/>
        <v>Grandiflora Roses</v>
      </c>
      <c r="T700" s="9" t="str">
        <f t="shared" si="245"/>
        <v>70CM</v>
      </c>
      <c r="U700" s="9">
        <f>280+280</f>
        <v>560</v>
      </c>
      <c r="V700" s="13">
        <f>(134.4+134.4)/U700</f>
        <v>0.48000000000000004</v>
      </c>
      <c r="W700" s="13">
        <f t="shared" si="221"/>
        <v>268.8</v>
      </c>
      <c r="X700" s="14">
        <f t="shared" si="247"/>
        <v>-28.459999999999997</v>
      </c>
      <c r="Y700" s="13">
        <f t="shared" si="226"/>
        <v>240.34</v>
      </c>
      <c r="Z700" s="10">
        <v>45322</v>
      </c>
      <c r="AA700" s="9">
        <f t="shared" si="227"/>
        <v>-40</v>
      </c>
      <c r="AC700" s="9" t="s">
        <v>85</v>
      </c>
      <c r="AD700" s="14">
        <f t="shared" si="248"/>
        <v>48.124000000000002</v>
      </c>
      <c r="AF700" s="14">
        <f t="shared" si="229"/>
        <v>11.200000000000001</v>
      </c>
      <c r="AH700" s="14">
        <f t="shared" si="242"/>
        <v>59.324000000000005</v>
      </c>
      <c r="AI700" s="13">
        <f t="shared" si="234"/>
        <v>181.01599999999999</v>
      </c>
      <c r="AK700" s="9">
        <f t="shared" si="235"/>
        <v>560</v>
      </c>
    </row>
    <row r="701" spans="1:37">
      <c r="A701" s="9">
        <v>4</v>
      </c>
      <c r="B701" s="9">
        <v>2024</v>
      </c>
      <c r="C701" s="9" t="s">
        <v>46</v>
      </c>
      <c r="D701" s="9" t="s">
        <v>47</v>
      </c>
      <c r="E701" s="9" t="s">
        <v>47</v>
      </c>
      <c r="F701" s="10">
        <v>45314</v>
      </c>
      <c r="G701" s="9" t="s">
        <v>153</v>
      </c>
      <c r="H701" s="9" t="s">
        <v>54</v>
      </c>
      <c r="I701" s="9">
        <v>1</v>
      </c>
      <c r="J701" s="11">
        <f t="shared" si="246"/>
        <v>12</v>
      </c>
      <c r="K701" s="9">
        <v>480</v>
      </c>
      <c r="L701" s="12">
        <v>0.15</v>
      </c>
      <c r="M701" s="12">
        <v>72</v>
      </c>
      <c r="N701" s="13" t="s">
        <v>49</v>
      </c>
      <c r="Q701" s="9">
        <f>IF(Auction_Sales[[#This Row],[Payment Date]]=0,"",-1+WEEKNUM(Auction_Sales[[#This Row],[Payment Date]]))</f>
        <v>4</v>
      </c>
      <c r="R701" s="9">
        <f t="shared" si="223"/>
        <v>480</v>
      </c>
      <c r="S701" s="1" t="str">
        <f t="shared" si="245"/>
        <v>Grandiflora Roses</v>
      </c>
      <c r="T701" s="9" t="str">
        <f t="shared" si="245"/>
        <v>80CM</v>
      </c>
      <c r="W701" s="13">
        <f t="shared" si="221"/>
        <v>0</v>
      </c>
      <c r="X701" s="14">
        <f t="shared" si="247"/>
        <v>0</v>
      </c>
      <c r="Y701" s="13">
        <f t="shared" si="226"/>
        <v>0</v>
      </c>
      <c r="Z701" s="10">
        <v>45322</v>
      </c>
      <c r="AA701" s="9">
        <f t="shared" si="227"/>
        <v>-480</v>
      </c>
      <c r="AC701" s="9" t="s">
        <v>85</v>
      </c>
      <c r="AD701" s="14">
        <f t="shared" si="248"/>
        <v>48.124000000000002</v>
      </c>
      <c r="AF701" s="14">
        <f t="shared" si="229"/>
        <v>0</v>
      </c>
      <c r="AH701" s="14">
        <f t="shared" si="242"/>
        <v>48.124000000000002</v>
      </c>
      <c r="AI701" s="13">
        <f t="shared" si="234"/>
        <v>-48.124000000000002</v>
      </c>
      <c r="AK701" s="9">
        <f t="shared" si="235"/>
        <v>0</v>
      </c>
    </row>
    <row r="702" spans="1:37">
      <c r="A702" s="9">
        <v>4</v>
      </c>
      <c r="B702" s="9">
        <v>2024</v>
      </c>
      <c r="C702" s="9" t="s">
        <v>46</v>
      </c>
      <c r="D702" s="9" t="s">
        <v>47</v>
      </c>
      <c r="E702" s="9" t="s">
        <v>47</v>
      </c>
      <c r="F702" s="10">
        <v>45314</v>
      </c>
      <c r="G702" s="9" t="s">
        <v>154</v>
      </c>
      <c r="H702" s="9" t="s">
        <v>48</v>
      </c>
      <c r="I702" s="9">
        <v>1</v>
      </c>
      <c r="J702" s="11">
        <f>K702/520*12</f>
        <v>7.384615384615385</v>
      </c>
      <c r="K702" s="9">
        <v>320</v>
      </c>
      <c r="L702" s="12">
        <v>0.15</v>
      </c>
      <c r="M702" s="12">
        <v>48</v>
      </c>
      <c r="N702" s="13" t="s">
        <v>49</v>
      </c>
      <c r="Q702" s="9">
        <f>IF(Auction_Sales[[#This Row],[Payment Date]]=0,"",-1+WEEKNUM(Auction_Sales[[#This Row],[Payment Date]]))</f>
        <v>4</v>
      </c>
      <c r="R702" s="9">
        <f t="shared" si="223"/>
        <v>0</v>
      </c>
      <c r="S702" s="1" t="str">
        <f t="shared" si="245"/>
        <v>English Roses</v>
      </c>
      <c r="T702" s="9" t="str">
        <f t="shared" si="245"/>
        <v>60CM</v>
      </c>
      <c r="U702" s="9">
        <v>320</v>
      </c>
      <c r="V702" s="13">
        <f>138.4/U702</f>
        <v>0.4325</v>
      </c>
      <c r="W702" s="13">
        <f t="shared" si="221"/>
        <v>138.4</v>
      </c>
      <c r="X702" s="14">
        <f t="shared" si="247"/>
        <v>-16.262857142857143</v>
      </c>
      <c r="Y702" s="13">
        <f t="shared" si="226"/>
        <v>122.13714285714286</v>
      </c>
      <c r="Z702" s="10">
        <v>45322</v>
      </c>
      <c r="AA702" s="9">
        <f t="shared" si="227"/>
        <v>0</v>
      </c>
      <c r="AC702" s="9" t="s">
        <v>85</v>
      </c>
      <c r="AD702" s="14">
        <f t="shared" si="248"/>
        <v>29.61476923076923</v>
      </c>
      <c r="AF702" s="14">
        <f t="shared" si="229"/>
        <v>6.4</v>
      </c>
      <c r="AH702" s="14">
        <f t="shared" si="242"/>
        <v>36.014769230769232</v>
      </c>
      <c r="AI702" s="13">
        <f t="shared" si="234"/>
        <v>86.12237362637363</v>
      </c>
      <c r="AK702" s="9">
        <f t="shared" si="235"/>
        <v>320</v>
      </c>
    </row>
    <row r="703" spans="1:37">
      <c r="A703" s="9">
        <v>4</v>
      </c>
      <c r="B703" s="9">
        <v>2024</v>
      </c>
      <c r="C703" s="9" t="s">
        <v>46</v>
      </c>
      <c r="D703" s="9" t="s">
        <v>47</v>
      </c>
      <c r="E703" s="9" t="s">
        <v>47</v>
      </c>
      <c r="F703" s="10">
        <v>45314</v>
      </c>
      <c r="G703" s="9" t="s">
        <v>154</v>
      </c>
      <c r="H703" s="9" t="s">
        <v>52</v>
      </c>
      <c r="J703" s="11">
        <f>K703/520*12</f>
        <v>4.6153846153846159</v>
      </c>
      <c r="K703" s="9">
        <v>200</v>
      </c>
      <c r="L703" s="12">
        <v>0.15</v>
      </c>
      <c r="M703" s="12">
        <v>30</v>
      </c>
      <c r="N703" s="13" t="s">
        <v>49</v>
      </c>
      <c r="Q703" s="9">
        <f>IF(Auction_Sales[[#This Row],[Payment Date]]=0,"",-1+WEEKNUM(Auction_Sales[[#This Row],[Payment Date]]))</f>
        <v>4</v>
      </c>
      <c r="R703" s="9">
        <f t="shared" si="223"/>
        <v>0</v>
      </c>
      <c r="S703" s="1" t="str">
        <f t="shared" si="245"/>
        <v>English Roses</v>
      </c>
      <c r="T703" s="9" t="str">
        <f t="shared" si="245"/>
        <v>70CM</v>
      </c>
      <c r="U703" s="9">
        <v>200</v>
      </c>
      <c r="V703" s="13">
        <f>123.2/U703</f>
        <v>0.61599999999999999</v>
      </c>
      <c r="W703" s="13">
        <f t="shared" si="221"/>
        <v>123.2</v>
      </c>
      <c r="X703" s="14">
        <f t="shared" si="247"/>
        <v>-10.164285714285715</v>
      </c>
      <c r="Y703" s="13">
        <f t="shared" si="226"/>
        <v>113.03571428571429</v>
      </c>
      <c r="Z703" s="10">
        <v>45322</v>
      </c>
      <c r="AA703" s="9">
        <f t="shared" si="227"/>
        <v>0</v>
      </c>
      <c r="AC703" s="9" t="s">
        <v>85</v>
      </c>
      <c r="AD703" s="14">
        <f t="shared" si="248"/>
        <v>18.509230769230772</v>
      </c>
      <c r="AF703" s="14">
        <f t="shared" si="229"/>
        <v>4</v>
      </c>
      <c r="AH703" s="14">
        <f t="shared" si="242"/>
        <v>22.509230769230772</v>
      </c>
      <c r="AI703" s="13">
        <f t="shared" si="234"/>
        <v>90.526483516483523</v>
      </c>
      <c r="AK703" s="9">
        <f t="shared" si="235"/>
        <v>200</v>
      </c>
    </row>
    <row r="704" spans="1:37">
      <c r="A704" s="9">
        <v>4</v>
      </c>
      <c r="B704" s="9">
        <v>2024</v>
      </c>
      <c r="C704" s="9" t="s">
        <v>46</v>
      </c>
      <c r="D704" s="9" t="s">
        <v>47</v>
      </c>
      <c r="E704" s="9" t="s">
        <v>47</v>
      </c>
      <c r="F704" s="10">
        <v>45314</v>
      </c>
      <c r="G704" s="9" t="s">
        <v>153</v>
      </c>
      <c r="H704" s="9" t="s">
        <v>48</v>
      </c>
      <c r="I704" s="9">
        <v>1</v>
      </c>
      <c r="J704" s="11">
        <f>K704/480*12</f>
        <v>5</v>
      </c>
      <c r="K704" s="9">
        <v>200</v>
      </c>
      <c r="L704" s="12">
        <v>0.15</v>
      </c>
      <c r="M704" s="12">
        <v>30</v>
      </c>
      <c r="N704" s="13" t="s">
        <v>49</v>
      </c>
      <c r="Q704" s="9">
        <f>IF(Auction_Sales[[#This Row],[Payment Date]]=0,"",-1+WEEKNUM(Auction_Sales[[#This Row],[Payment Date]]))</f>
        <v>4</v>
      </c>
      <c r="R704" s="9">
        <f t="shared" si="223"/>
        <v>-280</v>
      </c>
      <c r="S704" s="1" t="str">
        <f t="shared" si="245"/>
        <v>Grandiflora Roses</v>
      </c>
      <c r="T704" s="9" t="str">
        <f t="shared" si="245"/>
        <v>60CM</v>
      </c>
      <c r="U704" s="9">
        <f>480</f>
        <v>480</v>
      </c>
      <c r="V704" s="13">
        <f>202/U704</f>
        <v>0.42083333333333334</v>
      </c>
      <c r="W704" s="13">
        <f t="shared" si="221"/>
        <v>202</v>
      </c>
      <c r="X704" s="14">
        <f t="shared" si="247"/>
        <v>-24.394285714285711</v>
      </c>
      <c r="Y704" s="13">
        <f t="shared" si="226"/>
        <v>177.6057142857143</v>
      </c>
      <c r="Z704" s="10">
        <v>45322</v>
      </c>
      <c r="AA704" s="9">
        <f t="shared" si="227"/>
        <v>280</v>
      </c>
      <c r="AC704" s="9" t="s">
        <v>85</v>
      </c>
      <c r="AD704" s="14">
        <f t="shared" si="248"/>
        <v>20.051666666666666</v>
      </c>
      <c r="AF704" s="14">
        <f t="shared" si="229"/>
        <v>9.6</v>
      </c>
      <c r="AH704" s="14">
        <f t="shared" si="242"/>
        <v>29.651666666666664</v>
      </c>
      <c r="AI704" s="13">
        <f t="shared" si="234"/>
        <v>147.95404761904763</v>
      </c>
      <c r="AK704" s="9">
        <f t="shared" si="235"/>
        <v>480</v>
      </c>
    </row>
    <row r="705" spans="1:37">
      <c r="A705" s="9">
        <v>4</v>
      </c>
      <c r="B705" s="9">
        <v>2024</v>
      </c>
      <c r="C705" s="9" t="s">
        <v>46</v>
      </c>
      <c r="D705" s="9" t="s">
        <v>47</v>
      </c>
      <c r="E705" s="9" t="s">
        <v>47</v>
      </c>
      <c r="F705" s="10">
        <v>45314</v>
      </c>
      <c r="G705" s="9" t="s">
        <v>153</v>
      </c>
      <c r="H705" s="9" t="s">
        <v>54</v>
      </c>
      <c r="J705" s="11">
        <f t="shared" ref="J705:J706" si="249">K705/480*12</f>
        <v>3</v>
      </c>
      <c r="K705" s="9">
        <v>120</v>
      </c>
      <c r="L705" s="12">
        <v>0.15</v>
      </c>
      <c r="M705" s="12">
        <v>18</v>
      </c>
      <c r="N705" s="13" t="s">
        <v>49</v>
      </c>
      <c r="Q705" s="9">
        <f>IF(Auction_Sales[[#This Row],[Payment Date]]=0,"",-1+WEEKNUM(Auction_Sales[[#This Row],[Payment Date]]))</f>
        <v>4</v>
      </c>
      <c r="R705" s="9">
        <f t="shared" si="223"/>
        <v>-480</v>
      </c>
      <c r="S705" s="1" t="str">
        <f t="shared" si="245"/>
        <v>Grandiflora Roses</v>
      </c>
      <c r="T705" s="9" t="str">
        <f t="shared" si="245"/>
        <v>80CM</v>
      </c>
      <c r="U705" s="9">
        <v>600</v>
      </c>
      <c r="V705" s="13">
        <f>394.8/U705</f>
        <v>0.65800000000000003</v>
      </c>
      <c r="W705" s="13">
        <f t="shared" si="221"/>
        <v>394.8</v>
      </c>
      <c r="X705" s="14">
        <f t="shared" si="247"/>
        <v>-30.492857142857144</v>
      </c>
      <c r="Y705" s="13">
        <f t="shared" si="226"/>
        <v>364.30714285714288</v>
      </c>
      <c r="Z705" s="10">
        <v>45322</v>
      </c>
      <c r="AA705" s="9">
        <f t="shared" si="227"/>
        <v>480</v>
      </c>
      <c r="AC705" s="9" t="s">
        <v>85</v>
      </c>
      <c r="AD705" s="14">
        <f t="shared" si="248"/>
        <v>12.031000000000001</v>
      </c>
      <c r="AF705" s="14">
        <f t="shared" si="229"/>
        <v>12</v>
      </c>
      <c r="AH705" s="14">
        <f t="shared" si="242"/>
        <v>24.030999999999999</v>
      </c>
      <c r="AI705" s="13">
        <f t="shared" si="234"/>
        <v>340.27614285714287</v>
      </c>
      <c r="AK705" s="9">
        <f t="shared" si="235"/>
        <v>600</v>
      </c>
    </row>
    <row r="706" spans="1:37">
      <c r="A706" s="9">
        <v>4</v>
      </c>
      <c r="B706" s="9">
        <v>2024</v>
      </c>
      <c r="C706" s="9" t="s">
        <v>46</v>
      </c>
      <c r="D706" s="9" t="s">
        <v>47</v>
      </c>
      <c r="E706" s="9" t="s">
        <v>47</v>
      </c>
      <c r="F706" s="10">
        <v>45314</v>
      </c>
      <c r="G706" s="9" t="s">
        <v>153</v>
      </c>
      <c r="H706" s="9" t="s">
        <v>56</v>
      </c>
      <c r="J706" s="11">
        <f t="shared" si="249"/>
        <v>4</v>
      </c>
      <c r="K706" s="9">
        <v>160</v>
      </c>
      <c r="L706" s="12">
        <v>0.15</v>
      </c>
      <c r="M706" s="12">
        <v>24</v>
      </c>
      <c r="N706" s="13" t="s">
        <v>49</v>
      </c>
      <c r="Q706" s="9">
        <f>IF(Auction_Sales[[#This Row],[Payment Date]]=0,"",-1+WEEKNUM(Auction_Sales[[#This Row],[Payment Date]]))</f>
        <v>4</v>
      </c>
      <c r="R706" s="9">
        <f t="shared" si="223"/>
        <v>0</v>
      </c>
      <c r="S706" s="1" t="str">
        <f t="shared" si="245"/>
        <v>Grandiflora Roses</v>
      </c>
      <c r="T706" s="9" t="str">
        <f t="shared" si="245"/>
        <v>90CM</v>
      </c>
      <c r="U706" s="9">
        <v>160</v>
      </c>
      <c r="V706" s="13">
        <f>120/U706</f>
        <v>0.75</v>
      </c>
      <c r="W706" s="13">
        <f t="shared" si="221"/>
        <v>120</v>
      </c>
      <c r="X706" s="14">
        <f t="shared" si="247"/>
        <v>-8.1314285714285717</v>
      </c>
      <c r="Y706" s="13">
        <f t="shared" si="226"/>
        <v>111.86857142857143</v>
      </c>
      <c r="Z706" s="10">
        <v>45322</v>
      </c>
      <c r="AA706" s="9">
        <f t="shared" si="227"/>
        <v>0</v>
      </c>
      <c r="AC706" s="9" t="s">
        <v>85</v>
      </c>
      <c r="AD706" s="14">
        <f t="shared" si="248"/>
        <v>16.041333333333334</v>
      </c>
      <c r="AF706" s="14">
        <f t="shared" si="229"/>
        <v>3.2</v>
      </c>
      <c r="AH706" s="14">
        <f t="shared" si="242"/>
        <v>19.241333333333333</v>
      </c>
      <c r="AI706" s="13">
        <f t="shared" si="234"/>
        <v>92.627238095238098</v>
      </c>
      <c r="AK706" s="9">
        <f t="shared" si="235"/>
        <v>160</v>
      </c>
    </row>
    <row r="707" spans="1:37">
      <c r="A707" s="9">
        <v>4</v>
      </c>
      <c r="B707" s="9">
        <v>2024</v>
      </c>
      <c r="C707" s="9" t="s">
        <v>46</v>
      </c>
      <c r="D707" s="9" t="s">
        <v>47</v>
      </c>
      <c r="E707" s="9" t="s">
        <v>47</v>
      </c>
      <c r="F707" s="10">
        <v>45314</v>
      </c>
      <c r="G707" s="9" t="s">
        <v>155</v>
      </c>
      <c r="H707" s="9" t="s">
        <v>56</v>
      </c>
      <c r="I707" s="9">
        <v>1</v>
      </c>
      <c r="J707" s="11">
        <f>K707/280*12</f>
        <v>6.8571428571428568</v>
      </c>
      <c r="K707" s="9">
        <v>160</v>
      </c>
      <c r="L707" s="12">
        <v>0.15</v>
      </c>
      <c r="M707" s="12">
        <v>24</v>
      </c>
      <c r="N707" s="13" t="s">
        <v>49</v>
      </c>
      <c r="Q707" s="9">
        <f>IF(Auction_Sales[[#This Row],[Payment Date]]=0,"",-1+WEEKNUM(Auction_Sales[[#This Row],[Payment Date]]))</f>
        <v>4</v>
      </c>
      <c r="R707" s="9">
        <f t="shared" si="223"/>
        <v>-200</v>
      </c>
      <c r="S707" s="1" t="str">
        <f t="shared" si="245"/>
        <v>Floribunda Roses</v>
      </c>
      <c r="T707" s="9" t="str">
        <f t="shared" si="245"/>
        <v>90CM</v>
      </c>
      <c r="U707" s="9">
        <f>360</f>
        <v>360</v>
      </c>
      <c r="V707" s="13">
        <f>284.4/U707</f>
        <v>0.78999999999999992</v>
      </c>
      <c r="W707" s="13">
        <f t="shared" si="221"/>
        <v>284.39999999999998</v>
      </c>
      <c r="X707" s="14">
        <f t="shared" si="247"/>
        <v>-18.295714285714286</v>
      </c>
      <c r="Y707" s="13">
        <f t="shared" si="226"/>
        <v>266.10428571428571</v>
      </c>
      <c r="Z707" s="10">
        <v>45322</v>
      </c>
      <c r="AA707" s="9">
        <f t="shared" si="227"/>
        <v>200</v>
      </c>
      <c r="AC707" s="9" t="s">
        <v>85</v>
      </c>
      <c r="AD707" s="14">
        <f t="shared" si="248"/>
        <v>27.49942857142857</v>
      </c>
      <c r="AF707" s="14">
        <f t="shared" si="229"/>
        <v>7.2</v>
      </c>
      <c r="AH707" s="14">
        <f t="shared" si="242"/>
        <v>34.69942857142857</v>
      </c>
      <c r="AI707" s="13">
        <f t="shared" si="234"/>
        <v>231.40485714285714</v>
      </c>
      <c r="AK707" s="9">
        <f t="shared" si="235"/>
        <v>360</v>
      </c>
    </row>
    <row r="708" spans="1:37">
      <c r="A708" s="9">
        <v>4</v>
      </c>
      <c r="B708" s="9">
        <v>2024</v>
      </c>
      <c r="C708" s="9" t="s">
        <v>46</v>
      </c>
      <c r="D708" s="9" t="s">
        <v>47</v>
      </c>
      <c r="E708" s="9" t="s">
        <v>47</v>
      </c>
      <c r="F708" s="10">
        <v>45314</v>
      </c>
      <c r="G708" s="9" t="s">
        <v>155</v>
      </c>
      <c r="H708" s="9" t="s">
        <v>60</v>
      </c>
      <c r="J708" s="11">
        <f>K708/280*12</f>
        <v>5.1428571428571423</v>
      </c>
      <c r="K708" s="9">
        <v>120</v>
      </c>
      <c r="L708" s="12">
        <v>0.15</v>
      </c>
      <c r="M708" s="12">
        <v>18</v>
      </c>
      <c r="N708" s="13" t="s">
        <v>49</v>
      </c>
      <c r="Q708" s="9">
        <f>IF(Auction_Sales[[#This Row],[Payment Date]]=0,"",-1+WEEKNUM(Auction_Sales[[#This Row],[Payment Date]]))</f>
        <v>4</v>
      </c>
      <c r="R708" s="9">
        <f t="shared" si="223"/>
        <v>-40</v>
      </c>
      <c r="S708" s="1" t="str">
        <f t="shared" si="245"/>
        <v>Floribunda Roses</v>
      </c>
      <c r="T708" s="9" t="str">
        <f t="shared" si="245"/>
        <v>110CM</v>
      </c>
      <c r="U708" s="9">
        <v>160</v>
      </c>
      <c r="V708" s="13">
        <f>139.2/U708</f>
        <v>0.86999999999999988</v>
      </c>
      <c r="W708" s="13">
        <f t="shared" si="221"/>
        <v>139.19999999999999</v>
      </c>
      <c r="X708" s="14">
        <f t="shared" si="247"/>
        <v>-8.1314285714285717</v>
      </c>
      <c r="Y708" s="13">
        <f t="shared" si="226"/>
        <v>131.06857142857143</v>
      </c>
      <c r="Z708" s="10">
        <v>45322</v>
      </c>
      <c r="AA708" s="9">
        <f t="shared" si="227"/>
        <v>40</v>
      </c>
      <c r="AC708" s="9" t="s">
        <v>85</v>
      </c>
      <c r="AD708" s="14">
        <f t="shared" si="248"/>
        <v>20.624571428571425</v>
      </c>
      <c r="AF708" s="14">
        <f t="shared" si="229"/>
        <v>3.2</v>
      </c>
      <c r="AH708" s="14">
        <f t="shared" si="242"/>
        <v>23.824571428571424</v>
      </c>
      <c r="AI708" s="13">
        <f t="shared" si="234"/>
        <v>107.244</v>
      </c>
      <c r="AK708" s="9">
        <f t="shared" si="235"/>
        <v>160</v>
      </c>
    </row>
    <row r="709" spans="1:37">
      <c r="A709" s="9">
        <v>4</v>
      </c>
      <c r="B709" s="9">
        <v>2024</v>
      </c>
      <c r="C709" s="9" t="s">
        <v>46</v>
      </c>
      <c r="D709" s="9" t="s">
        <v>47</v>
      </c>
      <c r="E709" s="9" t="s">
        <v>47</v>
      </c>
      <c r="F709" s="10">
        <v>45314</v>
      </c>
      <c r="G709" s="9" t="s">
        <v>157</v>
      </c>
      <c r="H709" s="9" t="s">
        <v>48</v>
      </c>
      <c r="I709" s="9">
        <v>1</v>
      </c>
      <c r="J709" s="11">
        <f>K709/440*12</f>
        <v>6.545454545454545</v>
      </c>
      <c r="K709" s="11">
        <v>240</v>
      </c>
      <c r="L709" s="12">
        <v>0.15</v>
      </c>
      <c r="M709" s="12">
        <v>36</v>
      </c>
      <c r="N709" s="13" t="s">
        <v>49</v>
      </c>
      <c r="Q709" s="9">
        <f>IF(Auction_Sales[[#This Row],[Payment Date]]=0,"",-1+WEEKNUM(Auction_Sales[[#This Row],[Payment Date]]))</f>
        <v>4</v>
      </c>
      <c r="R709" s="9">
        <f>K709-U709</f>
        <v>0</v>
      </c>
      <c r="S709" s="9" t="s">
        <v>157</v>
      </c>
      <c r="T709" s="9" t="str">
        <f t="shared" si="245"/>
        <v>60CM</v>
      </c>
      <c r="U709" s="9">
        <v>240</v>
      </c>
      <c r="V709" s="13">
        <f>153.6/U709</f>
        <v>0.64</v>
      </c>
      <c r="W709" s="13">
        <f t="shared" si="221"/>
        <v>153.6</v>
      </c>
      <c r="X709" s="14">
        <f t="shared" si="247"/>
        <v>-12.197142857142856</v>
      </c>
      <c r="Y709" s="13">
        <f t="shared" si="226"/>
        <v>141.40285714285713</v>
      </c>
      <c r="Z709" s="10">
        <v>45322</v>
      </c>
      <c r="AA709" s="9">
        <f t="shared" si="227"/>
        <v>0</v>
      </c>
      <c r="AC709" s="9" t="s">
        <v>85</v>
      </c>
      <c r="AD709" s="14">
        <f t="shared" si="248"/>
        <v>26.249454545454544</v>
      </c>
      <c r="AF709" s="14">
        <f t="shared" si="229"/>
        <v>4.8</v>
      </c>
      <c r="AH709" s="14">
        <f t="shared" si="242"/>
        <v>31.049454545454545</v>
      </c>
      <c r="AI709" s="13">
        <f t="shared" si="234"/>
        <v>110.35340259740258</v>
      </c>
      <c r="AK709" s="9">
        <f t="shared" si="235"/>
        <v>240</v>
      </c>
    </row>
    <row r="710" spans="1:37">
      <c r="A710" s="9">
        <v>4</v>
      </c>
      <c r="B710" s="9">
        <v>2024</v>
      </c>
      <c r="C710" s="9" t="s">
        <v>46</v>
      </c>
      <c r="D710" s="9" t="s">
        <v>47</v>
      </c>
      <c r="E710" s="9" t="s">
        <v>47</v>
      </c>
      <c r="F710" s="10">
        <v>45314</v>
      </c>
      <c r="G710" s="9" t="s">
        <v>157</v>
      </c>
      <c r="H710" s="9" t="s">
        <v>52</v>
      </c>
      <c r="J710" s="11">
        <f t="shared" ref="J710:J711" si="250">K710/440*12</f>
        <v>3.2727272727272725</v>
      </c>
      <c r="K710" s="11">
        <v>120</v>
      </c>
      <c r="L710" s="12">
        <v>0.15</v>
      </c>
      <c r="M710" s="12">
        <v>18</v>
      </c>
      <c r="N710" s="13" t="s">
        <v>49</v>
      </c>
      <c r="Q710" s="9">
        <f>IF(Auction_Sales[[#This Row],[Payment Date]]=0,"",-1+WEEKNUM(Auction_Sales[[#This Row],[Payment Date]]))</f>
        <v>4</v>
      </c>
      <c r="R710" s="9">
        <f t="shared" si="223"/>
        <v>0</v>
      </c>
      <c r="S710" s="9" t="s">
        <v>157</v>
      </c>
      <c r="T710" s="9" t="str">
        <f t="shared" si="245"/>
        <v>70CM</v>
      </c>
      <c r="U710" s="9">
        <v>120</v>
      </c>
      <c r="V710" s="13">
        <f>93.6/U710</f>
        <v>0.77999999999999992</v>
      </c>
      <c r="W710" s="13">
        <f t="shared" si="221"/>
        <v>93.6</v>
      </c>
      <c r="X710" s="14">
        <f t="shared" si="247"/>
        <v>-6.0985714285714279</v>
      </c>
      <c r="Y710" s="13">
        <f t="shared" si="226"/>
        <v>87.501428571428562</v>
      </c>
      <c r="Z710" s="10">
        <v>45322</v>
      </c>
      <c r="AA710" s="9">
        <f t="shared" si="227"/>
        <v>0</v>
      </c>
      <c r="AC710" s="9" t="s">
        <v>85</v>
      </c>
      <c r="AD710" s="14">
        <f t="shared" si="248"/>
        <v>13.124727272727272</v>
      </c>
      <c r="AF710" s="14">
        <f t="shared" si="229"/>
        <v>2.4</v>
      </c>
      <c r="AH710" s="14">
        <f t="shared" si="242"/>
        <v>15.524727272727272</v>
      </c>
      <c r="AI710" s="13">
        <f t="shared" si="234"/>
        <v>71.976701298701286</v>
      </c>
      <c r="AK710" s="9">
        <f t="shared" si="235"/>
        <v>120</v>
      </c>
    </row>
    <row r="711" spans="1:37">
      <c r="A711" s="9">
        <v>4</v>
      </c>
      <c r="B711" s="9">
        <v>2024</v>
      </c>
      <c r="C711" s="9" t="s">
        <v>46</v>
      </c>
      <c r="D711" s="9" t="s">
        <v>47</v>
      </c>
      <c r="E711" s="9" t="s">
        <v>47</v>
      </c>
      <c r="F711" s="10">
        <v>45314</v>
      </c>
      <c r="G711" s="9" t="s">
        <v>157</v>
      </c>
      <c r="H711" s="9" t="s">
        <v>54</v>
      </c>
      <c r="J711" s="11">
        <f t="shared" si="250"/>
        <v>2.1818181818181817</v>
      </c>
      <c r="K711" s="11">
        <v>80</v>
      </c>
      <c r="L711" s="12">
        <v>0.15</v>
      </c>
      <c r="M711" s="12">
        <v>12</v>
      </c>
      <c r="N711" s="13" t="s">
        <v>49</v>
      </c>
      <c r="Q711" s="9">
        <f>IF(Auction_Sales[[#This Row],[Payment Date]]=0,"",-1+WEEKNUM(Auction_Sales[[#This Row],[Payment Date]]))</f>
        <v>4</v>
      </c>
      <c r="R711" s="9">
        <f>K711-U711</f>
        <v>0</v>
      </c>
      <c r="S711" s="9" t="s">
        <v>157</v>
      </c>
      <c r="T711" s="9" t="str">
        <f t="shared" si="245"/>
        <v>80CM</v>
      </c>
      <c r="U711" s="9">
        <v>80</v>
      </c>
      <c r="V711" s="13">
        <f>65.2/U711</f>
        <v>0.81500000000000006</v>
      </c>
      <c r="W711" s="13">
        <f t="shared" si="221"/>
        <v>65.2</v>
      </c>
      <c r="X711" s="14">
        <f t="shared" si="247"/>
        <v>-4.0657142857142858</v>
      </c>
      <c r="Y711" s="13">
        <f t="shared" si="226"/>
        <v>61.134285714285717</v>
      </c>
      <c r="Z711" s="10">
        <v>45322</v>
      </c>
      <c r="AA711" s="9">
        <f t="shared" si="227"/>
        <v>0</v>
      </c>
      <c r="AC711" s="9" t="s">
        <v>85</v>
      </c>
      <c r="AD711" s="14">
        <f t="shared" si="248"/>
        <v>8.7498181818181813</v>
      </c>
      <c r="AF711" s="14">
        <f t="shared" si="229"/>
        <v>1.6</v>
      </c>
      <c r="AH711" s="14">
        <f t="shared" si="242"/>
        <v>10.349818181818181</v>
      </c>
      <c r="AI711" s="13">
        <f t="shared" si="234"/>
        <v>50.784467532467538</v>
      </c>
      <c r="AK711" s="9">
        <f t="shared" si="235"/>
        <v>80</v>
      </c>
    </row>
    <row r="712" spans="1:37">
      <c r="A712" s="9">
        <v>4</v>
      </c>
      <c r="B712" s="9">
        <v>2024</v>
      </c>
      <c r="C712" s="9" t="s">
        <v>46</v>
      </c>
      <c r="D712" s="9" t="s">
        <v>47</v>
      </c>
      <c r="E712" s="9" t="s">
        <v>47</v>
      </c>
      <c r="F712" s="10">
        <v>45314</v>
      </c>
      <c r="G712" s="9" t="s">
        <v>155</v>
      </c>
      <c r="H712" s="9" t="s">
        <v>54</v>
      </c>
      <c r="I712" s="9">
        <v>1</v>
      </c>
      <c r="J712" s="11">
        <f>K712/280*12</f>
        <v>6.8571428571428568</v>
      </c>
      <c r="K712" s="11">
        <v>160</v>
      </c>
      <c r="L712" s="12">
        <v>0.15</v>
      </c>
      <c r="M712" s="12">
        <v>24</v>
      </c>
      <c r="N712" s="13" t="s">
        <v>49</v>
      </c>
      <c r="Q712" s="9">
        <f>IF(Auction_Sales[[#This Row],[Payment Date]]=0,"",-1+WEEKNUM(Auction_Sales[[#This Row],[Payment Date]]))</f>
        <v>4</v>
      </c>
      <c r="R712" s="9">
        <f>K712-U712</f>
        <v>80</v>
      </c>
      <c r="S712" s="1" t="str">
        <f t="shared" si="245"/>
        <v>Floribunda Roses</v>
      </c>
      <c r="T712" s="9" t="str">
        <f t="shared" si="245"/>
        <v>80CM</v>
      </c>
      <c r="U712" s="9">
        <v>80</v>
      </c>
      <c r="V712" s="13">
        <f>66.4/U712</f>
        <v>0.83000000000000007</v>
      </c>
      <c r="W712" s="13">
        <f t="shared" si="221"/>
        <v>66.400000000000006</v>
      </c>
      <c r="X712" s="14">
        <f t="shared" si="247"/>
        <v>-4.0657142857142858</v>
      </c>
      <c r="Y712" s="13">
        <f t="shared" si="226"/>
        <v>62.33428571428572</v>
      </c>
      <c r="Z712" s="10">
        <v>45322</v>
      </c>
      <c r="AA712" s="9">
        <f t="shared" si="227"/>
        <v>-80</v>
      </c>
      <c r="AC712" s="9" t="s">
        <v>85</v>
      </c>
      <c r="AD712" s="14">
        <f t="shared" si="248"/>
        <v>27.49942857142857</v>
      </c>
      <c r="AF712" s="14">
        <f t="shared" si="229"/>
        <v>1.6</v>
      </c>
      <c r="AH712" s="14">
        <f t="shared" si="242"/>
        <v>29.099428571428572</v>
      </c>
      <c r="AI712" s="13">
        <f t="shared" si="234"/>
        <v>33.234857142857152</v>
      </c>
      <c r="AK712" s="9">
        <f t="shared" si="235"/>
        <v>80</v>
      </c>
    </row>
    <row r="713" spans="1:37">
      <c r="A713" s="9">
        <v>4</v>
      </c>
      <c r="B713" s="9">
        <v>2024</v>
      </c>
      <c r="C713" s="9" t="s">
        <v>46</v>
      </c>
      <c r="D713" s="9" t="s">
        <v>47</v>
      </c>
      <c r="E713" s="9" t="s">
        <v>47</v>
      </c>
      <c r="F713" s="10">
        <v>45314</v>
      </c>
      <c r="G713" s="9" t="s">
        <v>155</v>
      </c>
      <c r="H713" s="9" t="s">
        <v>57</v>
      </c>
      <c r="J713" s="11">
        <f t="shared" ref="J713:J714" si="251">K713/280*12</f>
        <v>3.4285714285714284</v>
      </c>
      <c r="K713" s="11">
        <v>80</v>
      </c>
      <c r="L713" s="12">
        <v>0.15</v>
      </c>
      <c r="M713" s="12">
        <v>12</v>
      </c>
      <c r="N713" s="13" t="s">
        <v>49</v>
      </c>
      <c r="Q713" s="9">
        <f>IF(Auction_Sales[[#This Row],[Payment Date]]=0,"",-1+WEEKNUM(Auction_Sales[[#This Row],[Payment Date]]))</f>
        <v>4</v>
      </c>
      <c r="R713" s="9">
        <f t="shared" ref="R713:R714" si="252">K713-U713</f>
        <v>80</v>
      </c>
      <c r="S713" s="1" t="str">
        <f t="shared" si="245"/>
        <v>Floribunda Roses</v>
      </c>
      <c r="T713" s="9" t="str">
        <f t="shared" si="245"/>
        <v>100CM</v>
      </c>
      <c r="W713" s="13">
        <f t="shared" si="221"/>
        <v>0</v>
      </c>
      <c r="X713" s="14">
        <f t="shared" si="247"/>
        <v>0</v>
      </c>
      <c r="Y713" s="13">
        <f t="shared" si="226"/>
        <v>0</v>
      </c>
      <c r="Z713" s="10">
        <v>45322</v>
      </c>
      <c r="AA713" s="9">
        <f t="shared" si="227"/>
        <v>-80</v>
      </c>
      <c r="AC713" s="9" t="s">
        <v>85</v>
      </c>
      <c r="AD713" s="14">
        <f t="shared" si="248"/>
        <v>13.749714285714285</v>
      </c>
      <c r="AF713" s="14">
        <f t="shared" si="229"/>
        <v>0</v>
      </c>
      <c r="AH713" s="14">
        <f t="shared" si="242"/>
        <v>13.749714285714285</v>
      </c>
      <c r="AI713" s="13">
        <f t="shared" si="234"/>
        <v>-13.749714285714285</v>
      </c>
      <c r="AK713" s="9">
        <f t="shared" si="235"/>
        <v>0</v>
      </c>
    </row>
    <row r="714" spans="1:37">
      <c r="A714" s="9">
        <v>4</v>
      </c>
      <c r="B714" s="9">
        <v>2024</v>
      </c>
      <c r="C714" s="9" t="s">
        <v>46</v>
      </c>
      <c r="D714" s="9" t="s">
        <v>47</v>
      </c>
      <c r="E714" s="9" t="s">
        <v>47</v>
      </c>
      <c r="F714" s="10">
        <v>45314</v>
      </c>
      <c r="G714" s="9" t="s">
        <v>155</v>
      </c>
      <c r="H714" s="9" t="s">
        <v>60</v>
      </c>
      <c r="J714" s="11">
        <f t="shared" si="251"/>
        <v>1.7142857142857142</v>
      </c>
      <c r="K714" s="11">
        <v>40</v>
      </c>
      <c r="L714" s="12">
        <v>0.15</v>
      </c>
      <c r="M714" s="12">
        <v>6</v>
      </c>
      <c r="N714" s="13" t="s">
        <v>49</v>
      </c>
      <c r="Q714" s="9">
        <f>IF(Auction_Sales[[#This Row],[Payment Date]]=0,"",-1+WEEKNUM(Auction_Sales[[#This Row],[Payment Date]]))</f>
        <v>4</v>
      </c>
      <c r="R714" s="9">
        <f t="shared" si="252"/>
        <v>40</v>
      </c>
      <c r="S714" s="1" t="str">
        <f t="shared" si="245"/>
        <v>Floribunda Roses</v>
      </c>
      <c r="T714" s="9" t="str">
        <f t="shared" si="245"/>
        <v>110CM</v>
      </c>
      <c r="W714" s="13">
        <f t="shared" si="221"/>
        <v>0</v>
      </c>
      <c r="X714" s="14">
        <f t="shared" si="247"/>
        <v>0</v>
      </c>
      <c r="Y714" s="13">
        <f t="shared" si="226"/>
        <v>0</v>
      </c>
      <c r="Z714" s="10">
        <v>45322</v>
      </c>
      <c r="AA714" s="9">
        <f t="shared" si="227"/>
        <v>-40</v>
      </c>
      <c r="AC714" s="9" t="s">
        <v>85</v>
      </c>
      <c r="AD714" s="14">
        <f t="shared" si="248"/>
        <v>6.8748571428571426</v>
      </c>
      <c r="AF714" s="14">
        <f t="shared" si="229"/>
        <v>0</v>
      </c>
      <c r="AH714" s="14">
        <f t="shared" si="242"/>
        <v>6.8748571428571426</v>
      </c>
      <c r="AI714" s="13">
        <f t="shared" si="234"/>
        <v>-6.8748571428571426</v>
      </c>
      <c r="AK714" s="9">
        <f t="shared" si="235"/>
        <v>0</v>
      </c>
    </row>
    <row r="715" spans="1:37">
      <c r="A715" s="9">
        <v>4</v>
      </c>
      <c r="B715" s="9">
        <v>2024</v>
      </c>
      <c r="C715" s="9" t="s">
        <v>46</v>
      </c>
      <c r="D715" s="9" t="s">
        <v>47</v>
      </c>
      <c r="E715" s="9" t="s">
        <v>47</v>
      </c>
      <c r="F715" s="10">
        <v>45316</v>
      </c>
      <c r="G715" s="9" t="s">
        <v>155</v>
      </c>
      <c r="H715" s="9" t="s">
        <v>48</v>
      </c>
      <c r="I715" s="9">
        <v>2</v>
      </c>
      <c r="J715" s="11">
        <f>I715*12</f>
        <v>24</v>
      </c>
      <c r="K715" s="11">
        <v>1040</v>
      </c>
      <c r="L715" s="12">
        <v>0.15</v>
      </c>
      <c r="M715" s="12">
        <v>156</v>
      </c>
      <c r="N715" s="13" t="s">
        <v>49</v>
      </c>
      <c r="Q715" s="9">
        <f>IF(Auction_Sales[[#This Row],[Payment Date]]=0,"",-1+WEEKNUM(Auction_Sales[[#This Row],[Payment Date]]))</f>
        <v>5</v>
      </c>
      <c r="R715" s="9">
        <f t="shared" si="223"/>
        <v>0</v>
      </c>
      <c r="S715" s="1" t="str">
        <f t="shared" si="245"/>
        <v>Floribunda Roses</v>
      </c>
      <c r="T715" s="9" t="str">
        <f t="shared" si="245"/>
        <v>60CM</v>
      </c>
      <c r="U715" s="9">
        <f>520+520</f>
        <v>1040</v>
      </c>
      <c r="V715" s="13">
        <f>(376.4+346)/U715</f>
        <v>0.69461538461538463</v>
      </c>
      <c r="W715" s="13">
        <f t="shared" si="221"/>
        <v>722.4</v>
      </c>
      <c r="X715" s="14">
        <f>-(3636.9-3297.08)*U715/(4370+1120+1080)</f>
        <v>-53.791902587519054</v>
      </c>
      <c r="Y715" s="13">
        <f t="shared" si="226"/>
        <v>668.6080974124809</v>
      </c>
      <c r="Z715" s="10">
        <v>45329</v>
      </c>
      <c r="AA715" s="9">
        <f t="shared" si="227"/>
        <v>0</v>
      </c>
      <c r="AC715" s="9">
        <v>425970</v>
      </c>
      <c r="AD715" s="14">
        <f>J715/(22*12)*946.23</f>
        <v>86.0209090909091</v>
      </c>
      <c r="AF715" s="14">
        <f t="shared" si="229"/>
        <v>20.8</v>
      </c>
      <c r="AH715" s="14">
        <f t="shared" si="242"/>
        <v>106.8209090909091</v>
      </c>
      <c r="AI715" s="13">
        <f t="shared" si="234"/>
        <v>561.78718832157176</v>
      </c>
      <c r="AK715" s="9">
        <f t="shared" si="235"/>
        <v>1040</v>
      </c>
    </row>
    <row r="716" spans="1:37">
      <c r="A716" s="9">
        <v>4</v>
      </c>
      <c r="B716" s="9">
        <v>2024</v>
      </c>
      <c r="C716" s="9" t="s">
        <v>46</v>
      </c>
      <c r="D716" s="9" t="s">
        <v>47</v>
      </c>
      <c r="E716" s="9" t="s">
        <v>47</v>
      </c>
      <c r="F716" s="10">
        <v>45316</v>
      </c>
      <c r="G716" s="9" t="s">
        <v>155</v>
      </c>
      <c r="H716" s="9" t="s">
        <v>52</v>
      </c>
      <c r="I716" s="9">
        <v>1</v>
      </c>
      <c r="J716" s="11">
        <f t="shared" ref="J716:J724" si="253">I716*12</f>
        <v>12</v>
      </c>
      <c r="K716" s="11">
        <v>400</v>
      </c>
      <c r="L716" s="12">
        <v>0.15</v>
      </c>
      <c r="M716" s="12">
        <v>60</v>
      </c>
      <c r="N716" s="13" t="s">
        <v>49</v>
      </c>
      <c r="Q716" s="9">
        <f>IF(Auction_Sales[[#This Row],[Payment Date]]=0,"",-1+WEEKNUM(Auction_Sales[[#This Row],[Payment Date]]))</f>
        <v>5</v>
      </c>
      <c r="R716" s="9">
        <f t="shared" si="223"/>
        <v>400</v>
      </c>
      <c r="S716" s="1" t="str">
        <f t="shared" si="245"/>
        <v>Floribunda Roses</v>
      </c>
      <c r="T716" s="9" t="str">
        <f t="shared" si="245"/>
        <v>70CM</v>
      </c>
      <c r="W716" s="13">
        <f t="shared" si="221"/>
        <v>0</v>
      </c>
      <c r="X716" s="14">
        <f t="shared" ref="X716:X735" si="254">-(3636.9-3297.08)*U716/(4370+1120+1080)</f>
        <v>0</v>
      </c>
      <c r="Y716" s="13">
        <f t="shared" si="226"/>
        <v>0</v>
      </c>
      <c r="Z716" s="10">
        <v>45329</v>
      </c>
      <c r="AA716" s="9">
        <f t="shared" si="227"/>
        <v>-400</v>
      </c>
      <c r="AC716" s="9">
        <v>425970</v>
      </c>
      <c r="AD716" s="14">
        <f t="shared" ref="AD716:AD735" si="255">J716/(16*12)*671.78</f>
        <v>41.986249999999998</v>
      </c>
      <c r="AF716" s="14">
        <f t="shared" si="229"/>
        <v>0</v>
      </c>
      <c r="AH716" s="14">
        <f t="shared" si="242"/>
        <v>41.986249999999998</v>
      </c>
      <c r="AI716" s="13">
        <f t="shared" si="234"/>
        <v>-41.986249999999998</v>
      </c>
      <c r="AK716" s="9">
        <f t="shared" si="235"/>
        <v>0</v>
      </c>
    </row>
    <row r="717" spans="1:37">
      <c r="A717" s="9">
        <v>4</v>
      </c>
      <c r="B717" s="9">
        <v>2024</v>
      </c>
      <c r="C717" s="9" t="s">
        <v>46</v>
      </c>
      <c r="D717" s="9" t="s">
        <v>47</v>
      </c>
      <c r="E717" s="9" t="s">
        <v>47</v>
      </c>
      <c r="F717" s="10">
        <v>45316</v>
      </c>
      <c r="G717" s="9" t="s">
        <v>154</v>
      </c>
      <c r="H717" s="9" t="s">
        <v>48</v>
      </c>
      <c r="I717" s="9">
        <v>1</v>
      </c>
      <c r="J717" s="11">
        <f t="shared" si="253"/>
        <v>12</v>
      </c>
      <c r="K717" s="11">
        <v>480</v>
      </c>
      <c r="L717" s="12">
        <v>0.15</v>
      </c>
      <c r="M717" s="12">
        <v>72</v>
      </c>
      <c r="N717" s="13" t="s">
        <v>49</v>
      </c>
      <c r="Q717" s="9">
        <f>IF(Auction_Sales[[#This Row],[Payment Date]]=0,"",-1+WEEKNUM(Auction_Sales[[#This Row],[Payment Date]]))</f>
        <v>5</v>
      </c>
      <c r="R717" s="9">
        <f>K717-U717</f>
        <v>-160</v>
      </c>
      <c r="S717" s="1" t="str">
        <f t="shared" si="245"/>
        <v>English Roses</v>
      </c>
      <c r="T717" s="9" t="str">
        <f t="shared" si="245"/>
        <v>60CM</v>
      </c>
      <c r="U717" s="9">
        <v>640</v>
      </c>
      <c r="V717" s="13">
        <f>307.6/U717</f>
        <v>0.48062500000000002</v>
      </c>
      <c r="W717" s="13">
        <f t="shared" si="221"/>
        <v>307.60000000000002</v>
      </c>
      <c r="X717" s="14">
        <f t="shared" si="254"/>
        <v>-33.10270928462711</v>
      </c>
      <c r="Y717" s="13">
        <f t="shared" si="226"/>
        <v>274.49729071537291</v>
      </c>
      <c r="Z717" s="10">
        <v>45329</v>
      </c>
      <c r="AA717" s="9">
        <f t="shared" si="227"/>
        <v>160</v>
      </c>
      <c r="AC717" s="9">
        <v>425970</v>
      </c>
      <c r="AD717" s="14">
        <f t="shared" si="255"/>
        <v>41.986249999999998</v>
      </c>
      <c r="AF717" s="14">
        <f t="shared" si="229"/>
        <v>12.8</v>
      </c>
      <c r="AH717" s="14">
        <f t="shared" si="242"/>
        <v>54.786249999999995</v>
      </c>
      <c r="AI717" s="13">
        <f t="shared" si="234"/>
        <v>219.71104071537292</v>
      </c>
      <c r="AK717" s="9">
        <f t="shared" si="235"/>
        <v>640</v>
      </c>
    </row>
    <row r="718" spans="1:37">
      <c r="A718" s="9">
        <v>4</v>
      </c>
      <c r="B718" s="9">
        <v>2024</v>
      </c>
      <c r="C718" s="9" t="s">
        <v>46</v>
      </c>
      <c r="D718" s="9" t="s">
        <v>47</v>
      </c>
      <c r="E718" s="9" t="s">
        <v>47</v>
      </c>
      <c r="F718" s="10">
        <v>45316</v>
      </c>
      <c r="G718" s="9" t="s">
        <v>154</v>
      </c>
      <c r="H718" s="9" t="s">
        <v>52</v>
      </c>
      <c r="I718" s="9">
        <v>1</v>
      </c>
      <c r="J718" s="11">
        <f t="shared" si="253"/>
        <v>12</v>
      </c>
      <c r="K718" s="11">
        <v>400</v>
      </c>
      <c r="L718" s="12">
        <v>0.15</v>
      </c>
      <c r="M718" s="12">
        <v>60</v>
      </c>
      <c r="N718" s="13" t="s">
        <v>49</v>
      </c>
      <c r="Q718" s="9">
        <f>IF(Auction_Sales[[#This Row],[Payment Date]]=0,"",-1+WEEKNUM(Auction_Sales[[#This Row],[Payment Date]]))</f>
        <v>5</v>
      </c>
      <c r="R718" s="9">
        <f t="shared" si="223"/>
        <v>160</v>
      </c>
      <c r="S718" s="1" t="str">
        <f t="shared" si="245"/>
        <v>English Roses</v>
      </c>
      <c r="T718" s="9" t="str">
        <f t="shared" si="245"/>
        <v>70CM</v>
      </c>
      <c r="U718" s="9">
        <f>240</f>
        <v>240</v>
      </c>
      <c r="V718" s="13">
        <f>159.6/U718</f>
        <v>0.66499999999999992</v>
      </c>
      <c r="W718" s="13">
        <f t="shared" si="221"/>
        <v>159.6</v>
      </c>
      <c r="X718" s="14">
        <f t="shared" si="254"/>
        <v>-12.413515981735166</v>
      </c>
      <c r="Y718" s="13">
        <f t="shared" si="226"/>
        <v>147.18648401826482</v>
      </c>
      <c r="Z718" s="10">
        <v>45329</v>
      </c>
      <c r="AA718" s="9">
        <f t="shared" si="227"/>
        <v>-160</v>
      </c>
      <c r="AC718" s="9">
        <v>425970</v>
      </c>
      <c r="AD718" s="14">
        <f t="shared" si="255"/>
        <v>41.986249999999998</v>
      </c>
      <c r="AF718" s="14">
        <f t="shared" si="229"/>
        <v>4.8</v>
      </c>
      <c r="AH718" s="14">
        <f t="shared" si="242"/>
        <v>46.786249999999995</v>
      </c>
      <c r="AI718" s="13">
        <f t="shared" si="234"/>
        <v>100.40023401826483</v>
      </c>
      <c r="AK718" s="9">
        <f t="shared" si="235"/>
        <v>240</v>
      </c>
    </row>
    <row r="719" spans="1:37">
      <c r="A719" s="9">
        <v>4</v>
      </c>
      <c r="B719" s="9">
        <v>2024</v>
      </c>
      <c r="C719" s="9" t="s">
        <v>46</v>
      </c>
      <c r="D719" s="9" t="s">
        <v>47</v>
      </c>
      <c r="E719" s="9" t="s">
        <v>47</v>
      </c>
      <c r="F719" s="10">
        <v>45316</v>
      </c>
      <c r="G719" s="9" t="s">
        <v>154</v>
      </c>
      <c r="H719" s="9" t="s">
        <v>56</v>
      </c>
      <c r="I719" s="9">
        <v>1</v>
      </c>
      <c r="J719" s="11">
        <f t="shared" si="253"/>
        <v>12</v>
      </c>
      <c r="K719" s="11">
        <v>280</v>
      </c>
      <c r="L719" s="12">
        <v>0.15</v>
      </c>
      <c r="M719" s="12">
        <v>42</v>
      </c>
      <c r="N719" s="13" t="s">
        <v>49</v>
      </c>
      <c r="Q719" s="9">
        <f>IF(Auction_Sales[[#This Row],[Payment Date]]=0,"",-1+WEEKNUM(Auction_Sales[[#This Row],[Payment Date]]))</f>
        <v>5</v>
      </c>
      <c r="R719" s="9">
        <f>K719-U719</f>
        <v>0</v>
      </c>
      <c r="S719" s="1" t="str">
        <f t="shared" si="245"/>
        <v>English Roses</v>
      </c>
      <c r="T719" s="9" t="str">
        <f t="shared" si="245"/>
        <v>90CM</v>
      </c>
      <c r="U719" s="9">
        <v>280</v>
      </c>
      <c r="V719" s="13">
        <f>217.6/U719</f>
        <v>0.77714285714285714</v>
      </c>
      <c r="W719" s="13">
        <f t="shared" ref="W719:W735" si="256">U719*V719</f>
        <v>217.6</v>
      </c>
      <c r="X719" s="14">
        <f t="shared" si="254"/>
        <v>-14.482435312024361</v>
      </c>
      <c r="Y719" s="13">
        <f t="shared" si="226"/>
        <v>203.11756468797563</v>
      </c>
      <c r="Z719" s="10">
        <v>45329</v>
      </c>
      <c r="AA719" s="9">
        <f t="shared" si="227"/>
        <v>0</v>
      </c>
      <c r="AC719" s="9">
        <v>425970</v>
      </c>
      <c r="AD719" s="14">
        <f t="shared" si="255"/>
        <v>41.986249999999998</v>
      </c>
      <c r="AF719" s="14">
        <f t="shared" si="229"/>
        <v>5.6000000000000005</v>
      </c>
      <c r="AH719" s="14">
        <f t="shared" si="242"/>
        <v>47.58625</v>
      </c>
      <c r="AI719" s="13">
        <f t="shared" si="234"/>
        <v>155.53131468797562</v>
      </c>
      <c r="AK719" s="9">
        <f t="shared" si="235"/>
        <v>280</v>
      </c>
    </row>
    <row r="720" spans="1:37">
      <c r="A720" s="9">
        <v>4</v>
      </c>
      <c r="B720" s="9">
        <v>2024</v>
      </c>
      <c r="C720" s="9" t="s">
        <v>46</v>
      </c>
      <c r="D720" s="9" t="s">
        <v>47</v>
      </c>
      <c r="E720" s="9" t="s">
        <v>47</v>
      </c>
      <c r="F720" s="10">
        <v>45316</v>
      </c>
      <c r="G720" s="9" t="s">
        <v>153</v>
      </c>
      <c r="H720" s="9" t="s">
        <v>48</v>
      </c>
      <c r="I720" s="9">
        <v>1</v>
      </c>
      <c r="J720" s="11">
        <f t="shared" si="253"/>
        <v>12</v>
      </c>
      <c r="K720" s="11">
        <v>640</v>
      </c>
      <c r="L720" s="12">
        <v>0.15</v>
      </c>
      <c r="M720" s="12">
        <v>96</v>
      </c>
      <c r="N720" s="13" t="s">
        <v>49</v>
      </c>
      <c r="Q720" s="9">
        <f>IF(Auction_Sales[[#This Row],[Payment Date]]=0,"",-1+WEEKNUM(Auction_Sales[[#This Row],[Payment Date]]))</f>
        <v>5</v>
      </c>
      <c r="R720" s="9">
        <f t="shared" si="223"/>
        <v>0</v>
      </c>
      <c r="S720" s="1" t="str">
        <f t="shared" si="245"/>
        <v>Grandiflora Roses</v>
      </c>
      <c r="T720" s="9" t="str">
        <f t="shared" si="245"/>
        <v>60CM</v>
      </c>
      <c r="U720" s="9">
        <f>320+320</f>
        <v>640</v>
      </c>
      <c r="V720" s="13">
        <f>(140.8+196)/U720</f>
        <v>0.52625</v>
      </c>
      <c r="W720" s="13">
        <f t="shared" si="256"/>
        <v>336.8</v>
      </c>
      <c r="X720" s="14">
        <f t="shared" si="254"/>
        <v>-33.10270928462711</v>
      </c>
      <c r="Y720" s="13">
        <f t="shared" ref="Y720:Y735" si="257">W720+X720</f>
        <v>303.6972907153729</v>
      </c>
      <c r="Z720" s="10">
        <v>45329</v>
      </c>
      <c r="AA720" s="9">
        <f t="shared" ref="AA720:AA735" si="258">U720-K720</f>
        <v>0</v>
      </c>
      <c r="AC720" s="9">
        <v>425970</v>
      </c>
      <c r="AD720" s="14">
        <f t="shared" si="255"/>
        <v>41.986249999999998</v>
      </c>
      <c r="AF720" s="14">
        <f t="shared" ref="AF720:AF735" si="259">U720*0.02</f>
        <v>12.8</v>
      </c>
      <c r="AH720" s="14">
        <f t="shared" si="242"/>
        <v>54.786249999999995</v>
      </c>
      <c r="AI720" s="13">
        <f t="shared" si="234"/>
        <v>248.91104071537291</v>
      </c>
      <c r="AK720" s="9">
        <f t="shared" si="235"/>
        <v>640</v>
      </c>
    </row>
    <row r="721" spans="1:37">
      <c r="A721" s="9">
        <v>4</v>
      </c>
      <c r="B721" s="9">
        <v>2024</v>
      </c>
      <c r="C721" s="9" t="s">
        <v>46</v>
      </c>
      <c r="D721" s="9" t="s">
        <v>47</v>
      </c>
      <c r="E721" s="9" t="s">
        <v>47</v>
      </c>
      <c r="F721" s="10">
        <v>45316</v>
      </c>
      <c r="G721" s="9" t="s">
        <v>153</v>
      </c>
      <c r="H721" s="9" t="s">
        <v>54</v>
      </c>
      <c r="I721" s="9">
        <v>1</v>
      </c>
      <c r="J721" s="11">
        <f t="shared" si="253"/>
        <v>12</v>
      </c>
      <c r="K721" s="11">
        <v>320</v>
      </c>
      <c r="L721" s="12">
        <v>0.15</v>
      </c>
      <c r="M721" s="12">
        <v>48</v>
      </c>
      <c r="N721" s="13" t="s">
        <v>49</v>
      </c>
      <c r="Q721" s="9">
        <f>IF(Auction_Sales[[#This Row],[Payment Date]]=0,"",-1+WEEKNUM(Auction_Sales[[#This Row],[Payment Date]]))</f>
        <v>5</v>
      </c>
      <c r="R721" s="9">
        <f t="shared" ref="R721:R735" si="260">K721-U721</f>
        <v>0</v>
      </c>
      <c r="S721" s="1" t="str">
        <f t="shared" si="245"/>
        <v>Grandiflora Roses</v>
      </c>
      <c r="T721" s="9" t="str">
        <f t="shared" si="245"/>
        <v>80CM</v>
      </c>
      <c r="U721" s="9">
        <v>320</v>
      </c>
      <c r="V721" s="13">
        <f>192/U721</f>
        <v>0.6</v>
      </c>
      <c r="W721" s="13">
        <f t="shared" si="256"/>
        <v>192</v>
      </c>
      <c r="X721" s="14">
        <f t="shared" si="254"/>
        <v>-16.551354642313555</v>
      </c>
      <c r="Y721" s="13">
        <f t="shared" si="257"/>
        <v>175.44864535768644</v>
      </c>
      <c r="Z721" s="10">
        <v>45329</v>
      </c>
      <c r="AA721" s="9">
        <f t="shared" si="258"/>
        <v>0</v>
      </c>
      <c r="AC721" s="9">
        <v>425970</v>
      </c>
      <c r="AD721" s="14">
        <f t="shared" si="255"/>
        <v>41.986249999999998</v>
      </c>
      <c r="AF721" s="14">
        <f t="shared" si="259"/>
        <v>6.4</v>
      </c>
      <c r="AH721" s="14">
        <f t="shared" ref="AH721:AH728" si="261">SUM(AD721:AG721)</f>
        <v>48.386249999999997</v>
      </c>
      <c r="AI721" s="13">
        <f t="shared" si="234"/>
        <v>127.06239535768646</v>
      </c>
      <c r="AK721" s="9">
        <f t="shared" si="235"/>
        <v>320</v>
      </c>
    </row>
    <row r="722" spans="1:37">
      <c r="A722" s="9">
        <v>4</v>
      </c>
      <c r="B722" s="9">
        <v>2024</v>
      </c>
      <c r="C722" s="9" t="s">
        <v>46</v>
      </c>
      <c r="D722" s="9" t="s">
        <v>47</v>
      </c>
      <c r="E722" s="9" t="s">
        <v>47</v>
      </c>
      <c r="F722" s="10">
        <v>45316</v>
      </c>
      <c r="G722" s="9" t="s">
        <v>153</v>
      </c>
      <c r="H722" s="9" t="s">
        <v>56</v>
      </c>
      <c r="I722" s="9">
        <v>1</v>
      </c>
      <c r="J722" s="11">
        <f t="shared" si="253"/>
        <v>12</v>
      </c>
      <c r="K722" s="11">
        <v>280</v>
      </c>
      <c r="L722" s="12">
        <v>0.15</v>
      </c>
      <c r="M722" s="12">
        <v>42</v>
      </c>
      <c r="N722" s="13" t="s">
        <v>49</v>
      </c>
      <c r="Q722" s="9">
        <f>IF(Auction_Sales[[#This Row],[Payment Date]]=0,"",-1+WEEKNUM(Auction_Sales[[#This Row],[Payment Date]]))</f>
        <v>5</v>
      </c>
      <c r="R722" s="9">
        <f t="shared" si="260"/>
        <v>0</v>
      </c>
      <c r="S722" s="1" t="str">
        <f t="shared" si="245"/>
        <v>Grandiflora Roses</v>
      </c>
      <c r="T722" s="9" t="str">
        <f t="shared" si="245"/>
        <v>90CM</v>
      </c>
      <c r="U722" s="9">
        <v>280</v>
      </c>
      <c r="V722" s="13">
        <f>179.2/U722</f>
        <v>0.64</v>
      </c>
      <c r="W722" s="13">
        <f t="shared" si="256"/>
        <v>179.20000000000002</v>
      </c>
      <c r="X722" s="14">
        <f t="shared" si="254"/>
        <v>-14.482435312024361</v>
      </c>
      <c r="Y722" s="13">
        <f t="shared" si="257"/>
        <v>164.71756468797565</v>
      </c>
      <c r="Z722" s="10">
        <v>45329</v>
      </c>
      <c r="AA722" s="9">
        <f t="shared" si="258"/>
        <v>0</v>
      </c>
      <c r="AC722" s="9">
        <v>425970</v>
      </c>
      <c r="AD722" s="14">
        <f t="shared" si="255"/>
        <v>41.986249999999998</v>
      </c>
      <c r="AF722" s="14">
        <f t="shared" si="259"/>
        <v>5.6000000000000005</v>
      </c>
      <c r="AH722" s="14">
        <f t="shared" si="261"/>
        <v>47.58625</v>
      </c>
      <c r="AI722" s="13">
        <f t="shared" si="234"/>
        <v>117.13131468797565</v>
      </c>
      <c r="AK722" s="9">
        <f t="shared" si="235"/>
        <v>280</v>
      </c>
    </row>
    <row r="723" spans="1:37">
      <c r="A723" s="9">
        <v>4</v>
      </c>
      <c r="B723" s="9">
        <v>2024</v>
      </c>
      <c r="C723" s="9" t="s">
        <v>46</v>
      </c>
      <c r="D723" s="9" t="s">
        <v>47</v>
      </c>
      <c r="E723" s="9" t="s">
        <v>47</v>
      </c>
      <c r="F723" s="10">
        <v>45316</v>
      </c>
      <c r="G723" s="9" t="s">
        <v>153</v>
      </c>
      <c r="H723" s="9" t="s">
        <v>57</v>
      </c>
      <c r="I723" s="9">
        <v>1</v>
      </c>
      <c r="J723" s="11">
        <f t="shared" si="253"/>
        <v>12</v>
      </c>
      <c r="K723" s="11">
        <v>200</v>
      </c>
      <c r="L723" s="12">
        <v>0.15</v>
      </c>
      <c r="M723" s="12">
        <v>30</v>
      </c>
      <c r="N723" s="13" t="s">
        <v>49</v>
      </c>
      <c r="Q723" s="9">
        <f>IF(Auction_Sales[[#This Row],[Payment Date]]=0,"",-1+WEEKNUM(Auction_Sales[[#This Row],[Payment Date]]))</f>
        <v>5</v>
      </c>
      <c r="R723" s="9">
        <f t="shared" si="260"/>
        <v>0</v>
      </c>
      <c r="S723" s="1" t="str">
        <f t="shared" si="245"/>
        <v>Grandiflora Roses</v>
      </c>
      <c r="T723" s="9" t="str">
        <f t="shared" si="245"/>
        <v>100CM</v>
      </c>
      <c r="U723" s="9">
        <v>200</v>
      </c>
      <c r="V723" s="13">
        <f>132/U723</f>
        <v>0.66</v>
      </c>
      <c r="W723" s="13">
        <f t="shared" si="256"/>
        <v>132</v>
      </c>
      <c r="X723" s="14">
        <f t="shared" si="254"/>
        <v>-10.34459665144597</v>
      </c>
      <c r="Y723" s="13">
        <f t="shared" si="257"/>
        <v>121.65540334855403</v>
      </c>
      <c r="Z723" s="10">
        <v>45329</v>
      </c>
      <c r="AA723" s="9">
        <f t="shared" si="258"/>
        <v>0</v>
      </c>
      <c r="AC723" s="9">
        <v>425970</v>
      </c>
      <c r="AD723" s="14">
        <f t="shared" si="255"/>
        <v>41.986249999999998</v>
      </c>
      <c r="AF723" s="14">
        <f t="shared" si="259"/>
        <v>4</v>
      </c>
      <c r="AH723" s="14">
        <f t="shared" si="261"/>
        <v>45.986249999999998</v>
      </c>
      <c r="AI723" s="13">
        <f t="shared" si="234"/>
        <v>75.669153348554033</v>
      </c>
      <c r="AK723" s="9">
        <f t="shared" si="235"/>
        <v>200</v>
      </c>
    </row>
    <row r="724" spans="1:37">
      <c r="A724" s="9">
        <v>4</v>
      </c>
      <c r="B724" s="9">
        <v>2024</v>
      </c>
      <c r="C724" s="9" t="s">
        <v>46</v>
      </c>
      <c r="D724" s="9" t="s">
        <v>47</v>
      </c>
      <c r="E724" s="9" t="s">
        <v>47</v>
      </c>
      <c r="F724" s="10">
        <v>45316</v>
      </c>
      <c r="G724" s="9" t="s">
        <v>158</v>
      </c>
      <c r="H724" s="9" t="s">
        <v>52</v>
      </c>
      <c r="I724" s="9">
        <v>1</v>
      </c>
      <c r="J724" s="11">
        <f t="shared" si="253"/>
        <v>12</v>
      </c>
      <c r="K724" s="9">
        <v>560</v>
      </c>
      <c r="L724" s="12">
        <v>0.15</v>
      </c>
      <c r="M724" s="27">
        <v>84</v>
      </c>
      <c r="N724" s="13" t="s">
        <v>49</v>
      </c>
      <c r="Q724" s="9">
        <f>IF(Auction_Sales[[#This Row],[Payment Date]]=0,"",-1+WEEKNUM(Auction_Sales[[#This Row],[Payment Date]]))</f>
        <v>5</v>
      </c>
      <c r="R724" s="9">
        <f t="shared" si="260"/>
        <v>20</v>
      </c>
      <c r="S724" s="1" t="str">
        <f t="shared" si="245"/>
        <v>Climbing Roses</v>
      </c>
      <c r="T724" s="9" t="str">
        <f t="shared" si="245"/>
        <v>70CM</v>
      </c>
      <c r="U724" s="9">
        <v>540</v>
      </c>
      <c r="V724" s="13">
        <f>64.8/U724</f>
        <v>0.12</v>
      </c>
      <c r="W724" s="13">
        <f t="shared" si="256"/>
        <v>64.8</v>
      </c>
      <c r="X724" s="14">
        <f t="shared" si="254"/>
        <v>-27.930410958904123</v>
      </c>
      <c r="Y724" s="13">
        <f t="shared" si="257"/>
        <v>36.869589041095878</v>
      </c>
      <c r="Z724" s="10">
        <v>45329</v>
      </c>
      <c r="AA724" s="9">
        <f t="shared" si="258"/>
        <v>-20</v>
      </c>
      <c r="AC724" s="9">
        <v>425970</v>
      </c>
      <c r="AD724" s="14">
        <f t="shared" si="255"/>
        <v>41.986249999999998</v>
      </c>
      <c r="AF724" s="14">
        <f t="shared" si="259"/>
        <v>10.8</v>
      </c>
      <c r="AH724" s="14">
        <f t="shared" si="261"/>
        <v>52.786249999999995</v>
      </c>
      <c r="AI724" s="13">
        <f t="shared" si="234"/>
        <v>-15.916660958904117</v>
      </c>
      <c r="AK724" s="9">
        <f t="shared" si="235"/>
        <v>540</v>
      </c>
    </row>
    <row r="725" spans="1:37">
      <c r="A725" s="9">
        <v>4</v>
      </c>
      <c r="B725" s="9">
        <v>2024</v>
      </c>
      <c r="C725" s="9" t="s">
        <v>46</v>
      </c>
      <c r="D725" s="9" t="s">
        <v>47</v>
      </c>
      <c r="E725" s="9" t="s">
        <v>47</v>
      </c>
      <c r="F725" s="10">
        <v>45316</v>
      </c>
      <c r="G725" s="9" t="s">
        <v>154</v>
      </c>
      <c r="H725" s="9" t="s">
        <v>48</v>
      </c>
      <c r="I725" s="9">
        <v>1</v>
      </c>
      <c r="J725" s="11">
        <f>K725/360*12</f>
        <v>4</v>
      </c>
      <c r="K725" s="9">
        <v>120</v>
      </c>
      <c r="L725" s="12">
        <v>0.15</v>
      </c>
      <c r="M725" s="27">
        <v>18</v>
      </c>
      <c r="N725" s="13" t="s">
        <v>49</v>
      </c>
      <c r="Q725" s="9">
        <f>IF(Auction_Sales[[#This Row],[Payment Date]]=0,"",-1+WEEKNUM(Auction_Sales[[#This Row],[Payment Date]]))</f>
        <v>5</v>
      </c>
      <c r="R725" s="9">
        <f>K725-U725</f>
        <v>120</v>
      </c>
      <c r="S725" s="1" t="str">
        <f t="shared" si="245"/>
        <v>English Roses</v>
      </c>
      <c r="T725" s="9" t="str">
        <f t="shared" si="245"/>
        <v>60CM</v>
      </c>
      <c r="W725" s="13">
        <f>U725*V725</f>
        <v>0</v>
      </c>
      <c r="X725" s="14">
        <f t="shared" si="254"/>
        <v>0</v>
      </c>
      <c r="Y725" s="13">
        <f>W725+X725</f>
        <v>0</v>
      </c>
      <c r="Z725" s="10">
        <v>45329</v>
      </c>
      <c r="AA725" s="9">
        <f>U725-K725</f>
        <v>-120</v>
      </c>
      <c r="AC725" s="9">
        <v>425970</v>
      </c>
      <c r="AD725" s="14">
        <f t="shared" si="255"/>
        <v>13.995416666666666</v>
      </c>
      <c r="AF725" s="14">
        <f t="shared" si="259"/>
        <v>0</v>
      </c>
      <c r="AH725" s="14">
        <f>SUM(AD725:AG725)</f>
        <v>13.995416666666666</v>
      </c>
      <c r="AI725" s="13">
        <f>Y725-AH725</f>
        <v>-13.995416666666666</v>
      </c>
      <c r="AK725" s="9">
        <f>U725</f>
        <v>0</v>
      </c>
    </row>
    <row r="726" spans="1:37">
      <c r="A726" s="9">
        <v>4</v>
      </c>
      <c r="B726" s="9">
        <v>2024</v>
      </c>
      <c r="C726" s="9" t="s">
        <v>46</v>
      </c>
      <c r="D726" s="9" t="s">
        <v>47</v>
      </c>
      <c r="E726" s="9" t="s">
        <v>47</v>
      </c>
      <c r="F726" s="10">
        <v>45316</v>
      </c>
      <c r="G726" s="9" t="s">
        <v>154</v>
      </c>
      <c r="H726" s="9" t="s">
        <v>54</v>
      </c>
      <c r="J726" s="11">
        <f t="shared" ref="J726:J727" si="262">K726/360*12</f>
        <v>4</v>
      </c>
      <c r="K726" s="9">
        <v>120</v>
      </c>
      <c r="L726" s="12">
        <v>0.15</v>
      </c>
      <c r="M726" s="27">
        <v>18</v>
      </c>
      <c r="N726" s="13" t="s">
        <v>49</v>
      </c>
      <c r="Q726" s="9">
        <f>IF(Auction_Sales[[#This Row],[Payment Date]]=0,"",-1+WEEKNUM(Auction_Sales[[#This Row],[Payment Date]]))</f>
        <v>5</v>
      </c>
      <c r="R726" s="9">
        <f>K726-U726</f>
        <v>0</v>
      </c>
      <c r="S726" s="1" t="str">
        <f t="shared" si="245"/>
        <v>English Roses</v>
      </c>
      <c r="T726" s="9" t="str">
        <f t="shared" si="245"/>
        <v>80CM</v>
      </c>
      <c r="U726" s="9">
        <v>120</v>
      </c>
      <c r="V726" s="13">
        <f>66/U726</f>
        <v>0.55000000000000004</v>
      </c>
      <c r="W726" s="13">
        <f>U726*V726</f>
        <v>66</v>
      </c>
      <c r="X726" s="14">
        <f t="shared" si="254"/>
        <v>-6.2067579908675832</v>
      </c>
      <c r="Y726" s="13">
        <f>W726+X726</f>
        <v>59.793242009132413</v>
      </c>
      <c r="Z726" s="10">
        <v>45329</v>
      </c>
      <c r="AA726" s="9">
        <f>U726-K726</f>
        <v>0</v>
      </c>
      <c r="AC726" s="9">
        <v>425970</v>
      </c>
      <c r="AD726" s="14">
        <f t="shared" si="255"/>
        <v>13.995416666666666</v>
      </c>
      <c r="AF726" s="14">
        <f t="shared" si="259"/>
        <v>2.4</v>
      </c>
      <c r="AH726" s="14">
        <f>SUM(AD726:AG726)</f>
        <v>16.395416666666666</v>
      </c>
      <c r="AI726" s="13">
        <f>Y726-AH726</f>
        <v>43.397825342465751</v>
      </c>
      <c r="AK726" s="9">
        <f>U726</f>
        <v>120</v>
      </c>
    </row>
    <row r="727" spans="1:37">
      <c r="A727" s="9">
        <v>4</v>
      </c>
      <c r="B727" s="9">
        <v>2024</v>
      </c>
      <c r="C727" s="9" t="s">
        <v>46</v>
      </c>
      <c r="D727" s="9" t="s">
        <v>47</v>
      </c>
      <c r="E727" s="9" t="s">
        <v>47</v>
      </c>
      <c r="F727" s="10">
        <v>45316</v>
      </c>
      <c r="G727" s="9" t="s">
        <v>154</v>
      </c>
      <c r="H727" s="9" t="s">
        <v>52</v>
      </c>
      <c r="J727" s="11">
        <f t="shared" si="262"/>
        <v>4</v>
      </c>
      <c r="K727" s="9">
        <v>120</v>
      </c>
      <c r="L727" s="12">
        <v>0.15</v>
      </c>
      <c r="M727" s="27">
        <v>18</v>
      </c>
      <c r="N727" s="13" t="s">
        <v>49</v>
      </c>
      <c r="Q727" s="9">
        <f>IF(Auction_Sales[[#This Row],[Payment Date]]=0,"",-1+WEEKNUM(Auction_Sales[[#This Row],[Payment Date]]))</f>
        <v>5</v>
      </c>
      <c r="R727" s="9">
        <f>K727-U727</f>
        <v>-160</v>
      </c>
      <c r="S727" s="1" t="str">
        <f t="shared" si="245"/>
        <v>English Roses</v>
      </c>
      <c r="T727" s="9" t="str">
        <f t="shared" si="245"/>
        <v>70CM</v>
      </c>
      <c r="U727" s="9">
        <f>280</f>
        <v>280</v>
      </c>
      <c r="V727" s="13">
        <f>212.8/U727</f>
        <v>0.76</v>
      </c>
      <c r="W727" s="13">
        <f>U727*V727</f>
        <v>212.8</v>
      </c>
      <c r="X727" s="14">
        <f t="shared" si="254"/>
        <v>-14.482435312024361</v>
      </c>
      <c r="Y727" s="13">
        <f>W727+X727</f>
        <v>198.31756468797565</v>
      </c>
      <c r="Z727" s="10">
        <v>45329</v>
      </c>
      <c r="AA727" s="9">
        <f>U727-K727</f>
        <v>160</v>
      </c>
      <c r="AC727" s="9">
        <v>425970</v>
      </c>
      <c r="AD727" s="14">
        <f t="shared" si="255"/>
        <v>13.995416666666666</v>
      </c>
      <c r="AF727" s="14">
        <f t="shared" si="259"/>
        <v>5.6000000000000005</v>
      </c>
      <c r="AH727" s="14">
        <f>SUM(AD727:AG727)</f>
        <v>19.595416666666665</v>
      </c>
      <c r="AI727" s="13">
        <f>Y727-AH727</f>
        <v>178.72214802130898</v>
      </c>
      <c r="AK727" s="9">
        <f>U727</f>
        <v>280</v>
      </c>
    </row>
    <row r="728" spans="1:37">
      <c r="A728" s="9">
        <v>4</v>
      </c>
      <c r="B728" s="9">
        <v>2024</v>
      </c>
      <c r="C728" s="9" t="s">
        <v>46</v>
      </c>
      <c r="D728" s="9" t="s">
        <v>47</v>
      </c>
      <c r="E728" s="9" t="s">
        <v>47</v>
      </c>
      <c r="F728" s="10">
        <v>45316</v>
      </c>
      <c r="G728" s="9" t="s">
        <v>153</v>
      </c>
      <c r="H728" s="9" t="s">
        <v>52</v>
      </c>
      <c r="I728" s="9">
        <v>1</v>
      </c>
      <c r="J728" s="11">
        <f>K728/480*12</f>
        <v>10</v>
      </c>
      <c r="K728" s="9">
        <v>400</v>
      </c>
      <c r="L728" s="12">
        <v>0.15</v>
      </c>
      <c r="M728" s="27">
        <v>60</v>
      </c>
      <c r="N728" s="13" t="s">
        <v>49</v>
      </c>
      <c r="Q728" s="9">
        <f>IF(Auction_Sales[[#This Row],[Payment Date]]=0,"",-1+WEEKNUM(Auction_Sales[[#This Row],[Payment Date]]))</f>
        <v>5</v>
      </c>
      <c r="R728" s="9">
        <f t="shared" si="260"/>
        <v>0</v>
      </c>
      <c r="S728" s="1" t="str">
        <f t="shared" si="245"/>
        <v>Grandiflora Roses</v>
      </c>
      <c r="T728" s="9" t="str">
        <f t="shared" si="245"/>
        <v>70CM</v>
      </c>
      <c r="U728" s="9">
        <v>400</v>
      </c>
      <c r="V728" s="13">
        <f>225.2/U728</f>
        <v>0.56299999999999994</v>
      </c>
      <c r="W728" s="13">
        <f t="shared" si="256"/>
        <v>225.2</v>
      </c>
      <c r="X728" s="14">
        <f t="shared" si="254"/>
        <v>-20.68919330289194</v>
      </c>
      <c r="Y728" s="13">
        <f t="shared" si="257"/>
        <v>204.51080669710805</v>
      </c>
      <c r="Z728" s="10">
        <v>45329</v>
      </c>
      <c r="AA728" s="9">
        <f t="shared" si="258"/>
        <v>0</v>
      </c>
      <c r="AC728" s="9">
        <v>425970</v>
      </c>
      <c r="AD728" s="14">
        <f t="shared" si="255"/>
        <v>34.98854166666667</v>
      </c>
      <c r="AF728" s="14">
        <f t="shared" si="259"/>
        <v>8</v>
      </c>
      <c r="AH728" s="14">
        <f t="shared" si="261"/>
        <v>42.98854166666667</v>
      </c>
      <c r="AI728" s="13">
        <f t="shared" si="234"/>
        <v>161.52226503044139</v>
      </c>
      <c r="AK728" s="9">
        <f t="shared" si="235"/>
        <v>400</v>
      </c>
    </row>
    <row r="729" spans="1:37">
      <c r="A729" s="9">
        <v>4</v>
      </c>
      <c r="B729" s="9">
        <v>2024</v>
      </c>
      <c r="C729" s="9" t="s">
        <v>46</v>
      </c>
      <c r="D729" s="9" t="s">
        <v>47</v>
      </c>
      <c r="E729" s="9" t="s">
        <v>47</v>
      </c>
      <c r="F729" s="10">
        <v>45316</v>
      </c>
      <c r="G729" s="9" t="s">
        <v>153</v>
      </c>
      <c r="H729" s="9" t="s">
        <v>60</v>
      </c>
      <c r="J729" s="11">
        <f>K729/480*12</f>
        <v>2</v>
      </c>
      <c r="K729" s="9">
        <v>80</v>
      </c>
      <c r="L729" s="12">
        <v>0.15</v>
      </c>
      <c r="M729" s="27">
        <v>12</v>
      </c>
      <c r="N729" s="13" t="s">
        <v>49</v>
      </c>
      <c r="Q729" s="9">
        <f>IF(Auction_Sales[[#This Row],[Payment Date]]=0,"",-1+WEEKNUM(Auction_Sales[[#This Row],[Payment Date]]))</f>
        <v>5</v>
      </c>
      <c r="R729" s="9">
        <f t="shared" si="260"/>
        <v>0</v>
      </c>
      <c r="S729" s="1" t="str">
        <f t="shared" si="245"/>
        <v>Grandiflora Roses</v>
      </c>
      <c r="T729" s="9" t="str">
        <f t="shared" si="245"/>
        <v>110CM</v>
      </c>
      <c r="U729" s="9">
        <v>80</v>
      </c>
      <c r="V729" s="13">
        <f>52/U729</f>
        <v>0.65</v>
      </c>
      <c r="W729" s="13">
        <f t="shared" si="256"/>
        <v>52</v>
      </c>
      <c r="X729" s="14">
        <f t="shared" si="254"/>
        <v>-4.1378386605783888</v>
      </c>
      <c r="Y729" s="13">
        <f t="shared" si="257"/>
        <v>47.862161339421611</v>
      </c>
      <c r="Z729" s="10">
        <v>45329</v>
      </c>
      <c r="AA729" s="9">
        <f t="shared" si="258"/>
        <v>0</v>
      </c>
      <c r="AC729" s="9">
        <v>425970</v>
      </c>
      <c r="AD729" s="14">
        <f t="shared" si="255"/>
        <v>6.9977083333333328</v>
      </c>
      <c r="AF729" s="14">
        <f t="shared" si="259"/>
        <v>1.6</v>
      </c>
      <c r="AH729" s="14">
        <f t="shared" ref="AH729:AH735" si="263">SUM(AD729:AG729)</f>
        <v>8.5977083333333333</v>
      </c>
      <c r="AI729" s="13">
        <f t="shared" si="234"/>
        <v>39.264453006088274</v>
      </c>
      <c r="AK729" s="9">
        <f t="shared" si="235"/>
        <v>80</v>
      </c>
    </row>
    <row r="730" spans="1:37">
      <c r="A730" s="9">
        <v>4</v>
      </c>
      <c r="B730" s="9">
        <v>2024</v>
      </c>
      <c r="C730" s="9" t="s">
        <v>46</v>
      </c>
      <c r="D730" s="9" t="s">
        <v>47</v>
      </c>
      <c r="E730" s="9" t="s">
        <v>47</v>
      </c>
      <c r="F730" s="10">
        <v>45316</v>
      </c>
      <c r="G730" s="9" t="s">
        <v>155</v>
      </c>
      <c r="H730" s="9" t="s">
        <v>52</v>
      </c>
      <c r="I730" s="9">
        <v>1</v>
      </c>
      <c r="J730" s="11">
        <f>K730/320*12</f>
        <v>7.5</v>
      </c>
      <c r="K730" s="11">
        <v>200</v>
      </c>
      <c r="L730" s="12">
        <v>0.15</v>
      </c>
      <c r="M730" s="12">
        <v>30</v>
      </c>
      <c r="N730" s="13" t="s">
        <v>49</v>
      </c>
      <c r="Q730" s="9">
        <f>IF(Auction_Sales[[#This Row],[Payment Date]]=0,"",-1+WEEKNUM(Auction_Sales[[#This Row],[Payment Date]]))</f>
        <v>5</v>
      </c>
      <c r="R730" s="9">
        <f t="shared" si="260"/>
        <v>-400</v>
      </c>
      <c r="S730" s="1" t="str">
        <f t="shared" si="245"/>
        <v>Floribunda Roses</v>
      </c>
      <c r="T730" s="9" t="str">
        <f t="shared" si="245"/>
        <v>70CM</v>
      </c>
      <c r="U730" s="9">
        <v>600</v>
      </c>
      <c r="V730" s="13">
        <f>434/U730</f>
        <v>0.72333333333333338</v>
      </c>
      <c r="W730" s="13">
        <f t="shared" si="256"/>
        <v>434.00000000000006</v>
      </c>
      <c r="X730" s="14">
        <f t="shared" si="254"/>
        <v>-31.033789954337912</v>
      </c>
      <c r="Y730" s="13">
        <f t="shared" si="257"/>
        <v>402.96621004566214</v>
      </c>
      <c r="Z730" s="10">
        <v>45329</v>
      </c>
      <c r="AA730" s="9">
        <f t="shared" si="258"/>
        <v>400</v>
      </c>
      <c r="AC730" s="9">
        <v>425970</v>
      </c>
      <c r="AD730" s="14">
        <f t="shared" si="255"/>
        <v>26.241406249999997</v>
      </c>
      <c r="AF730" s="14">
        <f t="shared" si="259"/>
        <v>12</v>
      </c>
      <c r="AH730" s="14">
        <f t="shared" si="263"/>
        <v>38.241406249999997</v>
      </c>
      <c r="AI730" s="13">
        <f t="shared" si="234"/>
        <v>364.72480379566213</v>
      </c>
      <c r="AK730" s="9">
        <f t="shared" si="235"/>
        <v>600</v>
      </c>
    </row>
    <row r="731" spans="1:37">
      <c r="A731" s="9">
        <v>4</v>
      </c>
      <c r="B731" s="9">
        <v>2024</v>
      </c>
      <c r="C731" s="9" t="s">
        <v>46</v>
      </c>
      <c r="D731" s="9" t="s">
        <v>47</v>
      </c>
      <c r="E731" s="9" t="s">
        <v>47</v>
      </c>
      <c r="F731" s="10">
        <v>45316</v>
      </c>
      <c r="G731" s="9" t="s">
        <v>155</v>
      </c>
      <c r="H731" s="9" t="s">
        <v>56</v>
      </c>
      <c r="J731" s="11">
        <f>K731/320*12</f>
        <v>4.5</v>
      </c>
      <c r="K731" s="11">
        <v>120</v>
      </c>
      <c r="L731" s="12">
        <v>0.15</v>
      </c>
      <c r="M731" s="12">
        <v>18</v>
      </c>
      <c r="N731" s="13" t="s">
        <v>49</v>
      </c>
      <c r="Q731" s="9">
        <f>IF(Auction_Sales[[#This Row],[Payment Date]]=0,"",-1+WEEKNUM(Auction_Sales[[#This Row],[Payment Date]]))</f>
        <v>5</v>
      </c>
      <c r="R731" s="9">
        <f t="shared" si="260"/>
        <v>0</v>
      </c>
      <c r="S731" s="1" t="str">
        <f t="shared" si="245"/>
        <v>Floribunda Roses</v>
      </c>
      <c r="T731" s="9" t="str">
        <f t="shared" si="245"/>
        <v>90CM</v>
      </c>
      <c r="U731" s="9">
        <v>120</v>
      </c>
      <c r="V731" s="13">
        <f>110/U731</f>
        <v>0.91666666666666663</v>
      </c>
      <c r="W731" s="13">
        <f t="shared" si="256"/>
        <v>110</v>
      </c>
      <c r="X731" s="14">
        <f t="shared" si="254"/>
        <v>-6.2067579908675832</v>
      </c>
      <c r="Y731" s="13">
        <f t="shared" si="257"/>
        <v>103.79324200913241</v>
      </c>
      <c r="Z731" s="10">
        <v>45329</v>
      </c>
      <c r="AA731" s="9">
        <f t="shared" si="258"/>
        <v>0</v>
      </c>
      <c r="AC731" s="9">
        <v>425970</v>
      </c>
      <c r="AD731" s="14">
        <f t="shared" si="255"/>
        <v>15.744843749999999</v>
      </c>
      <c r="AF731" s="14">
        <f t="shared" si="259"/>
        <v>2.4</v>
      </c>
      <c r="AH731" s="14">
        <f t="shared" ref="AH731:AH734" si="264">SUM(AD731:AG731)</f>
        <v>18.14484375</v>
      </c>
      <c r="AI731" s="13">
        <f t="shared" si="234"/>
        <v>85.648398259132421</v>
      </c>
      <c r="AK731" s="9">
        <f t="shared" si="235"/>
        <v>120</v>
      </c>
    </row>
    <row r="732" spans="1:37">
      <c r="A732" s="9">
        <v>4</v>
      </c>
      <c r="B732" s="9">
        <v>2024</v>
      </c>
      <c r="C732" s="9" t="s">
        <v>46</v>
      </c>
      <c r="D732" s="9" t="s">
        <v>47</v>
      </c>
      <c r="E732" s="9" t="s">
        <v>47</v>
      </c>
      <c r="F732" s="10">
        <v>45316</v>
      </c>
      <c r="G732" s="9" t="s">
        <v>158</v>
      </c>
      <c r="H732" s="9" t="s">
        <v>48</v>
      </c>
      <c r="I732" s="9">
        <v>1</v>
      </c>
      <c r="J732" s="11">
        <f>K732/600*12</f>
        <v>3.2</v>
      </c>
      <c r="K732" s="11">
        <v>160</v>
      </c>
      <c r="L732" s="12">
        <v>0.15</v>
      </c>
      <c r="M732" s="12">
        <v>24</v>
      </c>
      <c r="N732" s="13" t="s">
        <v>49</v>
      </c>
      <c r="Q732" s="9">
        <f>IF(Auction_Sales[[#This Row],[Payment Date]]=0,"",-1+WEEKNUM(Auction_Sales[[#This Row],[Payment Date]]))</f>
        <v>5</v>
      </c>
      <c r="R732" s="9">
        <f t="shared" si="260"/>
        <v>-290</v>
      </c>
      <c r="S732" s="1" t="str">
        <f t="shared" ref="S732:T735" si="265">G732</f>
        <v>Climbing Roses</v>
      </c>
      <c r="T732" s="9" t="str">
        <f t="shared" si="265"/>
        <v>60CM</v>
      </c>
      <c r="U732" s="9">
        <v>450</v>
      </c>
      <c r="V732" s="13">
        <f>40.5/U732</f>
        <v>0.09</v>
      </c>
      <c r="W732" s="13">
        <f t="shared" si="256"/>
        <v>40.5</v>
      </c>
      <c r="X732" s="14">
        <f t="shared" si="254"/>
        <v>-23.27534246575344</v>
      </c>
      <c r="Y732" s="13">
        <f t="shared" si="257"/>
        <v>17.22465753424656</v>
      </c>
      <c r="Z732" s="10">
        <v>45329</v>
      </c>
      <c r="AA732" s="9">
        <f t="shared" si="258"/>
        <v>290</v>
      </c>
      <c r="AC732" s="9">
        <v>425970</v>
      </c>
      <c r="AD732" s="14">
        <f t="shared" si="255"/>
        <v>11.196333333333333</v>
      </c>
      <c r="AF732" s="14">
        <f t="shared" si="259"/>
        <v>9</v>
      </c>
      <c r="AH732" s="14">
        <f t="shared" si="264"/>
        <v>20.196333333333335</v>
      </c>
      <c r="AI732" s="13">
        <f t="shared" si="234"/>
        <v>-2.9716757990867748</v>
      </c>
      <c r="AK732" s="9">
        <f t="shared" si="235"/>
        <v>450</v>
      </c>
    </row>
    <row r="733" spans="1:37">
      <c r="A733" s="9">
        <v>4</v>
      </c>
      <c r="B733" s="9">
        <v>2024</v>
      </c>
      <c r="C733" s="9" t="s">
        <v>46</v>
      </c>
      <c r="D733" s="9" t="s">
        <v>47</v>
      </c>
      <c r="E733" s="9" t="s">
        <v>47</v>
      </c>
      <c r="F733" s="10">
        <v>45316</v>
      </c>
      <c r="G733" s="9" t="s">
        <v>158</v>
      </c>
      <c r="H733" s="9" t="s">
        <v>51</v>
      </c>
      <c r="J733" s="11">
        <f t="shared" ref="J733" si="266">K733/600*12</f>
        <v>8.7999999999999989</v>
      </c>
      <c r="K733" s="11">
        <v>440</v>
      </c>
      <c r="L733" s="12">
        <v>0.15</v>
      </c>
      <c r="M733" s="12">
        <v>66</v>
      </c>
      <c r="N733" s="13" t="s">
        <v>49</v>
      </c>
      <c r="Q733" s="9">
        <f>IF(Auction_Sales[[#This Row],[Payment Date]]=0,"",-1+WEEKNUM(Auction_Sales[[#This Row],[Payment Date]]))</f>
        <v>5</v>
      </c>
      <c r="R733" s="9">
        <f t="shared" si="260"/>
        <v>260</v>
      </c>
      <c r="S733" s="1" t="str">
        <f t="shared" si="265"/>
        <v>Climbing Roses</v>
      </c>
      <c r="T733" s="9" t="str">
        <f t="shared" si="265"/>
        <v>50CM</v>
      </c>
      <c r="U733" s="9">
        <v>180</v>
      </c>
      <c r="V733" s="13">
        <f>14.4/U733</f>
        <v>0.08</v>
      </c>
      <c r="W733" s="13">
        <f t="shared" si="256"/>
        <v>14.4</v>
      </c>
      <c r="X733" s="14">
        <f t="shared" si="254"/>
        <v>-9.3101369863013748</v>
      </c>
      <c r="Y733" s="13">
        <f t="shared" si="257"/>
        <v>5.0898630136986256</v>
      </c>
      <c r="Z733" s="10">
        <v>45329</v>
      </c>
      <c r="AA733" s="9">
        <f t="shared" si="258"/>
        <v>-260</v>
      </c>
      <c r="AC733" s="9">
        <v>425970</v>
      </c>
      <c r="AD733" s="14">
        <f t="shared" si="255"/>
        <v>30.789916666666663</v>
      </c>
      <c r="AF733" s="14">
        <f t="shared" si="259"/>
        <v>3.6</v>
      </c>
      <c r="AH733" s="14">
        <f t="shared" si="264"/>
        <v>34.389916666666664</v>
      </c>
      <c r="AI733" s="13">
        <f t="shared" si="234"/>
        <v>-29.300053652968039</v>
      </c>
      <c r="AK733" s="9">
        <f t="shared" si="235"/>
        <v>180</v>
      </c>
    </row>
    <row r="734" spans="1:37">
      <c r="A734" s="9">
        <v>4</v>
      </c>
      <c r="B734" s="9">
        <v>2024</v>
      </c>
      <c r="C734" s="9" t="s">
        <v>46</v>
      </c>
      <c r="D734" s="9" t="s">
        <v>47</v>
      </c>
      <c r="E734" s="9" t="s">
        <v>47</v>
      </c>
      <c r="F734" s="10">
        <v>45316</v>
      </c>
      <c r="G734" s="9" t="s">
        <v>155</v>
      </c>
      <c r="H734" s="9" t="s">
        <v>57</v>
      </c>
      <c r="I734" s="9">
        <v>1</v>
      </c>
      <c r="J734" s="11">
        <f>K734/160*12</f>
        <v>9</v>
      </c>
      <c r="K734" s="11">
        <v>120</v>
      </c>
      <c r="L734" s="12">
        <v>0.15</v>
      </c>
      <c r="M734" s="27">
        <v>18</v>
      </c>
      <c r="N734" s="13" t="s">
        <v>49</v>
      </c>
      <c r="Q734" s="9">
        <f>IF(Auction_Sales[[#This Row],[Payment Date]]=0,"",-1+WEEKNUM(Auction_Sales[[#This Row],[Payment Date]]))</f>
        <v>5</v>
      </c>
      <c r="R734" s="9">
        <f t="shared" si="260"/>
        <v>0</v>
      </c>
      <c r="S734" s="1" t="str">
        <f t="shared" si="265"/>
        <v>Floribunda Roses</v>
      </c>
      <c r="T734" s="9" t="str">
        <f t="shared" si="265"/>
        <v>100CM</v>
      </c>
      <c r="U734" s="9">
        <v>120</v>
      </c>
      <c r="V734" s="13">
        <f>119.6/U734</f>
        <v>0.99666666666666659</v>
      </c>
      <c r="W734" s="13">
        <f t="shared" si="256"/>
        <v>119.6</v>
      </c>
      <c r="X734" s="14">
        <f t="shared" si="254"/>
        <v>-6.2067579908675832</v>
      </c>
      <c r="Y734" s="13">
        <f t="shared" si="257"/>
        <v>113.39324200913241</v>
      </c>
      <c r="Z734" s="10">
        <v>45329</v>
      </c>
      <c r="AA734" s="9">
        <f t="shared" si="258"/>
        <v>0</v>
      </c>
      <c r="AC734" s="9">
        <v>425970</v>
      </c>
      <c r="AD734" s="14">
        <f t="shared" si="255"/>
        <v>31.489687499999999</v>
      </c>
      <c r="AF734" s="14">
        <f t="shared" si="259"/>
        <v>2.4</v>
      </c>
      <c r="AH734" s="14">
        <f t="shared" si="264"/>
        <v>33.889687500000001</v>
      </c>
      <c r="AI734" s="13">
        <f t="shared" si="234"/>
        <v>79.503554509132414</v>
      </c>
      <c r="AK734" s="9">
        <f t="shared" si="235"/>
        <v>120</v>
      </c>
    </row>
    <row r="735" spans="1:37">
      <c r="A735" s="9">
        <v>4</v>
      </c>
      <c r="B735" s="9">
        <v>2024</v>
      </c>
      <c r="C735" s="9" t="s">
        <v>46</v>
      </c>
      <c r="D735" s="9" t="s">
        <v>47</v>
      </c>
      <c r="E735" s="9" t="s">
        <v>47</v>
      </c>
      <c r="F735" s="10">
        <v>45316</v>
      </c>
      <c r="G735" s="9" t="s">
        <v>155</v>
      </c>
      <c r="H735" s="9" t="s">
        <v>60</v>
      </c>
      <c r="J735" s="11">
        <f>K735/160*12</f>
        <v>3</v>
      </c>
      <c r="K735" s="9">
        <v>40</v>
      </c>
      <c r="L735" s="12">
        <v>0.15</v>
      </c>
      <c r="M735" s="27">
        <v>6</v>
      </c>
      <c r="N735" s="13" t="s">
        <v>49</v>
      </c>
      <c r="Q735" s="9">
        <f>IF(Auction_Sales[[#This Row],[Payment Date]]=0,"",-1+WEEKNUM(Auction_Sales[[#This Row],[Payment Date]]))</f>
        <v>5</v>
      </c>
      <c r="R735" s="9">
        <f t="shared" si="260"/>
        <v>0</v>
      </c>
      <c r="S735" s="1" t="str">
        <f t="shared" si="265"/>
        <v>Floribunda Roses</v>
      </c>
      <c r="T735" s="9" t="str">
        <f t="shared" si="265"/>
        <v>110CM</v>
      </c>
      <c r="U735" s="9">
        <v>40</v>
      </c>
      <c r="V735" s="13">
        <f>50.4/U735</f>
        <v>1.26</v>
      </c>
      <c r="W735" s="13">
        <f t="shared" si="256"/>
        <v>50.4</v>
      </c>
      <c r="X735" s="14">
        <f t="shared" si="254"/>
        <v>-2.0689193302891944</v>
      </c>
      <c r="Y735" s="13">
        <f t="shared" si="257"/>
        <v>48.331080669710801</v>
      </c>
      <c r="Z735" s="10">
        <v>45329</v>
      </c>
      <c r="AA735" s="9">
        <f t="shared" si="258"/>
        <v>0</v>
      </c>
      <c r="AC735" s="9">
        <v>425970</v>
      </c>
      <c r="AD735" s="14">
        <f t="shared" si="255"/>
        <v>10.4965625</v>
      </c>
      <c r="AF735" s="14">
        <f t="shared" si="259"/>
        <v>0.8</v>
      </c>
      <c r="AH735" s="14">
        <f t="shared" si="263"/>
        <v>11.2965625</v>
      </c>
      <c r="AI735" s="13">
        <f t="shared" si="234"/>
        <v>37.0345181697108</v>
      </c>
      <c r="AK735" s="9">
        <f t="shared" si="235"/>
        <v>40</v>
      </c>
    </row>
    <row r="736" spans="1:37">
      <c r="A736" s="9">
        <v>3</v>
      </c>
      <c r="B736" s="9">
        <v>2023</v>
      </c>
      <c r="C736" s="9" t="s">
        <v>46</v>
      </c>
      <c r="D736" s="9" t="s">
        <v>47</v>
      </c>
      <c r="E736" s="9" t="s">
        <v>47</v>
      </c>
      <c r="F736" s="10">
        <v>45304</v>
      </c>
      <c r="G736" s="9" t="s">
        <v>155</v>
      </c>
      <c r="H736" s="9" t="s">
        <v>48</v>
      </c>
      <c r="I736" s="9">
        <v>4</v>
      </c>
      <c r="J736" s="11">
        <f>12*I736</f>
        <v>48</v>
      </c>
      <c r="K736" s="9">
        <v>2080</v>
      </c>
      <c r="L736" s="12">
        <v>0.15</v>
      </c>
      <c r="M736" s="12">
        <v>312</v>
      </c>
      <c r="N736" s="13" t="s">
        <v>49</v>
      </c>
      <c r="Q736" s="9">
        <f>IF(Auction_Sales[[#This Row],[Payment Date]]=0,"",-1+WEEKNUM(Auction_Sales[[#This Row],[Payment Date]]))</f>
        <v>3</v>
      </c>
      <c r="R736" s="9">
        <f>K736-U736</f>
        <v>-320</v>
      </c>
      <c r="S736" s="1" t="str">
        <f>G736</f>
        <v>Floribunda Roses</v>
      </c>
      <c r="T736" s="9" t="str">
        <f>H736</f>
        <v>60CM</v>
      </c>
      <c r="U736" s="9">
        <v>2400</v>
      </c>
      <c r="V736" s="13">
        <f>826/2400</f>
        <v>0.34416666666666668</v>
      </c>
      <c r="W736" s="13">
        <f t="shared" ref="W736:W759" si="267">U736*V736</f>
        <v>826</v>
      </c>
      <c r="X736" s="14">
        <f>-(5210.4-4724.25)*U736/(8840+1680+1680)</f>
        <v>-95.636065573770409</v>
      </c>
      <c r="Y736" s="13">
        <f>W736+X736</f>
        <v>730.36393442622955</v>
      </c>
      <c r="Z736" s="10">
        <v>45315</v>
      </c>
      <c r="AA736" s="9">
        <f>U736-K736</f>
        <v>320</v>
      </c>
      <c r="AC736" s="9">
        <v>423646</v>
      </c>
      <c r="AD736" s="14">
        <f>J736/(32*12)*1273.32</f>
        <v>159.16499999999999</v>
      </c>
      <c r="AF736" s="14">
        <f>U736*0.02</f>
        <v>48</v>
      </c>
      <c r="AH736" s="14">
        <f>SUM(AD736:AG736)</f>
        <v>207.16499999999999</v>
      </c>
      <c r="AI736" s="13">
        <f>Y736-AH736</f>
        <v>523.19893442622958</v>
      </c>
      <c r="AK736" s="9">
        <f>U736</f>
        <v>2400</v>
      </c>
    </row>
    <row r="737" spans="1:37">
      <c r="A737" s="9">
        <v>3</v>
      </c>
      <c r="B737" s="9">
        <v>2023</v>
      </c>
      <c r="C737" s="9" t="s">
        <v>46</v>
      </c>
      <c r="D737" s="9" t="s">
        <v>47</v>
      </c>
      <c r="E737" s="9" t="s">
        <v>47</v>
      </c>
      <c r="F737" s="10">
        <v>45304</v>
      </c>
      <c r="G737" s="9" t="s">
        <v>154</v>
      </c>
      <c r="H737" s="9" t="s">
        <v>48</v>
      </c>
      <c r="I737" s="9">
        <v>1</v>
      </c>
      <c r="J737" s="11">
        <f t="shared" ref="J737:J749" si="268">12*I737</f>
        <v>12</v>
      </c>
      <c r="K737" s="9">
        <v>480</v>
      </c>
      <c r="L737" s="12">
        <v>0.15</v>
      </c>
      <c r="M737" s="12">
        <v>72</v>
      </c>
      <c r="N737" s="13" t="s">
        <v>49</v>
      </c>
      <c r="Q737" s="9">
        <f>IF(Auction_Sales[[#This Row],[Payment Date]]=0,"",-1+WEEKNUM(Auction_Sales[[#This Row],[Payment Date]]))</f>
        <v>3</v>
      </c>
      <c r="R737" s="9">
        <f t="shared" ref="R737:R796" si="269">K737-U737</f>
        <v>480</v>
      </c>
      <c r="S737" s="1" t="str">
        <f t="shared" ref="S737:T753" si="270">G737</f>
        <v>English Roses</v>
      </c>
      <c r="T737" s="9" t="str">
        <f t="shared" si="270"/>
        <v>60CM</v>
      </c>
      <c r="W737" s="13">
        <f t="shared" si="267"/>
        <v>0</v>
      </c>
      <c r="X737" s="14">
        <f t="shared" ref="X737:X759" si="271">-(5210.4-4724.25)*U737/(8840+1680+1680)</f>
        <v>0</v>
      </c>
      <c r="Y737" s="13">
        <f t="shared" ref="Y737:Y759" si="272">W737+X737</f>
        <v>0</v>
      </c>
      <c r="Z737" s="10">
        <v>45315</v>
      </c>
      <c r="AA737" s="9">
        <f t="shared" ref="AA737:AA759" si="273">U737-K737</f>
        <v>-480</v>
      </c>
      <c r="AC737" s="9">
        <v>423646</v>
      </c>
      <c r="AD737" s="14">
        <f t="shared" ref="AD737:AD759" si="274">J737/(32*12)*1273.32</f>
        <v>39.791249999999998</v>
      </c>
      <c r="AF737" s="14">
        <f t="shared" ref="AF737:AF759" si="275">U737*0.02</f>
        <v>0</v>
      </c>
      <c r="AH737" s="14">
        <f t="shared" ref="AH737:AH752" si="276">SUM(AD737:AG737)</f>
        <v>39.791249999999998</v>
      </c>
      <c r="AI737" s="13">
        <f t="shared" ref="AI737:AI759" si="277">Y737-AH737</f>
        <v>-39.791249999999998</v>
      </c>
      <c r="AK737" s="9">
        <f t="shared" ref="AK737:AK759" si="278">U737</f>
        <v>0</v>
      </c>
    </row>
    <row r="738" spans="1:37">
      <c r="A738" s="9">
        <v>3</v>
      </c>
      <c r="B738" s="9">
        <v>2023</v>
      </c>
      <c r="C738" s="9" t="s">
        <v>46</v>
      </c>
      <c r="D738" s="9" t="s">
        <v>47</v>
      </c>
      <c r="E738" s="9" t="s">
        <v>47</v>
      </c>
      <c r="F738" s="10">
        <v>45304</v>
      </c>
      <c r="G738" s="9" t="s">
        <v>155</v>
      </c>
      <c r="H738" s="9" t="s">
        <v>52</v>
      </c>
      <c r="I738" s="9">
        <v>6</v>
      </c>
      <c r="J738" s="11">
        <f t="shared" si="268"/>
        <v>72</v>
      </c>
      <c r="K738" s="9">
        <v>1920</v>
      </c>
      <c r="L738" s="12">
        <v>0.15</v>
      </c>
      <c r="M738" s="12">
        <v>288</v>
      </c>
      <c r="N738" s="13" t="s">
        <v>49</v>
      </c>
      <c r="Q738" s="9">
        <f>IF(Auction_Sales[[#This Row],[Payment Date]]=0,"",-1+WEEKNUM(Auction_Sales[[#This Row],[Payment Date]]))</f>
        <v>3</v>
      </c>
      <c r="R738" s="9">
        <f t="shared" si="269"/>
        <v>0</v>
      </c>
      <c r="S738" s="1" t="str">
        <f t="shared" si="270"/>
        <v>Floribunda Roses</v>
      </c>
      <c r="T738" s="9" t="str">
        <f t="shared" si="270"/>
        <v>70CM</v>
      </c>
      <c r="U738" s="9">
        <f>960+960</f>
        <v>1920</v>
      </c>
      <c r="V738" s="13">
        <f>(404.8+440)/1920</f>
        <v>0.44</v>
      </c>
      <c r="W738" s="13">
        <f t="shared" si="267"/>
        <v>844.8</v>
      </c>
      <c r="X738" s="14">
        <f t="shared" si="271"/>
        <v>-76.508852459016339</v>
      </c>
      <c r="Y738" s="13">
        <f t="shared" si="272"/>
        <v>768.29114754098362</v>
      </c>
      <c r="Z738" s="10">
        <v>45315</v>
      </c>
      <c r="AA738" s="9">
        <f t="shared" si="273"/>
        <v>0</v>
      </c>
      <c r="AC738" s="9">
        <v>423646</v>
      </c>
      <c r="AD738" s="14">
        <f t="shared" si="274"/>
        <v>238.7475</v>
      </c>
      <c r="AF738" s="14">
        <f t="shared" si="275"/>
        <v>38.4</v>
      </c>
      <c r="AH738" s="14">
        <f t="shared" si="276"/>
        <v>277.14749999999998</v>
      </c>
      <c r="AI738" s="13">
        <f t="shared" si="277"/>
        <v>491.14364754098364</v>
      </c>
      <c r="AK738" s="9">
        <f t="shared" si="278"/>
        <v>1920</v>
      </c>
    </row>
    <row r="739" spans="1:37">
      <c r="A739" s="9">
        <v>3</v>
      </c>
      <c r="B739" s="9">
        <v>2023</v>
      </c>
      <c r="C739" s="9" t="s">
        <v>46</v>
      </c>
      <c r="D739" s="9" t="s">
        <v>47</v>
      </c>
      <c r="E739" s="9" t="s">
        <v>47</v>
      </c>
      <c r="F739" s="10">
        <v>45304</v>
      </c>
      <c r="G739" s="9" t="s">
        <v>155</v>
      </c>
      <c r="H739" s="9" t="s">
        <v>54</v>
      </c>
      <c r="I739" s="9">
        <v>3</v>
      </c>
      <c r="J739" s="11">
        <f t="shared" si="268"/>
        <v>36</v>
      </c>
      <c r="K739" s="9">
        <v>840</v>
      </c>
      <c r="L739" s="12">
        <v>0.15</v>
      </c>
      <c r="M739" s="12">
        <v>126</v>
      </c>
      <c r="N739" s="13" t="s">
        <v>49</v>
      </c>
      <c r="Q739" s="9">
        <f>IF(Auction_Sales[[#This Row],[Payment Date]]=0,"",-1+WEEKNUM(Auction_Sales[[#This Row],[Payment Date]]))</f>
        <v>3</v>
      </c>
      <c r="R739" s="9">
        <f t="shared" si="269"/>
        <v>-240</v>
      </c>
      <c r="S739" s="1" t="str">
        <f t="shared" si="270"/>
        <v>Floribunda Roses</v>
      </c>
      <c r="T739" s="9" t="str">
        <f t="shared" si="270"/>
        <v>80CM</v>
      </c>
      <c r="U739" s="9">
        <v>1080</v>
      </c>
      <c r="V739" s="13">
        <f>617.2/U739</f>
        <v>0.57148148148148148</v>
      </c>
      <c r="W739" s="13">
        <f t="shared" si="267"/>
        <v>617.20000000000005</v>
      </c>
      <c r="X739" s="14">
        <f t="shared" si="271"/>
        <v>-43.036229508196691</v>
      </c>
      <c r="Y739" s="13">
        <f t="shared" si="272"/>
        <v>574.16377049180335</v>
      </c>
      <c r="Z739" s="10">
        <v>45315</v>
      </c>
      <c r="AA739" s="9">
        <f t="shared" si="273"/>
        <v>240</v>
      </c>
      <c r="AC739" s="9">
        <v>423646</v>
      </c>
      <c r="AD739" s="14">
        <f t="shared" si="274"/>
        <v>119.37375</v>
      </c>
      <c r="AF739" s="14">
        <f t="shared" si="275"/>
        <v>21.6</v>
      </c>
      <c r="AH739" s="14">
        <f t="shared" si="276"/>
        <v>140.97375</v>
      </c>
      <c r="AI739" s="13">
        <f t="shared" si="277"/>
        <v>433.19002049180335</v>
      </c>
      <c r="AK739" s="9">
        <f t="shared" si="278"/>
        <v>1080</v>
      </c>
    </row>
    <row r="740" spans="1:37">
      <c r="A740" s="9">
        <v>3</v>
      </c>
      <c r="B740" s="9">
        <v>2023</v>
      </c>
      <c r="C740" s="9" t="s">
        <v>46</v>
      </c>
      <c r="D740" s="9" t="s">
        <v>47</v>
      </c>
      <c r="E740" s="9" t="s">
        <v>47</v>
      </c>
      <c r="F740" s="10">
        <v>45304</v>
      </c>
      <c r="G740" s="9" t="s">
        <v>155</v>
      </c>
      <c r="H740" s="9" t="s">
        <v>56</v>
      </c>
      <c r="I740" s="9">
        <v>2</v>
      </c>
      <c r="J740" s="11">
        <f t="shared" si="268"/>
        <v>24</v>
      </c>
      <c r="K740" s="9">
        <v>480</v>
      </c>
      <c r="L740" s="12">
        <v>0.15</v>
      </c>
      <c r="M740" s="12">
        <v>72</v>
      </c>
      <c r="N740" s="13" t="s">
        <v>49</v>
      </c>
      <c r="Q740" s="9">
        <f>IF(Auction_Sales[[#This Row],[Payment Date]]=0,"",-1+WEEKNUM(Auction_Sales[[#This Row],[Payment Date]]))</f>
        <v>3</v>
      </c>
      <c r="R740" s="9">
        <f t="shared" si="269"/>
        <v>0</v>
      </c>
      <c r="S740" s="1" t="str">
        <f t="shared" si="270"/>
        <v>Floribunda Roses</v>
      </c>
      <c r="T740" s="9" t="str">
        <f t="shared" si="270"/>
        <v>90CM</v>
      </c>
      <c r="U740" s="9">
        <v>480</v>
      </c>
      <c r="V740" s="13">
        <f>292.4/U740</f>
        <v>0.60916666666666663</v>
      </c>
      <c r="W740" s="13">
        <f t="shared" si="267"/>
        <v>292.39999999999998</v>
      </c>
      <c r="X740" s="14">
        <f t="shared" si="271"/>
        <v>-19.127213114754085</v>
      </c>
      <c r="Y740" s="13">
        <f t="shared" si="272"/>
        <v>273.27278688524586</v>
      </c>
      <c r="Z740" s="10">
        <v>45315</v>
      </c>
      <c r="AA740" s="9">
        <f t="shared" si="273"/>
        <v>0</v>
      </c>
      <c r="AC740" s="9">
        <v>423646</v>
      </c>
      <c r="AD740" s="14">
        <f t="shared" si="274"/>
        <v>79.582499999999996</v>
      </c>
      <c r="AF740" s="14">
        <f t="shared" si="275"/>
        <v>9.6</v>
      </c>
      <c r="AH740" s="14">
        <f t="shared" si="276"/>
        <v>89.18249999999999</v>
      </c>
      <c r="AI740" s="13">
        <f t="shared" si="277"/>
        <v>184.09028688524586</v>
      </c>
      <c r="AK740" s="9">
        <f t="shared" si="278"/>
        <v>480</v>
      </c>
    </row>
    <row r="741" spans="1:37">
      <c r="A741" s="9">
        <v>3</v>
      </c>
      <c r="B741" s="9">
        <v>2023</v>
      </c>
      <c r="C741" s="9" t="s">
        <v>46</v>
      </c>
      <c r="D741" s="9" t="s">
        <v>47</v>
      </c>
      <c r="E741" s="9" t="s">
        <v>47</v>
      </c>
      <c r="F741" s="10">
        <v>45304</v>
      </c>
      <c r="G741" s="9" t="s">
        <v>155</v>
      </c>
      <c r="H741" s="9" t="s">
        <v>57</v>
      </c>
      <c r="I741" s="9">
        <v>3</v>
      </c>
      <c r="J741" s="11">
        <f t="shared" si="268"/>
        <v>36</v>
      </c>
      <c r="K741" s="9">
        <v>600</v>
      </c>
      <c r="L741" s="12">
        <v>0.15</v>
      </c>
      <c r="M741" s="12">
        <v>90</v>
      </c>
      <c r="N741" s="13" t="s">
        <v>49</v>
      </c>
      <c r="Q741" s="9">
        <f>IF(Auction_Sales[[#This Row],[Payment Date]]=0,"",-1+WEEKNUM(Auction_Sales[[#This Row],[Payment Date]]))</f>
        <v>3</v>
      </c>
      <c r="R741" s="9">
        <f t="shared" si="269"/>
        <v>-120</v>
      </c>
      <c r="S741" s="1" t="str">
        <f t="shared" si="270"/>
        <v>Floribunda Roses</v>
      </c>
      <c r="T741" s="9" t="str">
        <f t="shared" si="270"/>
        <v>100CM</v>
      </c>
      <c r="U741" s="9">
        <v>720</v>
      </c>
      <c r="V741" s="13">
        <f>452.8/U741</f>
        <v>0.62888888888888894</v>
      </c>
      <c r="W741" s="13">
        <f t="shared" si="267"/>
        <v>452.8</v>
      </c>
      <c r="X741" s="14">
        <f t="shared" si="271"/>
        <v>-28.690819672131127</v>
      </c>
      <c r="Y741" s="13">
        <f t="shared" si="272"/>
        <v>424.1091803278689</v>
      </c>
      <c r="Z741" s="10">
        <v>45315</v>
      </c>
      <c r="AA741" s="9">
        <f t="shared" si="273"/>
        <v>120</v>
      </c>
      <c r="AC741" s="9">
        <v>423646</v>
      </c>
      <c r="AD741" s="14">
        <f t="shared" si="274"/>
        <v>119.37375</v>
      </c>
      <c r="AF741" s="14">
        <f t="shared" si="275"/>
        <v>14.4</v>
      </c>
      <c r="AH741" s="14">
        <f t="shared" si="276"/>
        <v>133.77375000000001</v>
      </c>
      <c r="AI741" s="13">
        <f t="shared" si="277"/>
        <v>290.33543032786889</v>
      </c>
      <c r="AK741" s="9">
        <f t="shared" si="278"/>
        <v>720</v>
      </c>
    </row>
    <row r="742" spans="1:37">
      <c r="A742" s="9">
        <v>3</v>
      </c>
      <c r="B742" s="9">
        <v>2023</v>
      </c>
      <c r="C742" s="9" t="s">
        <v>46</v>
      </c>
      <c r="D742" s="9" t="s">
        <v>47</v>
      </c>
      <c r="E742" s="9" t="s">
        <v>47</v>
      </c>
      <c r="F742" s="10">
        <v>45304</v>
      </c>
      <c r="G742" s="9" t="s">
        <v>155</v>
      </c>
      <c r="H742" s="9" t="s">
        <v>60</v>
      </c>
      <c r="I742" s="9">
        <v>1</v>
      </c>
      <c r="J742" s="11">
        <f t="shared" si="268"/>
        <v>12</v>
      </c>
      <c r="K742" s="9">
        <v>160</v>
      </c>
      <c r="L742" s="12">
        <v>0.15</v>
      </c>
      <c r="M742" s="12">
        <v>24</v>
      </c>
      <c r="N742" s="13" t="s">
        <v>49</v>
      </c>
      <c r="Q742" s="9">
        <f>IF(Auction_Sales[[#This Row],[Payment Date]]=0,"",-1+WEEKNUM(Auction_Sales[[#This Row],[Payment Date]]))</f>
        <v>3</v>
      </c>
      <c r="R742" s="9">
        <f t="shared" si="269"/>
        <v>-40</v>
      </c>
      <c r="S742" s="1" t="str">
        <f t="shared" si="270"/>
        <v>Floribunda Roses</v>
      </c>
      <c r="T742" s="9" t="str">
        <f t="shared" si="270"/>
        <v>110CM</v>
      </c>
      <c r="U742" s="9">
        <v>200</v>
      </c>
      <c r="V742" s="13">
        <f>135.2/200</f>
        <v>0.67599999999999993</v>
      </c>
      <c r="W742" s="13">
        <f t="shared" si="267"/>
        <v>135.19999999999999</v>
      </c>
      <c r="X742" s="14">
        <f t="shared" si="271"/>
        <v>-7.9696721311475347</v>
      </c>
      <c r="Y742" s="13">
        <f t="shared" si="272"/>
        <v>127.23032786885246</v>
      </c>
      <c r="Z742" s="10">
        <v>45315</v>
      </c>
      <c r="AA742" s="9">
        <f t="shared" si="273"/>
        <v>40</v>
      </c>
      <c r="AC742" s="9">
        <v>423646</v>
      </c>
      <c r="AD742" s="14">
        <f t="shared" si="274"/>
        <v>39.791249999999998</v>
      </c>
      <c r="AF742" s="14">
        <f t="shared" si="275"/>
        <v>4</v>
      </c>
      <c r="AH742" s="14">
        <f t="shared" si="276"/>
        <v>43.791249999999998</v>
      </c>
      <c r="AI742" s="13">
        <f t="shared" si="277"/>
        <v>83.439077868852451</v>
      </c>
      <c r="AK742" s="9">
        <f t="shared" si="278"/>
        <v>200</v>
      </c>
    </row>
    <row r="743" spans="1:37">
      <c r="A743" s="9">
        <v>3</v>
      </c>
      <c r="B743" s="9">
        <v>2023</v>
      </c>
      <c r="C743" s="9" t="s">
        <v>46</v>
      </c>
      <c r="D743" s="9" t="s">
        <v>47</v>
      </c>
      <c r="E743" s="9" t="s">
        <v>47</v>
      </c>
      <c r="F743" s="10">
        <v>45304</v>
      </c>
      <c r="G743" s="9" t="s">
        <v>154</v>
      </c>
      <c r="H743" s="9" t="s">
        <v>48</v>
      </c>
      <c r="I743" s="9">
        <v>1</v>
      </c>
      <c r="J743" s="11">
        <f t="shared" si="268"/>
        <v>12</v>
      </c>
      <c r="K743" s="9">
        <v>400</v>
      </c>
      <c r="L743" s="12">
        <v>0.15</v>
      </c>
      <c r="M743" s="12">
        <v>60</v>
      </c>
      <c r="N743" s="13" t="s">
        <v>49</v>
      </c>
      <c r="Q743" s="9">
        <f>IF(Auction_Sales[[#This Row],[Payment Date]]=0,"",-1+WEEKNUM(Auction_Sales[[#This Row],[Payment Date]]))</f>
        <v>3</v>
      </c>
      <c r="R743" s="9">
        <f t="shared" si="269"/>
        <v>-480</v>
      </c>
      <c r="S743" s="1" t="str">
        <f t="shared" si="270"/>
        <v>English Roses</v>
      </c>
      <c r="T743" s="9" t="str">
        <f t="shared" si="270"/>
        <v>60CM</v>
      </c>
      <c r="U743" s="9">
        <v>880</v>
      </c>
      <c r="V743" s="13">
        <f>253.2/U743</f>
        <v>0.28772727272727272</v>
      </c>
      <c r="W743" s="13">
        <f t="shared" si="267"/>
        <v>253.2</v>
      </c>
      <c r="X743" s="14">
        <f t="shared" si="271"/>
        <v>-35.066557377049151</v>
      </c>
      <c r="Y743" s="13">
        <f t="shared" si="272"/>
        <v>218.13344262295084</v>
      </c>
      <c r="Z743" s="10">
        <v>45315</v>
      </c>
      <c r="AA743" s="9">
        <f t="shared" si="273"/>
        <v>480</v>
      </c>
      <c r="AC743" s="9">
        <v>423646</v>
      </c>
      <c r="AD743" s="14">
        <f t="shared" si="274"/>
        <v>39.791249999999998</v>
      </c>
      <c r="AF743" s="14">
        <f t="shared" si="275"/>
        <v>17.600000000000001</v>
      </c>
      <c r="AH743" s="14">
        <f t="shared" si="276"/>
        <v>57.391249999999999</v>
      </c>
      <c r="AI743" s="13">
        <f t="shared" si="277"/>
        <v>160.74219262295082</v>
      </c>
      <c r="AK743" s="9">
        <f t="shared" si="278"/>
        <v>880</v>
      </c>
    </row>
    <row r="744" spans="1:37">
      <c r="A744" s="9">
        <v>3</v>
      </c>
      <c r="B744" s="9">
        <v>2023</v>
      </c>
      <c r="C744" s="9" t="s">
        <v>46</v>
      </c>
      <c r="D744" s="9" t="s">
        <v>47</v>
      </c>
      <c r="E744" s="9" t="s">
        <v>47</v>
      </c>
      <c r="F744" s="10">
        <v>45304</v>
      </c>
      <c r="G744" s="9" t="s">
        <v>153</v>
      </c>
      <c r="H744" s="9" t="s">
        <v>48</v>
      </c>
      <c r="I744" s="9">
        <v>2</v>
      </c>
      <c r="J744" s="11">
        <f t="shared" si="268"/>
        <v>24</v>
      </c>
      <c r="K744" s="9">
        <v>1440</v>
      </c>
      <c r="L744" s="12">
        <v>0.15</v>
      </c>
      <c r="M744" s="12">
        <v>216</v>
      </c>
      <c r="N744" s="13" t="s">
        <v>49</v>
      </c>
      <c r="Q744" s="9">
        <f>IF(Auction_Sales[[#This Row],[Payment Date]]=0,"",-1+WEEKNUM(Auction_Sales[[#This Row],[Payment Date]]))</f>
        <v>3</v>
      </c>
      <c r="R744" s="9">
        <f t="shared" si="269"/>
        <v>0</v>
      </c>
      <c r="S744" s="1" t="str">
        <f t="shared" si="270"/>
        <v>Grandiflora Roses</v>
      </c>
      <c r="T744" s="9" t="str">
        <f t="shared" si="270"/>
        <v>60CM</v>
      </c>
      <c r="U744" s="9">
        <f>720+720</f>
        <v>1440</v>
      </c>
      <c r="V744" s="13">
        <f>(118.4+147.2)/U744</f>
        <v>0.18444444444444447</v>
      </c>
      <c r="W744" s="13">
        <f t="shared" si="267"/>
        <v>265.60000000000002</v>
      </c>
      <c r="X744" s="14">
        <f t="shared" si="271"/>
        <v>-57.381639344262254</v>
      </c>
      <c r="Y744" s="13">
        <f t="shared" si="272"/>
        <v>208.21836065573777</v>
      </c>
      <c r="Z744" s="10">
        <v>45315</v>
      </c>
      <c r="AA744" s="9">
        <f t="shared" si="273"/>
        <v>0</v>
      </c>
      <c r="AC744" s="9">
        <v>423646</v>
      </c>
      <c r="AD744" s="14">
        <f t="shared" si="274"/>
        <v>79.582499999999996</v>
      </c>
      <c r="AF744" s="14">
        <f t="shared" si="275"/>
        <v>28.8</v>
      </c>
      <c r="AH744" s="14">
        <f t="shared" si="276"/>
        <v>108.38249999999999</v>
      </c>
      <c r="AI744" s="13">
        <f t="shared" si="277"/>
        <v>99.835860655737775</v>
      </c>
      <c r="AK744" s="9">
        <f t="shared" si="278"/>
        <v>1440</v>
      </c>
    </row>
    <row r="745" spans="1:37">
      <c r="A745" s="9">
        <v>3</v>
      </c>
      <c r="B745" s="9">
        <v>2023</v>
      </c>
      <c r="C745" s="9" t="s">
        <v>46</v>
      </c>
      <c r="D745" s="9" t="s">
        <v>47</v>
      </c>
      <c r="E745" s="9" t="s">
        <v>47</v>
      </c>
      <c r="F745" s="10">
        <v>45304</v>
      </c>
      <c r="G745" s="9" t="s">
        <v>153</v>
      </c>
      <c r="H745" s="9" t="s">
        <v>52</v>
      </c>
      <c r="I745" s="9">
        <v>1</v>
      </c>
      <c r="J745" s="11">
        <f t="shared" si="268"/>
        <v>12</v>
      </c>
      <c r="K745" s="9">
        <v>520</v>
      </c>
      <c r="L745" s="12">
        <v>0.15</v>
      </c>
      <c r="M745" s="12">
        <v>78</v>
      </c>
      <c r="N745" s="13" t="s">
        <v>49</v>
      </c>
      <c r="Q745" s="9">
        <f>IF(Auction_Sales[[#This Row],[Payment Date]]=0,"",-1+WEEKNUM(Auction_Sales[[#This Row],[Payment Date]]))</f>
        <v>3</v>
      </c>
      <c r="R745" s="9">
        <f t="shared" si="269"/>
        <v>-440</v>
      </c>
      <c r="S745" s="1" t="str">
        <f t="shared" si="270"/>
        <v>Grandiflora Roses</v>
      </c>
      <c r="T745" s="9" t="str">
        <f t="shared" si="270"/>
        <v>70CM</v>
      </c>
      <c r="U745" s="9">
        <v>960</v>
      </c>
      <c r="V745" s="13">
        <f>334/U745</f>
        <v>0.34791666666666665</v>
      </c>
      <c r="W745" s="13">
        <f t="shared" si="267"/>
        <v>334</v>
      </c>
      <c r="X745" s="14">
        <f t="shared" si="271"/>
        <v>-38.254426229508169</v>
      </c>
      <c r="Y745" s="13">
        <f t="shared" si="272"/>
        <v>295.74557377049183</v>
      </c>
      <c r="Z745" s="10">
        <v>45315</v>
      </c>
      <c r="AA745" s="9">
        <f t="shared" si="273"/>
        <v>440</v>
      </c>
      <c r="AC745" s="9">
        <v>423646</v>
      </c>
      <c r="AD745" s="14">
        <f t="shared" si="274"/>
        <v>39.791249999999998</v>
      </c>
      <c r="AF745" s="14">
        <f t="shared" si="275"/>
        <v>19.2</v>
      </c>
      <c r="AH745" s="14">
        <f t="shared" si="276"/>
        <v>58.991249999999994</v>
      </c>
      <c r="AI745" s="13">
        <f t="shared" si="277"/>
        <v>236.75432377049185</v>
      </c>
      <c r="AK745" s="9">
        <f t="shared" si="278"/>
        <v>960</v>
      </c>
    </row>
    <row r="746" spans="1:37">
      <c r="A746" s="9">
        <v>3</v>
      </c>
      <c r="B746" s="9">
        <v>2023</v>
      </c>
      <c r="C746" s="9" t="s">
        <v>46</v>
      </c>
      <c r="D746" s="9" t="s">
        <v>47</v>
      </c>
      <c r="E746" s="9" t="s">
        <v>47</v>
      </c>
      <c r="F746" s="10">
        <v>45304</v>
      </c>
      <c r="G746" s="9" t="s">
        <v>153</v>
      </c>
      <c r="H746" s="9" t="s">
        <v>54</v>
      </c>
      <c r="I746" s="9">
        <v>1</v>
      </c>
      <c r="J746" s="11">
        <f t="shared" si="268"/>
        <v>12</v>
      </c>
      <c r="K746" s="9">
        <v>480</v>
      </c>
      <c r="L746" s="12">
        <v>0.15</v>
      </c>
      <c r="M746" s="12">
        <v>72</v>
      </c>
      <c r="N746" s="13" t="s">
        <v>49</v>
      </c>
      <c r="Q746" s="9">
        <f>IF(Auction_Sales[[#This Row],[Payment Date]]=0,"",-1+WEEKNUM(Auction_Sales[[#This Row],[Payment Date]]))</f>
        <v>3</v>
      </c>
      <c r="R746" s="9">
        <f t="shared" si="269"/>
        <v>-40</v>
      </c>
      <c r="S746" s="1" t="str">
        <f t="shared" si="270"/>
        <v>Grandiflora Roses</v>
      </c>
      <c r="T746" s="9" t="str">
        <f t="shared" si="270"/>
        <v>80CM</v>
      </c>
      <c r="U746" s="9">
        <v>520</v>
      </c>
      <c r="V746" s="13">
        <f>300/U746</f>
        <v>0.57692307692307687</v>
      </c>
      <c r="W746" s="13">
        <f t="shared" si="267"/>
        <v>300</v>
      </c>
      <c r="X746" s="14">
        <f t="shared" si="271"/>
        <v>-20.721147540983591</v>
      </c>
      <c r="Y746" s="13">
        <f t="shared" si="272"/>
        <v>279.27885245901643</v>
      </c>
      <c r="Z746" s="10">
        <v>45315</v>
      </c>
      <c r="AA746" s="9">
        <f t="shared" si="273"/>
        <v>40</v>
      </c>
      <c r="AC746" s="9">
        <v>423646</v>
      </c>
      <c r="AD746" s="14">
        <f t="shared" si="274"/>
        <v>39.791249999999998</v>
      </c>
      <c r="AF746" s="14">
        <f t="shared" si="275"/>
        <v>10.4</v>
      </c>
      <c r="AH746" s="14">
        <f t="shared" si="276"/>
        <v>50.191249999999997</v>
      </c>
      <c r="AI746" s="13">
        <f t="shared" si="277"/>
        <v>229.08760245901644</v>
      </c>
      <c r="AK746" s="9">
        <f t="shared" si="278"/>
        <v>520</v>
      </c>
    </row>
    <row r="747" spans="1:37">
      <c r="A747" s="9">
        <v>3</v>
      </c>
      <c r="B747" s="9">
        <v>2023</v>
      </c>
      <c r="C747" s="9" t="s">
        <v>46</v>
      </c>
      <c r="D747" s="9" t="s">
        <v>47</v>
      </c>
      <c r="E747" s="9" t="s">
        <v>47</v>
      </c>
      <c r="F747" s="10">
        <v>45304</v>
      </c>
      <c r="G747" s="9" t="s">
        <v>153</v>
      </c>
      <c r="H747" s="9" t="s">
        <v>56</v>
      </c>
      <c r="I747" s="9">
        <v>1</v>
      </c>
      <c r="J747" s="11">
        <f t="shared" si="268"/>
        <v>12</v>
      </c>
      <c r="K747" s="9">
        <v>440</v>
      </c>
      <c r="L747" s="12">
        <v>0.15</v>
      </c>
      <c r="M747" s="12">
        <v>66</v>
      </c>
      <c r="N747" s="13" t="s">
        <v>49</v>
      </c>
      <c r="Q747" s="9">
        <f>IF(Auction_Sales[[#This Row],[Payment Date]]=0,"",-1+WEEKNUM(Auction_Sales[[#This Row],[Payment Date]]))</f>
        <v>3</v>
      </c>
      <c r="R747" s="9">
        <f t="shared" si="269"/>
        <v>0</v>
      </c>
      <c r="S747" s="1" t="str">
        <f t="shared" si="270"/>
        <v>Grandiflora Roses</v>
      </c>
      <c r="T747" s="9" t="str">
        <f t="shared" si="270"/>
        <v>90CM</v>
      </c>
      <c r="U747" s="9">
        <v>440</v>
      </c>
      <c r="V747" s="13">
        <f>284/U747</f>
        <v>0.6454545454545455</v>
      </c>
      <c r="W747" s="13">
        <f t="shared" si="267"/>
        <v>284</v>
      </c>
      <c r="X747" s="14">
        <f t="shared" si="271"/>
        <v>-17.533278688524575</v>
      </c>
      <c r="Y747" s="13">
        <f t="shared" si="272"/>
        <v>266.46672131147545</v>
      </c>
      <c r="Z747" s="10">
        <v>45315</v>
      </c>
      <c r="AA747" s="9">
        <f t="shared" si="273"/>
        <v>0</v>
      </c>
      <c r="AC747" s="9">
        <v>423646</v>
      </c>
      <c r="AD747" s="14">
        <f t="shared" si="274"/>
        <v>39.791249999999998</v>
      </c>
      <c r="AF747" s="14">
        <f t="shared" si="275"/>
        <v>8.8000000000000007</v>
      </c>
      <c r="AH747" s="14">
        <f t="shared" si="276"/>
        <v>48.591250000000002</v>
      </c>
      <c r="AI747" s="13">
        <f t="shared" si="277"/>
        <v>217.87547131147545</v>
      </c>
      <c r="AK747" s="9">
        <f t="shared" si="278"/>
        <v>440</v>
      </c>
    </row>
    <row r="748" spans="1:37">
      <c r="A748" s="9">
        <v>3</v>
      </c>
      <c r="B748" s="9">
        <v>2023</v>
      </c>
      <c r="C748" s="9" t="s">
        <v>46</v>
      </c>
      <c r="D748" s="9" t="s">
        <v>47</v>
      </c>
      <c r="E748" s="9" t="s">
        <v>47</v>
      </c>
      <c r="F748" s="10">
        <v>45304</v>
      </c>
      <c r="G748" s="9" t="s">
        <v>154</v>
      </c>
      <c r="H748" s="9" t="s">
        <v>52</v>
      </c>
      <c r="I748" s="9">
        <v>1</v>
      </c>
      <c r="J748" s="11">
        <f t="shared" si="268"/>
        <v>12</v>
      </c>
      <c r="K748" s="9">
        <v>400</v>
      </c>
      <c r="L748" s="12">
        <v>0.15</v>
      </c>
      <c r="M748" s="12">
        <v>60</v>
      </c>
      <c r="N748" s="13" t="s">
        <v>49</v>
      </c>
      <c r="Q748" s="9">
        <f>IF(Auction_Sales[[#This Row],[Payment Date]]=0,"",-1+WEEKNUM(Auction_Sales[[#This Row],[Payment Date]]))</f>
        <v>3</v>
      </c>
      <c r="R748" s="9">
        <f t="shared" si="269"/>
        <v>0</v>
      </c>
      <c r="S748" s="1" t="str">
        <f t="shared" si="270"/>
        <v>English Roses</v>
      </c>
      <c r="T748" s="9" t="str">
        <f t="shared" si="270"/>
        <v>70CM</v>
      </c>
      <c r="U748" s="9">
        <v>400</v>
      </c>
      <c r="V748" s="13">
        <f>174.4/400</f>
        <v>0.436</v>
      </c>
      <c r="W748" s="13">
        <f t="shared" si="267"/>
        <v>174.4</v>
      </c>
      <c r="X748" s="14">
        <f t="shared" si="271"/>
        <v>-15.939344262295069</v>
      </c>
      <c r="Y748" s="13">
        <f t="shared" si="272"/>
        <v>158.46065573770494</v>
      </c>
      <c r="Z748" s="10">
        <v>45315</v>
      </c>
      <c r="AA748" s="9">
        <f t="shared" si="273"/>
        <v>0</v>
      </c>
      <c r="AC748" s="9">
        <v>423646</v>
      </c>
      <c r="AD748" s="14">
        <f t="shared" si="274"/>
        <v>39.791249999999998</v>
      </c>
      <c r="AF748" s="14">
        <f t="shared" si="275"/>
        <v>8</v>
      </c>
      <c r="AH748" s="14">
        <f t="shared" si="276"/>
        <v>47.791249999999998</v>
      </c>
      <c r="AI748" s="13">
        <f t="shared" si="277"/>
        <v>110.66940573770495</v>
      </c>
      <c r="AK748" s="9">
        <f t="shared" si="278"/>
        <v>400</v>
      </c>
    </row>
    <row r="749" spans="1:37">
      <c r="A749" s="9">
        <v>3</v>
      </c>
      <c r="B749" s="9">
        <v>2023</v>
      </c>
      <c r="C749" s="9" t="s">
        <v>46</v>
      </c>
      <c r="D749" s="9" t="s">
        <v>47</v>
      </c>
      <c r="E749" s="9" t="s">
        <v>47</v>
      </c>
      <c r="F749" s="10">
        <v>45304</v>
      </c>
      <c r="G749" s="9" t="s">
        <v>154</v>
      </c>
      <c r="H749" s="9" t="s">
        <v>54</v>
      </c>
      <c r="I749" s="9">
        <v>1</v>
      </c>
      <c r="J749" s="11">
        <f t="shared" si="268"/>
        <v>12</v>
      </c>
      <c r="K749" s="9">
        <v>280</v>
      </c>
      <c r="L749" s="12">
        <v>0.15</v>
      </c>
      <c r="M749" s="12">
        <v>42</v>
      </c>
      <c r="N749" s="13" t="s">
        <v>49</v>
      </c>
      <c r="Q749" s="9">
        <f>IF(Auction_Sales[[#This Row],[Payment Date]]=0,"",-1+WEEKNUM(Auction_Sales[[#This Row],[Payment Date]]))</f>
        <v>3</v>
      </c>
      <c r="R749" s="9">
        <f t="shared" si="269"/>
        <v>0</v>
      </c>
      <c r="S749" s="1" t="str">
        <f t="shared" si="270"/>
        <v>English Roses</v>
      </c>
      <c r="T749" s="9" t="str">
        <f t="shared" si="270"/>
        <v>80CM</v>
      </c>
      <c r="U749" s="9">
        <v>280</v>
      </c>
      <c r="V749" s="13">
        <f>162.8/280</f>
        <v>0.58142857142857152</v>
      </c>
      <c r="W749" s="13">
        <f t="shared" si="267"/>
        <v>162.80000000000001</v>
      </c>
      <c r="X749" s="14">
        <f t="shared" si="271"/>
        <v>-11.157540983606548</v>
      </c>
      <c r="Y749" s="13">
        <f t="shared" si="272"/>
        <v>151.64245901639347</v>
      </c>
      <c r="Z749" s="10">
        <v>45315</v>
      </c>
      <c r="AA749" s="9">
        <f t="shared" si="273"/>
        <v>0</v>
      </c>
      <c r="AC749" s="9">
        <v>423646</v>
      </c>
      <c r="AD749" s="14">
        <f t="shared" si="274"/>
        <v>39.791249999999998</v>
      </c>
      <c r="AF749" s="14">
        <f t="shared" si="275"/>
        <v>5.6000000000000005</v>
      </c>
      <c r="AH749" s="14">
        <f t="shared" si="276"/>
        <v>45.391249999999999</v>
      </c>
      <c r="AI749" s="13">
        <f t="shared" si="277"/>
        <v>106.25120901639347</v>
      </c>
      <c r="AK749" s="9">
        <f t="shared" si="278"/>
        <v>280</v>
      </c>
    </row>
    <row r="750" spans="1:37">
      <c r="A750" s="9">
        <v>3</v>
      </c>
      <c r="B750" s="9">
        <v>2023</v>
      </c>
      <c r="C750" s="9" t="s">
        <v>46</v>
      </c>
      <c r="D750" s="9" t="s">
        <v>47</v>
      </c>
      <c r="E750" s="9" t="s">
        <v>47</v>
      </c>
      <c r="F750" s="10">
        <v>45304</v>
      </c>
      <c r="G750" s="9" t="s">
        <v>155</v>
      </c>
      <c r="H750" s="9" t="s">
        <v>57</v>
      </c>
      <c r="I750" s="9">
        <v>1</v>
      </c>
      <c r="J750" s="11">
        <f>K750/160*12</f>
        <v>9</v>
      </c>
      <c r="K750" s="9">
        <v>120</v>
      </c>
      <c r="L750" s="12">
        <v>0.15</v>
      </c>
      <c r="M750" s="12">
        <v>18</v>
      </c>
      <c r="N750" s="13" t="s">
        <v>49</v>
      </c>
      <c r="Q750" s="9">
        <f>IF(Auction_Sales[[#This Row],[Payment Date]]=0,"",-1+WEEKNUM(Auction_Sales[[#This Row],[Payment Date]]))</f>
        <v>3</v>
      </c>
      <c r="R750" s="9">
        <f t="shared" si="269"/>
        <v>120</v>
      </c>
      <c r="S750" s="1" t="str">
        <f t="shared" si="270"/>
        <v>Floribunda Roses</v>
      </c>
      <c r="T750" s="9" t="str">
        <f t="shared" si="270"/>
        <v>100CM</v>
      </c>
      <c r="W750" s="13">
        <f t="shared" si="267"/>
        <v>0</v>
      </c>
      <c r="X750" s="14">
        <f t="shared" si="271"/>
        <v>0</v>
      </c>
      <c r="Y750" s="13">
        <f t="shared" si="272"/>
        <v>0</v>
      </c>
      <c r="Z750" s="10">
        <v>45315</v>
      </c>
      <c r="AA750" s="9">
        <f t="shared" si="273"/>
        <v>-120</v>
      </c>
      <c r="AC750" s="9">
        <v>423646</v>
      </c>
      <c r="AD750" s="14">
        <f t="shared" si="274"/>
        <v>29.8434375</v>
      </c>
      <c r="AF750" s="14">
        <f t="shared" si="275"/>
        <v>0</v>
      </c>
      <c r="AH750" s="14">
        <f t="shared" si="276"/>
        <v>29.8434375</v>
      </c>
      <c r="AI750" s="13">
        <f t="shared" si="277"/>
        <v>-29.8434375</v>
      </c>
      <c r="AK750" s="9">
        <f t="shared" si="278"/>
        <v>0</v>
      </c>
    </row>
    <row r="751" spans="1:37">
      <c r="A751" s="9">
        <v>3</v>
      </c>
      <c r="B751" s="9">
        <v>2023</v>
      </c>
      <c r="C751" s="9" t="s">
        <v>46</v>
      </c>
      <c r="D751" s="9" t="s">
        <v>47</v>
      </c>
      <c r="E751" s="9" t="s">
        <v>47</v>
      </c>
      <c r="F751" s="10">
        <v>45304</v>
      </c>
      <c r="G751" s="9" t="s">
        <v>155</v>
      </c>
      <c r="H751" s="9" t="s">
        <v>60</v>
      </c>
      <c r="J751" s="11">
        <f>K751/160*12</f>
        <v>3</v>
      </c>
      <c r="K751" s="9">
        <v>40</v>
      </c>
      <c r="L751" s="12">
        <v>0.15</v>
      </c>
      <c r="M751" s="12">
        <v>6</v>
      </c>
      <c r="N751" s="13" t="s">
        <v>49</v>
      </c>
      <c r="Q751" s="9">
        <f>IF(Auction_Sales[[#This Row],[Payment Date]]=0,"",-1+WEEKNUM(Auction_Sales[[#This Row],[Payment Date]]))</f>
        <v>3</v>
      </c>
      <c r="R751" s="9">
        <f t="shared" si="269"/>
        <v>40</v>
      </c>
      <c r="S751" s="1" t="str">
        <f t="shared" si="270"/>
        <v>Floribunda Roses</v>
      </c>
      <c r="T751" s="9" t="str">
        <f t="shared" si="270"/>
        <v>110CM</v>
      </c>
      <c r="W751" s="13">
        <f t="shared" si="267"/>
        <v>0</v>
      </c>
      <c r="X751" s="14">
        <f t="shared" si="271"/>
        <v>0</v>
      </c>
      <c r="Y751" s="13">
        <f t="shared" si="272"/>
        <v>0</v>
      </c>
      <c r="Z751" s="10">
        <v>45315</v>
      </c>
      <c r="AA751" s="9">
        <f t="shared" si="273"/>
        <v>-40</v>
      </c>
      <c r="AC751" s="9">
        <v>423646</v>
      </c>
      <c r="AD751" s="14">
        <f t="shared" si="274"/>
        <v>9.9478124999999995</v>
      </c>
      <c r="AF751" s="14">
        <f t="shared" si="275"/>
        <v>0</v>
      </c>
      <c r="AH751" s="14">
        <f t="shared" si="276"/>
        <v>9.9478124999999995</v>
      </c>
      <c r="AI751" s="13">
        <f t="shared" si="277"/>
        <v>-9.9478124999999995</v>
      </c>
      <c r="AK751" s="9">
        <f t="shared" si="278"/>
        <v>0</v>
      </c>
    </row>
    <row r="752" spans="1:37">
      <c r="A752" s="9">
        <v>3</v>
      </c>
      <c r="B752" s="9">
        <v>2023</v>
      </c>
      <c r="C752" s="9" t="s">
        <v>46</v>
      </c>
      <c r="D752" s="9" t="s">
        <v>47</v>
      </c>
      <c r="E752" s="9" t="s">
        <v>47</v>
      </c>
      <c r="F752" s="10">
        <v>45304</v>
      </c>
      <c r="G752" s="9" t="s">
        <v>155</v>
      </c>
      <c r="H752" s="9" t="s">
        <v>48</v>
      </c>
      <c r="I752" s="9">
        <v>1</v>
      </c>
      <c r="J752" s="11">
        <f>K752/560*12</f>
        <v>6.8571428571428568</v>
      </c>
      <c r="K752" s="9">
        <v>320</v>
      </c>
      <c r="L752" s="12">
        <v>0.15</v>
      </c>
      <c r="M752" s="12">
        <v>48</v>
      </c>
      <c r="N752" s="13" t="s">
        <v>49</v>
      </c>
      <c r="Q752" s="9">
        <f>IF(Auction_Sales[[#This Row],[Payment Date]]=0,"",-1+WEEKNUM(Auction_Sales[[#This Row],[Payment Date]]))</f>
        <v>3</v>
      </c>
      <c r="R752" s="9">
        <f t="shared" si="269"/>
        <v>320</v>
      </c>
      <c r="S752" s="1" t="str">
        <f t="shared" si="270"/>
        <v>Floribunda Roses</v>
      </c>
      <c r="T752" s="9" t="str">
        <f t="shared" si="270"/>
        <v>60CM</v>
      </c>
      <c r="W752" s="13">
        <f t="shared" si="267"/>
        <v>0</v>
      </c>
      <c r="X752" s="14">
        <f t="shared" si="271"/>
        <v>0</v>
      </c>
      <c r="Y752" s="13">
        <f t="shared" si="272"/>
        <v>0</v>
      </c>
      <c r="Z752" s="10">
        <v>45315</v>
      </c>
      <c r="AA752" s="9">
        <f t="shared" si="273"/>
        <v>-320</v>
      </c>
      <c r="AC752" s="9">
        <v>423646</v>
      </c>
      <c r="AD752" s="14">
        <f t="shared" si="274"/>
        <v>22.737857142857141</v>
      </c>
      <c r="AF752" s="14">
        <f t="shared" si="275"/>
        <v>0</v>
      </c>
      <c r="AH752" s="14">
        <f t="shared" si="276"/>
        <v>22.737857142857141</v>
      </c>
      <c r="AI752" s="13">
        <f t="shared" si="277"/>
        <v>-22.737857142857141</v>
      </c>
      <c r="AK752" s="9">
        <f t="shared" si="278"/>
        <v>0</v>
      </c>
    </row>
    <row r="753" spans="1:37">
      <c r="A753" s="9">
        <v>3</v>
      </c>
      <c r="B753" s="9">
        <v>2023</v>
      </c>
      <c r="C753" s="9" t="s">
        <v>46</v>
      </c>
      <c r="D753" s="9" t="s">
        <v>47</v>
      </c>
      <c r="E753" s="9" t="s">
        <v>47</v>
      </c>
      <c r="F753" s="10">
        <v>45304</v>
      </c>
      <c r="G753" s="9" t="s">
        <v>155</v>
      </c>
      <c r="H753" s="9" t="s">
        <v>54</v>
      </c>
      <c r="J753" s="11">
        <f>K753/560*12</f>
        <v>5.1428571428571423</v>
      </c>
      <c r="K753" s="9">
        <v>240</v>
      </c>
      <c r="L753" s="12">
        <v>0.15</v>
      </c>
      <c r="M753" s="12">
        <v>36</v>
      </c>
      <c r="N753" s="13" t="s">
        <v>49</v>
      </c>
      <c r="Q753" s="9">
        <f>IF(Auction_Sales[[#This Row],[Payment Date]]=0,"",-1+WEEKNUM(Auction_Sales[[#This Row],[Payment Date]]))</f>
        <v>3</v>
      </c>
      <c r="R753" s="9">
        <f t="shared" si="269"/>
        <v>240</v>
      </c>
      <c r="S753" s="1" t="str">
        <f t="shared" si="270"/>
        <v>Floribunda Roses</v>
      </c>
      <c r="T753" s="9" t="str">
        <f t="shared" si="270"/>
        <v>80CM</v>
      </c>
      <c r="W753" s="13">
        <f t="shared" si="267"/>
        <v>0</v>
      </c>
      <c r="X753" s="14">
        <f t="shared" si="271"/>
        <v>0</v>
      </c>
      <c r="Y753" s="13">
        <f t="shared" si="272"/>
        <v>0</v>
      </c>
      <c r="Z753" s="10">
        <v>45315</v>
      </c>
      <c r="AA753" s="9">
        <f t="shared" si="273"/>
        <v>-240</v>
      </c>
      <c r="AC753" s="9">
        <v>423646</v>
      </c>
      <c r="AD753" s="14">
        <f t="shared" si="274"/>
        <v>17.053392857142857</v>
      </c>
      <c r="AF753" s="14">
        <f t="shared" si="275"/>
        <v>0</v>
      </c>
      <c r="AH753" s="14">
        <f t="shared" ref="AH753:AH757" si="279">SUM(AD753:AG753)</f>
        <v>17.053392857142857</v>
      </c>
      <c r="AI753" s="13">
        <f t="shared" si="277"/>
        <v>-17.053392857142857</v>
      </c>
      <c r="AK753" s="9">
        <f t="shared" si="278"/>
        <v>0</v>
      </c>
    </row>
    <row r="754" spans="1:37">
      <c r="A754" s="9">
        <v>3</v>
      </c>
      <c r="B754" s="9">
        <v>2023</v>
      </c>
      <c r="C754" s="9" t="s">
        <v>46</v>
      </c>
      <c r="D754" s="9" t="s">
        <v>47</v>
      </c>
      <c r="E754" s="9" t="s">
        <v>47</v>
      </c>
      <c r="F754" s="10">
        <v>45304</v>
      </c>
      <c r="G754" s="9" t="s">
        <v>153</v>
      </c>
      <c r="H754" s="9" t="s">
        <v>60</v>
      </c>
      <c r="I754" s="9">
        <v>1</v>
      </c>
      <c r="J754" s="11">
        <f>K754/520*12</f>
        <v>0.92307692307692313</v>
      </c>
      <c r="K754" s="9">
        <v>40</v>
      </c>
      <c r="L754" s="12">
        <v>0.15</v>
      </c>
      <c r="M754" s="12">
        <v>6</v>
      </c>
      <c r="N754" s="13" t="s">
        <v>49</v>
      </c>
      <c r="Q754" s="9">
        <f>IF(Auction_Sales[[#This Row],[Payment Date]]=0,"",-1+WEEKNUM(Auction_Sales[[#This Row],[Payment Date]]))</f>
        <v>3</v>
      </c>
      <c r="R754" s="9">
        <f t="shared" si="269"/>
        <v>0</v>
      </c>
      <c r="S754" s="1" t="str">
        <f>G754</f>
        <v>Grandiflora Roses</v>
      </c>
      <c r="T754" s="9" t="str">
        <f>H754</f>
        <v>110CM</v>
      </c>
      <c r="U754" s="9">
        <v>40</v>
      </c>
      <c r="V754" s="13">
        <f>35.2/U754</f>
        <v>0.88000000000000012</v>
      </c>
      <c r="W754" s="13">
        <f t="shared" si="267"/>
        <v>35.200000000000003</v>
      </c>
      <c r="X754" s="14">
        <f t="shared" si="271"/>
        <v>-1.593934426229507</v>
      </c>
      <c r="Y754" s="13">
        <f t="shared" si="272"/>
        <v>33.606065573770493</v>
      </c>
      <c r="Z754" s="10">
        <v>45315</v>
      </c>
      <c r="AA754" s="9">
        <f t="shared" si="273"/>
        <v>0</v>
      </c>
      <c r="AC754" s="9">
        <v>423646</v>
      </c>
      <c r="AD754" s="14">
        <f t="shared" si="274"/>
        <v>3.0608653846153846</v>
      </c>
      <c r="AF754" s="14">
        <f t="shared" si="275"/>
        <v>0.8</v>
      </c>
      <c r="AH754" s="14">
        <f t="shared" si="279"/>
        <v>3.8608653846153844</v>
      </c>
      <c r="AI754" s="13">
        <f t="shared" si="277"/>
        <v>29.74520018915511</v>
      </c>
      <c r="AK754" s="9">
        <f t="shared" si="278"/>
        <v>40</v>
      </c>
    </row>
    <row r="755" spans="1:37">
      <c r="A755" s="9">
        <v>3</v>
      </c>
      <c r="B755" s="9">
        <v>2023</v>
      </c>
      <c r="C755" s="9" t="s">
        <v>46</v>
      </c>
      <c r="D755" s="9" t="s">
        <v>47</v>
      </c>
      <c r="E755" s="9" t="s">
        <v>47</v>
      </c>
      <c r="F755" s="10">
        <v>45304</v>
      </c>
      <c r="G755" s="9" t="s">
        <v>153</v>
      </c>
      <c r="H755" s="9" t="s">
        <v>52</v>
      </c>
      <c r="J755" s="11">
        <f t="shared" ref="J755:J756" si="280">K755/520*12</f>
        <v>10.153846153846153</v>
      </c>
      <c r="K755" s="9">
        <v>440</v>
      </c>
      <c r="L755" s="12">
        <v>0.15</v>
      </c>
      <c r="M755" s="12">
        <v>66</v>
      </c>
      <c r="N755" s="13" t="s">
        <v>49</v>
      </c>
      <c r="Q755" s="9">
        <f>IF(Auction_Sales[[#This Row],[Payment Date]]=0,"",-1+WEEKNUM(Auction_Sales[[#This Row],[Payment Date]]))</f>
        <v>3</v>
      </c>
      <c r="R755" s="9">
        <f t="shared" si="269"/>
        <v>440</v>
      </c>
      <c r="S755" s="1" t="str">
        <f>G755</f>
        <v>Grandiflora Roses</v>
      </c>
      <c r="T755" s="9" t="str">
        <f>H755</f>
        <v>70CM</v>
      </c>
      <c r="W755" s="13">
        <f t="shared" si="267"/>
        <v>0</v>
      </c>
      <c r="X755" s="14">
        <f t="shared" si="271"/>
        <v>0</v>
      </c>
      <c r="Y755" s="13">
        <f t="shared" si="272"/>
        <v>0</v>
      </c>
      <c r="Z755" s="10">
        <v>45315</v>
      </c>
      <c r="AA755" s="9">
        <f t="shared" si="273"/>
        <v>-440</v>
      </c>
      <c r="AC755" s="9">
        <v>423646</v>
      </c>
      <c r="AD755" s="14">
        <f t="shared" si="274"/>
        <v>33.669519230769225</v>
      </c>
      <c r="AF755" s="14">
        <f t="shared" si="275"/>
        <v>0</v>
      </c>
      <c r="AH755" s="14">
        <f t="shared" si="279"/>
        <v>33.669519230769225</v>
      </c>
      <c r="AI755" s="13">
        <f t="shared" si="277"/>
        <v>-33.669519230769225</v>
      </c>
      <c r="AK755" s="9">
        <f t="shared" si="278"/>
        <v>0</v>
      </c>
    </row>
    <row r="756" spans="1:37">
      <c r="A756" s="9">
        <v>3</v>
      </c>
      <c r="B756" s="9">
        <v>2023</v>
      </c>
      <c r="C756" s="9" t="s">
        <v>46</v>
      </c>
      <c r="D756" s="9" t="s">
        <v>47</v>
      </c>
      <c r="E756" s="9" t="s">
        <v>47</v>
      </c>
      <c r="F756" s="10">
        <v>45304</v>
      </c>
      <c r="G756" s="9" t="s">
        <v>153</v>
      </c>
      <c r="H756" s="9" t="s">
        <v>54</v>
      </c>
      <c r="J756" s="11">
        <f t="shared" si="280"/>
        <v>0.92307692307692313</v>
      </c>
      <c r="K756" s="9">
        <v>40</v>
      </c>
      <c r="L756" s="12">
        <v>0.15</v>
      </c>
      <c r="M756" s="12">
        <v>6</v>
      </c>
      <c r="N756" s="13" t="s">
        <v>49</v>
      </c>
      <c r="Q756" s="9">
        <f>IF(Auction_Sales[[#This Row],[Payment Date]]=0,"",-1+WEEKNUM(Auction_Sales[[#This Row],[Payment Date]]))</f>
        <v>3</v>
      </c>
      <c r="R756" s="9">
        <f t="shared" si="269"/>
        <v>40</v>
      </c>
      <c r="S756" s="1" t="str">
        <f t="shared" ref="S756:T759" si="281">G756</f>
        <v>Grandiflora Roses</v>
      </c>
      <c r="T756" s="9" t="str">
        <f t="shared" si="281"/>
        <v>80CM</v>
      </c>
      <c r="W756" s="13">
        <f t="shared" si="267"/>
        <v>0</v>
      </c>
      <c r="X756" s="14">
        <f t="shared" si="271"/>
        <v>0</v>
      </c>
      <c r="Y756" s="13">
        <f t="shared" si="272"/>
        <v>0</v>
      </c>
      <c r="Z756" s="10">
        <v>45315</v>
      </c>
      <c r="AA756" s="9">
        <f t="shared" si="273"/>
        <v>-40</v>
      </c>
      <c r="AC756" s="9">
        <v>423646</v>
      </c>
      <c r="AD756" s="14">
        <f t="shared" si="274"/>
        <v>3.0608653846153846</v>
      </c>
      <c r="AF756" s="14">
        <f t="shared" si="275"/>
        <v>0</v>
      </c>
      <c r="AH756" s="14">
        <f t="shared" si="279"/>
        <v>3.0608653846153846</v>
      </c>
      <c r="AI756" s="13">
        <f t="shared" si="277"/>
        <v>-3.0608653846153846</v>
      </c>
      <c r="AK756" s="9">
        <f t="shared" si="278"/>
        <v>0</v>
      </c>
    </row>
    <row r="757" spans="1:37">
      <c r="A757" s="9">
        <v>3</v>
      </c>
      <c r="B757" s="9">
        <v>2023</v>
      </c>
      <c r="C757" s="9" t="s">
        <v>46</v>
      </c>
      <c r="D757" s="9" t="s">
        <v>47</v>
      </c>
      <c r="E757" s="9" t="s">
        <v>47</v>
      </c>
      <c r="F757" s="10">
        <v>45304</v>
      </c>
      <c r="G757" s="9" t="s">
        <v>157</v>
      </c>
      <c r="H757" s="9" t="s">
        <v>48</v>
      </c>
      <c r="I757" s="9">
        <v>1</v>
      </c>
      <c r="J757" s="11">
        <f>K757/440*12</f>
        <v>4.3636363636363633</v>
      </c>
      <c r="K757" s="1">
        <v>160</v>
      </c>
      <c r="L757" s="12">
        <v>0.15</v>
      </c>
      <c r="M757" s="12">
        <v>24</v>
      </c>
      <c r="N757" s="13" t="s">
        <v>49</v>
      </c>
      <c r="Q757" s="9">
        <f>IF(Auction_Sales[[#This Row],[Payment Date]]=0,"",-1+WEEKNUM(Auction_Sales[[#This Row],[Payment Date]]))</f>
        <v>3</v>
      </c>
      <c r="R757" s="9">
        <f t="shared" si="269"/>
        <v>0</v>
      </c>
      <c r="S757" s="9" t="s">
        <v>157</v>
      </c>
      <c r="T757" s="9" t="str">
        <f t="shared" si="281"/>
        <v>60CM</v>
      </c>
      <c r="U757" s="9">
        <v>160</v>
      </c>
      <c r="V757" s="13">
        <f>67.2/160</f>
        <v>0.42000000000000004</v>
      </c>
      <c r="W757" s="13">
        <f t="shared" si="267"/>
        <v>67.2</v>
      </c>
      <c r="X757" s="14">
        <f t="shared" si="271"/>
        <v>-6.3757377049180279</v>
      </c>
      <c r="Y757" s="13">
        <f t="shared" si="272"/>
        <v>60.824262295081972</v>
      </c>
      <c r="Z757" s="10">
        <v>45315</v>
      </c>
      <c r="AA757" s="9">
        <f t="shared" si="273"/>
        <v>0</v>
      </c>
      <c r="AC757" s="9">
        <v>423646</v>
      </c>
      <c r="AD757" s="14">
        <f t="shared" si="274"/>
        <v>14.469545454545452</v>
      </c>
      <c r="AF757" s="14">
        <f t="shared" si="275"/>
        <v>3.2</v>
      </c>
      <c r="AH757" s="14">
        <f t="shared" si="279"/>
        <v>17.669545454545453</v>
      </c>
      <c r="AI757" s="13">
        <f t="shared" si="277"/>
        <v>43.154716840536523</v>
      </c>
      <c r="AK757" s="9">
        <f t="shared" si="278"/>
        <v>160</v>
      </c>
    </row>
    <row r="758" spans="1:37">
      <c r="A758" s="9">
        <v>3</v>
      </c>
      <c r="B758" s="9">
        <v>2023</v>
      </c>
      <c r="C758" s="9" t="s">
        <v>46</v>
      </c>
      <c r="D758" s="9" t="s">
        <v>47</v>
      </c>
      <c r="E758" s="9" t="s">
        <v>47</v>
      </c>
      <c r="F758" s="10">
        <v>45304</v>
      </c>
      <c r="G758" s="9" t="s">
        <v>157</v>
      </c>
      <c r="H758" s="9" t="s">
        <v>52</v>
      </c>
      <c r="J758" s="11">
        <f t="shared" ref="J758:J759" si="282">K758/440*12</f>
        <v>4.3636363636363633</v>
      </c>
      <c r="K758" s="1">
        <v>160</v>
      </c>
      <c r="L758" s="12">
        <v>0.15</v>
      </c>
      <c r="M758" s="12">
        <v>24</v>
      </c>
      <c r="N758" s="13" t="s">
        <v>49</v>
      </c>
      <c r="Q758" s="9">
        <f>IF(Auction_Sales[[#This Row],[Payment Date]]=0,"",-1+WEEKNUM(Auction_Sales[[#This Row],[Payment Date]]))</f>
        <v>3</v>
      </c>
      <c r="R758" s="9">
        <f t="shared" si="269"/>
        <v>0</v>
      </c>
      <c r="S758" s="9" t="s">
        <v>157</v>
      </c>
      <c r="T758" s="9" t="str">
        <f t="shared" si="281"/>
        <v>70CM</v>
      </c>
      <c r="U758" s="9">
        <v>160</v>
      </c>
      <c r="V758" s="13">
        <f>88/U758</f>
        <v>0.55000000000000004</v>
      </c>
      <c r="W758" s="13">
        <f t="shared" si="267"/>
        <v>88</v>
      </c>
      <c r="X758" s="14">
        <f t="shared" si="271"/>
        <v>-6.3757377049180279</v>
      </c>
      <c r="Y758" s="13">
        <f t="shared" si="272"/>
        <v>81.624262295081977</v>
      </c>
      <c r="Z758" s="10">
        <v>45315</v>
      </c>
      <c r="AA758" s="9">
        <f t="shared" si="273"/>
        <v>0</v>
      </c>
      <c r="AC758" s="9">
        <v>423646</v>
      </c>
      <c r="AD758" s="14">
        <f t="shared" si="274"/>
        <v>14.469545454545452</v>
      </c>
      <c r="AF758" s="14">
        <f t="shared" si="275"/>
        <v>3.2</v>
      </c>
      <c r="AH758" s="14">
        <f t="shared" ref="AH758:AH759" si="283">SUM(AD758:AG758)</f>
        <v>17.669545454545453</v>
      </c>
      <c r="AI758" s="13">
        <f t="shared" si="277"/>
        <v>63.95471684053652</v>
      </c>
      <c r="AK758" s="9">
        <f t="shared" si="278"/>
        <v>160</v>
      </c>
    </row>
    <row r="759" spans="1:37">
      <c r="A759" s="9">
        <v>3</v>
      </c>
      <c r="B759" s="9">
        <v>2023</v>
      </c>
      <c r="C759" s="9" t="s">
        <v>46</v>
      </c>
      <c r="D759" s="9" t="s">
        <v>47</v>
      </c>
      <c r="E759" s="9" t="s">
        <v>47</v>
      </c>
      <c r="F759" s="10">
        <v>45304</v>
      </c>
      <c r="G759" s="9" t="s">
        <v>157</v>
      </c>
      <c r="H759" s="9" t="s">
        <v>54</v>
      </c>
      <c r="J759" s="11">
        <f t="shared" si="282"/>
        <v>3.2727272727272725</v>
      </c>
      <c r="K759" s="1">
        <v>120</v>
      </c>
      <c r="L759" s="12">
        <v>0.15</v>
      </c>
      <c r="M759" s="12">
        <v>18</v>
      </c>
      <c r="N759" s="13" t="s">
        <v>49</v>
      </c>
      <c r="Q759" s="9">
        <f>IF(Auction_Sales[[#This Row],[Payment Date]]=0,"",-1+WEEKNUM(Auction_Sales[[#This Row],[Payment Date]]))</f>
        <v>3</v>
      </c>
      <c r="R759" s="9">
        <f t="shared" si="269"/>
        <v>0</v>
      </c>
      <c r="S759" s="9" t="s">
        <v>157</v>
      </c>
      <c r="T759" s="9" t="str">
        <f t="shared" si="281"/>
        <v>80CM</v>
      </c>
      <c r="U759" s="9">
        <v>120</v>
      </c>
      <c r="V759" s="13">
        <f>77.6/U759</f>
        <v>0.64666666666666661</v>
      </c>
      <c r="W759" s="13">
        <f t="shared" si="267"/>
        <v>77.599999999999994</v>
      </c>
      <c r="X759" s="14">
        <f t="shared" si="271"/>
        <v>-4.7818032786885212</v>
      </c>
      <c r="Y759" s="13">
        <f t="shared" si="272"/>
        <v>72.818196721311466</v>
      </c>
      <c r="Z759" s="10">
        <v>45315</v>
      </c>
      <c r="AA759" s="9">
        <f t="shared" si="273"/>
        <v>0</v>
      </c>
      <c r="AC759" s="9">
        <v>423646</v>
      </c>
      <c r="AD759" s="14">
        <f t="shared" si="274"/>
        <v>10.85215909090909</v>
      </c>
      <c r="AF759" s="14">
        <f t="shared" si="275"/>
        <v>2.4</v>
      </c>
      <c r="AH759" s="14">
        <f t="shared" si="283"/>
        <v>13.252159090909091</v>
      </c>
      <c r="AI759" s="13">
        <f t="shared" si="277"/>
        <v>59.566037630402377</v>
      </c>
      <c r="AK759" s="9">
        <f t="shared" si="278"/>
        <v>120</v>
      </c>
    </row>
    <row r="760" spans="1:37">
      <c r="A760" s="9">
        <v>3</v>
      </c>
      <c r="B760" s="9">
        <v>2023</v>
      </c>
      <c r="C760" s="9" t="s">
        <v>46</v>
      </c>
      <c r="D760" s="9" t="s">
        <v>47</v>
      </c>
      <c r="E760" s="9" t="s">
        <v>47</v>
      </c>
      <c r="F760" s="10">
        <v>45306</v>
      </c>
      <c r="G760" s="9" t="s">
        <v>155</v>
      </c>
      <c r="H760" s="9" t="s">
        <v>48</v>
      </c>
      <c r="I760" s="9">
        <v>3</v>
      </c>
      <c r="J760" s="11">
        <f>I760*12</f>
        <v>36</v>
      </c>
      <c r="K760" s="1">
        <v>1560</v>
      </c>
      <c r="L760" s="12">
        <v>0.15</v>
      </c>
      <c r="M760" s="12">
        <v>234</v>
      </c>
      <c r="N760" s="13" t="s">
        <v>49</v>
      </c>
      <c r="Q760" s="9">
        <f>IF(Auction_Sales[[#This Row],[Payment Date]]=0,"",-1+WEEKNUM(Auction_Sales[[#This Row],[Payment Date]]))</f>
        <v>3</v>
      </c>
      <c r="R760" s="9">
        <f t="shared" si="269"/>
        <v>-360</v>
      </c>
      <c r="S760" s="1" t="str">
        <f t="shared" ref="S760:T796" si="284">G760</f>
        <v>Floribunda Roses</v>
      </c>
      <c r="T760" s="9" t="str">
        <f t="shared" si="284"/>
        <v>60CM</v>
      </c>
      <c r="U760" s="1">
        <v>1920</v>
      </c>
      <c r="V760" s="15">
        <f>546/U760</f>
        <v>0.28437499999999999</v>
      </c>
      <c r="W760" s="15">
        <f t="shared" ref="W760:W796" si="285">U760*V760</f>
        <v>546</v>
      </c>
      <c r="X760" s="14">
        <f>-(4754.4-4294.88)*U760/(8080+1520+1520)</f>
        <v>-79.341582733812871</v>
      </c>
      <c r="Y760" s="15">
        <f t="shared" ref="Y760:Y796" si="286">W760+X760</f>
        <v>466.65841726618714</v>
      </c>
      <c r="Z760" s="10">
        <v>45315</v>
      </c>
      <c r="AA760" s="9">
        <f t="shared" ref="AA760:AA796" si="287">U760-K760</f>
        <v>360</v>
      </c>
      <c r="AC760" s="9" t="s">
        <v>86</v>
      </c>
      <c r="AD760" s="14">
        <f>J760/(29*12)*1197.72</f>
        <v>123.90206896551724</v>
      </c>
      <c r="AF760" s="14">
        <f t="shared" ref="AF760:AF796" si="288">U760*0.02</f>
        <v>38.4</v>
      </c>
      <c r="AH760" s="14">
        <f t="shared" ref="AH760:AH796" si="289">SUM(AD760:AG760)</f>
        <v>162.30206896551724</v>
      </c>
      <c r="AI760" s="13">
        <f t="shared" ref="AI760:AI796" si="290">Y760-AH760</f>
        <v>304.35634830066988</v>
      </c>
      <c r="AK760" s="9">
        <f t="shared" ref="AK760:AK796" si="291">U760</f>
        <v>1920</v>
      </c>
    </row>
    <row r="761" spans="1:37">
      <c r="A761" s="9">
        <v>3</v>
      </c>
      <c r="B761" s="9">
        <v>2023</v>
      </c>
      <c r="C761" s="9" t="s">
        <v>46</v>
      </c>
      <c r="D761" s="9" t="s">
        <v>47</v>
      </c>
      <c r="E761" s="9" t="s">
        <v>47</v>
      </c>
      <c r="F761" s="10">
        <v>45306</v>
      </c>
      <c r="G761" s="9" t="s">
        <v>155</v>
      </c>
      <c r="H761" s="9" t="s">
        <v>52</v>
      </c>
      <c r="I761" s="9">
        <v>4</v>
      </c>
      <c r="J761" s="11">
        <f t="shared" ref="J761:J774" si="292">I761*12</f>
        <v>48</v>
      </c>
      <c r="K761" s="1">
        <v>1440</v>
      </c>
      <c r="L761" s="12">
        <v>0.15</v>
      </c>
      <c r="M761" s="12">
        <v>216</v>
      </c>
      <c r="N761" s="13" t="s">
        <v>49</v>
      </c>
      <c r="Q761" s="9">
        <f>IF(Auction_Sales[[#This Row],[Payment Date]]=0,"",-1+WEEKNUM(Auction_Sales[[#This Row],[Payment Date]]))</f>
        <v>3</v>
      </c>
      <c r="R761" s="9">
        <f t="shared" si="269"/>
        <v>-160</v>
      </c>
      <c r="S761" s="1" t="str">
        <f t="shared" si="284"/>
        <v>Floribunda Roses</v>
      </c>
      <c r="T761" s="9" t="str">
        <f t="shared" si="284"/>
        <v>70CM</v>
      </c>
      <c r="U761" s="9">
        <f>800+800</f>
        <v>1600</v>
      </c>
      <c r="V761" s="13">
        <f>(514.8+376)/U761</f>
        <v>0.55674999999999997</v>
      </c>
      <c r="W761" s="13">
        <f t="shared" si="285"/>
        <v>890.8</v>
      </c>
      <c r="X761" s="14">
        <f t="shared" ref="X761:X784" si="293">-(4754.4-4294.88)*U761/(8080+1520+1520)</f>
        <v>-66.117985611510733</v>
      </c>
      <c r="Y761" s="13">
        <f t="shared" si="286"/>
        <v>824.68201438848928</v>
      </c>
      <c r="Z761" s="10">
        <v>45315</v>
      </c>
      <c r="AA761" s="9">
        <f t="shared" si="287"/>
        <v>160</v>
      </c>
      <c r="AC761" s="9" t="s">
        <v>86</v>
      </c>
      <c r="AD761" s="14">
        <f t="shared" ref="AD761:AD784" si="294">J761/(29*12)*1197.72</f>
        <v>165.20275862068965</v>
      </c>
      <c r="AF761" s="14">
        <f t="shared" si="288"/>
        <v>32</v>
      </c>
      <c r="AH761" s="14">
        <f t="shared" si="289"/>
        <v>197.20275862068965</v>
      </c>
      <c r="AI761" s="13">
        <f t="shared" si="290"/>
        <v>627.4792557677996</v>
      </c>
      <c r="AK761" s="9">
        <f t="shared" si="291"/>
        <v>1600</v>
      </c>
    </row>
    <row r="762" spans="1:37">
      <c r="A762" s="9">
        <v>3</v>
      </c>
      <c r="B762" s="9">
        <v>2023</v>
      </c>
      <c r="C762" s="9" t="s">
        <v>46</v>
      </c>
      <c r="D762" s="9" t="s">
        <v>47</v>
      </c>
      <c r="E762" s="9" t="s">
        <v>47</v>
      </c>
      <c r="F762" s="10">
        <v>45306</v>
      </c>
      <c r="G762" s="9" t="s">
        <v>155</v>
      </c>
      <c r="H762" s="9" t="s">
        <v>54</v>
      </c>
      <c r="I762" s="9">
        <v>2</v>
      </c>
      <c r="J762" s="11">
        <f t="shared" si="292"/>
        <v>24</v>
      </c>
      <c r="K762" s="1">
        <v>560</v>
      </c>
      <c r="L762" s="12">
        <v>0.15</v>
      </c>
      <c r="M762" s="12">
        <v>84</v>
      </c>
      <c r="N762" s="13" t="s">
        <v>49</v>
      </c>
      <c r="Q762" s="9">
        <f>IF(Auction_Sales[[#This Row],[Payment Date]]=0,"",-1+WEEKNUM(Auction_Sales[[#This Row],[Payment Date]]))</f>
        <v>3</v>
      </c>
      <c r="R762" s="9">
        <f t="shared" si="269"/>
        <v>0</v>
      </c>
      <c r="S762" s="1" t="str">
        <f t="shared" si="284"/>
        <v>Floribunda Roses</v>
      </c>
      <c r="T762" s="9" t="str">
        <f t="shared" si="284"/>
        <v>80CM</v>
      </c>
      <c r="U762" s="1">
        <v>560</v>
      </c>
      <c r="V762" s="15">
        <f>260.8/560</f>
        <v>0.46571428571428575</v>
      </c>
      <c r="W762" s="15">
        <f t="shared" si="285"/>
        <v>260.8</v>
      </c>
      <c r="X762" s="14">
        <f t="shared" si="293"/>
        <v>-23.141294964028752</v>
      </c>
      <c r="Y762" s="15">
        <f t="shared" si="286"/>
        <v>237.65870503597125</v>
      </c>
      <c r="Z762" s="10">
        <v>45315</v>
      </c>
      <c r="AA762" s="9">
        <f t="shared" si="287"/>
        <v>0</v>
      </c>
      <c r="AC762" s="9" t="s">
        <v>86</v>
      </c>
      <c r="AD762" s="14">
        <f t="shared" si="294"/>
        <v>82.601379310344825</v>
      </c>
      <c r="AF762" s="14">
        <f t="shared" si="288"/>
        <v>11.200000000000001</v>
      </c>
      <c r="AH762" s="14">
        <f t="shared" si="289"/>
        <v>93.801379310344828</v>
      </c>
      <c r="AI762" s="13">
        <f t="shared" si="290"/>
        <v>143.85732572562642</v>
      </c>
      <c r="AK762" s="9">
        <f t="shared" si="291"/>
        <v>560</v>
      </c>
    </row>
    <row r="763" spans="1:37">
      <c r="A763" s="9">
        <v>3</v>
      </c>
      <c r="B763" s="9">
        <v>2023</v>
      </c>
      <c r="C763" s="9" t="s">
        <v>46</v>
      </c>
      <c r="D763" s="9" t="s">
        <v>47</v>
      </c>
      <c r="E763" s="9" t="s">
        <v>47</v>
      </c>
      <c r="F763" s="10">
        <v>45306</v>
      </c>
      <c r="G763" s="9" t="s">
        <v>153</v>
      </c>
      <c r="H763" s="9" t="s">
        <v>57</v>
      </c>
      <c r="I763" s="9">
        <v>1</v>
      </c>
      <c r="J763" s="11">
        <f t="shared" si="292"/>
        <v>12</v>
      </c>
      <c r="K763" s="1">
        <v>200</v>
      </c>
      <c r="L763" s="12">
        <v>0.15</v>
      </c>
      <c r="M763" s="12">
        <v>30</v>
      </c>
      <c r="N763" s="13" t="s">
        <v>49</v>
      </c>
      <c r="Q763" s="9">
        <f>IF(Auction_Sales[[#This Row],[Payment Date]]=0,"",-1+WEEKNUM(Auction_Sales[[#This Row],[Payment Date]]))</f>
        <v>3</v>
      </c>
      <c r="R763" s="9">
        <f t="shared" si="269"/>
        <v>0</v>
      </c>
      <c r="S763" s="1" t="str">
        <f t="shared" si="284"/>
        <v>Grandiflora Roses</v>
      </c>
      <c r="T763" s="9" t="str">
        <f t="shared" si="284"/>
        <v>100CM</v>
      </c>
      <c r="U763" s="1">
        <v>200</v>
      </c>
      <c r="V763" s="15">
        <f>128/U763</f>
        <v>0.64</v>
      </c>
      <c r="W763" s="15">
        <f t="shared" si="285"/>
        <v>128</v>
      </c>
      <c r="X763" s="14">
        <f t="shared" si="293"/>
        <v>-8.2647482014388416</v>
      </c>
      <c r="Y763" s="15">
        <f t="shared" si="286"/>
        <v>119.73525179856117</v>
      </c>
      <c r="Z763" s="10">
        <v>45315</v>
      </c>
      <c r="AA763" s="9">
        <f t="shared" si="287"/>
        <v>0</v>
      </c>
      <c r="AC763" s="9" t="s">
        <v>86</v>
      </c>
      <c r="AD763" s="14">
        <f t="shared" si="294"/>
        <v>41.300689655172413</v>
      </c>
      <c r="AF763" s="14">
        <f t="shared" si="288"/>
        <v>4</v>
      </c>
      <c r="AH763" s="14">
        <f t="shared" ref="AH763:AH764" si="295">SUM(AD763:AG763)</f>
        <v>45.300689655172413</v>
      </c>
      <c r="AI763" s="13">
        <f t="shared" si="290"/>
        <v>74.434562143388746</v>
      </c>
      <c r="AK763" s="9">
        <f t="shared" si="291"/>
        <v>200</v>
      </c>
    </row>
    <row r="764" spans="1:37">
      <c r="A764" s="9">
        <v>3</v>
      </c>
      <c r="B764" s="9">
        <v>2023</v>
      </c>
      <c r="C764" s="9" t="s">
        <v>46</v>
      </c>
      <c r="D764" s="9" t="s">
        <v>47</v>
      </c>
      <c r="E764" s="9" t="s">
        <v>47</v>
      </c>
      <c r="F764" s="10">
        <v>45306</v>
      </c>
      <c r="G764" s="9" t="s">
        <v>155</v>
      </c>
      <c r="H764" s="9" t="s">
        <v>56</v>
      </c>
      <c r="I764" s="9">
        <v>3</v>
      </c>
      <c r="J764" s="11">
        <f t="shared" si="292"/>
        <v>36</v>
      </c>
      <c r="K764" s="1">
        <v>720</v>
      </c>
      <c r="L764" s="12">
        <v>0.15</v>
      </c>
      <c r="M764" s="12">
        <v>108</v>
      </c>
      <c r="N764" s="13" t="s">
        <v>49</v>
      </c>
      <c r="Q764" s="9">
        <f>IF(Auction_Sales[[#This Row],[Payment Date]]=0,"",-1+WEEKNUM(Auction_Sales[[#This Row],[Payment Date]]))</f>
        <v>3</v>
      </c>
      <c r="R764" s="9">
        <f t="shared" si="269"/>
        <v>-120</v>
      </c>
      <c r="S764" s="1" t="str">
        <f t="shared" si="284"/>
        <v>Floribunda Roses</v>
      </c>
      <c r="T764" s="9" t="str">
        <f t="shared" si="284"/>
        <v>90CM</v>
      </c>
      <c r="U764" s="1">
        <v>840</v>
      </c>
      <c r="V764" s="15">
        <f>489.2/U764</f>
        <v>0.58238095238095233</v>
      </c>
      <c r="W764" s="15">
        <f t="shared" si="285"/>
        <v>489.19999999999993</v>
      </c>
      <c r="X764" s="14">
        <f t="shared" si="293"/>
        <v>-34.711942446043125</v>
      </c>
      <c r="Y764" s="15">
        <f t="shared" si="286"/>
        <v>454.48805755395682</v>
      </c>
      <c r="Z764" s="10">
        <v>45315</v>
      </c>
      <c r="AA764" s="9">
        <f t="shared" si="287"/>
        <v>120</v>
      </c>
      <c r="AC764" s="9" t="s">
        <v>86</v>
      </c>
      <c r="AD764" s="14">
        <f t="shared" si="294"/>
        <v>123.90206896551724</v>
      </c>
      <c r="AF764" s="14">
        <f t="shared" si="288"/>
        <v>16.8</v>
      </c>
      <c r="AH764" s="14">
        <f t="shared" si="295"/>
        <v>140.70206896551724</v>
      </c>
      <c r="AI764" s="13">
        <f t="shared" si="290"/>
        <v>313.78598858843958</v>
      </c>
      <c r="AK764" s="9">
        <f t="shared" si="291"/>
        <v>840</v>
      </c>
    </row>
    <row r="765" spans="1:37">
      <c r="A765" s="9">
        <v>3</v>
      </c>
      <c r="B765" s="9">
        <v>2023</v>
      </c>
      <c r="C765" s="9" t="s">
        <v>46</v>
      </c>
      <c r="D765" s="9" t="s">
        <v>47</v>
      </c>
      <c r="E765" s="9" t="s">
        <v>47</v>
      </c>
      <c r="F765" s="10">
        <v>45306</v>
      </c>
      <c r="G765" s="9" t="s">
        <v>155</v>
      </c>
      <c r="H765" s="9" t="s">
        <v>57</v>
      </c>
      <c r="I765" s="9">
        <v>1</v>
      </c>
      <c r="J765" s="11">
        <f t="shared" si="292"/>
        <v>12</v>
      </c>
      <c r="K765" s="1">
        <v>200</v>
      </c>
      <c r="L765" s="12">
        <v>0.15</v>
      </c>
      <c r="M765" s="12">
        <v>30</v>
      </c>
      <c r="N765" s="13" t="s">
        <v>49</v>
      </c>
      <c r="Q765" s="9">
        <f>IF(Auction_Sales[[#This Row],[Payment Date]]=0,"",-1+WEEKNUM(Auction_Sales[[#This Row],[Payment Date]]))</f>
        <v>3</v>
      </c>
      <c r="R765" s="9">
        <f t="shared" si="269"/>
        <v>-160</v>
      </c>
      <c r="S765" s="1" t="str">
        <f t="shared" si="284"/>
        <v>Floribunda Roses</v>
      </c>
      <c r="T765" s="9" t="str">
        <f t="shared" si="284"/>
        <v>100CM</v>
      </c>
      <c r="U765" s="9">
        <v>360</v>
      </c>
      <c r="V765" s="13">
        <f>254.8/360</f>
        <v>0.70777777777777784</v>
      </c>
      <c r="W765" s="13">
        <f t="shared" si="285"/>
        <v>254.8</v>
      </c>
      <c r="X765" s="14">
        <f t="shared" si="293"/>
        <v>-14.876546762589914</v>
      </c>
      <c r="Y765" s="13">
        <f t="shared" si="286"/>
        <v>239.92345323741009</v>
      </c>
      <c r="Z765" s="10">
        <v>45315</v>
      </c>
      <c r="AA765" s="9">
        <f t="shared" si="287"/>
        <v>160</v>
      </c>
      <c r="AC765" s="9" t="s">
        <v>86</v>
      </c>
      <c r="AD765" s="14">
        <f t="shared" si="294"/>
        <v>41.300689655172413</v>
      </c>
      <c r="AF765" s="14">
        <f t="shared" si="288"/>
        <v>7.2</v>
      </c>
      <c r="AH765" s="14">
        <f t="shared" si="289"/>
        <v>48.500689655172415</v>
      </c>
      <c r="AI765" s="13">
        <f t="shared" si="290"/>
        <v>191.42276358223768</v>
      </c>
      <c r="AK765" s="9">
        <f t="shared" si="291"/>
        <v>360</v>
      </c>
    </row>
    <row r="766" spans="1:37">
      <c r="A766" s="9">
        <v>3</v>
      </c>
      <c r="B766" s="9">
        <v>2023</v>
      </c>
      <c r="C766" s="9" t="s">
        <v>46</v>
      </c>
      <c r="D766" s="9" t="s">
        <v>47</v>
      </c>
      <c r="E766" s="9" t="s">
        <v>47</v>
      </c>
      <c r="F766" s="10">
        <v>45306</v>
      </c>
      <c r="G766" s="9" t="s">
        <v>155</v>
      </c>
      <c r="H766" s="9" t="s">
        <v>60</v>
      </c>
      <c r="I766" s="9">
        <v>1</v>
      </c>
      <c r="J766" s="11">
        <f t="shared" si="292"/>
        <v>12</v>
      </c>
      <c r="K766" s="1">
        <v>160</v>
      </c>
      <c r="L766" s="12">
        <v>0.15</v>
      </c>
      <c r="M766" s="12">
        <v>24</v>
      </c>
      <c r="N766" s="13" t="s">
        <v>49</v>
      </c>
      <c r="Q766" s="9">
        <f>IF(Auction_Sales[[#This Row],[Payment Date]]=0,"",-1+WEEKNUM(Auction_Sales[[#This Row],[Payment Date]]))</f>
        <v>3</v>
      </c>
      <c r="R766" s="9">
        <f>K766-U766</f>
        <v>-80</v>
      </c>
      <c r="S766" s="1" t="str">
        <f t="shared" si="284"/>
        <v>Floribunda Roses</v>
      </c>
      <c r="T766" s="9" t="str">
        <f t="shared" si="284"/>
        <v>110CM</v>
      </c>
      <c r="U766" s="1">
        <v>240</v>
      </c>
      <c r="V766" s="15">
        <f>243.6/240</f>
        <v>1.0149999999999999</v>
      </c>
      <c r="W766" s="15">
        <f t="shared" si="285"/>
        <v>243.59999999999997</v>
      </c>
      <c r="X766" s="14">
        <f t="shared" si="293"/>
        <v>-9.9176978417266088</v>
      </c>
      <c r="Y766" s="15">
        <f t="shared" si="286"/>
        <v>233.68230215827336</v>
      </c>
      <c r="Z766" s="10">
        <v>45315</v>
      </c>
      <c r="AA766" s="9">
        <f t="shared" si="287"/>
        <v>80</v>
      </c>
      <c r="AC766" s="9" t="s">
        <v>86</v>
      </c>
      <c r="AD766" s="14">
        <f t="shared" si="294"/>
        <v>41.300689655172413</v>
      </c>
      <c r="AF766" s="14">
        <f t="shared" si="288"/>
        <v>4.8</v>
      </c>
      <c r="AH766" s="14">
        <f t="shared" si="289"/>
        <v>46.10068965517241</v>
      </c>
      <c r="AI766" s="13">
        <f t="shared" si="290"/>
        <v>187.58161250310096</v>
      </c>
      <c r="AK766" s="9">
        <f t="shared" si="291"/>
        <v>240</v>
      </c>
    </row>
    <row r="767" spans="1:37">
      <c r="A767" s="9">
        <v>3</v>
      </c>
      <c r="B767" s="9">
        <v>2023</v>
      </c>
      <c r="C767" s="9" t="s">
        <v>46</v>
      </c>
      <c r="D767" s="9" t="s">
        <v>47</v>
      </c>
      <c r="E767" s="9" t="s">
        <v>47</v>
      </c>
      <c r="F767" s="10">
        <v>45306</v>
      </c>
      <c r="G767" s="9" t="s">
        <v>153</v>
      </c>
      <c r="H767" s="9" t="s">
        <v>48</v>
      </c>
      <c r="I767" s="9">
        <v>2</v>
      </c>
      <c r="J767" s="11">
        <f t="shared" si="292"/>
        <v>24</v>
      </c>
      <c r="K767" s="1">
        <v>1440</v>
      </c>
      <c r="L767" s="12">
        <v>0.15</v>
      </c>
      <c r="M767" s="12">
        <v>216</v>
      </c>
      <c r="N767" s="13" t="s">
        <v>49</v>
      </c>
      <c r="Q767" s="9">
        <f>IF(Auction_Sales[[#This Row],[Payment Date]]=0,"",-1+WEEKNUM(Auction_Sales[[#This Row],[Payment Date]]))</f>
        <v>3</v>
      </c>
      <c r="R767" s="9">
        <f>K767-U767</f>
        <v>0</v>
      </c>
      <c r="S767" s="1" t="str">
        <f t="shared" si="284"/>
        <v>Grandiflora Roses</v>
      </c>
      <c r="T767" s="9" t="str">
        <f t="shared" si="284"/>
        <v>60CM</v>
      </c>
      <c r="U767" s="9">
        <f>720+720</f>
        <v>1440</v>
      </c>
      <c r="V767" s="13">
        <f>(194.4+144.4)/U767</f>
        <v>0.23527777777777778</v>
      </c>
      <c r="W767" s="13">
        <f t="shared" si="285"/>
        <v>338.8</v>
      </c>
      <c r="X767" s="14">
        <f t="shared" si="293"/>
        <v>-59.506187050359657</v>
      </c>
      <c r="Y767" s="13">
        <f t="shared" si="286"/>
        <v>279.29381294964037</v>
      </c>
      <c r="Z767" s="10">
        <v>45315</v>
      </c>
      <c r="AA767" s="9">
        <f t="shared" si="287"/>
        <v>0</v>
      </c>
      <c r="AC767" s="9" t="s">
        <v>86</v>
      </c>
      <c r="AD767" s="14">
        <f t="shared" si="294"/>
        <v>82.601379310344825</v>
      </c>
      <c r="AF767" s="14">
        <f t="shared" si="288"/>
        <v>28.8</v>
      </c>
      <c r="AH767" s="14">
        <f t="shared" si="289"/>
        <v>111.40137931034482</v>
      </c>
      <c r="AI767" s="13">
        <f t="shared" si="290"/>
        <v>167.89243363929555</v>
      </c>
      <c r="AK767" s="9">
        <f t="shared" si="291"/>
        <v>1440</v>
      </c>
    </row>
    <row r="768" spans="1:37">
      <c r="A768" s="9">
        <v>3</v>
      </c>
      <c r="B768" s="9">
        <v>2023</v>
      </c>
      <c r="C768" s="9" t="s">
        <v>46</v>
      </c>
      <c r="D768" s="9" t="s">
        <v>47</v>
      </c>
      <c r="E768" s="9" t="s">
        <v>47</v>
      </c>
      <c r="F768" s="10">
        <v>45306</v>
      </c>
      <c r="G768" s="9" t="s">
        <v>153</v>
      </c>
      <c r="H768" s="9" t="s">
        <v>52</v>
      </c>
      <c r="I768" s="9">
        <v>1</v>
      </c>
      <c r="J768" s="11">
        <f t="shared" si="292"/>
        <v>12</v>
      </c>
      <c r="K768" s="1">
        <v>520</v>
      </c>
      <c r="L768" s="12">
        <v>0.15</v>
      </c>
      <c r="M768" s="12">
        <v>78</v>
      </c>
      <c r="N768" s="13" t="s">
        <v>49</v>
      </c>
      <c r="Q768" s="9">
        <f>IF(Auction_Sales[[#This Row],[Payment Date]]=0,"",-1+WEEKNUM(Auction_Sales[[#This Row],[Payment Date]]))</f>
        <v>3</v>
      </c>
      <c r="R768" s="9">
        <f t="shared" ref="R768:R772" si="296">K768-U768</f>
        <v>-240</v>
      </c>
      <c r="S768" s="1" t="str">
        <f t="shared" si="284"/>
        <v>Grandiflora Roses</v>
      </c>
      <c r="T768" s="9" t="str">
        <f t="shared" si="284"/>
        <v>70CM</v>
      </c>
      <c r="U768" s="9">
        <v>760</v>
      </c>
      <c r="V768" s="13">
        <f>260.4/760</f>
        <v>0.3426315789473684</v>
      </c>
      <c r="W768" s="13">
        <f t="shared" si="285"/>
        <v>260.39999999999998</v>
      </c>
      <c r="X768" s="14">
        <f t="shared" si="293"/>
        <v>-31.406043165467594</v>
      </c>
      <c r="Y768" s="13">
        <f t="shared" si="286"/>
        <v>228.99395683453238</v>
      </c>
      <c r="Z768" s="10">
        <v>45315</v>
      </c>
      <c r="AA768" s="9">
        <f t="shared" si="287"/>
        <v>240</v>
      </c>
      <c r="AC768" s="9" t="s">
        <v>86</v>
      </c>
      <c r="AD768" s="14">
        <f t="shared" si="294"/>
        <v>41.300689655172413</v>
      </c>
      <c r="AF768" s="14">
        <f t="shared" si="288"/>
        <v>15.200000000000001</v>
      </c>
      <c r="AH768" s="14">
        <f t="shared" si="289"/>
        <v>56.500689655172415</v>
      </c>
      <c r="AI768" s="13">
        <f t="shared" si="290"/>
        <v>172.49326717935998</v>
      </c>
      <c r="AK768" s="9">
        <f t="shared" si="291"/>
        <v>760</v>
      </c>
    </row>
    <row r="769" spans="1:37">
      <c r="A769" s="9">
        <v>3</v>
      </c>
      <c r="B769" s="9">
        <v>2023</v>
      </c>
      <c r="C769" s="9" t="s">
        <v>46</v>
      </c>
      <c r="D769" s="9" t="s">
        <v>47</v>
      </c>
      <c r="E769" s="9" t="s">
        <v>47</v>
      </c>
      <c r="F769" s="10">
        <v>45306</v>
      </c>
      <c r="G769" s="9" t="s">
        <v>153</v>
      </c>
      <c r="H769" s="9" t="s">
        <v>54</v>
      </c>
      <c r="I769" s="9">
        <v>1</v>
      </c>
      <c r="J769" s="11">
        <f t="shared" si="292"/>
        <v>12</v>
      </c>
      <c r="K769" s="1">
        <v>480</v>
      </c>
      <c r="L769" s="12">
        <v>0.15</v>
      </c>
      <c r="M769" s="12">
        <v>72</v>
      </c>
      <c r="N769" s="13" t="s">
        <v>49</v>
      </c>
      <c r="Q769" s="9">
        <f>IF(Auction_Sales[[#This Row],[Payment Date]]=0,"",-1+WEEKNUM(Auction_Sales[[#This Row],[Payment Date]]))</f>
        <v>3</v>
      </c>
      <c r="R769" s="9">
        <f t="shared" si="296"/>
        <v>-160</v>
      </c>
      <c r="S769" s="1" t="str">
        <f t="shared" si="284"/>
        <v>Grandiflora Roses</v>
      </c>
      <c r="T769" s="9" t="str">
        <f t="shared" si="284"/>
        <v>80CM</v>
      </c>
      <c r="U769" s="9">
        <v>640</v>
      </c>
      <c r="V769" s="13">
        <f>280.4/640</f>
        <v>0.43812499999999999</v>
      </c>
      <c r="W769" s="13">
        <f t="shared" si="285"/>
        <v>280.39999999999998</v>
      </c>
      <c r="X769" s="14">
        <f t="shared" si="293"/>
        <v>-26.44719424460429</v>
      </c>
      <c r="Y769" s="13">
        <f t="shared" si="286"/>
        <v>253.95280575539567</v>
      </c>
      <c r="Z769" s="10">
        <v>45315</v>
      </c>
      <c r="AA769" s="9">
        <f t="shared" si="287"/>
        <v>160</v>
      </c>
      <c r="AC769" s="9" t="s">
        <v>86</v>
      </c>
      <c r="AD769" s="14">
        <f t="shared" si="294"/>
        <v>41.300689655172413</v>
      </c>
      <c r="AF769" s="14">
        <f t="shared" si="288"/>
        <v>12.8</v>
      </c>
      <c r="AH769" s="14">
        <f t="shared" si="289"/>
        <v>54.100689655172417</v>
      </c>
      <c r="AI769" s="13">
        <f t="shared" si="290"/>
        <v>199.85211610022327</v>
      </c>
      <c r="AK769" s="9">
        <f t="shared" si="291"/>
        <v>640</v>
      </c>
    </row>
    <row r="770" spans="1:37">
      <c r="A770" s="9">
        <v>3</v>
      </c>
      <c r="B770" s="9">
        <v>2023</v>
      </c>
      <c r="C770" s="9" t="s">
        <v>46</v>
      </c>
      <c r="D770" s="9" t="s">
        <v>47</v>
      </c>
      <c r="E770" s="9" t="s">
        <v>47</v>
      </c>
      <c r="F770" s="10">
        <v>45306</v>
      </c>
      <c r="G770" s="9" t="s">
        <v>153</v>
      </c>
      <c r="H770" s="9" t="s">
        <v>56</v>
      </c>
      <c r="I770" s="9">
        <v>1</v>
      </c>
      <c r="J770" s="11">
        <f t="shared" si="292"/>
        <v>12</v>
      </c>
      <c r="K770" s="1">
        <v>280</v>
      </c>
      <c r="L770" s="12">
        <v>0.15</v>
      </c>
      <c r="M770" s="12">
        <v>42</v>
      </c>
      <c r="N770" s="13" t="s">
        <v>49</v>
      </c>
      <c r="Q770" s="9">
        <f>IF(Auction_Sales[[#This Row],[Payment Date]]=0,"",-1+WEEKNUM(Auction_Sales[[#This Row],[Payment Date]]))</f>
        <v>3</v>
      </c>
      <c r="R770" s="9">
        <f t="shared" si="296"/>
        <v>0</v>
      </c>
      <c r="S770" s="1" t="str">
        <f t="shared" si="284"/>
        <v>Grandiflora Roses</v>
      </c>
      <c r="T770" s="9" t="str">
        <f t="shared" si="284"/>
        <v>90CM</v>
      </c>
      <c r="U770" s="9">
        <v>280</v>
      </c>
      <c r="V770" s="13">
        <f>150/280</f>
        <v>0.5357142857142857</v>
      </c>
      <c r="W770" s="13">
        <f t="shared" si="285"/>
        <v>150</v>
      </c>
      <c r="X770" s="14">
        <f t="shared" si="293"/>
        <v>-11.570647482014376</v>
      </c>
      <c r="Y770" s="13">
        <f t="shared" si="286"/>
        <v>138.42935251798562</v>
      </c>
      <c r="Z770" s="10">
        <v>45315</v>
      </c>
      <c r="AA770" s="9">
        <f t="shared" si="287"/>
        <v>0</v>
      </c>
      <c r="AC770" s="9" t="s">
        <v>86</v>
      </c>
      <c r="AD770" s="14">
        <f t="shared" si="294"/>
        <v>41.300689655172413</v>
      </c>
      <c r="AF770" s="14">
        <f t="shared" si="288"/>
        <v>5.6000000000000005</v>
      </c>
      <c r="AH770" s="14">
        <f t="shared" si="289"/>
        <v>46.900689655172414</v>
      </c>
      <c r="AI770" s="13">
        <f t="shared" si="290"/>
        <v>91.528662862813206</v>
      </c>
      <c r="AK770" s="9">
        <f t="shared" si="291"/>
        <v>280</v>
      </c>
    </row>
    <row r="771" spans="1:37">
      <c r="A771" s="9">
        <v>3</v>
      </c>
      <c r="B771" s="9">
        <v>2023</v>
      </c>
      <c r="C771" s="9" t="s">
        <v>46</v>
      </c>
      <c r="D771" s="9" t="s">
        <v>47</v>
      </c>
      <c r="E771" s="9" t="s">
        <v>47</v>
      </c>
      <c r="F771" s="10">
        <v>45306</v>
      </c>
      <c r="G771" s="9" t="s">
        <v>154</v>
      </c>
      <c r="H771" s="9" t="s">
        <v>48</v>
      </c>
      <c r="I771" s="9">
        <v>1</v>
      </c>
      <c r="J771" s="11">
        <f t="shared" si="292"/>
        <v>12</v>
      </c>
      <c r="K771" s="1">
        <v>480</v>
      </c>
      <c r="L771" s="12">
        <v>0.15</v>
      </c>
      <c r="M771" s="12">
        <v>72</v>
      </c>
      <c r="N771" s="13" t="s">
        <v>49</v>
      </c>
      <c r="Q771" s="9">
        <f>IF(Auction_Sales[[#This Row],[Payment Date]]=0,"",-1+WEEKNUM(Auction_Sales[[#This Row],[Payment Date]]))</f>
        <v>3</v>
      </c>
      <c r="R771" s="9">
        <f t="shared" si="296"/>
        <v>-360</v>
      </c>
      <c r="S771" s="1" t="str">
        <f t="shared" si="284"/>
        <v>English Roses</v>
      </c>
      <c r="T771" s="9" t="str">
        <f t="shared" si="284"/>
        <v>60CM</v>
      </c>
      <c r="U771" s="9">
        <v>840</v>
      </c>
      <c r="V771" s="13">
        <f>200.8/U771</f>
        <v>0.23904761904761906</v>
      </c>
      <c r="W771" s="13">
        <f t="shared" si="285"/>
        <v>200.8</v>
      </c>
      <c r="X771" s="14">
        <f t="shared" si="293"/>
        <v>-34.711942446043125</v>
      </c>
      <c r="Y771" s="13">
        <f t="shared" si="286"/>
        <v>166.0880575539569</v>
      </c>
      <c r="Z771" s="10">
        <v>45315</v>
      </c>
      <c r="AA771" s="9">
        <f t="shared" si="287"/>
        <v>360</v>
      </c>
      <c r="AC771" s="9" t="s">
        <v>86</v>
      </c>
      <c r="AD771" s="14">
        <f t="shared" si="294"/>
        <v>41.300689655172413</v>
      </c>
      <c r="AF771" s="14">
        <f t="shared" si="288"/>
        <v>16.8</v>
      </c>
      <c r="AH771" s="14">
        <f t="shared" si="289"/>
        <v>58.100689655172417</v>
      </c>
      <c r="AI771" s="13">
        <f t="shared" si="290"/>
        <v>107.98736789878448</v>
      </c>
      <c r="AK771" s="9">
        <f t="shared" si="291"/>
        <v>840</v>
      </c>
    </row>
    <row r="772" spans="1:37">
      <c r="A772" s="9">
        <v>3</v>
      </c>
      <c r="B772" s="9">
        <v>2023</v>
      </c>
      <c r="C772" s="9" t="s">
        <v>46</v>
      </c>
      <c r="D772" s="9" t="s">
        <v>47</v>
      </c>
      <c r="E772" s="9" t="s">
        <v>47</v>
      </c>
      <c r="F772" s="10">
        <v>45306</v>
      </c>
      <c r="G772" s="9" t="s">
        <v>154</v>
      </c>
      <c r="H772" s="9" t="s">
        <v>52</v>
      </c>
      <c r="I772" s="9">
        <v>1</v>
      </c>
      <c r="J772" s="11">
        <f t="shared" si="292"/>
        <v>12</v>
      </c>
      <c r="K772" s="9">
        <v>400</v>
      </c>
      <c r="L772" s="12">
        <v>0.15</v>
      </c>
      <c r="M772" s="12">
        <v>60</v>
      </c>
      <c r="N772" s="13" t="s">
        <v>49</v>
      </c>
      <c r="Q772" s="9">
        <f>IF(Auction_Sales[[#This Row],[Payment Date]]=0,"",-1+WEEKNUM(Auction_Sales[[#This Row],[Payment Date]]))</f>
        <v>3</v>
      </c>
      <c r="R772" s="9">
        <f t="shared" si="296"/>
        <v>-120</v>
      </c>
      <c r="S772" s="1" t="str">
        <f t="shared" si="284"/>
        <v>English Roses</v>
      </c>
      <c r="T772" s="9" t="str">
        <f t="shared" si="284"/>
        <v>70CM</v>
      </c>
      <c r="U772" s="9">
        <v>520</v>
      </c>
      <c r="V772" s="13">
        <f>200.8/520</f>
        <v>0.38615384615384618</v>
      </c>
      <c r="W772" s="13">
        <f t="shared" si="285"/>
        <v>200.8</v>
      </c>
      <c r="X772" s="14">
        <f t="shared" si="293"/>
        <v>-21.488345323740987</v>
      </c>
      <c r="Y772" s="13">
        <f t="shared" si="286"/>
        <v>179.31165467625902</v>
      </c>
      <c r="Z772" s="10">
        <v>45315</v>
      </c>
      <c r="AA772" s="9">
        <f t="shared" si="287"/>
        <v>120</v>
      </c>
      <c r="AC772" s="9" t="s">
        <v>86</v>
      </c>
      <c r="AD772" s="14">
        <f t="shared" si="294"/>
        <v>41.300689655172413</v>
      </c>
      <c r="AF772" s="14">
        <f t="shared" si="288"/>
        <v>10.4</v>
      </c>
      <c r="AH772" s="14">
        <f t="shared" si="289"/>
        <v>51.700689655172411</v>
      </c>
      <c r="AI772" s="13">
        <f t="shared" si="290"/>
        <v>127.61096502108661</v>
      </c>
      <c r="AK772" s="9">
        <f t="shared" si="291"/>
        <v>520</v>
      </c>
    </row>
    <row r="773" spans="1:37">
      <c r="A773" s="9">
        <v>3</v>
      </c>
      <c r="B773" s="9">
        <v>2023</v>
      </c>
      <c r="C773" s="9" t="s">
        <v>46</v>
      </c>
      <c r="D773" s="9" t="s">
        <v>47</v>
      </c>
      <c r="E773" s="9" t="s">
        <v>47</v>
      </c>
      <c r="F773" s="10">
        <v>45306</v>
      </c>
      <c r="G773" s="9" t="s">
        <v>154</v>
      </c>
      <c r="H773" s="9" t="s">
        <v>54</v>
      </c>
      <c r="I773" s="9">
        <v>1</v>
      </c>
      <c r="J773" s="11">
        <f t="shared" si="292"/>
        <v>12</v>
      </c>
      <c r="K773" s="9">
        <v>240</v>
      </c>
      <c r="L773" s="12">
        <v>0.15</v>
      </c>
      <c r="M773" s="12">
        <v>36</v>
      </c>
      <c r="N773" s="13" t="s">
        <v>49</v>
      </c>
      <c r="Q773" s="9">
        <f>IF(Auction_Sales[[#This Row],[Payment Date]]=0,"",-1+WEEKNUM(Auction_Sales[[#This Row],[Payment Date]]))</f>
        <v>3</v>
      </c>
      <c r="R773" s="9">
        <f t="shared" si="269"/>
        <v>0</v>
      </c>
      <c r="S773" s="1" t="str">
        <f t="shared" si="284"/>
        <v>English Roses</v>
      </c>
      <c r="T773" s="9" t="str">
        <f t="shared" si="284"/>
        <v>80CM</v>
      </c>
      <c r="U773" s="9">
        <v>240</v>
      </c>
      <c r="V773" s="13">
        <f>88.8/240</f>
        <v>0.37</v>
      </c>
      <c r="W773" s="13">
        <f t="shared" si="285"/>
        <v>88.8</v>
      </c>
      <c r="X773" s="14">
        <f t="shared" si="293"/>
        <v>-9.9176978417266088</v>
      </c>
      <c r="Y773" s="13">
        <f t="shared" si="286"/>
        <v>78.88230215827339</v>
      </c>
      <c r="Z773" s="10">
        <v>45315</v>
      </c>
      <c r="AA773" s="9">
        <f t="shared" si="287"/>
        <v>0</v>
      </c>
      <c r="AC773" s="9" t="s">
        <v>86</v>
      </c>
      <c r="AD773" s="14">
        <f t="shared" si="294"/>
        <v>41.300689655172413</v>
      </c>
      <c r="AF773" s="14">
        <f t="shared" si="288"/>
        <v>4.8</v>
      </c>
      <c r="AH773" s="14">
        <f t="shared" si="289"/>
        <v>46.10068965517241</v>
      </c>
      <c r="AI773" s="13">
        <f t="shared" si="290"/>
        <v>32.78161250310098</v>
      </c>
      <c r="AK773" s="9">
        <f t="shared" si="291"/>
        <v>240</v>
      </c>
    </row>
    <row r="774" spans="1:37">
      <c r="A774" s="9">
        <v>3</v>
      </c>
      <c r="B774" s="9">
        <v>2023</v>
      </c>
      <c r="C774" s="9" t="s">
        <v>46</v>
      </c>
      <c r="D774" s="9" t="s">
        <v>47</v>
      </c>
      <c r="E774" s="9" t="s">
        <v>47</v>
      </c>
      <c r="F774" s="10">
        <v>45306</v>
      </c>
      <c r="G774" s="9" t="s">
        <v>154</v>
      </c>
      <c r="H774" s="9" t="s">
        <v>56</v>
      </c>
      <c r="I774" s="9">
        <v>1</v>
      </c>
      <c r="J774" s="11">
        <f t="shared" si="292"/>
        <v>12</v>
      </c>
      <c r="K774" s="9">
        <v>240</v>
      </c>
      <c r="L774" s="12">
        <v>0.15</v>
      </c>
      <c r="M774" s="12">
        <v>36</v>
      </c>
      <c r="N774" s="13" t="s">
        <v>49</v>
      </c>
      <c r="Q774" s="9">
        <f>IF(Auction_Sales[[#This Row],[Payment Date]]=0,"",-1+WEEKNUM(Auction_Sales[[#This Row],[Payment Date]]))</f>
        <v>3</v>
      </c>
      <c r="R774" s="9">
        <f t="shared" si="269"/>
        <v>0</v>
      </c>
      <c r="S774" s="1" t="str">
        <f t="shared" si="284"/>
        <v>English Roses</v>
      </c>
      <c r="T774" s="9" t="str">
        <f t="shared" si="284"/>
        <v>90CM</v>
      </c>
      <c r="U774" s="9">
        <v>240</v>
      </c>
      <c r="V774" s="13">
        <f>198/240</f>
        <v>0.82499999999999996</v>
      </c>
      <c r="W774" s="13">
        <f t="shared" si="285"/>
        <v>198</v>
      </c>
      <c r="X774" s="14">
        <f t="shared" si="293"/>
        <v>-9.9176978417266088</v>
      </c>
      <c r="Y774" s="13">
        <f t="shared" si="286"/>
        <v>188.08230215827339</v>
      </c>
      <c r="Z774" s="10">
        <v>45315</v>
      </c>
      <c r="AA774" s="9">
        <f t="shared" si="287"/>
        <v>0</v>
      </c>
      <c r="AC774" s="9" t="s">
        <v>86</v>
      </c>
      <c r="AD774" s="14">
        <f t="shared" si="294"/>
        <v>41.300689655172413</v>
      </c>
      <c r="AF774" s="14">
        <f t="shared" si="288"/>
        <v>4.8</v>
      </c>
      <c r="AH774" s="14">
        <f t="shared" si="289"/>
        <v>46.10068965517241</v>
      </c>
      <c r="AI774" s="13">
        <f t="shared" si="290"/>
        <v>141.98161250310099</v>
      </c>
      <c r="AK774" s="9">
        <f t="shared" si="291"/>
        <v>240</v>
      </c>
    </row>
    <row r="775" spans="1:37">
      <c r="A775" s="9">
        <v>3</v>
      </c>
      <c r="B775" s="9">
        <v>2023</v>
      </c>
      <c r="C775" s="9" t="s">
        <v>46</v>
      </c>
      <c r="D775" s="9" t="s">
        <v>47</v>
      </c>
      <c r="E775" s="9" t="s">
        <v>47</v>
      </c>
      <c r="F775" s="10">
        <v>45306</v>
      </c>
      <c r="G775" s="9" t="s">
        <v>156</v>
      </c>
      <c r="H775" s="9" t="s">
        <v>48</v>
      </c>
      <c r="I775" s="9">
        <v>1</v>
      </c>
      <c r="J775" s="11">
        <f>K775/440*12</f>
        <v>6.545454545454545</v>
      </c>
      <c r="K775" s="9">
        <v>240</v>
      </c>
      <c r="L775" s="12">
        <v>0.15</v>
      </c>
      <c r="M775" s="12">
        <v>36</v>
      </c>
      <c r="N775" s="13" t="s">
        <v>49</v>
      </c>
      <c r="Q775" s="9">
        <f>IF(Auction_Sales[[#This Row],[Payment Date]]=0,"",-1+WEEKNUM(Auction_Sales[[#This Row],[Payment Date]]))</f>
        <v>3</v>
      </c>
      <c r="R775" s="9">
        <f t="shared" si="269"/>
        <v>0</v>
      </c>
      <c r="S775" s="1" t="str">
        <f t="shared" si="284"/>
        <v>Polyantha Roses</v>
      </c>
      <c r="T775" s="9" t="str">
        <f t="shared" si="284"/>
        <v>60CM</v>
      </c>
      <c r="U775" s="1">
        <v>240</v>
      </c>
      <c r="V775" s="15">
        <f>112.4/240</f>
        <v>0.46833333333333338</v>
      </c>
      <c r="W775" s="15">
        <f t="shared" si="285"/>
        <v>112.4</v>
      </c>
      <c r="X775" s="14">
        <f t="shared" si="293"/>
        <v>-9.9176978417266088</v>
      </c>
      <c r="Y775" s="15">
        <f t="shared" si="286"/>
        <v>102.4823021582734</v>
      </c>
      <c r="Z775" s="10">
        <v>45315</v>
      </c>
      <c r="AA775" s="9">
        <f t="shared" si="287"/>
        <v>0</v>
      </c>
      <c r="AC775" s="9" t="s">
        <v>86</v>
      </c>
      <c r="AD775" s="14">
        <f t="shared" si="294"/>
        <v>22.527648902821316</v>
      </c>
      <c r="AF775" s="14">
        <f t="shared" si="288"/>
        <v>4.8</v>
      </c>
      <c r="AH775" s="14">
        <f t="shared" si="289"/>
        <v>27.327648902821316</v>
      </c>
      <c r="AI775" s="13">
        <f t="shared" si="290"/>
        <v>75.154653255452075</v>
      </c>
      <c r="AK775" s="9">
        <f t="shared" si="291"/>
        <v>240</v>
      </c>
    </row>
    <row r="776" spans="1:37">
      <c r="A776" s="9">
        <v>3</v>
      </c>
      <c r="B776" s="9">
        <v>2023</v>
      </c>
      <c r="C776" s="9" t="s">
        <v>46</v>
      </c>
      <c r="D776" s="9" t="s">
        <v>47</v>
      </c>
      <c r="E776" s="9" t="s">
        <v>47</v>
      </c>
      <c r="F776" s="10">
        <v>45306</v>
      </c>
      <c r="G776" s="9" t="s">
        <v>156</v>
      </c>
      <c r="H776" s="9" t="s">
        <v>52</v>
      </c>
      <c r="J776" s="11">
        <f>K776/440*12</f>
        <v>5.4545454545454541</v>
      </c>
      <c r="K776" s="9">
        <v>200</v>
      </c>
      <c r="L776" s="12">
        <v>0.15</v>
      </c>
      <c r="M776" s="12">
        <v>30</v>
      </c>
      <c r="N776" s="13" t="s">
        <v>49</v>
      </c>
      <c r="Q776" s="9">
        <f>IF(Auction_Sales[[#This Row],[Payment Date]]=0,"",-1+WEEKNUM(Auction_Sales[[#This Row],[Payment Date]]))</f>
        <v>3</v>
      </c>
      <c r="R776" s="9">
        <f t="shared" si="269"/>
        <v>0</v>
      </c>
      <c r="S776" s="1" t="str">
        <f t="shared" si="284"/>
        <v>Polyantha Roses</v>
      </c>
      <c r="T776" s="9" t="str">
        <f t="shared" si="284"/>
        <v>70CM</v>
      </c>
      <c r="U776" s="9">
        <v>200</v>
      </c>
      <c r="V776" s="13">
        <f>110.8/200</f>
        <v>0.55399999999999994</v>
      </c>
      <c r="W776" s="13">
        <f t="shared" si="285"/>
        <v>110.79999999999998</v>
      </c>
      <c r="X776" s="14">
        <f t="shared" si="293"/>
        <v>-8.2647482014388416</v>
      </c>
      <c r="Y776" s="13">
        <f t="shared" si="286"/>
        <v>102.53525179856115</v>
      </c>
      <c r="Z776" s="10">
        <v>45315</v>
      </c>
      <c r="AA776" s="9">
        <f t="shared" si="287"/>
        <v>0</v>
      </c>
      <c r="AC776" s="9" t="s">
        <v>86</v>
      </c>
      <c r="AD776" s="14">
        <f t="shared" si="294"/>
        <v>18.773040752351097</v>
      </c>
      <c r="AF776" s="14">
        <f t="shared" si="288"/>
        <v>4</v>
      </c>
      <c r="AH776" s="14">
        <f t="shared" si="289"/>
        <v>22.773040752351097</v>
      </c>
      <c r="AI776" s="13">
        <f t="shared" si="290"/>
        <v>79.762211046210055</v>
      </c>
      <c r="AK776" s="9">
        <f t="shared" si="291"/>
        <v>200</v>
      </c>
    </row>
    <row r="777" spans="1:37">
      <c r="A777" s="9">
        <v>3</v>
      </c>
      <c r="B777" s="9">
        <v>2023</v>
      </c>
      <c r="C777" s="9" t="s">
        <v>46</v>
      </c>
      <c r="D777" s="9" t="s">
        <v>47</v>
      </c>
      <c r="E777" s="9" t="s">
        <v>47</v>
      </c>
      <c r="F777" s="10">
        <v>45306</v>
      </c>
      <c r="G777" s="9" t="s">
        <v>155</v>
      </c>
      <c r="H777" s="9" t="s">
        <v>48</v>
      </c>
      <c r="I777" s="9">
        <v>1</v>
      </c>
      <c r="J777" s="11">
        <f>K777/480*12</f>
        <v>9</v>
      </c>
      <c r="K777" s="9">
        <v>360</v>
      </c>
      <c r="L777" s="12">
        <v>0.15</v>
      </c>
      <c r="M777" s="12">
        <v>54</v>
      </c>
      <c r="N777" s="13" t="s">
        <v>49</v>
      </c>
      <c r="Q777" s="9">
        <f>IF(Auction_Sales[[#This Row],[Payment Date]]=0,"",-1+WEEKNUM(Auction_Sales[[#This Row],[Payment Date]]))</f>
        <v>3</v>
      </c>
      <c r="R777" s="9">
        <f t="shared" si="269"/>
        <v>360</v>
      </c>
      <c r="S777" s="1" t="str">
        <f t="shared" si="284"/>
        <v>Floribunda Roses</v>
      </c>
      <c r="T777" s="9" t="str">
        <f t="shared" si="284"/>
        <v>60CM</v>
      </c>
      <c r="W777" s="13">
        <f t="shared" si="285"/>
        <v>0</v>
      </c>
      <c r="X777" s="14">
        <f t="shared" si="293"/>
        <v>0</v>
      </c>
      <c r="Y777" s="13">
        <f t="shared" si="286"/>
        <v>0</v>
      </c>
      <c r="Z777" s="10">
        <v>45315</v>
      </c>
      <c r="AA777" s="9">
        <f t="shared" si="287"/>
        <v>-360</v>
      </c>
      <c r="AC777" s="9" t="s">
        <v>86</v>
      </c>
      <c r="AD777" s="14">
        <f t="shared" si="294"/>
        <v>30.975517241379311</v>
      </c>
      <c r="AF777" s="14">
        <f t="shared" si="288"/>
        <v>0</v>
      </c>
      <c r="AH777" s="14">
        <f t="shared" si="289"/>
        <v>30.975517241379311</v>
      </c>
      <c r="AI777" s="13">
        <f t="shared" si="290"/>
        <v>-30.975517241379311</v>
      </c>
      <c r="AK777" s="9">
        <f t="shared" si="291"/>
        <v>0</v>
      </c>
    </row>
    <row r="778" spans="1:37">
      <c r="A778" s="9">
        <v>3</v>
      </c>
      <c r="B778" s="9">
        <v>2023</v>
      </c>
      <c r="C778" s="9" t="s">
        <v>46</v>
      </c>
      <c r="D778" s="9" t="s">
        <v>47</v>
      </c>
      <c r="E778" s="9" t="s">
        <v>47</v>
      </c>
      <c r="F778" s="10">
        <v>45306</v>
      </c>
      <c r="G778" s="9" t="s">
        <v>155</v>
      </c>
      <c r="H778" s="9" t="s">
        <v>52</v>
      </c>
      <c r="J778" s="11">
        <f>K778/480*12</f>
        <v>3</v>
      </c>
      <c r="K778" s="9">
        <v>120</v>
      </c>
      <c r="L778" s="12">
        <v>0.15</v>
      </c>
      <c r="M778" s="12">
        <v>18</v>
      </c>
      <c r="N778" s="13" t="s">
        <v>49</v>
      </c>
      <c r="Q778" s="9">
        <f>IF(Auction_Sales[[#This Row],[Payment Date]]=0,"",-1+WEEKNUM(Auction_Sales[[#This Row],[Payment Date]]))</f>
        <v>3</v>
      </c>
      <c r="R778" s="9">
        <f>K778-U778</f>
        <v>120</v>
      </c>
      <c r="S778" s="1" t="str">
        <f t="shared" si="284"/>
        <v>Floribunda Roses</v>
      </c>
      <c r="T778" s="9" t="str">
        <f t="shared" si="284"/>
        <v>70CM</v>
      </c>
      <c r="W778" s="13">
        <f t="shared" si="285"/>
        <v>0</v>
      </c>
      <c r="X778" s="14">
        <f t="shared" si="293"/>
        <v>0</v>
      </c>
      <c r="Y778" s="13">
        <f t="shared" si="286"/>
        <v>0</v>
      </c>
      <c r="Z778" s="10">
        <v>45315</v>
      </c>
      <c r="AA778" s="9">
        <f t="shared" si="287"/>
        <v>-120</v>
      </c>
      <c r="AC778" s="9" t="s">
        <v>86</v>
      </c>
      <c r="AD778" s="14">
        <f t="shared" si="294"/>
        <v>10.325172413793103</v>
      </c>
      <c r="AF778" s="14">
        <f t="shared" si="288"/>
        <v>0</v>
      </c>
      <c r="AH778" s="14">
        <f t="shared" si="289"/>
        <v>10.325172413793103</v>
      </c>
      <c r="AI778" s="13">
        <f t="shared" si="290"/>
        <v>-10.325172413793103</v>
      </c>
      <c r="AK778" s="9">
        <f t="shared" si="291"/>
        <v>0</v>
      </c>
    </row>
    <row r="779" spans="1:37">
      <c r="A779" s="9">
        <v>3</v>
      </c>
      <c r="B779" s="9">
        <v>2023</v>
      </c>
      <c r="C779" s="9" t="s">
        <v>46</v>
      </c>
      <c r="D779" s="9" t="s">
        <v>47</v>
      </c>
      <c r="E779" s="9" t="s">
        <v>47</v>
      </c>
      <c r="F779" s="10">
        <v>45306</v>
      </c>
      <c r="G779" s="9" t="s">
        <v>155</v>
      </c>
      <c r="H779" s="9" t="s">
        <v>57</v>
      </c>
      <c r="I779" s="9">
        <v>1</v>
      </c>
      <c r="J779" s="11">
        <f>K779/200*12</f>
        <v>9.6000000000000014</v>
      </c>
      <c r="K779" s="9">
        <v>160</v>
      </c>
      <c r="L779" s="12">
        <v>0.15</v>
      </c>
      <c r="M779" s="12">
        <v>24</v>
      </c>
      <c r="N779" s="13" t="s">
        <v>49</v>
      </c>
      <c r="Q779" s="9">
        <f>IF(Auction_Sales[[#This Row],[Payment Date]]=0,"",-1+WEEKNUM(Auction_Sales[[#This Row],[Payment Date]]))</f>
        <v>3</v>
      </c>
      <c r="R779" s="9">
        <f>K779-U779</f>
        <v>160</v>
      </c>
      <c r="S779" s="1" t="str">
        <f t="shared" si="284"/>
        <v>Floribunda Roses</v>
      </c>
      <c r="T779" s="9" t="str">
        <f t="shared" si="284"/>
        <v>100CM</v>
      </c>
      <c r="W779" s="13">
        <f t="shared" si="285"/>
        <v>0</v>
      </c>
      <c r="X779" s="14">
        <f t="shared" si="293"/>
        <v>0</v>
      </c>
      <c r="Y779" s="13">
        <f t="shared" si="286"/>
        <v>0</v>
      </c>
      <c r="Z779" s="10">
        <v>45315</v>
      </c>
      <c r="AA779" s="9">
        <f t="shared" si="287"/>
        <v>-160</v>
      </c>
      <c r="AC779" s="9" t="s">
        <v>86</v>
      </c>
      <c r="AD779" s="14">
        <f t="shared" si="294"/>
        <v>33.040551724137934</v>
      </c>
      <c r="AF779" s="14">
        <f t="shared" si="288"/>
        <v>0</v>
      </c>
      <c r="AH779" s="14">
        <f t="shared" si="289"/>
        <v>33.040551724137934</v>
      </c>
      <c r="AI779" s="13">
        <f t="shared" si="290"/>
        <v>-33.040551724137934</v>
      </c>
      <c r="AK779" s="9">
        <f t="shared" si="291"/>
        <v>0</v>
      </c>
    </row>
    <row r="780" spans="1:37">
      <c r="A780" s="9">
        <v>3</v>
      </c>
      <c r="B780" s="9">
        <v>2023</v>
      </c>
      <c r="C780" s="9" t="s">
        <v>46</v>
      </c>
      <c r="D780" s="9" t="s">
        <v>47</v>
      </c>
      <c r="E780" s="9" t="s">
        <v>47</v>
      </c>
      <c r="F780" s="10">
        <v>45306</v>
      </c>
      <c r="G780" s="9" t="s">
        <v>155</v>
      </c>
      <c r="H780" s="9" t="s">
        <v>60</v>
      </c>
      <c r="J780" s="11">
        <f>K780/200*12</f>
        <v>2.4000000000000004</v>
      </c>
      <c r="K780" s="9">
        <v>40</v>
      </c>
      <c r="L780" s="12">
        <v>0.15</v>
      </c>
      <c r="M780" s="12">
        <v>6</v>
      </c>
      <c r="N780" s="13" t="s">
        <v>49</v>
      </c>
      <c r="Q780" s="9">
        <f>IF(Auction_Sales[[#This Row],[Payment Date]]=0,"",-1+WEEKNUM(Auction_Sales[[#This Row],[Payment Date]]))</f>
        <v>3</v>
      </c>
      <c r="R780" s="9">
        <f t="shared" si="269"/>
        <v>40</v>
      </c>
      <c r="S780" s="1" t="str">
        <f t="shared" si="284"/>
        <v>Floribunda Roses</v>
      </c>
      <c r="T780" s="9" t="str">
        <f t="shared" si="284"/>
        <v>110CM</v>
      </c>
      <c r="W780" s="13">
        <f t="shared" si="285"/>
        <v>0</v>
      </c>
      <c r="X780" s="14">
        <f t="shared" si="293"/>
        <v>0</v>
      </c>
      <c r="Y780" s="13">
        <f t="shared" si="286"/>
        <v>0</v>
      </c>
      <c r="Z780" s="10">
        <v>45315</v>
      </c>
      <c r="AA780" s="9">
        <f t="shared" si="287"/>
        <v>-40</v>
      </c>
      <c r="AC780" s="9" t="s">
        <v>86</v>
      </c>
      <c r="AD780" s="14">
        <f t="shared" si="294"/>
        <v>8.2601379310344836</v>
      </c>
      <c r="AF780" s="14">
        <f t="shared" si="288"/>
        <v>0</v>
      </c>
      <c r="AH780" s="14">
        <f t="shared" si="289"/>
        <v>8.2601379310344836</v>
      </c>
      <c r="AI780" s="13">
        <f t="shared" si="290"/>
        <v>-8.2601379310344836</v>
      </c>
      <c r="AK780" s="9">
        <f t="shared" si="291"/>
        <v>0</v>
      </c>
    </row>
    <row r="781" spans="1:37">
      <c r="A781" s="9">
        <v>3</v>
      </c>
      <c r="B781" s="9">
        <v>2023</v>
      </c>
      <c r="C781" s="9" t="s">
        <v>46</v>
      </c>
      <c r="D781" s="9" t="s">
        <v>47</v>
      </c>
      <c r="E781" s="9" t="s">
        <v>47</v>
      </c>
      <c r="F781" s="10">
        <v>45306</v>
      </c>
      <c r="G781" s="9" t="s">
        <v>153</v>
      </c>
      <c r="H781" s="9" t="s">
        <v>52</v>
      </c>
      <c r="I781" s="9">
        <v>1</v>
      </c>
      <c r="J781" s="11">
        <f>K781/400*12</f>
        <v>7.1999999999999993</v>
      </c>
      <c r="K781" s="9">
        <v>240</v>
      </c>
      <c r="L781" s="12">
        <v>0.15</v>
      </c>
      <c r="M781" s="12">
        <v>36</v>
      </c>
      <c r="N781" s="13" t="s">
        <v>49</v>
      </c>
      <c r="Q781" s="9">
        <f>IF(Auction_Sales[[#This Row],[Payment Date]]=0,"",-1+WEEKNUM(Auction_Sales[[#This Row],[Payment Date]]))</f>
        <v>3</v>
      </c>
      <c r="R781" s="9">
        <f t="shared" si="269"/>
        <v>240</v>
      </c>
      <c r="S781" s="1" t="str">
        <f t="shared" si="284"/>
        <v>Grandiflora Roses</v>
      </c>
      <c r="T781" s="9" t="str">
        <f t="shared" si="284"/>
        <v>70CM</v>
      </c>
      <c r="W781" s="13">
        <f t="shared" si="285"/>
        <v>0</v>
      </c>
      <c r="X781" s="14">
        <f t="shared" si="293"/>
        <v>0</v>
      </c>
      <c r="Y781" s="13">
        <f t="shared" si="286"/>
        <v>0</v>
      </c>
      <c r="Z781" s="10">
        <v>45315</v>
      </c>
      <c r="AA781" s="9">
        <f t="shared" si="287"/>
        <v>-240</v>
      </c>
      <c r="AC781" s="9" t="s">
        <v>86</v>
      </c>
      <c r="AD781" s="14">
        <f t="shared" si="294"/>
        <v>24.780413793103445</v>
      </c>
      <c r="AF781" s="14">
        <f t="shared" si="288"/>
        <v>0</v>
      </c>
      <c r="AH781" s="14">
        <f t="shared" si="289"/>
        <v>24.780413793103445</v>
      </c>
      <c r="AI781" s="13">
        <f t="shared" si="290"/>
        <v>-24.780413793103445</v>
      </c>
      <c r="AK781" s="9">
        <f t="shared" si="291"/>
        <v>0</v>
      </c>
    </row>
    <row r="782" spans="1:37">
      <c r="A782" s="9">
        <v>3</v>
      </c>
      <c r="B782" s="9">
        <v>2023</v>
      </c>
      <c r="C782" s="9" t="s">
        <v>46</v>
      </c>
      <c r="D782" s="9" t="s">
        <v>47</v>
      </c>
      <c r="E782" s="9" t="s">
        <v>47</v>
      </c>
      <c r="F782" s="10">
        <v>45306</v>
      </c>
      <c r="G782" s="9" t="s">
        <v>153</v>
      </c>
      <c r="H782" s="9" t="s">
        <v>54</v>
      </c>
      <c r="J782" s="11">
        <f>K782/400*12</f>
        <v>4.8000000000000007</v>
      </c>
      <c r="K782" s="9">
        <v>160</v>
      </c>
      <c r="L782" s="12">
        <v>0.15</v>
      </c>
      <c r="M782" s="12">
        <v>24</v>
      </c>
      <c r="N782" s="13" t="s">
        <v>49</v>
      </c>
      <c r="Q782" s="9">
        <f>IF(Auction_Sales[[#This Row],[Payment Date]]=0,"",-1+WEEKNUM(Auction_Sales[[#This Row],[Payment Date]]))</f>
        <v>3</v>
      </c>
      <c r="R782" s="9">
        <f t="shared" si="269"/>
        <v>160</v>
      </c>
      <c r="S782" s="1" t="str">
        <f t="shared" si="284"/>
        <v>Grandiflora Roses</v>
      </c>
      <c r="T782" s="9" t="str">
        <f t="shared" si="284"/>
        <v>80CM</v>
      </c>
      <c r="W782" s="13">
        <f t="shared" si="285"/>
        <v>0</v>
      </c>
      <c r="X782" s="14">
        <f t="shared" si="293"/>
        <v>0</v>
      </c>
      <c r="Y782" s="13">
        <f t="shared" si="286"/>
        <v>0</v>
      </c>
      <c r="Z782" s="10">
        <v>45315</v>
      </c>
      <c r="AA782" s="9">
        <f t="shared" si="287"/>
        <v>-160</v>
      </c>
      <c r="AC782" s="9" t="s">
        <v>86</v>
      </c>
      <c r="AD782" s="14">
        <f t="shared" si="294"/>
        <v>16.520275862068967</v>
      </c>
      <c r="AF782" s="14">
        <f t="shared" si="288"/>
        <v>0</v>
      </c>
      <c r="AH782" s="14">
        <f t="shared" si="289"/>
        <v>16.520275862068967</v>
      </c>
      <c r="AI782" s="13">
        <f t="shared" si="290"/>
        <v>-16.520275862068967</v>
      </c>
      <c r="AK782" s="9">
        <f t="shared" si="291"/>
        <v>0</v>
      </c>
    </row>
    <row r="783" spans="1:37">
      <c r="A783" s="9">
        <v>3</v>
      </c>
      <c r="B783" s="9">
        <v>2023</v>
      </c>
      <c r="C783" s="9" t="s">
        <v>46</v>
      </c>
      <c r="D783" s="9" t="s">
        <v>47</v>
      </c>
      <c r="E783" s="9" t="s">
        <v>47</v>
      </c>
      <c r="F783" s="10">
        <v>45306</v>
      </c>
      <c r="G783" s="9" t="s">
        <v>155</v>
      </c>
      <c r="H783" s="9" t="s">
        <v>56</v>
      </c>
      <c r="I783" s="9">
        <v>1</v>
      </c>
      <c r="J783" s="11">
        <f>K783/160*12</f>
        <v>9</v>
      </c>
      <c r="K783" s="9">
        <v>120</v>
      </c>
      <c r="L783" s="12">
        <v>0.15</v>
      </c>
      <c r="M783" s="12">
        <v>18</v>
      </c>
      <c r="N783" s="13" t="s">
        <v>49</v>
      </c>
      <c r="Q783" s="9">
        <f>IF(Auction_Sales[[#This Row],[Payment Date]]=0,"",-1+WEEKNUM(Auction_Sales[[#This Row],[Payment Date]]))</f>
        <v>3</v>
      </c>
      <c r="R783" s="9">
        <f t="shared" si="269"/>
        <v>120</v>
      </c>
      <c r="S783" s="1" t="str">
        <f t="shared" si="284"/>
        <v>Floribunda Roses</v>
      </c>
      <c r="T783" s="9" t="str">
        <f t="shared" si="284"/>
        <v>90CM</v>
      </c>
      <c r="W783" s="13">
        <f t="shared" si="285"/>
        <v>0</v>
      </c>
      <c r="X783" s="14">
        <f t="shared" si="293"/>
        <v>0</v>
      </c>
      <c r="Y783" s="13">
        <f t="shared" si="286"/>
        <v>0</v>
      </c>
      <c r="Z783" s="10">
        <v>45315</v>
      </c>
      <c r="AA783" s="9">
        <f t="shared" si="287"/>
        <v>-120</v>
      </c>
      <c r="AC783" s="9" t="s">
        <v>86</v>
      </c>
      <c r="AD783" s="14">
        <f t="shared" si="294"/>
        <v>30.975517241379311</v>
      </c>
      <c r="AF783" s="14">
        <f t="shared" si="288"/>
        <v>0</v>
      </c>
      <c r="AH783" s="14">
        <f t="shared" si="289"/>
        <v>30.975517241379311</v>
      </c>
      <c r="AI783" s="13">
        <f t="shared" si="290"/>
        <v>-30.975517241379311</v>
      </c>
      <c r="AK783" s="9">
        <f t="shared" si="291"/>
        <v>0</v>
      </c>
    </row>
    <row r="784" spans="1:37">
      <c r="A784" s="9">
        <v>3</v>
      </c>
      <c r="B784" s="9">
        <v>2023</v>
      </c>
      <c r="C784" s="9" t="s">
        <v>46</v>
      </c>
      <c r="D784" s="9" t="s">
        <v>47</v>
      </c>
      <c r="E784" s="9" t="s">
        <v>47</v>
      </c>
      <c r="F784" s="10">
        <v>45306</v>
      </c>
      <c r="G784" s="9" t="s">
        <v>155</v>
      </c>
      <c r="H784" s="9" t="s">
        <v>60</v>
      </c>
      <c r="J784" s="11">
        <f>K784/160*12</f>
        <v>3</v>
      </c>
      <c r="K784" s="9">
        <v>40</v>
      </c>
      <c r="L784" s="12">
        <v>0.15</v>
      </c>
      <c r="M784" s="12">
        <v>6</v>
      </c>
      <c r="N784" s="13" t="s">
        <v>49</v>
      </c>
      <c r="Q784" s="9">
        <f>IF(Auction_Sales[[#This Row],[Payment Date]]=0,"",-1+WEEKNUM(Auction_Sales[[#This Row],[Payment Date]]))</f>
        <v>3</v>
      </c>
      <c r="R784" s="9">
        <f t="shared" si="269"/>
        <v>40</v>
      </c>
      <c r="S784" s="1" t="str">
        <f t="shared" si="284"/>
        <v>Floribunda Roses</v>
      </c>
      <c r="T784" s="9" t="str">
        <f t="shared" si="284"/>
        <v>110CM</v>
      </c>
      <c r="W784" s="13">
        <f t="shared" si="285"/>
        <v>0</v>
      </c>
      <c r="X784" s="14">
        <f t="shared" si="293"/>
        <v>0</v>
      </c>
      <c r="Y784" s="13">
        <f t="shared" si="286"/>
        <v>0</v>
      </c>
      <c r="Z784" s="10">
        <v>45315</v>
      </c>
      <c r="AA784" s="9">
        <f t="shared" si="287"/>
        <v>-40</v>
      </c>
      <c r="AC784" s="9" t="s">
        <v>86</v>
      </c>
      <c r="AD784" s="14">
        <f t="shared" si="294"/>
        <v>10.325172413793103</v>
      </c>
      <c r="AF784" s="14">
        <f t="shared" si="288"/>
        <v>0</v>
      </c>
      <c r="AH784" s="14">
        <f t="shared" si="289"/>
        <v>10.325172413793103</v>
      </c>
      <c r="AI784" s="13">
        <f t="shared" si="290"/>
        <v>-10.325172413793103</v>
      </c>
      <c r="AK784" s="9">
        <f t="shared" si="291"/>
        <v>0</v>
      </c>
    </row>
    <row r="785" spans="1:37">
      <c r="A785" s="9">
        <v>3</v>
      </c>
      <c r="B785" s="9">
        <v>2023</v>
      </c>
      <c r="C785" s="9" t="s">
        <v>46</v>
      </c>
      <c r="D785" s="9" t="s">
        <v>47</v>
      </c>
      <c r="E785" s="9" t="s">
        <v>47</v>
      </c>
      <c r="F785" s="10">
        <v>45307</v>
      </c>
      <c r="G785" s="9" t="s">
        <v>155</v>
      </c>
      <c r="H785" s="9" t="s">
        <v>48</v>
      </c>
      <c r="I785" s="9">
        <v>1</v>
      </c>
      <c r="J785" s="11">
        <f>I785*12</f>
        <v>12</v>
      </c>
      <c r="K785" s="9">
        <v>520</v>
      </c>
      <c r="L785" s="12">
        <v>0.15</v>
      </c>
      <c r="M785" s="12">
        <v>78</v>
      </c>
      <c r="N785" s="13" t="s">
        <v>49</v>
      </c>
      <c r="Q785" s="9">
        <f>IF(Auction_Sales[[#This Row],[Payment Date]]=0,"",-1+WEEKNUM(Auction_Sales[[#This Row],[Payment Date]]))</f>
        <v>3</v>
      </c>
      <c r="R785" s="9">
        <f t="shared" si="269"/>
        <v>-440</v>
      </c>
      <c r="S785" s="1" t="str">
        <f t="shared" si="284"/>
        <v>Floribunda Roses</v>
      </c>
      <c r="T785" s="9" t="str">
        <f t="shared" si="284"/>
        <v>60CM</v>
      </c>
      <c r="U785" s="9">
        <v>960</v>
      </c>
      <c r="V785" s="13">
        <f>432.8/U785</f>
        <v>0.45083333333333336</v>
      </c>
      <c r="W785" s="13">
        <f t="shared" si="285"/>
        <v>432.8</v>
      </c>
      <c r="X785" s="14">
        <f>-(2268-2077.65)*U785/(2840+960)</f>
        <v>-48.088421052631553</v>
      </c>
      <c r="Y785" s="13">
        <f t="shared" si="286"/>
        <v>384.71157894736848</v>
      </c>
      <c r="Z785" s="10">
        <v>45315</v>
      </c>
      <c r="AA785" s="9">
        <f t="shared" si="287"/>
        <v>440</v>
      </c>
      <c r="AC785" s="9">
        <v>424694</v>
      </c>
      <c r="AD785" s="14">
        <f>J785/(9*12)*369.36</f>
        <v>41.04</v>
      </c>
      <c r="AF785" s="14">
        <f t="shared" si="288"/>
        <v>19.2</v>
      </c>
      <c r="AH785" s="14">
        <f t="shared" si="289"/>
        <v>60.239999999999995</v>
      </c>
      <c r="AI785" s="13">
        <f t="shared" si="290"/>
        <v>324.47157894736847</v>
      </c>
      <c r="AK785" s="9">
        <f t="shared" si="291"/>
        <v>960</v>
      </c>
    </row>
    <row r="786" spans="1:37">
      <c r="A786" s="9">
        <v>3</v>
      </c>
      <c r="B786" s="9">
        <v>2023</v>
      </c>
      <c r="C786" s="9" t="s">
        <v>46</v>
      </c>
      <c r="D786" s="9" t="s">
        <v>47</v>
      </c>
      <c r="E786" s="9" t="s">
        <v>47</v>
      </c>
      <c r="F786" s="10">
        <v>45307</v>
      </c>
      <c r="G786" s="9" t="s">
        <v>155</v>
      </c>
      <c r="H786" s="9" t="s">
        <v>48</v>
      </c>
      <c r="I786" s="9">
        <v>1</v>
      </c>
      <c r="J786" s="11">
        <f t="shared" ref="J786:J790" si="297">I786*12</f>
        <v>12</v>
      </c>
      <c r="K786" s="9">
        <v>480</v>
      </c>
      <c r="L786" s="12">
        <v>0.15</v>
      </c>
      <c r="M786" s="12">
        <v>72</v>
      </c>
      <c r="N786" s="13" t="s">
        <v>49</v>
      </c>
      <c r="Q786" s="9">
        <f>IF(Auction_Sales[[#This Row],[Payment Date]]=0,"",-1+WEEKNUM(Auction_Sales[[#This Row],[Payment Date]]))</f>
        <v>3</v>
      </c>
      <c r="R786" s="9">
        <f t="shared" si="269"/>
        <v>480</v>
      </c>
      <c r="S786" s="1" t="str">
        <f t="shared" si="284"/>
        <v>Floribunda Roses</v>
      </c>
      <c r="T786" s="9" t="str">
        <f t="shared" si="284"/>
        <v>60CM</v>
      </c>
      <c r="W786" s="13">
        <f t="shared" si="285"/>
        <v>0</v>
      </c>
      <c r="X786" s="14">
        <f t="shared" ref="X786:X796" si="298">-(2268-2077.65)*U786/(2840+960)</f>
        <v>0</v>
      </c>
      <c r="Y786" s="13">
        <f t="shared" si="286"/>
        <v>0</v>
      </c>
      <c r="Z786" s="10">
        <v>45315</v>
      </c>
      <c r="AA786" s="9">
        <f t="shared" si="287"/>
        <v>-480</v>
      </c>
      <c r="AC786" s="9">
        <v>424694</v>
      </c>
      <c r="AD786" s="14">
        <f t="shared" ref="AD786:AD796" si="299">J786/(9*12)*369.36</f>
        <v>41.04</v>
      </c>
      <c r="AF786" s="14">
        <f t="shared" si="288"/>
        <v>0</v>
      </c>
      <c r="AH786" s="14">
        <f t="shared" si="289"/>
        <v>41.04</v>
      </c>
      <c r="AI786" s="13">
        <f t="shared" si="290"/>
        <v>-41.04</v>
      </c>
      <c r="AK786" s="9">
        <f t="shared" si="291"/>
        <v>0</v>
      </c>
    </row>
    <row r="787" spans="1:37">
      <c r="A787" s="9">
        <v>3</v>
      </c>
      <c r="B787" s="9">
        <v>2023</v>
      </c>
      <c r="C787" s="9" t="s">
        <v>46</v>
      </c>
      <c r="D787" s="9" t="s">
        <v>47</v>
      </c>
      <c r="E787" s="9" t="s">
        <v>47</v>
      </c>
      <c r="F787" s="10">
        <v>45307</v>
      </c>
      <c r="G787" s="9" t="s">
        <v>155</v>
      </c>
      <c r="H787" s="9" t="s">
        <v>52</v>
      </c>
      <c r="I787" s="9">
        <v>1</v>
      </c>
      <c r="J787" s="11">
        <f t="shared" si="297"/>
        <v>12</v>
      </c>
      <c r="K787" s="11">
        <v>480</v>
      </c>
      <c r="L787" s="12">
        <v>0.15</v>
      </c>
      <c r="M787" s="12">
        <v>72</v>
      </c>
      <c r="N787" s="13" t="s">
        <v>49</v>
      </c>
      <c r="Q787" s="9">
        <f>IF(Auction_Sales[[#This Row],[Payment Date]]=0,"",-1+WEEKNUM(Auction_Sales[[#This Row],[Payment Date]]))</f>
        <v>3</v>
      </c>
      <c r="R787" s="9">
        <f>K787-U787</f>
        <v>-160</v>
      </c>
      <c r="S787" s="1" t="str">
        <f t="shared" si="284"/>
        <v>Floribunda Roses</v>
      </c>
      <c r="T787" s="9" t="str">
        <f t="shared" si="284"/>
        <v>70CM</v>
      </c>
      <c r="U787" s="9">
        <v>640</v>
      </c>
      <c r="V787" s="13">
        <f>473.2/U787</f>
        <v>0.739375</v>
      </c>
      <c r="W787" s="13">
        <f t="shared" si="285"/>
        <v>473.2</v>
      </c>
      <c r="X787" s="14">
        <f t="shared" si="298"/>
        <v>-32.058947368421038</v>
      </c>
      <c r="Y787" s="13">
        <f t="shared" si="286"/>
        <v>441.14105263157893</v>
      </c>
      <c r="Z787" s="10">
        <v>45315</v>
      </c>
      <c r="AA787" s="9">
        <f t="shared" si="287"/>
        <v>160</v>
      </c>
      <c r="AC787" s="9">
        <v>424694</v>
      </c>
      <c r="AD787" s="14">
        <f t="shared" si="299"/>
        <v>41.04</v>
      </c>
      <c r="AF787" s="14">
        <f t="shared" si="288"/>
        <v>12.8</v>
      </c>
      <c r="AH787" s="14">
        <f t="shared" si="289"/>
        <v>53.84</v>
      </c>
      <c r="AI787" s="13">
        <f t="shared" si="290"/>
        <v>387.30105263157895</v>
      </c>
      <c r="AK787" s="9">
        <f t="shared" si="291"/>
        <v>640</v>
      </c>
    </row>
    <row r="788" spans="1:37">
      <c r="A788" s="9">
        <v>3</v>
      </c>
      <c r="B788" s="9">
        <v>2023</v>
      </c>
      <c r="C788" s="9" t="s">
        <v>46</v>
      </c>
      <c r="D788" s="9" t="s">
        <v>47</v>
      </c>
      <c r="E788" s="9" t="s">
        <v>47</v>
      </c>
      <c r="F788" s="10">
        <v>45307</v>
      </c>
      <c r="G788" s="9" t="s">
        <v>155</v>
      </c>
      <c r="H788" s="9" t="s">
        <v>56</v>
      </c>
      <c r="I788" s="9">
        <v>1</v>
      </c>
      <c r="J788" s="11">
        <f t="shared" si="297"/>
        <v>12</v>
      </c>
      <c r="K788" s="11">
        <v>240</v>
      </c>
      <c r="L788" s="12">
        <v>0.15</v>
      </c>
      <c r="M788" s="12">
        <v>36</v>
      </c>
      <c r="N788" s="13" t="s">
        <v>49</v>
      </c>
      <c r="Q788" s="9">
        <f>IF(Auction_Sales[[#This Row],[Payment Date]]=0,"",-1+WEEKNUM(Auction_Sales[[#This Row],[Payment Date]]))</f>
        <v>3</v>
      </c>
      <c r="R788" s="9">
        <f t="shared" si="269"/>
        <v>0</v>
      </c>
      <c r="S788" s="1" t="str">
        <f t="shared" si="284"/>
        <v>Floribunda Roses</v>
      </c>
      <c r="T788" s="9" t="str">
        <f t="shared" si="284"/>
        <v>90CM</v>
      </c>
      <c r="U788" s="9">
        <v>240</v>
      </c>
      <c r="V788" s="13">
        <f>189.6/U788</f>
        <v>0.78999999999999992</v>
      </c>
      <c r="W788" s="13">
        <f t="shared" si="285"/>
        <v>189.6</v>
      </c>
      <c r="X788" s="14">
        <f t="shared" si="298"/>
        <v>-12.022105263157888</v>
      </c>
      <c r="Y788" s="13">
        <f t="shared" si="286"/>
        <v>177.5778947368421</v>
      </c>
      <c r="Z788" s="10">
        <v>45315</v>
      </c>
      <c r="AA788" s="9">
        <f t="shared" si="287"/>
        <v>0</v>
      </c>
      <c r="AC788" s="9">
        <v>424694</v>
      </c>
      <c r="AD788" s="14">
        <f t="shared" si="299"/>
        <v>41.04</v>
      </c>
      <c r="AF788" s="14">
        <f t="shared" si="288"/>
        <v>4.8</v>
      </c>
      <c r="AH788" s="14">
        <f t="shared" si="289"/>
        <v>45.839999999999996</v>
      </c>
      <c r="AI788" s="13">
        <f t="shared" si="290"/>
        <v>131.73789473684209</v>
      </c>
      <c r="AK788" s="9">
        <f t="shared" si="291"/>
        <v>240</v>
      </c>
    </row>
    <row r="789" spans="1:37">
      <c r="A789" s="9">
        <v>3</v>
      </c>
      <c r="B789" s="9">
        <v>2023</v>
      </c>
      <c r="C789" s="9" t="s">
        <v>46</v>
      </c>
      <c r="D789" s="9" t="s">
        <v>47</v>
      </c>
      <c r="E789" s="9" t="s">
        <v>47</v>
      </c>
      <c r="F789" s="10">
        <v>45307</v>
      </c>
      <c r="G789" s="9" t="s">
        <v>154</v>
      </c>
      <c r="H789" s="9" t="s">
        <v>52</v>
      </c>
      <c r="I789" s="9">
        <v>1</v>
      </c>
      <c r="J789" s="11">
        <f t="shared" si="297"/>
        <v>12</v>
      </c>
      <c r="K789" s="11">
        <v>280</v>
      </c>
      <c r="L789" s="12">
        <v>0.15</v>
      </c>
      <c r="M789" s="12">
        <v>42</v>
      </c>
      <c r="N789" s="13" t="s">
        <v>49</v>
      </c>
      <c r="Q789" s="9">
        <f>IF(Auction_Sales[[#This Row],[Payment Date]]=0,"",-1+WEEKNUM(Auction_Sales[[#This Row],[Payment Date]]))</f>
        <v>3</v>
      </c>
      <c r="R789" s="9">
        <f>K789-U789</f>
        <v>0</v>
      </c>
      <c r="S789" s="1" t="str">
        <f t="shared" si="284"/>
        <v>English Roses</v>
      </c>
      <c r="T789" s="9" t="str">
        <f t="shared" si="284"/>
        <v>70CM</v>
      </c>
      <c r="U789" s="9">
        <v>280</v>
      </c>
      <c r="V789" s="13">
        <f>254.4/U789</f>
        <v>0.90857142857142859</v>
      </c>
      <c r="W789" s="13">
        <f t="shared" si="285"/>
        <v>254.4</v>
      </c>
      <c r="X789" s="14">
        <f t="shared" si="298"/>
        <v>-14.025789473684203</v>
      </c>
      <c r="Y789" s="13">
        <f t="shared" si="286"/>
        <v>240.37421052631581</v>
      </c>
      <c r="Z789" s="10">
        <v>45315</v>
      </c>
      <c r="AA789" s="9">
        <f t="shared" si="287"/>
        <v>0</v>
      </c>
      <c r="AC789" s="9">
        <v>424694</v>
      </c>
      <c r="AD789" s="14">
        <f t="shared" si="299"/>
        <v>41.04</v>
      </c>
      <c r="AF789" s="14">
        <f t="shared" si="288"/>
        <v>5.6000000000000005</v>
      </c>
      <c r="AH789" s="14">
        <f t="shared" si="289"/>
        <v>46.64</v>
      </c>
      <c r="AI789" s="13">
        <f t="shared" si="290"/>
        <v>193.73421052631579</v>
      </c>
      <c r="AK789" s="9">
        <f t="shared" si="291"/>
        <v>280</v>
      </c>
    </row>
    <row r="790" spans="1:37">
      <c r="A790" s="9">
        <v>3</v>
      </c>
      <c r="B790" s="9">
        <v>2023</v>
      </c>
      <c r="C790" s="9" t="s">
        <v>46</v>
      </c>
      <c r="D790" s="9" t="s">
        <v>47</v>
      </c>
      <c r="E790" s="9" t="s">
        <v>47</v>
      </c>
      <c r="F790" s="10">
        <v>45307</v>
      </c>
      <c r="G790" s="9" t="s">
        <v>154</v>
      </c>
      <c r="H790" s="9" t="s">
        <v>48</v>
      </c>
      <c r="I790" s="9">
        <v>1</v>
      </c>
      <c r="J790" s="11">
        <f t="shared" si="297"/>
        <v>12</v>
      </c>
      <c r="K790" s="11">
        <v>240</v>
      </c>
      <c r="L790" s="12">
        <v>0.15</v>
      </c>
      <c r="M790" s="12">
        <v>36</v>
      </c>
      <c r="N790" s="13" t="s">
        <v>49</v>
      </c>
      <c r="Q790" s="9">
        <f>IF(Auction_Sales[[#This Row],[Payment Date]]=0,"",-1+WEEKNUM(Auction_Sales[[#This Row],[Payment Date]]))</f>
        <v>3</v>
      </c>
      <c r="R790" s="9">
        <f>K790-U790</f>
        <v>0</v>
      </c>
      <c r="S790" s="1" t="str">
        <f t="shared" si="284"/>
        <v>English Roses</v>
      </c>
      <c r="T790" s="9" t="str">
        <f t="shared" si="284"/>
        <v>60CM</v>
      </c>
      <c r="U790" s="9">
        <v>240</v>
      </c>
      <c r="V790" s="13">
        <f>148/U790</f>
        <v>0.6166666666666667</v>
      </c>
      <c r="W790" s="13">
        <f t="shared" si="285"/>
        <v>148</v>
      </c>
      <c r="X790" s="14">
        <f t="shared" si="298"/>
        <v>-12.022105263157888</v>
      </c>
      <c r="Y790" s="13">
        <f t="shared" si="286"/>
        <v>135.9778947368421</v>
      </c>
      <c r="Z790" s="10">
        <v>45315</v>
      </c>
      <c r="AA790" s="9">
        <f t="shared" si="287"/>
        <v>0</v>
      </c>
      <c r="AC790" s="9">
        <v>424694</v>
      </c>
      <c r="AD790" s="14">
        <f t="shared" si="299"/>
        <v>41.04</v>
      </c>
      <c r="AF790" s="14">
        <f t="shared" si="288"/>
        <v>4.8</v>
      </c>
      <c r="AH790" s="14">
        <f t="shared" si="289"/>
        <v>45.839999999999996</v>
      </c>
      <c r="AI790" s="13">
        <f t="shared" si="290"/>
        <v>90.1378947368421</v>
      </c>
      <c r="AK790" s="9">
        <f t="shared" si="291"/>
        <v>240</v>
      </c>
    </row>
    <row r="791" spans="1:37">
      <c r="A791" s="9">
        <v>3</v>
      </c>
      <c r="B791" s="9">
        <v>2023</v>
      </c>
      <c r="C791" s="9" t="s">
        <v>46</v>
      </c>
      <c r="D791" s="9" t="s">
        <v>47</v>
      </c>
      <c r="E791" s="9" t="s">
        <v>47</v>
      </c>
      <c r="F791" s="10">
        <v>45307</v>
      </c>
      <c r="G791" s="9" t="s">
        <v>153</v>
      </c>
      <c r="H791" s="9" t="s">
        <v>56</v>
      </c>
      <c r="I791" s="9">
        <v>1</v>
      </c>
      <c r="J791" s="11">
        <f>K791/520*12</f>
        <v>3.6923076923076925</v>
      </c>
      <c r="K791" s="11">
        <v>160</v>
      </c>
      <c r="L791" s="12">
        <v>0.15</v>
      </c>
      <c r="M791" s="12">
        <v>24</v>
      </c>
      <c r="N791" s="13" t="s">
        <v>49</v>
      </c>
      <c r="Q791" s="9">
        <f>IF(Auction_Sales[[#This Row],[Payment Date]]=0,"",-1+WEEKNUM(Auction_Sales[[#This Row],[Payment Date]]))</f>
        <v>3</v>
      </c>
      <c r="R791" s="9">
        <f t="shared" si="269"/>
        <v>0</v>
      </c>
      <c r="S791" s="1" t="str">
        <f t="shared" si="284"/>
        <v>Grandiflora Roses</v>
      </c>
      <c r="T791" s="9" t="str">
        <f t="shared" si="284"/>
        <v>90CM</v>
      </c>
      <c r="U791" s="9">
        <v>160</v>
      </c>
      <c r="V791" s="13">
        <f>116.8/U791</f>
        <v>0.73</v>
      </c>
      <c r="W791" s="13">
        <f t="shared" si="285"/>
        <v>116.8</v>
      </c>
      <c r="X791" s="14">
        <f t="shared" si="298"/>
        <v>-8.0147368421052594</v>
      </c>
      <c r="Y791" s="13">
        <f t="shared" si="286"/>
        <v>108.78526315789473</v>
      </c>
      <c r="Z791" s="10">
        <v>45315</v>
      </c>
      <c r="AA791" s="9">
        <f t="shared" si="287"/>
        <v>0</v>
      </c>
      <c r="AC791" s="9">
        <v>424694</v>
      </c>
      <c r="AD791" s="14">
        <f t="shared" si="299"/>
        <v>12.627692307692309</v>
      </c>
      <c r="AF791" s="14">
        <f t="shared" si="288"/>
        <v>3.2</v>
      </c>
      <c r="AH791" s="14">
        <f t="shared" si="289"/>
        <v>15.82769230769231</v>
      </c>
      <c r="AI791" s="13">
        <f t="shared" si="290"/>
        <v>92.957570850202416</v>
      </c>
      <c r="AK791" s="9">
        <f t="shared" si="291"/>
        <v>160</v>
      </c>
    </row>
    <row r="792" spans="1:37">
      <c r="A792" s="9">
        <v>3</v>
      </c>
      <c r="B792" s="9">
        <v>2023</v>
      </c>
      <c r="C792" s="9" t="s">
        <v>46</v>
      </c>
      <c r="D792" s="9" t="s">
        <v>47</v>
      </c>
      <c r="E792" s="9" t="s">
        <v>47</v>
      </c>
      <c r="F792" s="10">
        <v>45307</v>
      </c>
      <c r="G792" s="9" t="s">
        <v>153</v>
      </c>
      <c r="H792" s="9" t="s">
        <v>52</v>
      </c>
      <c r="J792" s="11">
        <f>K792/520*12</f>
        <v>8.3076923076923066</v>
      </c>
      <c r="K792" s="11">
        <v>360</v>
      </c>
      <c r="L792" s="12">
        <v>0.15</v>
      </c>
      <c r="M792" s="12">
        <v>54</v>
      </c>
      <c r="N792" s="13" t="s">
        <v>49</v>
      </c>
      <c r="Q792" s="9">
        <f>IF(Auction_Sales[[#This Row],[Payment Date]]=0,"",-1+WEEKNUM(Auction_Sales[[#This Row],[Payment Date]]))</f>
        <v>3</v>
      </c>
      <c r="R792" s="9">
        <f t="shared" si="269"/>
        <v>0</v>
      </c>
      <c r="S792" s="1" t="str">
        <f t="shared" si="284"/>
        <v>Grandiflora Roses</v>
      </c>
      <c r="T792" s="9" t="str">
        <f t="shared" si="284"/>
        <v>70CM</v>
      </c>
      <c r="U792" s="9">
        <v>360</v>
      </c>
      <c r="V792" s="13">
        <f>153.6/U792</f>
        <v>0.42666666666666664</v>
      </c>
      <c r="W792" s="13">
        <f t="shared" si="285"/>
        <v>153.6</v>
      </c>
      <c r="X792" s="14">
        <f t="shared" si="298"/>
        <v>-18.033157894736835</v>
      </c>
      <c r="Y792" s="13">
        <f t="shared" si="286"/>
        <v>135.56684210526316</v>
      </c>
      <c r="Z792" s="10">
        <v>45315</v>
      </c>
      <c r="AA792" s="9">
        <f t="shared" si="287"/>
        <v>0</v>
      </c>
      <c r="AC792" s="9">
        <v>424694</v>
      </c>
      <c r="AD792" s="14">
        <f t="shared" si="299"/>
        <v>28.412307692307689</v>
      </c>
      <c r="AF792" s="14">
        <f t="shared" si="288"/>
        <v>7.2</v>
      </c>
      <c r="AH792" s="14">
        <f t="shared" si="289"/>
        <v>35.612307692307688</v>
      </c>
      <c r="AI792" s="13">
        <f t="shared" si="290"/>
        <v>99.954534412955468</v>
      </c>
      <c r="AK792" s="9">
        <f t="shared" si="291"/>
        <v>360</v>
      </c>
    </row>
    <row r="793" spans="1:37">
      <c r="A793" s="9">
        <v>3</v>
      </c>
      <c r="B793" s="9">
        <v>2023</v>
      </c>
      <c r="C793" s="9" t="s">
        <v>46</v>
      </c>
      <c r="D793" s="9" t="s">
        <v>47</v>
      </c>
      <c r="E793" s="9" t="s">
        <v>47</v>
      </c>
      <c r="F793" s="10">
        <v>45307</v>
      </c>
      <c r="G793" s="9" t="s">
        <v>153</v>
      </c>
      <c r="H793" s="9" t="s">
        <v>52</v>
      </c>
      <c r="I793" s="9">
        <v>1</v>
      </c>
      <c r="J793" s="11">
        <f>K793/720*12</f>
        <v>8</v>
      </c>
      <c r="K793" s="11">
        <v>480</v>
      </c>
      <c r="L793" s="12">
        <v>0.15</v>
      </c>
      <c r="M793" s="12">
        <v>72</v>
      </c>
      <c r="N793" s="13" t="s">
        <v>49</v>
      </c>
      <c r="Q793" s="9">
        <f>IF(Auction_Sales[[#This Row],[Payment Date]]=0,"",-1+WEEKNUM(Auction_Sales[[#This Row],[Payment Date]]))</f>
        <v>3</v>
      </c>
      <c r="R793" s="9">
        <f>K793-U793</f>
        <v>0</v>
      </c>
      <c r="S793" s="1" t="str">
        <f t="shared" si="284"/>
        <v>Grandiflora Roses</v>
      </c>
      <c r="T793" s="9" t="str">
        <f t="shared" si="284"/>
        <v>70CM</v>
      </c>
      <c r="U793" s="9">
        <v>480</v>
      </c>
      <c r="V793" s="13">
        <f>187.2/U793</f>
        <v>0.38999999999999996</v>
      </c>
      <c r="W793" s="13">
        <f t="shared" si="285"/>
        <v>187.2</v>
      </c>
      <c r="X793" s="14">
        <f t="shared" si="298"/>
        <v>-24.044210526315776</v>
      </c>
      <c r="Y793" s="13">
        <f t="shared" si="286"/>
        <v>163.15578947368422</v>
      </c>
      <c r="Z793" s="10">
        <v>45315</v>
      </c>
      <c r="AA793" s="9">
        <f t="shared" si="287"/>
        <v>0</v>
      </c>
      <c r="AC793" s="9">
        <v>424694</v>
      </c>
      <c r="AD793" s="14">
        <f t="shared" si="299"/>
        <v>27.36</v>
      </c>
      <c r="AF793" s="14">
        <f t="shared" si="288"/>
        <v>9.6</v>
      </c>
      <c r="AH793" s="14">
        <f t="shared" si="289"/>
        <v>36.96</v>
      </c>
      <c r="AI793" s="13">
        <f t="shared" si="290"/>
        <v>126.19578947368421</v>
      </c>
      <c r="AK793" s="9">
        <f t="shared" si="291"/>
        <v>480</v>
      </c>
    </row>
    <row r="794" spans="1:37">
      <c r="A794" s="9">
        <v>3</v>
      </c>
      <c r="B794" s="9">
        <v>2023</v>
      </c>
      <c r="C794" s="9" t="s">
        <v>46</v>
      </c>
      <c r="D794" s="9" t="s">
        <v>47</v>
      </c>
      <c r="E794" s="9" t="s">
        <v>47</v>
      </c>
      <c r="F794" s="10">
        <v>45307</v>
      </c>
      <c r="G794" s="9" t="s">
        <v>153</v>
      </c>
      <c r="H794" s="9" t="s">
        <v>54</v>
      </c>
      <c r="J794" s="11">
        <f>K794/720*12</f>
        <v>4</v>
      </c>
      <c r="K794" s="11">
        <v>240</v>
      </c>
      <c r="L794" s="12">
        <v>0.15</v>
      </c>
      <c r="M794" s="12">
        <v>36</v>
      </c>
      <c r="N794" s="13" t="s">
        <v>49</v>
      </c>
      <c r="Q794" s="9">
        <f>IF(Auction_Sales[[#This Row],[Payment Date]]=0,"",-1+WEEKNUM(Auction_Sales[[#This Row],[Payment Date]]))</f>
        <v>3</v>
      </c>
      <c r="R794" s="9">
        <f t="shared" si="269"/>
        <v>0</v>
      </c>
      <c r="S794" s="1" t="str">
        <f t="shared" si="284"/>
        <v>Grandiflora Roses</v>
      </c>
      <c r="T794" s="9" t="str">
        <f t="shared" si="284"/>
        <v>80CM</v>
      </c>
      <c r="U794" s="9">
        <v>240</v>
      </c>
      <c r="V794" s="13">
        <f>136.4/U794</f>
        <v>0.56833333333333336</v>
      </c>
      <c r="W794" s="13">
        <f t="shared" si="285"/>
        <v>136.4</v>
      </c>
      <c r="X794" s="14">
        <f t="shared" si="298"/>
        <v>-12.022105263157888</v>
      </c>
      <c r="Y794" s="13">
        <f t="shared" si="286"/>
        <v>124.37789473684212</v>
      </c>
      <c r="Z794" s="10">
        <v>45315</v>
      </c>
      <c r="AA794" s="9">
        <f t="shared" si="287"/>
        <v>0</v>
      </c>
      <c r="AC794" s="9">
        <v>424694</v>
      </c>
      <c r="AD794" s="14">
        <f t="shared" si="299"/>
        <v>13.68</v>
      </c>
      <c r="AF794" s="14">
        <f t="shared" si="288"/>
        <v>4.8</v>
      </c>
      <c r="AH794" s="14">
        <f t="shared" si="289"/>
        <v>18.48</v>
      </c>
      <c r="AI794" s="13">
        <f t="shared" si="290"/>
        <v>105.89789473684212</v>
      </c>
      <c r="AK794" s="9">
        <f t="shared" si="291"/>
        <v>240</v>
      </c>
    </row>
    <row r="795" spans="1:37">
      <c r="A795" s="9">
        <v>3</v>
      </c>
      <c r="B795" s="9">
        <v>2023</v>
      </c>
      <c r="C795" s="9" t="s">
        <v>46</v>
      </c>
      <c r="D795" s="9" t="s">
        <v>47</v>
      </c>
      <c r="E795" s="9" t="s">
        <v>47</v>
      </c>
      <c r="F795" s="10">
        <v>45307</v>
      </c>
      <c r="G795" s="9" t="s">
        <v>155</v>
      </c>
      <c r="H795" s="9" t="s">
        <v>52</v>
      </c>
      <c r="I795" s="9">
        <v>1</v>
      </c>
      <c r="J795" s="11">
        <f>K795/360*12</f>
        <v>5.333333333333333</v>
      </c>
      <c r="K795" s="11">
        <v>160</v>
      </c>
      <c r="L795" s="12">
        <v>0.15</v>
      </c>
      <c r="M795" s="12">
        <v>24</v>
      </c>
      <c r="N795" s="13" t="s">
        <v>49</v>
      </c>
      <c r="Q795" s="9">
        <f>IF(Auction_Sales[[#This Row],[Payment Date]]=0,"",-1+WEEKNUM(Auction_Sales[[#This Row],[Payment Date]]))</f>
        <v>3</v>
      </c>
      <c r="R795" s="9">
        <f>K795-U795</f>
        <v>160</v>
      </c>
      <c r="S795" s="1" t="str">
        <f t="shared" si="284"/>
        <v>Floribunda Roses</v>
      </c>
      <c r="T795" s="9" t="str">
        <f t="shared" si="284"/>
        <v>70CM</v>
      </c>
      <c r="W795" s="13">
        <f t="shared" si="285"/>
        <v>0</v>
      </c>
      <c r="X795" s="14">
        <f t="shared" si="298"/>
        <v>0</v>
      </c>
      <c r="Y795" s="13">
        <f t="shared" si="286"/>
        <v>0</v>
      </c>
      <c r="Z795" s="10">
        <v>45315</v>
      </c>
      <c r="AA795" s="9">
        <f t="shared" si="287"/>
        <v>-160</v>
      </c>
      <c r="AC795" s="9">
        <v>424694</v>
      </c>
      <c r="AD795" s="14">
        <f t="shared" si="299"/>
        <v>18.239999999999998</v>
      </c>
      <c r="AF795" s="14">
        <f t="shared" si="288"/>
        <v>0</v>
      </c>
      <c r="AH795" s="14">
        <f t="shared" si="289"/>
        <v>18.239999999999998</v>
      </c>
      <c r="AI795" s="13">
        <f t="shared" si="290"/>
        <v>-18.239999999999998</v>
      </c>
      <c r="AK795" s="9">
        <f t="shared" si="291"/>
        <v>0</v>
      </c>
    </row>
    <row r="796" spans="1:37">
      <c r="A796" s="9">
        <v>3</v>
      </c>
      <c r="B796" s="9">
        <v>2023</v>
      </c>
      <c r="C796" s="9" t="s">
        <v>46</v>
      </c>
      <c r="D796" s="9" t="s">
        <v>47</v>
      </c>
      <c r="E796" s="9" t="s">
        <v>47</v>
      </c>
      <c r="F796" s="10">
        <v>45307</v>
      </c>
      <c r="G796" s="9" t="s">
        <v>155</v>
      </c>
      <c r="H796" s="9" t="s">
        <v>54</v>
      </c>
      <c r="J796" s="11">
        <f>K796/360*12</f>
        <v>6.666666666666667</v>
      </c>
      <c r="K796" s="11">
        <v>200</v>
      </c>
      <c r="L796" s="12">
        <v>0.15</v>
      </c>
      <c r="M796" s="12">
        <v>30</v>
      </c>
      <c r="N796" s="13" t="s">
        <v>49</v>
      </c>
      <c r="Q796" s="9">
        <f>IF(Auction_Sales[[#This Row],[Payment Date]]=0,"",-1+WEEKNUM(Auction_Sales[[#This Row],[Payment Date]]))</f>
        <v>3</v>
      </c>
      <c r="R796" s="9">
        <f t="shared" si="269"/>
        <v>0</v>
      </c>
      <c r="S796" s="1" t="str">
        <f t="shared" si="284"/>
        <v>Floribunda Roses</v>
      </c>
      <c r="T796" s="9" t="str">
        <f t="shared" si="284"/>
        <v>80CM</v>
      </c>
      <c r="U796" s="9">
        <v>200</v>
      </c>
      <c r="V796" s="13">
        <f>176/U796</f>
        <v>0.88</v>
      </c>
      <c r="W796" s="13">
        <f t="shared" si="285"/>
        <v>176</v>
      </c>
      <c r="X796" s="14">
        <f t="shared" si="298"/>
        <v>-10.018421052631576</v>
      </c>
      <c r="Y796" s="13">
        <f t="shared" si="286"/>
        <v>165.98157894736843</v>
      </c>
      <c r="Z796" s="10">
        <v>45315</v>
      </c>
      <c r="AA796" s="9">
        <f t="shared" si="287"/>
        <v>0</v>
      </c>
      <c r="AC796" s="9">
        <v>424694</v>
      </c>
      <c r="AD796" s="14">
        <f t="shared" si="299"/>
        <v>22.8</v>
      </c>
      <c r="AF796" s="14">
        <f t="shared" si="288"/>
        <v>4</v>
      </c>
      <c r="AH796" s="14">
        <f t="shared" si="289"/>
        <v>26.8</v>
      </c>
      <c r="AI796" s="13">
        <f t="shared" si="290"/>
        <v>139.18157894736842</v>
      </c>
      <c r="AK796" s="9">
        <f t="shared" si="291"/>
        <v>200</v>
      </c>
    </row>
    <row r="797" spans="1:37">
      <c r="A797" s="9">
        <v>3</v>
      </c>
      <c r="B797" s="9">
        <v>2023</v>
      </c>
      <c r="C797" s="9" t="s">
        <v>46</v>
      </c>
      <c r="D797" s="9" t="s">
        <v>47</v>
      </c>
      <c r="E797" s="9" t="s">
        <v>47</v>
      </c>
      <c r="F797" s="10">
        <v>45309</v>
      </c>
      <c r="G797" s="9" t="s">
        <v>155</v>
      </c>
      <c r="H797" s="9" t="s">
        <v>48</v>
      </c>
      <c r="I797" s="9">
        <v>2</v>
      </c>
      <c r="J797" s="11">
        <f>12*I797</f>
        <v>24</v>
      </c>
      <c r="K797" s="9">
        <v>960</v>
      </c>
      <c r="L797" s="12">
        <v>0.15</v>
      </c>
      <c r="M797" s="27">
        <v>144</v>
      </c>
      <c r="N797" s="13" t="s">
        <v>49</v>
      </c>
      <c r="Q797" s="9">
        <f>IF(Auction_Sales[[#This Row],[Payment Date]]=0,"",-1+WEEKNUM(Auction_Sales[[#This Row],[Payment Date]]))</f>
        <v>4</v>
      </c>
      <c r="R797" s="9">
        <f t="shared" ref="R797:R824" si="300">K797-U797</f>
        <v>960</v>
      </c>
      <c r="S797" s="1" t="str">
        <f t="shared" ref="S797:T812" si="301">G797</f>
        <v>Floribunda Roses</v>
      </c>
      <c r="T797" s="9" t="str">
        <f t="shared" si="301"/>
        <v>60CM</v>
      </c>
      <c r="W797" s="13">
        <f t="shared" ref="W797:W824" si="302">U797*V797</f>
        <v>0</v>
      </c>
      <c r="X797" s="14">
        <f>-(5472-4978.37)*U797/(7360+2240+1720)</f>
        <v>0</v>
      </c>
      <c r="Y797" s="13">
        <f t="shared" ref="Y797:Y824" si="303">W797+X797</f>
        <v>0</v>
      </c>
      <c r="Z797" s="10">
        <v>45322</v>
      </c>
      <c r="AA797" s="9">
        <f t="shared" ref="AA797:AA824" si="304">U797-K797</f>
        <v>-960</v>
      </c>
      <c r="AC797" s="9">
        <v>424699</v>
      </c>
      <c r="AD797" s="14">
        <f>J797/(29*12)*1182.89</f>
        <v>81.578620689655182</v>
      </c>
      <c r="AF797" s="14">
        <f t="shared" ref="AF797:AF824" si="305">U797*0.02</f>
        <v>0</v>
      </c>
      <c r="AH797" s="14">
        <f t="shared" ref="AH797:AH801" si="306">SUM(AD797:AG797)</f>
        <v>81.578620689655182</v>
      </c>
      <c r="AI797" s="13">
        <f t="shared" ref="AI797:AI824" si="307">Y797-AH797</f>
        <v>-81.578620689655182</v>
      </c>
      <c r="AK797" s="9">
        <f t="shared" ref="AK797:AK824" si="308">U797</f>
        <v>0</v>
      </c>
    </row>
    <row r="798" spans="1:37">
      <c r="A798" s="9">
        <v>3</v>
      </c>
      <c r="B798" s="9">
        <v>2023</v>
      </c>
      <c r="C798" s="9" t="s">
        <v>46</v>
      </c>
      <c r="D798" s="9" t="s">
        <v>47</v>
      </c>
      <c r="E798" s="9" t="s">
        <v>47</v>
      </c>
      <c r="F798" s="10">
        <v>45309</v>
      </c>
      <c r="G798" s="9" t="s">
        <v>155</v>
      </c>
      <c r="H798" s="9" t="s">
        <v>48</v>
      </c>
      <c r="I798" s="9">
        <v>2</v>
      </c>
      <c r="J798" s="11">
        <f t="shared" ref="J798:J813" si="309">12*I798</f>
        <v>24</v>
      </c>
      <c r="K798" s="9">
        <v>1040</v>
      </c>
      <c r="L798" s="12">
        <v>0.15</v>
      </c>
      <c r="M798" s="27">
        <v>156</v>
      </c>
      <c r="N798" s="13" t="s">
        <v>49</v>
      </c>
      <c r="Q798" s="9">
        <f>IF(Auction_Sales[[#This Row],[Payment Date]]=0,"",-1+WEEKNUM(Auction_Sales[[#This Row],[Payment Date]]))</f>
        <v>4</v>
      </c>
      <c r="R798" s="9">
        <f>K798-U798</f>
        <v>-960</v>
      </c>
      <c r="S798" s="1" t="str">
        <f t="shared" si="301"/>
        <v>Floribunda Roses</v>
      </c>
      <c r="T798" s="9" t="str">
        <f t="shared" si="301"/>
        <v>60CM</v>
      </c>
      <c r="U798" s="9">
        <v>2000</v>
      </c>
      <c r="V798" s="13">
        <f>742.8/U798</f>
        <v>0.37139999999999995</v>
      </c>
      <c r="W798" s="13">
        <f>U798*V798</f>
        <v>742.8</v>
      </c>
      <c r="X798" s="14">
        <f t="shared" ref="X798:X824" si="310">-(5472-4978.37)*U798/(7360+2240+1720)</f>
        <v>-87.213780918727934</v>
      </c>
      <c r="Y798" s="13">
        <f>W798+X798</f>
        <v>655.58621908127202</v>
      </c>
      <c r="Z798" s="10">
        <v>45322</v>
      </c>
      <c r="AA798" s="9">
        <f>U798-K798</f>
        <v>960</v>
      </c>
      <c r="AC798" s="9">
        <v>424699</v>
      </c>
      <c r="AD798" s="14">
        <f t="shared" ref="AD798:AD824" si="311">J798/(29*12)*1182.89</f>
        <v>81.578620689655182</v>
      </c>
      <c r="AF798" s="14">
        <f t="shared" si="305"/>
        <v>40</v>
      </c>
      <c r="AH798" s="14">
        <f>SUM(AD798:AG798)</f>
        <v>121.57862068965518</v>
      </c>
      <c r="AI798" s="13">
        <f>Y798-AH798</f>
        <v>534.00759839161685</v>
      </c>
      <c r="AK798" s="9">
        <f>U798</f>
        <v>2000</v>
      </c>
    </row>
    <row r="799" spans="1:37">
      <c r="A799" s="9">
        <v>3</v>
      </c>
      <c r="B799" s="9">
        <v>2023</v>
      </c>
      <c r="C799" s="9" t="s">
        <v>46</v>
      </c>
      <c r="D799" s="9" t="s">
        <v>47</v>
      </c>
      <c r="E799" s="9" t="s">
        <v>47</v>
      </c>
      <c r="F799" s="10">
        <v>45309</v>
      </c>
      <c r="G799" s="9" t="s">
        <v>155</v>
      </c>
      <c r="H799" s="9" t="s">
        <v>52</v>
      </c>
      <c r="I799" s="9">
        <v>1</v>
      </c>
      <c r="J799" s="11">
        <f t="shared" si="309"/>
        <v>12</v>
      </c>
      <c r="K799" s="9">
        <v>440</v>
      </c>
      <c r="L799" s="12">
        <v>0.15</v>
      </c>
      <c r="M799" s="27">
        <v>66</v>
      </c>
      <c r="N799" s="13" t="s">
        <v>49</v>
      </c>
      <c r="Q799" s="9">
        <f>IF(Auction_Sales[[#This Row],[Payment Date]]=0,"",-1+WEEKNUM(Auction_Sales[[#This Row],[Payment Date]]))</f>
        <v>4</v>
      </c>
      <c r="R799" s="9">
        <f>K799-U799</f>
        <v>440</v>
      </c>
      <c r="S799" s="1" t="str">
        <f t="shared" si="301"/>
        <v>Floribunda Roses</v>
      </c>
      <c r="T799" s="9" t="str">
        <f t="shared" si="301"/>
        <v>70CM</v>
      </c>
      <c r="W799" s="13">
        <f>U799*V799</f>
        <v>0</v>
      </c>
      <c r="X799" s="14">
        <f t="shared" si="310"/>
        <v>0</v>
      </c>
      <c r="Y799" s="13">
        <f>W799+X799</f>
        <v>0</v>
      </c>
      <c r="Z799" s="10">
        <v>45322</v>
      </c>
      <c r="AA799" s="9">
        <f>U799-K799</f>
        <v>-440</v>
      </c>
      <c r="AC799" s="9">
        <v>424699</v>
      </c>
      <c r="AD799" s="14">
        <f t="shared" si="311"/>
        <v>40.789310344827591</v>
      </c>
      <c r="AF799" s="14">
        <f t="shared" si="305"/>
        <v>0</v>
      </c>
      <c r="AH799" s="14">
        <f>SUM(AD799:AG799)</f>
        <v>40.789310344827591</v>
      </c>
      <c r="AI799" s="13">
        <f>Y799-AH799</f>
        <v>-40.789310344827591</v>
      </c>
      <c r="AK799" s="9">
        <f>U799</f>
        <v>0</v>
      </c>
    </row>
    <row r="800" spans="1:37">
      <c r="A800" s="9">
        <v>3</v>
      </c>
      <c r="B800" s="9">
        <v>2023</v>
      </c>
      <c r="C800" s="9" t="s">
        <v>46</v>
      </c>
      <c r="D800" s="9" t="s">
        <v>47</v>
      </c>
      <c r="E800" s="9" t="s">
        <v>47</v>
      </c>
      <c r="F800" s="10">
        <v>45309</v>
      </c>
      <c r="G800" s="9" t="s">
        <v>155</v>
      </c>
      <c r="H800" s="9" t="s">
        <v>52</v>
      </c>
      <c r="I800" s="9">
        <v>3</v>
      </c>
      <c r="J800" s="11">
        <f t="shared" si="309"/>
        <v>36</v>
      </c>
      <c r="K800" s="9">
        <v>1200</v>
      </c>
      <c r="L800" s="12">
        <v>0.15</v>
      </c>
      <c r="M800" s="27">
        <v>180</v>
      </c>
      <c r="N800" s="13" t="s">
        <v>49</v>
      </c>
      <c r="Q800" s="9">
        <f>IF(Auction_Sales[[#This Row],[Payment Date]]=0,"",-1+WEEKNUM(Auction_Sales[[#This Row],[Payment Date]]))</f>
        <v>4</v>
      </c>
      <c r="R800" s="9">
        <f>K800-U800</f>
        <v>360</v>
      </c>
      <c r="S800" s="1" t="str">
        <f t="shared" si="301"/>
        <v>Floribunda Roses</v>
      </c>
      <c r="T800" s="9" t="str">
        <f t="shared" si="301"/>
        <v>70CM</v>
      </c>
      <c r="U800" s="9">
        <v>840</v>
      </c>
      <c r="V800" s="13">
        <f>378.4/U800</f>
        <v>0.45047619047619047</v>
      </c>
      <c r="W800" s="13">
        <f>U800*V800</f>
        <v>378.4</v>
      </c>
      <c r="X800" s="14">
        <f t="shared" si="310"/>
        <v>-36.629787985865732</v>
      </c>
      <c r="Y800" s="13">
        <f>W800+X800</f>
        <v>341.77021201413424</v>
      </c>
      <c r="Z800" s="10">
        <v>45322</v>
      </c>
      <c r="AA800" s="9">
        <f>U800-K800</f>
        <v>-360</v>
      </c>
      <c r="AC800" s="9">
        <v>424699</v>
      </c>
      <c r="AD800" s="14">
        <f t="shared" si="311"/>
        <v>122.36793103448277</v>
      </c>
      <c r="AF800" s="14">
        <f t="shared" si="305"/>
        <v>16.8</v>
      </c>
      <c r="AH800" s="14">
        <f>SUM(AD800:AG800)</f>
        <v>139.16793103448276</v>
      </c>
      <c r="AI800" s="13">
        <f>Y800-AH800</f>
        <v>202.60228097965148</v>
      </c>
      <c r="AK800" s="9">
        <f>U800</f>
        <v>840</v>
      </c>
    </row>
    <row r="801" spans="1:37">
      <c r="A801" s="9">
        <v>3</v>
      </c>
      <c r="B801" s="9">
        <v>2023</v>
      </c>
      <c r="C801" s="9" t="s">
        <v>46</v>
      </c>
      <c r="D801" s="9" t="s">
        <v>47</v>
      </c>
      <c r="E801" s="9" t="s">
        <v>47</v>
      </c>
      <c r="F801" s="10">
        <v>45309</v>
      </c>
      <c r="G801" s="9" t="s">
        <v>155</v>
      </c>
      <c r="H801" s="9" t="s">
        <v>54</v>
      </c>
      <c r="I801" s="9">
        <v>1</v>
      </c>
      <c r="J801" s="11">
        <f t="shared" si="309"/>
        <v>12</v>
      </c>
      <c r="K801" s="9">
        <v>280</v>
      </c>
      <c r="L801" s="12">
        <v>0.15</v>
      </c>
      <c r="M801" s="27">
        <v>42</v>
      </c>
      <c r="N801" s="13" t="s">
        <v>49</v>
      </c>
      <c r="Q801" s="9">
        <f>IF(Auction_Sales[[#This Row],[Payment Date]]=0,"",-1+WEEKNUM(Auction_Sales[[#This Row],[Payment Date]]))</f>
        <v>4</v>
      </c>
      <c r="R801" s="9">
        <f t="shared" si="300"/>
        <v>280</v>
      </c>
      <c r="S801" s="1" t="str">
        <f t="shared" si="301"/>
        <v>Floribunda Roses</v>
      </c>
      <c r="T801" s="9" t="str">
        <f t="shared" si="301"/>
        <v>80CM</v>
      </c>
      <c r="W801" s="13">
        <f t="shared" si="302"/>
        <v>0</v>
      </c>
      <c r="X801" s="14">
        <f t="shared" si="310"/>
        <v>0</v>
      </c>
      <c r="Y801" s="13">
        <f t="shared" si="303"/>
        <v>0</v>
      </c>
      <c r="Z801" s="10">
        <v>45322</v>
      </c>
      <c r="AA801" s="9">
        <f t="shared" si="304"/>
        <v>-280</v>
      </c>
      <c r="AC801" s="9">
        <v>424699</v>
      </c>
      <c r="AD801" s="14">
        <f t="shared" si="311"/>
        <v>40.789310344827591</v>
      </c>
      <c r="AF801" s="14">
        <f t="shared" si="305"/>
        <v>0</v>
      </c>
      <c r="AH801" s="14">
        <f t="shared" si="306"/>
        <v>40.789310344827591</v>
      </c>
      <c r="AI801" s="13">
        <f t="shared" si="307"/>
        <v>-40.789310344827591</v>
      </c>
      <c r="AK801" s="9">
        <f t="shared" si="308"/>
        <v>0</v>
      </c>
    </row>
    <row r="802" spans="1:37">
      <c r="A802" s="9">
        <v>3</v>
      </c>
      <c r="B802" s="9">
        <v>2023</v>
      </c>
      <c r="C802" s="9" t="s">
        <v>46</v>
      </c>
      <c r="D802" s="9" t="s">
        <v>47</v>
      </c>
      <c r="E802" s="9" t="s">
        <v>47</v>
      </c>
      <c r="F802" s="10">
        <v>45309</v>
      </c>
      <c r="G802" s="9" t="s">
        <v>155</v>
      </c>
      <c r="H802" s="9" t="s">
        <v>54</v>
      </c>
      <c r="I802" s="9">
        <v>2</v>
      </c>
      <c r="J802" s="11">
        <f t="shared" si="309"/>
        <v>24</v>
      </c>
      <c r="K802" s="9">
        <v>640</v>
      </c>
      <c r="L802" s="12">
        <v>0.15</v>
      </c>
      <c r="M802" s="27">
        <v>96</v>
      </c>
      <c r="N802" s="13" t="s">
        <v>49</v>
      </c>
      <c r="Q802" s="9">
        <f>IF(Auction_Sales[[#This Row],[Payment Date]]=0,"",-1+WEEKNUM(Auction_Sales[[#This Row],[Payment Date]]))</f>
        <v>4</v>
      </c>
      <c r="R802" s="9">
        <f t="shared" si="300"/>
        <v>-280</v>
      </c>
      <c r="S802" s="1" t="str">
        <f t="shared" si="301"/>
        <v>Floribunda Roses</v>
      </c>
      <c r="T802" s="9" t="str">
        <f t="shared" si="301"/>
        <v>80CM</v>
      </c>
      <c r="U802" s="9">
        <v>920</v>
      </c>
      <c r="V802" s="13">
        <f>557.2/U802</f>
        <v>0.60565217391304349</v>
      </c>
      <c r="W802" s="13">
        <f t="shared" si="302"/>
        <v>557.20000000000005</v>
      </c>
      <c r="X802" s="14">
        <f t="shared" si="310"/>
        <v>-40.11833922261485</v>
      </c>
      <c r="Y802" s="13">
        <f t="shared" si="303"/>
        <v>517.0816607773852</v>
      </c>
      <c r="Z802" s="10">
        <v>45322</v>
      </c>
      <c r="AA802" s="9">
        <f t="shared" si="304"/>
        <v>280</v>
      </c>
      <c r="AC802" s="9">
        <v>424699</v>
      </c>
      <c r="AD802" s="14">
        <f t="shared" si="311"/>
        <v>81.578620689655182</v>
      </c>
      <c r="AF802" s="14">
        <f t="shared" si="305"/>
        <v>18.400000000000002</v>
      </c>
      <c r="AH802" s="14">
        <f t="shared" ref="AH802:AH824" si="312">SUM(AD802:AG802)</f>
        <v>99.978620689655187</v>
      </c>
      <c r="AI802" s="13">
        <f t="shared" si="307"/>
        <v>417.10304008772999</v>
      </c>
      <c r="AK802" s="9">
        <f t="shared" si="308"/>
        <v>920</v>
      </c>
    </row>
    <row r="803" spans="1:37">
      <c r="A803" s="9">
        <v>3</v>
      </c>
      <c r="B803" s="9">
        <v>2023</v>
      </c>
      <c r="C803" s="9" t="s">
        <v>46</v>
      </c>
      <c r="D803" s="9" t="s">
        <v>47</v>
      </c>
      <c r="E803" s="9" t="s">
        <v>47</v>
      </c>
      <c r="F803" s="10">
        <v>45309</v>
      </c>
      <c r="G803" s="9" t="s">
        <v>155</v>
      </c>
      <c r="H803" s="9" t="s">
        <v>56</v>
      </c>
      <c r="I803" s="9">
        <v>1</v>
      </c>
      <c r="J803" s="11">
        <f t="shared" si="309"/>
        <v>12</v>
      </c>
      <c r="K803" s="11">
        <v>200</v>
      </c>
      <c r="L803" s="12">
        <v>0.15</v>
      </c>
      <c r="M803" s="12">
        <v>30</v>
      </c>
      <c r="N803" s="13" t="s">
        <v>49</v>
      </c>
      <c r="Q803" s="9">
        <f>IF(Auction_Sales[[#This Row],[Payment Date]]=0,"",-1+WEEKNUM(Auction_Sales[[#This Row],[Payment Date]]))</f>
        <v>4</v>
      </c>
      <c r="R803" s="9">
        <f t="shared" si="300"/>
        <v>200</v>
      </c>
      <c r="S803" s="1" t="str">
        <f t="shared" si="301"/>
        <v>Floribunda Roses</v>
      </c>
      <c r="T803" s="9" t="str">
        <f t="shared" si="301"/>
        <v>90CM</v>
      </c>
      <c r="W803" s="13">
        <f t="shared" si="302"/>
        <v>0</v>
      </c>
      <c r="X803" s="14">
        <f t="shared" si="310"/>
        <v>0</v>
      </c>
      <c r="Y803" s="13">
        <f t="shared" si="303"/>
        <v>0</v>
      </c>
      <c r="Z803" s="10">
        <v>45322</v>
      </c>
      <c r="AA803" s="9">
        <f t="shared" si="304"/>
        <v>-200</v>
      </c>
      <c r="AC803" s="9">
        <v>424699</v>
      </c>
      <c r="AD803" s="14">
        <f t="shared" si="311"/>
        <v>40.789310344827591</v>
      </c>
      <c r="AF803" s="14">
        <f t="shared" si="305"/>
        <v>0</v>
      </c>
      <c r="AH803" s="14">
        <f t="shared" si="312"/>
        <v>40.789310344827591</v>
      </c>
      <c r="AI803" s="13">
        <f t="shared" si="307"/>
        <v>-40.789310344827591</v>
      </c>
      <c r="AK803" s="9">
        <f t="shared" si="308"/>
        <v>0</v>
      </c>
    </row>
    <row r="804" spans="1:37">
      <c r="A804" s="9">
        <v>3</v>
      </c>
      <c r="B804" s="9">
        <v>2023</v>
      </c>
      <c r="C804" s="9" t="s">
        <v>46</v>
      </c>
      <c r="D804" s="9" t="s">
        <v>47</v>
      </c>
      <c r="E804" s="9" t="s">
        <v>47</v>
      </c>
      <c r="F804" s="10">
        <v>45309</v>
      </c>
      <c r="G804" s="9" t="s">
        <v>155</v>
      </c>
      <c r="H804" s="9" t="s">
        <v>56</v>
      </c>
      <c r="I804" s="9">
        <v>2</v>
      </c>
      <c r="J804" s="11">
        <f t="shared" si="309"/>
        <v>24</v>
      </c>
      <c r="K804" s="11">
        <v>480</v>
      </c>
      <c r="L804" s="12">
        <v>0.15</v>
      </c>
      <c r="M804" s="12">
        <v>72</v>
      </c>
      <c r="N804" s="13" t="s">
        <v>49</v>
      </c>
      <c r="Q804" s="9">
        <f>IF(Auction_Sales[[#This Row],[Payment Date]]=0,"",-1+WEEKNUM(Auction_Sales[[#This Row],[Payment Date]]))</f>
        <v>4</v>
      </c>
      <c r="R804" s="9">
        <f t="shared" si="300"/>
        <v>-200</v>
      </c>
      <c r="S804" s="1" t="str">
        <f t="shared" si="301"/>
        <v>Floribunda Roses</v>
      </c>
      <c r="T804" s="9" t="str">
        <f t="shared" si="301"/>
        <v>90CM</v>
      </c>
      <c r="U804" s="9">
        <v>680</v>
      </c>
      <c r="V804" s="13">
        <f>380.8/U804</f>
        <v>0.56000000000000005</v>
      </c>
      <c r="W804" s="13">
        <f t="shared" si="302"/>
        <v>380.8</v>
      </c>
      <c r="X804" s="14">
        <f t="shared" si="310"/>
        <v>-29.652685512367498</v>
      </c>
      <c r="Y804" s="13">
        <f t="shared" si="303"/>
        <v>351.14731448763251</v>
      </c>
      <c r="Z804" s="10">
        <v>45322</v>
      </c>
      <c r="AA804" s="9">
        <f t="shared" si="304"/>
        <v>200</v>
      </c>
      <c r="AC804" s="9">
        <v>424699</v>
      </c>
      <c r="AD804" s="14">
        <f t="shared" si="311"/>
        <v>81.578620689655182</v>
      </c>
      <c r="AF804" s="14">
        <f t="shared" si="305"/>
        <v>13.6</v>
      </c>
      <c r="AH804" s="14">
        <f t="shared" si="312"/>
        <v>95.178620689655176</v>
      </c>
      <c r="AI804" s="13">
        <f t="shared" si="307"/>
        <v>255.96869379797732</v>
      </c>
      <c r="AK804" s="9">
        <f t="shared" si="308"/>
        <v>680</v>
      </c>
    </row>
    <row r="805" spans="1:37">
      <c r="A805" s="9">
        <v>3</v>
      </c>
      <c r="B805" s="9">
        <v>2023</v>
      </c>
      <c r="C805" s="9" t="s">
        <v>46</v>
      </c>
      <c r="D805" s="9" t="s">
        <v>47</v>
      </c>
      <c r="E805" s="9" t="s">
        <v>47</v>
      </c>
      <c r="F805" s="10">
        <v>45309</v>
      </c>
      <c r="G805" s="9" t="s">
        <v>155</v>
      </c>
      <c r="H805" s="9" t="s">
        <v>57</v>
      </c>
      <c r="I805" s="9">
        <v>1</v>
      </c>
      <c r="J805" s="11">
        <f t="shared" si="309"/>
        <v>12</v>
      </c>
      <c r="K805" s="11">
        <v>200</v>
      </c>
      <c r="L805" s="12">
        <v>0.15</v>
      </c>
      <c r="M805" s="12">
        <v>30</v>
      </c>
      <c r="N805" s="13" t="s">
        <v>49</v>
      </c>
      <c r="Q805" s="9">
        <f>IF(Auction_Sales[[#This Row],[Payment Date]]=0,"",-1+WEEKNUM(Auction_Sales[[#This Row],[Payment Date]]))</f>
        <v>4</v>
      </c>
      <c r="R805" s="9">
        <f t="shared" si="300"/>
        <v>-80</v>
      </c>
      <c r="S805" s="1" t="str">
        <f t="shared" si="301"/>
        <v>Floribunda Roses</v>
      </c>
      <c r="T805" s="9" t="str">
        <f t="shared" si="301"/>
        <v>100CM</v>
      </c>
      <c r="U805" s="9">
        <v>280</v>
      </c>
      <c r="V805" s="13">
        <f>184.8/U805</f>
        <v>0.66</v>
      </c>
      <c r="W805" s="13">
        <f t="shared" si="302"/>
        <v>184.8</v>
      </c>
      <c r="X805" s="14">
        <f t="shared" si="310"/>
        <v>-12.209929328621911</v>
      </c>
      <c r="Y805" s="13">
        <f t="shared" si="303"/>
        <v>172.5900706713781</v>
      </c>
      <c r="Z805" s="10">
        <v>45322</v>
      </c>
      <c r="AA805" s="9">
        <f t="shared" si="304"/>
        <v>80</v>
      </c>
      <c r="AC805" s="9">
        <v>424699</v>
      </c>
      <c r="AD805" s="14">
        <f t="shared" si="311"/>
        <v>40.789310344827591</v>
      </c>
      <c r="AF805" s="14">
        <f t="shared" si="305"/>
        <v>5.6000000000000005</v>
      </c>
      <c r="AH805" s="14">
        <f t="shared" si="312"/>
        <v>46.389310344827592</v>
      </c>
      <c r="AI805" s="13">
        <f t="shared" si="307"/>
        <v>126.20076032655051</v>
      </c>
      <c r="AK805" s="9">
        <f t="shared" si="308"/>
        <v>280</v>
      </c>
    </row>
    <row r="806" spans="1:37">
      <c r="A806" s="9">
        <v>3</v>
      </c>
      <c r="B806" s="9">
        <v>2023</v>
      </c>
      <c r="C806" s="9" t="s">
        <v>46</v>
      </c>
      <c r="D806" s="9" t="s">
        <v>47</v>
      </c>
      <c r="E806" s="9" t="s">
        <v>47</v>
      </c>
      <c r="F806" s="10">
        <v>45309</v>
      </c>
      <c r="G806" s="9" t="s">
        <v>153</v>
      </c>
      <c r="H806" s="9" t="s">
        <v>48</v>
      </c>
      <c r="I806" s="9">
        <v>2</v>
      </c>
      <c r="J806" s="11">
        <f t="shared" si="309"/>
        <v>24</v>
      </c>
      <c r="K806" s="11">
        <v>1440</v>
      </c>
      <c r="L806" s="12">
        <v>0.15</v>
      </c>
      <c r="M806" s="12">
        <v>216</v>
      </c>
      <c r="N806" s="13" t="s">
        <v>49</v>
      </c>
      <c r="Q806" s="9">
        <f>IF(Auction_Sales[[#This Row],[Payment Date]]=0,"",-1+WEEKNUM(Auction_Sales[[#This Row],[Payment Date]]))</f>
        <v>4</v>
      </c>
      <c r="R806" s="9">
        <f t="shared" si="300"/>
        <v>0</v>
      </c>
      <c r="S806" s="1" t="str">
        <f t="shared" si="301"/>
        <v>Grandiflora Roses</v>
      </c>
      <c r="T806" s="9" t="str">
        <f t="shared" si="301"/>
        <v>60CM</v>
      </c>
      <c r="U806" s="9">
        <v>1440</v>
      </c>
      <c r="V806" s="13">
        <f>442.4/U806</f>
        <v>0.30722222222222223</v>
      </c>
      <c r="W806" s="13">
        <f t="shared" si="302"/>
        <v>442.40000000000003</v>
      </c>
      <c r="X806" s="14">
        <f t="shared" si="310"/>
        <v>-62.793922261484113</v>
      </c>
      <c r="Y806" s="13">
        <f t="shared" si="303"/>
        <v>379.60607773851592</v>
      </c>
      <c r="Z806" s="10">
        <v>45322</v>
      </c>
      <c r="AA806" s="9">
        <f t="shared" si="304"/>
        <v>0</v>
      </c>
      <c r="AC806" s="9">
        <v>424699</v>
      </c>
      <c r="AD806" s="14">
        <f t="shared" si="311"/>
        <v>81.578620689655182</v>
      </c>
      <c r="AF806" s="14">
        <f t="shared" si="305"/>
        <v>28.8</v>
      </c>
      <c r="AH806" s="14">
        <f t="shared" si="312"/>
        <v>110.37862068965518</v>
      </c>
      <c r="AI806" s="13">
        <f t="shared" si="307"/>
        <v>269.22745704886074</v>
      </c>
      <c r="AK806" s="9">
        <f t="shared" si="308"/>
        <v>1440</v>
      </c>
    </row>
    <row r="807" spans="1:37">
      <c r="A807" s="9">
        <v>3</v>
      </c>
      <c r="B807" s="9">
        <v>2023</v>
      </c>
      <c r="C807" s="9" t="s">
        <v>46</v>
      </c>
      <c r="D807" s="9" t="s">
        <v>47</v>
      </c>
      <c r="E807" s="9" t="s">
        <v>47</v>
      </c>
      <c r="F807" s="10">
        <v>45309</v>
      </c>
      <c r="G807" s="9" t="s">
        <v>153</v>
      </c>
      <c r="H807" s="9" t="s">
        <v>52</v>
      </c>
      <c r="I807" s="9">
        <v>1</v>
      </c>
      <c r="J807" s="11">
        <f t="shared" si="309"/>
        <v>12</v>
      </c>
      <c r="K807" s="11">
        <v>520</v>
      </c>
      <c r="L807" s="12">
        <v>0.15</v>
      </c>
      <c r="M807" s="27">
        <v>78</v>
      </c>
      <c r="N807" s="13" t="s">
        <v>49</v>
      </c>
      <c r="Q807" s="9">
        <f>IF(Auction_Sales[[#This Row],[Payment Date]]=0,"",-1+WEEKNUM(Auction_Sales[[#This Row],[Payment Date]]))</f>
        <v>4</v>
      </c>
      <c r="R807" s="9">
        <f t="shared" si="300"/>
        <v>-360</v>
      </c>
      <c r="S807" s="1" t="str">
        <f t="shared" si="301"/>
        <v>Grandiflora Roses</v>
      </c>
      <c r="T807" s="9" t="str">
        <f t="shared" si="301"/>
        <v>70CM</v>
      </c>
      <c r="U807" s="9">
        <v>880</v>
      </c>
      <c r="V807" s="13">
        <f>422/880</f>
        <v>0.47954545454545455</v>
      </c>
      <c r="W807" s="13">
        <f t="shared" si="302"/>
        <v>422</v>
      </c>
      <c r="X807" s="14">
        <f t="shared" si="310"/>
        <v>-38.374063604240291</v>
      </c>
      <c r="Y807" s="13">
        <f t="shared" si="303"/>
        <v>383.62593639575971</v>
      </c>
      <c r="Z807" s="10">
        <v>45322</v>
      </c>
      <c r="AA807" s="9">
        <f t="shared" si="304"/>
        <v>360</v>
      </c>
      <c r="AC807" s="9">
        <v>424699</v>
      </c>
      <c r="AD807" s="14">
        <f t="shared" si="311"/>
        <v>40.789310344827591</v>
      </c>
      <c r="AF807" s="14">
        <f t="shared" si="305"/>
        <v>17.600000000000001</v>
      </c>
      <c r="AH807" s="14">
        <f t="shared" si="312"/>
        <v>58.389310344827592</v>
      </c>
      <c r="AI807" s="13">
        <f t="shared" si="307"/>
        <v>325.2366260509321</v>
      </c>
      <c r="AK807" s="9">
        <f t="shared" si="308"/>
        <v>880</v>
      </c>
    </row>
    <row r="808" spans="1:37">
      <c r="A808" s="9">
        <v>3</v>
      </c>
      <c r="B808" s="9">
        <v>2023</v>
      </c>
      <c r="C808" s="9" t="s">
        <v>46</v>
      </c>
      <c r="D808" s="9" t="s">
        <v>47</v>
      </c>
      <c r="E808" s="9" t="s">
        <v>47</v>
      </c>
      <c r="F808" s="10">
        <v>45309</v>
      </c>
      <c r="G808" s="9" t="s">
        <v>153</v>
      </c>
      <c r="H808" s="9" t="s">
        <v>52</v>
      </c>
      <c r="I808" s="9">
        <v>1</v>
      </c>
      <c r="J808" s="11">
        <f t="shared" si="309"/>
        <v>12</v>
      </c>
      <c r="K808" s="9">
        <v>360</v>
      </c>
      <c r="L808" s="12">
        <v>0.15</v>
      </c>
      <c r="M808" s="27">
        <v>54</v>
      </c>
      <c r="N808" s="13" t="s">
        <v>49</v>
      </c>
      <c r="Q808" s="9">
        <f>IF(Auction_Sales[[#This Row],[Payment Date]]=0,"",-1+WEEKNUM(Auction_Sales[[#This Row],[Payment Date]]))</f>
        <v>4</v>
      </c>
      <c r="R808" s="9">
        <f t="shared" si="300"/>
        <v>-440</v>
      </c>
      <c r="S808" s="1" t="str">
        <f t="shared" si="301"/>
        <v>Grandiflora Roses</v>
      </c>
      <c r="T808" s="9" t="str">
        <f t="shared" si="301"/>
        <v>70CM</v>
      </c>
      <c r="U808" s="9">
        <v>800</v>
      </c>
      <c r="V808" s="13">
        <f>426/U808</f>
        <v>0.53249999999999997</v>
      </c>
      <c r="W808" s="13">
        <f t="shared" si="302"/>
        <v>426</v>
      </c>
      <c r="X808" s="14">
        <f t="shared" si="310"/>
        <v>-34.885512367491174</v>
      </c>
      <c r="Y808" s="13">
        <f t="shared" si="303"/>
        <v>391.11448763250883</v>
      </c>
      <c r="Z808" s="10">
        <v>45322</v>
      </c>
      <c r="AA808" s="9">
        <f t="shared" si="304"/>
        <v>440</v>
      </c>
      <c r="AC808" s="9">
        <v>424699</v>
      </c>
      <c r="AD808" s="14">
        <f t="shared" si="311"/>
        <v>40.789310344827591</v>
      </c>
      <c r="AF808" s="14">
        <f t="shared" si="305"/>
        <v>16</v>
      </c>
      <c r="AH808" s="14">
        <f t="shared" si="312"/>
        <v>56.789310344827591</v>
      </c>
      <c r="AI808" s="13">
        <f t="shared" si="307"/>
        <v>334.32517728768124</v>
      </c>
      <c r="AK808" s="9">
        <f t="shared" si="308"/>
        <v>800</v>
      </c>
    </row>
    <row r="809" spans="1:37">
      <c r="A809" s="9">
        <v>3</v>
      </c>
      <c r="B809" s="9">
        <v>2023</v>
      </c>
      <c r="C809" s="9" t="s">
        <v>46</v>
      </c>
      <c r="D809" s="9" t="s">
        <v>47</v>
      </c>
      <c r="E809" s="9" t="s">
        <v>47</v>
      </c>
      <c r="F809" s="10">
        <v>45309</v>
      </c>
      <c r="G809" s="9" t="s">
        <v>153</v>
      </c>
      <c r="H809" s="9" t="s">
        <v>54</v>
      </c>
      <c r="I809" s="9">
        <v>1</v>
      </c>
      <c r="J809" s="11">
        <f t="shared" si="309"/>
        <v>12</v>
      </c>
      <c r="K809" s="9">
        <v>480</v>
      </c>
      <c r="L809" s="12">
        <v>0.15</v>
      </c>
      <c r="M809" s="27">
        <v>72</v>
      </c>
      <c r="N809" s="13" t="s">
        <v>49</v>
      </c>
      <c r="Q809" s="9">
        <f>IF(Auction_Sales[[#This Row],[Payment Date]]=0,"",-1+WEEKNUM(Auction_Sales[[#This Row],[Payment Date]]))</f>
        <v>4</v>
      </c>
      <c r="R809" s="9">
        <f t="shared" si="300"/>
        <v>-240</v>
      </c>
      <c r="S809" s="1" t="str">
        <f t="shared" si="301"/>
        <v>Grandiflora Roses</v>
      </c>
      <c r="T809" s="9" t="str">
        <f t="shared" si="301"/>
        <v>80CM</v>
      </c>
      <c r="U809" s="9">
        <v>720</v>
      </c>
      <c r="V809" s="15">
        <f>326.8/U809</f>
        <v>0.4538888888888889</v>
      </c>
      <c r="W809" s="13">
        <f t="shared" si="302"/>
        <v>326.8</v>
      </c>
      <c r="X809" s="14">
        <f t="shared" si="310"/>
        <v>-31.396961130742056</v>
      </c>
      <c r="Y809" s="13">
        <f t="shared" si="303"/>
        <v>295.40303886925795</v>
      </c>
      <c r="Z809" s="10">
        <v>45322</v>
      </c>
      <c r="AA809" s="9">
        <f t="shared" si="304"/>
        <v>240</v>
      </c>
      <c r="AC809" s="9">
        <v>424699</v>
      </c>
      <c r="AD809" s="14">
        <f t="shared" si="311"/>
        <v>40.789310344827591</v>
      </c>
      <c r="AF809" s="14">
        <f t="shared" si="305"/>
        <v>14.4</v>
      </c>
      <c r="AH809" s="14">
        <f t="shared" si="312"/>
        <v>55.189310344827589</v>
      </c>
      <c r="AI809" s="13">
        <f t="shared" si="307"/>
        <v>240.21372852443037</v>
      </c>
      <c r="AK809" s="9">
        <f t="shared" si="308"/>
        <v>720</v>
      </c>
    </row>
    <row r="810" spans="1:37">
      <c r="A810" s="9">
        <v>3</v>
      </c>
      <c r="B810" s="9">
        <v>2023</v>
      </c>
      <c r="C810" s="9" t="s">
        <v>46</v>
      </c>
      <c r="D810" s="9" t="s">
        <v>47</v>
      </c>
      <c r="E810" s="9" t="s">
        <v>47</v>
      </c>
      <c r="F810" s="10">
        <v>45309</v>
      </c>
      <c r="G810" s="9" t="s">
        <v>153</v>
      </c>
      <c r="H810" s="9" t="s">
        <v>56</v>
      </c>
      <c r="I810" s="9">
        <v>1</v>
      </c>
      <c r="J810" s="11">
        <f t="shared" si="309"/>
        <v>12</v>
      </c>
      <c r="K810" s="9">
        <v>360</v>
      </c>
      <c r="L810" s="12">
        <v>0.15</v>
      </c>
      <c r="M810" s="27">
        <v>54</v>
      </c>
      <c r="N810" s="13" t="s">
        <v>49</v>
      </c>
      <c r="Q810" s="9">
        <f>IF(Auction_Sales[[#This Row],[Payment Date]]=0,"",-1+WEEKNUM(Auction_Sales[[#This Row],[Payment Date]]))</f>
        <v>4</v>
      </c>
      <c r="R810" s="9">
        <f t="shared" si="300"/>
        <v>0</v>
      </c>
      <c r="S810" s="1" t="str">
        <f t="shared" si="301"/>
        <v>Grandiflora Roses</v>
      </c>
      <c r="T810" s="9" t="str">
        <f t="shared" si="301"/>
        <v>90CM</v>
      </c>
      <c r="U810" s="9">
        <v>360</v>
      </c>
      <c r="V810" s="13">
        <f>194.4/U810</f>
        <v>0.54</v>
      </c>
      <c r="W810" s="13">
        <f t="shared" si="302"/>
        <v>194.4</v>
      </c>
      <c r="X810" s="14">
        <f t="shared" si="310"/>
        <v>-15.698480565371028</v>
      </c>
      <c r="Y810" s="13">
        <f t="shared" si="303"/>
        <v>178.70151943462898</v>
      </c>
      <c r="Z810" s="10">
        <v>45322</v>
      </c>
      <c r="AA810" s="9">
        <f t="shared" si="304"/>
        <v>0</v>
      </c>
      <c r="AC810" s="9">
        <v>424699</v>
      </c>
      <c r="AD810" s="14">
        <f t="shared" si="311"/>
        <v>40.789310344827591</v>
      </c>
      <c r="AF810" s="14">
        <f t="shared" si="305"/>
        <v>7.2</v>
      </c>
      <c r="AH810" s="14">
        <f t="shared" si="312"/>
        <v>47.989310344827594</v>
      </c>
      <c r="AI810" s="13">
        <f t="shared" si="307"/>
        <v>130.71220908980138</v>
      </c>
      <c r="AK810" s="9">
        <f t="shared" si="308"/>
        <v>360</v>
      </c>
    </row>
    <row r="811" spans="1:37">
      <c r="A811" s="9">
        <v>3</v>
      </c>
      <c r="B811" s="9">
        <v>2023</v>
      </c>
      <c r="C811" s="9" t="s">
        <v>46</v>
      </c>
      <c r="D811" s="9" t="s">
        <v>47</v>
      </c>
      <c r="E811" s="9" t="s">
        <v>47</v>
      </c>
      <c r="F811" s="10">
        <v>45309</v>
      </c>
      <c r="G811" s="9" t="s">
        <v>154</v>
      </c>
      <c r="H811" s="9" t="s">
        <v>48</v>
      </c>
      <c r="I811" s="9">
        <v>1</v>
      </c>
      <c r="J811" s="11">
        <f t="shared" si="309"/>
        <v>12</v>
      </c>
      <c r="K811" s="9">
        <v>480</v>
      </c>
      <c r="L811" s="12">
        <v>0.15</v>
      </c>
      <c r="M811" s="27">
        <v>72</v>
      </c>
      <c r="N811" s="13" t="s">
        <v>49</v>
      </c>
      <c r="Q811" s="9">
        <f>IF(Auction_Sales[[#This Row],[Payment Date]]=0,"",-1+WEEKNUM(Auction_Sales[[#This Row],[Payment Date]]))</f>
        <v>4</v>
      </c>
      <c r="R811" s="9">
        <f t="shared" si="300"/>
        <v>-280</v>
      </c>
      <c r="S811" s="1" t="str">
        <f t="shared" si="301"/>
        <v>English Roses</v>
      </c>
      <c r="T811" s="9" t="str">
        <f t="shared" si="301"/>
        <v>60CM</v>
      </c>
      <c r="U811" s="9">
        <v>760</v>
      </c>
      <c r="V811" s="13">
        <f>279.2/U811</f>
        <v>0.36736842105263157</v>
      </c>
      <c r="W811" s="13">
        <f t="shared" si="302"/>
        <v>279.2</v>
      </c>
      <c r="X811" s="14">
        <f t="shared" si="310"/>
        <v>-33.141236749116615</v>
      </c>
      <c r="Y811" s="13">
        <f t="shared" si="303"/>
        <v>246.05876325088337</v>
      </c>
      <c r="Z811" s="10">
        <v>45322</v>
      </c>
      <c r="AA811" s="9">
        <f t="shared" si="304"/>
        <v>280</v>
      </c>
      <c r="AC811" s="9">
        <v>424699</v>
      </c>
      <c r="AD811" s="14">
        <f t="shared" si="311"/>
        <v>40.789310344827591</v>
      </c>
      <c r="AF811" s="14">
        <f t="shared" si="305"/>
        <v>15.200000000000001</v>
      </c>
      <c r="AH811" s="14">
        <f t="shared" si="312"/>
        <v>55.989310344827594</v>
      </c>
      <c r="AI811" s="13">
        <f t="shared" si="307"/>
        <v>190.06945290605577</v>
      </c>
      <c r="AK811" s="9">
        <f t="shared" si="308"/>
        <v>760</v>
      </c>
    </row>
    <row r="812" spans="1:37">
      <c r="A812" s="9">
        <v>3</v>
      </c>
      <c r="B812" s="9">
        <v>2023</v>
      </c>
      <c r="C812" s="9" t="s">
        <v>46</v>
      </c>
      <c r="D812" s="9" t="s">
        <v>47</v>
      </c>
      <c r="E812" s="9" t="s">
        <v>47</v>
      </c>
      <c r="F812" s="10">
        <v>45309</v>
      </c>
      <c r="G812" s="9" t="s">
        <v>154</v>
      </c>
      <c r="H812" s="9" t="s">
        <v>52</v>
      </c>
      <c r="I812" s="9">
        <v>1</v>
      </c>
      <c r="J812" s="11">
        <f t="shared" si="309"/>
        <v>12</v>
      </c>
      <c r="K812" s="9">
        <v>400</v>
      </c>
      <c r="L812" s="12">
        <v>0.15</v>
      </c>
      <c r="M812" s="27">
        <v>60</v>
      </c>
      <c r="N812" s="13" t="s">
        <v>49</v>
      </c>
      <c r="Q812" s="9">
        <f>IF(Auction_Sales[[#This Row],[Payment Date]]=0,"",-1+WEEKNUM(Auction_Sales[[#This Row],[Payment Date]]))</f>
        <v>4</v>
      </c>
      <c r="R812" s="9">
        <f t="shared" si="300"/>
        <v>-120</v>
      </c>
      <c r="S812" s="1" t="str">
        <f t="shared" si="301"/>
        <v>English Roses</v>
      </c>
      <c r="T812" s="9" t="str">
        <f t="shared" si="301"/>
        <v>70CM</v>
      </c>
      <c r="U812" s="9">
        <v>520</v>
      </c>
      <c r="V812" s="13">
        <f>287.6/U812</f>
        <v>0.55307692307692313</v>
      </c>
      <c r="W812" s="13">
        <f t="shared" si="302"/>
        <v>287.60000000000002</v>
      </c>
      <c r="X812" s="14">
        <f t="shared" si="310"/>
        <v>-22.675583038869263</v>
      </c>
      <c r="Y812" s="13">
        <f t="shared" si="303"/>
        <v>264.92441696113076</v>
      </c>
      <c r="Z812" s="10">
        <v>45322</v>
      </c>
      <c r="AA812" s="9">
        <f t="shared" si="304"/>
        <v>120</v>
      </c>
      <c r="AC812" s="9">
        <v>424699</v>
      </c>
      <c r="AD812" s="14">
        <f t="shared" si="311"/>
        <v>40.789310344827591</v>
      </c>
      <c r="AF812" s="14">
        <f t="shared" si="305"/>
        <v>10.4</v>
      </c>
      <c r="AH812" s="14">
        <f t="shared" si="312"/>
        <v>51.189310344827589</v>
      </c>
      <c r="AI812" s="13">
        <f t="shared" si="307"/>
        <v>213.73510661630317</v>
      </c>
      <c r="AK812" s="9">
        <f t="shared" si="308"/>
        <v>520</v>
      </c>
    </row>
    <row r="813" spans="1:37">
      <c r="A813" s="9">
        <v>3</v>
      </c>
      <c r="B813" s="9">
        <v>2023</v>
      </c>
      <c r="C813" s="9" t="s">
        <v>46</v>
      </c>
      <c r="D813" s="9" t="s">
        <v>47</v>
      </c>
      <c r="E813" s="9" t="s">
        <v>47</v>
      </c>
      <c r="F813" s="10">
        <v>45309</v>
      </c>
      <c r="G813" s="9" t="s">
        <v>154</v>
      </c>
      <c r="H813" s="9" t="s">
        <v>54</v>
      </c>
      <c r="I813" s="9">
        <v>1</v>
      </c>
      <c r="J813" s="11">
        <f t="shared" si="309"/>
        <v>12</v>
      </c>
      <c r="K813" s="9">
        <v>240</v>
      </c>
      <c r="L813" s="12">
        <v>0.15</v>
      </c>
      <c r="M813" s="27">
        <v>36</v>
      </c>
      <c r="N813" s="13" t="s">
        <v>49</v>
      </c>
      <c r="Q813" s="9">
        <f>IF(Auction_Sales[[#This Row],[Payment Date]]=0,"",-1+WEEKNUM(Auction_Sales[[#This Row],[Payment Date]]))</f>
        <v>4</v>
      </c>
      <c r="R813" s="9">
        <f t="shared" si="300"/>
        <v>0</v>
      </c>
      <c r="S813" s="1" t="str">
        <f t="shared" ref="S813:T824" si="313">G813</f>
        <v>English Roses</v>
      </c>
      <c r="T813" s="9" t="str">
        <f t="shared" si="313"/>
        <v>80CM</v>
      </c>
      <c r="U813" s="9">
        <v>240</v>
      </c>
      <c r="V813" s="13">
        <f>206.4/U813</f>
        <v>0.86</v>
      </c>
      <c r="W813" s="13">
        <f t="shared" si="302"/>
        <v>206.4</v>
      </c>
      <c r="X813" s="14">
        <f t="shared" si="310"/>
        <v>-10.465653710247352</v>
      </c>
      <c r="Y813" s="13">
        <f t="shared" si="303"/>
        <v>195.93434628975265</v>
      </c>
      <c r="Z813" s="10">
        <v>45322</v>
      </c>
      <c r="AA813" s="9">
        <f t="shared" si="304"/>
        <v>0</v>
      </c>
      <c r="AC813" s="9">
        <v>424699</v>
      </c>
      <c r="AD813" s="14">
        <f t="shared" si="311"/>
        <v>40.789310344827591</v>
      </c>
      <c r="AF813" s="14">
        <f t="shared" si="305"/>
        <v>4.8</v>
      </c>
      <c r="AH813" s="14">
        <f t="shared" si="312"/>
        <v>45.589310344827588</v>
      </c>
      <c r="AI813" s="13">
        <f t="shared" si="307"/>
        <v>150.34503594492506</v>
      </c>
      <c r="AK813" s="9">
        <f t="shared" si="308"/>
        <v>240</v>
      </c>
    </row>
    <row r="814" spans="1:37">
      <c r="A814" s="9">
        <v>3</v>
      </c>
      <c r="B814" s="9">
        <v>2023</v>
      </c>
      <c r="C814" s="9" t="s">
        <v>46</v>
      </c>
      <c r="D814" s="9" t="s">
        <v>47</v>
      </c>
      <c r="E814" s="9" t="s">
        <v>47</v>
      </c>
      <c r="F814" s="10">
        <v>45309</v>
      </c>
      <c r="G814" s="9" t="s">
        <v>154</v>
      </c>
      <c r="H814" s="9" t="s">
        <v>48</v>
      </c>
      <c r="I814" s="9">
        <v>1</v>
      </c>
      <c r="J814" s="11">
        <f>K814/400*12</f>
        <v>8.3999999999999986</v>
      </c>
      <c r="K814" s="9">
        <v>280</v>
      </c>
      <c r="L814" s="12">
        <v>0.15</v>
      </c>
      <c r="M814" s="27">
        <v>42</v>
      </c>
      <c r="N814" s="13" t="s">
        <v>49</v>
      </c>
      <c r="Q814" s="9">
        <f>IF(Auction_Sales[[#This Row],[Payment Date]]=0,"",-1+WEEKNUM(Auction_Sales[[#This Row],[Payment Date]]))</f>
        <v>4</v>
      </c>
      <c r="R814" s="9">
        <f t="shared" si="300"/>
        <v>280</v>
      </c>
      <c r="S814" s="1" t="str">
        <f t="shared" si="313"/>
        <v>English Roses</v>
      </c>
      <c r="T814" s="9" t="str">
        <f t="shared" si="313"/>
        <v>60CM</v>
      </c>
      <c r="W814" s="13">
        <f t="shared" si="302"/>
        <v>0</v>
      </c>
      <c r="X814" s="14">
        <f t="shared" si="310"/>
        <v>0</v>
      </c>
      <c r="Y814" s="13">
        <f t="shared" si="303"/>
        <v>0</v>
      </c>
      <c r="Z814" s="10">
        <v>45322</v>
      </c>
      <c r="AA814" s="9">
        <f t="shared" si="304"/>
        <v>-280</v>
      </c>
      <c r="AC814" s="9">
        <v>424699</v>
      </c>
      <c r="AD814" s="14">
        <f t="shared" si="311"/>
        <v>28.552517241379309</v>
      </c>
      <c r="AF814" s="14">
        <f t="shared" si="305"/>
        <v>0</v>
      </c>
      <c r="AH814" s="14">
        <f t="shared" si="312"/>
        <v>28.552517241379309</v>
      </c>
      <c r="AI814" s="13">
        <f t="shared" si="307"/>
        <v>-28.552517241379309</v>
      </c>
      <c r="AK814" s="9">
        <f t="shared" si="308"/>
        <v>0</v>
      </c>
    </row>
    <row r="815" spans="1:37">
      <c r="A815" s="9">
        <v>3</v>
      </c>
      <c r="B815" s="9">
        <v>2023</v>
      </c>
      <c r="C815" s="9" t="s">
        <v>46</v>
      </c>
      <c r="D815" s="9" t="s">
        <v>47</v>
      </c>
      <c r="E815" s="9" t="s">
        <v>47</v>
      </c>
      <c r="F815" s="10">
        <v>45309</v>
      </c>
      <c r="G815" s="9" t="s">
        <v>154</v>
      </c>
      <c r="H815" s="9" t="s">
        <v>52</v>
      </c>
      <c r="J815" s="11">
        <f>K815/400*12</f>
        <v>3.5999999999999996</v>
      </c>
      <c r="K815" s="9">
        <v>120</v>
      </c>
      <c r="L815" s="12">
        <v>0.15</v>
      </c>
      <c r="M815" s="27">
        <v>18</v>
      </c>
      <c r="N815" s="13" t="s">
        <v>49</v>
      </c>
      <c r="Q815" s="9">
        <f>IF(Auction_Sales[[#This Row],[Payment Date]]=0,"",-1+WEEKNUM(Auction_Sales[[#This Row],[Payment Date]]))</f>
        <v>4</v>
      </c>
      <c r="R815" s="9">
        <f t="shared" si="300"/>
        <v>120</v>
      </c>
      <c r="S815" s="1" t="str">
        <f t="shared" si="313"/>
        <v>English Roses</v>
      </c>
      <c r="T815" s="9" t="str">
        <f t="shared" si="313"/>
        <v>70CM</v>
      </c>
      <c r="W815" s="13">
        <f t="shared" si="302"/>
        <v>0</v>
      </c>
      <c r="X815" s="14">
        <f t="shared" si="310"/>
        <v>0</v>
      </c>
      <c r="Y815" s="13">
        <f t="shared" si="303"/>
        <v>0</v>
      </c>
      <c r="Z815" s="10">
        <v>45322</v>
      </c>
      <c r="AA815" s="9">
        <f t="shared" si="304"/>
        <v>-120</v>
      </c>
      <c r="AC815" s="9">
        <v>424699</v>
      </c>
      <c r="AD815" s="14">
        <f t="shared" si="311"/>
        <v>12.236793103448274</v>
      </c>
      <c r="AF815" s="14">
        <f t="shared" si="305"/>
        <v>0</v>
      </c>
      <c r="AH815" s="14">
        <f t="shared" si="312"/>
        <v>12.236793103448274</v>
      </c>
      <c r="AI815" s="13">
        <f t="shared" si="307"/>
        <v>-12.236793103448274</v>
      </c>
      <c r="AK815" s="9">
        <f t="shared" si="308"/>
        <v>0</v>
      </c>
    </row>
    <row r="816" spans="1:37">
      <c r="A816" s="9">
        <v>3</v>
      </c>
      <c r="B816" s="9">
        <v>2023</v>
      </c>
      <c r="C816" s="9" t="s">
        <v>46</v>
      </c>
      <c r="D816" s="9" t="s">
        <v>47</v>
      </c>
      <c r="E816" s="9" t="s">
        <v>47</v>
      </c>
      <c r="F816" s="10">
        <v>45309</v>
      </c>
      <c r="G816" s="9" t="s">
        <v>154</v>
      </c>
      <c r="H816" s="9" t="s">
        <v>56</v>
      </c>
      <c r="I816" s="9">
        <v>1</v>
      </c>
      <c r="J816" s="11">
        <f>K816/240*12</f>
        <v>10</v>
      </c>
      <c r="K816" s="9">
        <v>200</v>
      </c>
      <c r="L816" s="12">
        <v>0.15</v>
      </c>
      <c r="M816" s="27">
        <v>30</v>
      </c>
      <c r="N816" s="13" t="s">
        <v>49</v>
      </c>
      <c r="Q816" s="9">
        <f>IF(Auction_Sales[[#This Row],[Payment Date]]=0,"",-1+WEEKNUM(Auction_Sales[[#This Row],[Payment Date]]))</f>
        <v>4</v>
      </c>
      <c r="R816" s="9">
        <f t="shared" si="300"/>
        <v>0</v>
      </c>
      <c r="S816" s="1" t="str">
        <f t="shared" si="313"/>
        <v>English Roses</v>
      </c>
      <c r="T816" s="9" t="str">
        <f t="shared" si="313"/>
        <v>90CM</v>
      </c>
      <c r="U816" s="9">
        <v>200</v>
      </c>
      <c r="V816" s="13">
        <f>202.8/U816</f>
        <v>1.014</v>
      </c>
      <c r="W816" s="13">
        <f t="shared" si="302"/>
        <v>202.8</v>
      </c>
      <c r="X816" s="14">
        <f t="shared" si="310"/>
        <v>-8.7213780918727934</v>
      </c>
      <c r="Y816" s="13">
        <f t="shared" si="303"/>
        <v>194.07862190812722</v>
      </c>
      <c r="Z816" s="10">
        <v>45322</v>
      </c>
      <c r="AA816" s="9">
        <f t="shared" si="304"/>
        <v>0</v>
      </c>
      <c r="AC816" s="9">
        <v>424699</v>
      </c>
      <c r="AD816" s="14">
        <f t="shared" si="311"/>
        <v>33.991091954022991</v>
      </c>
      <c r="AF816" s="14">
        <f t="shared" si="305"/>
        <v>4</v>
      </c>
      <c r="AH816" s="14">
        <f t="shared" si="312"/>
        <v>37.991091954022991</v>
      </c>
      <c r="AI816" s="13">
        <f t="shared" si="307"/>
        <v>156.08752995410424</v>
      </c>
      <c r="AK816" s="9">
        <f t="shared" si="308"/>
        <v>200</v>
      </c>
    </row>
    <row r="817" spans="1:37">
      <c r="A817" s="9">
        <v>3</v>
      </c>
      <c r="B817" s="9">
        <v>2023</v>
      </c>
      <c r="C817" s="9" t="s">
        <v>46</v>
      </c>
      <c r="D817" s="9" t="s">
        <v>47</v>
      </c>
      <c r="E817" s="9" t="s">
        <v>47</v>
      </c>
      <c r="F817" s="10">
        <v>45309</v>
      </c>
      <c r="G817" s="9" t="s">
        <v>154</v>
      </c>
      <c r="H817" s="9" t="s">
        <v>60</v>
      </c>
      <c r="J817" s="11">
        <f>K817/240*12</f>
        <v>2</v>
      </c>
      <c r="K817" s="9">
        <v>40</v>
      </c>
      <c r="L817" s="12">
        <v>0.15</v>
      </c>
      <c r="M817" s="27">
        <v>6</v>
      </c>
      <c r="N817" s="13" t="s">
        <v>49</v>
      </c>
      <c r="Q817" s="9">
        <f>IF(Auction_Sales[[#This Row],[Payment Date]]=0,"",-1+WEEKNUM(Auction_Sales[[#This Row],[Payment Date]]))</f>
        <v>4</v>
      </c>
      <c r="R817" s="9">
        <f t="shared" si="300"/>
        <v>0</v>
      </c>
      <c r="S817" s="1" t="str">
        <f t="shared" si="313"/>
        <v>English Roses</v>
      </c>
      <c r="T817" s="9" t="str">
        <f t="shared" si="313"/>
        <v>110CM</v>
      </c>
      <c r="U817" s="9">
        <v>40</v>
      </c>
      <c r="V817" s="13">
        <f>44/U817</f>
        <v>1.1000000000000001</v>
      </c>
      <c r="W817" s="13">
        <f t="shared" si="302"/>
        <v>44</v>
      </c>
      <c r="X817" s="14">
        <f t="shared" si="310"/>
        <v>-1.7442756183745587</v>
      </c>
      <c r="Y817" s="13">
        <f t="shared" si="303"/>
        <v>42.255724381625441</v>
      </c>
      <c r="Z817" s="10">
        <v>45322</v>
      </c>
      <c r="AA817" s="9">
        <f t="shared" si="304"/>
        <v>0</v>
      </c>
      <c r="AC817" s="9">
        <v>424699</v>
      </c>
      <c r="AD817" s="14">
        <f t="shared" si="311"/>
        <v>6.7982183908045979</v>
      </c>
      <c r="AF817" s="14">
        <f t="shared" si="305"/>
        <v>0.8</v>
      </c>
      <c r="AH817" s="14">
        <f t="shared" si="312"/>
        <v>7.5982183908045977</v>
      </c>
      <c r="AI817" s="13">
        <f t="shared" si="307"/>
        <v>34.657505990820844</v>
      </c>
      <c r="AK817" s="9">
        <f t="shared" si="308"/>
        <v>40</v>
      </c>
    </row>
    <row r="818" spans="1:37">
      <c r="A818" s="9">
        <v>3</v>
      </c>
      <c r="B818" s="9">
        <v>2023</v>
      </c>
      <c r="C818" s="9" t="s">
        <v>46</v>
      </c>
      <c r="D818" s="9" t="s">
        <v>47</v>
      </c>
      <c r="E818" s="9" t="s">
        <v>47</v>
      </c>
      <c r="F818" s="10">
        <v>45309</v>
      </c>
      <c r="G818" s="9" t="s">
        <v>155</v>
      </c>
      <c r="H818" s="9" t="s">
        <v>57</v>
      </c>
      <c r="I818" s="9">
        <v>1</v>
      </c>
      <c r="J818" s="11">
        <f>K818/200*12</f>
        <v>4.8000000000000007</v>
      </c>
      <c r="K818" s="9">
        <v>80</v>
      </c>
      <c r="L818" s="12">
        <v>0.15</v>
      </c>
      <c r="M818" s="27">
        <v>12</v>
      </c>
      <c r="N818" s="13" t="s">
        <v>49</v>
      </c>
      <c r="Q818" s="9">
        <f>IF(Auction_Sales[[#This Row],[Payment Date]]=0,"",-1+WEEKNUM(Auction_Sales[[#This Row],[Payment Date]]))</f>
        <v>4</v>
      </c>
      <c r="R818" s="9">
        <f t="shared" si="300"/>
        <v>80</v>
      </c>
      <c r="S818" s="1" t="str">
        <f t="shared" si="313"/>
        <v>Floribunda Roses</v>
      </c>
      <c r="T818" s="9" t="str">
        <f t="shared" si="313"/>
        <v>100CM</v>
      </c>
      <c r="W818" s="13">
        <f t="shared" si="302"/>
        <v>0</v>
      </c>
      <c r="X818" s="14">
        <f t="shared" si="310"/>
        <v>0</v>
      </c>
      <c r="Y818" s="13">
        <f t="shared" si="303"/>
        <v>0</v>
      </c>
      <c r="Z818" s="10">
        <v>45322</v>
      </c>
      <c r="AA818" s="9">
        <f t="shared" si="304"/>
        <v>-80</v>
      </c>
      <c r="AC818" s="9">
        <v>424699</v>
      </c>
      <c r="AD818" s="14">
        <f t="shared" si="311"/>
        <v>16.315724137931038</v>
      </c>
      <c r="AF818" s="14">
        <f t="shared" si="305"/>
        <v>0</v>
      </c>
      <c r="AH818" s="14">
        <f t="shared" si="312"/>
        <v>16.315724137931038</v>
      </c>
      <c r="AI818" s="13">
        <f t="shared" si="307"/>
        <v>-16.315724137931038</v>
      </c>
      <c r="AK818" s="9">
        <f t="shared" si="308"/>
        <v>0</v>
      </c>
    </row>
    <row r="819" spans="1:37">
      <c r="A819" s="9">
        <v>3</v>
      </c>
      <c r="B819" s="9">
        <v>2023</v>
      </c>
      <c r="C819" s="9" t="s">
        <v>46</v>
      </c>
      <c r="D819" s="9" t="s">
        <v>47</v>
      </c>
      <c r="E819" s="9" t="s">
        <v>47</v>
      </c>
      <c r="F819" s="10">
        <v>45309</v>
      </c>
      <c r="G819" s="9" t="s">
        <v>155</v>
      </c>
      <c r="H819" s="9" t="s">
        <v>60</v>
      </c>
      <c r="J819" s="11">
        <f>K819/200*12</f>
        <v>7.1999999999999993</v>
      </c>
      <c r="K819" s="9">
        <v>120</v>
      </c>
      <c r="L819" s="12">
        <v>0.15</v>
      </c>
      <c r="M819" s="27">
        <v>18</v>
      </c>
      <c r="N819" s="13" t="s">
        <v>49</v>
      </c>
      <c r="Q819" s="9">
        <f>IF(Auction_Sales[[#This Row],[Payment Date]]=0,"",-1+WEEKNUM(Auction_Sales[[#This Row],[Payment Date]]))</f>
        <v>4</v>
      </c>
      <c r="R819" s="9">
        <f t="shared" si="300"/>
        <v>0</v>
      </c>
      <c r="S819" s="1" t="str">
        <f t="shared" si="313"/>
        <v>Floribunda Roses</v>
      </c>
      <c r="T819" s="9" t="str">
        <f t="shared" si="313"/>
        <v>110CM</v>
      </c>
      <c r="U819" s="9">
        <v>120</v>
      </c>
      <c r="V819" s="13">
        <f>125.6/U819</f>
        <v>1.0466666666666666</v>
      </c>
      <c r="W819" s="13">
        <f t="shared" si="302"/>
        <v>125.6</v>
      </c>
      <c r="X819" s="14">
        <f t="shared" si="310"/>
        <v>-5.2328268551236761</v>
      </c>
      <c r="Y819" s="13">
        <f t="shared" si="303"/>
        <v>120.36717314487632</v>
      </c>
      <c r="Z819" s="10">
        <v>45322</v>
      </c>
      <c r="AA819" s="9">
        <f t="shared" si="304"/>
        <v>0</v>
      </c>
      <c r="AC819" s="9">
        <v>424699</v>
      </c>
      <c r="AD819" s="14">
        <f t="shared" si="311"/>
        <v>24.473586206896549</v>
      </c>
      <c r="AF819" s="14">
        <f t="shared" si="305"/>
        <v>2.4</v>
      </c>
      <c r="AH819" s="14">
        <f t="shared" si="312"/>
        <v>26.873586206896547</v>
      </c>
      <c r="AI819" s="13">
        <f t="shared" si="307"/>
        <v>93.493586937979771</v>
      </c>
      <c r="AK819" s="9">
        <f t="shared" si="308"/>
        <v>120</v>
      </c>
    </row>
    <row r="820" spans="1:37">
      <c r="A820" s="9">
        <v>3</v>
      </c>
      <c r="B820" s="9">
        <v>2023</v>
      </c>
      <c r="C820" s="9" t="s">
        <v>46</v>
      </c>
      <c r="D820" s="9" t="s">
        <v>47</v>
      </c>
      <c r="E820" s="9" t="s">
        <v>47</v>
      </c>
      <c r="F820" s="10">
        <v>45309</v>
      </c>
      <c r="G820" s="9" t="s">
        <v>153</v>
      </c>
      <c r="H820" s="9" t="s">
        <v>57</v>
      </c>
      <c r="I820" s="9">
        <v>1</v>
      </c>
      <c r="J820" s="11">
        <f>K820/400*12</f>
        <v>4.8000000000000007</v>
      </c>
      <c r="K820" s="9">
        <v>160</v>
      </c>
      <c r="L820" s="12">
        <v>0.15</v>
      </c>
      <c r="M820" s="27">
        <v>24</v>
      </c>
      <c r="N820" s="13" t="s">
        <v>49</v>
      </c>
      <c r="Q820" s="9">
        <f>IF(Auction_Sales[[#This Row],[Payment Date]]=0,"",-1+WEEKNUM(Auction_Sales[[#This Row],[Payment Date]]))</f>
        <v>4</v>
      </c>
      <c r="R820" s="9">
        <f t="shared" si="300"/>
        <v>0</v>
      </c>
      <c r="S820" s="1" t="str">
        <f t="shared" si="313"/>
        <v>Grandiflora Roses</v>
      </c>
      <c r="T820" s="9" t="str">
        <f t="shared" si="313"/>
        <v>100CM</v>
      </c>
      <c r="U820" s="9">
        <v>160</v>
      </c>
      <c r="V820" s="13">
        <f>107.2/160</f>
        <v>0.67</v>
      </c>
      <c r="W820" s="13">
        <f t="shared" si="302"/>
        <v>107.2</v>
      </c>
      <c r="X820" s="14">
        <f t="shared" si="310"/>
        <v>-6.9771024734982348</v>
      </c>
      <c r="Y820" s="13">
        <f t="shared" si="303"/>
        <v>100.22289752650177</v>
      </c>
      <c r="Z820" s="10">
        <v>45322</v>
      </c>
      <c r="AA820" s="9">
        <f t="shared" si="304"/>
        <v>0</v>
      </c>
      <c r="AC820" s="9">
        <v>424699</v>
      </c>
      <c r="AD820" s="14">
        <f t="shared" si="311"/>
        <v>16.315724137931038</v>
      </c>
      <c r="AF820" s="14">
        <f t="shared" si="305"/>
        <v>3.2</v>
      </c>
      <c r="AH820" s="14">
        <f t="shared" si="312"/>
        <v>19.515724137931038</v>
      </c>
      <c r="AI820" s="13">
        <f t="shared" si="307"/>
        <v>80.707173388570737</v>
      </c>
      <c r="AK820" s="9">
        <f t="shared" si="308"/>
        <v>160</v>
      </c>
    </row>
    <row r="821" spans="1:37">
      <c r="A821" s="9">
        <v>3</v>
      </c>
      <c r="B821" s="9">
        <v>2023</v>
      </c>
      <c r="C821" s="9" t="s">
        <v>46</v>
      </c>
      <c r="D821" s="9" t="s">
        <v>47</v>
      </c>
      <c r="E821" s="9" t="s">
        <v>47</v>
      </c>
      <c r="F821" s="10">
        <v>45309</v>
      </c>
      <c r="G821" s="9" t="s">
        <v>153</v>
      </c>
      <c r="H821" s="9" t="s">
        <v>54</v>
      </c>
      <c r="J821" s="11">
        <f>K821/400*12</f>
        <v>7.1999999999999993</v>
      </c>
      <c r="K821" s="9">
        <v>240</v>
      </c>
      <c r="L821" s="12">
        <v>0.15</v>
      </c>
      <c r="M821" s="27">
        <v>36</v>
      </c>
      <c r="N821" s="13" t="s">
        <v>49</v>
      </c>
      <c r="Q821" s="9">
        <f>IF(Auction_Sales[[#This Row],[Payment Date]]=0,"",-1+WEEKNUM(Auction_Sales[[#This Row],[Payment Date]]))</f>
        <v>4</v>
      </c>
      <c r="R821" s="9">
        <f t="shared" si="300"/>
        <v>240</v>
      </c>
      <c r="S821" s="1" t="str">
        <f t="shared" si="313"/>
        <v>Grandiflora Roses</v>
      </c>
      <c r="T821" s="9" t="str">
        <f t="shared" si="313"/>
        <v>80CM</v>
      </c>
      <c r="W821" s="13">
        <f t="shared" si="302"/>
        <v>0</v>
      </c>
      <c r="X821" s="14">
        <f t="shared" si="310"/>
        <v>0</v>
      </c>
      <c r="Y821" s="13">
        <f t="shared" si="303"/>
        <v>0</v>
      </c>
      <c r="Z821" s="10">
        <v>45322</v>
      </c>
      <c r="AA821" s="9">
        <f t="shared" si="304"/>
        <v>-240</v>
      </c>
      <c r="AC821" s="9">
        <v>424699</v>
      </c>
      <c r="AD821" s="14">
        <f t="shared" si="311"/>
        <v>24.473586206896549</v>
      </c>
      <c r="AF821" s="14">
        <f t="shared" si="305"/>
        <v>0</v>
      </c>
      <c r="AH821" s="14">
        <f t="shared" si="312"/>
        <v>24.473586206896549</v>
      </c>
      <c r="AI821" s="13">
        <f t="shared" si="307"/>
        <v>-24.473586206896549</v>
      </c>
      <c r="AK821" s="9">
        <f t="shared" si="308"/>
        <v>0</v>
      </c>
    </row>
    <row r="822" spans="1:37">
      <c r="A822" s="9">
        <v>3</v>
      </c>
      <c r="B822" s="9">
        <v>2023</v>
      </c>
      <c r="C822" s="9" t="s">
        <v>46</v>
      </c>
      <c r="D822" s="9" t="s">
        <v>47</v>
      </c>
      <c r="E822" s="9" t="s">
        <v>47</v>
      </c>
      <c r="F822" s="10">
        <v>45309</v>
      </c>
      <c r="G822" s="9" t="s">
        <v>157</v>
      </c>
      <c r="H822" s="9" t="s">
        <v>48</v>
      </c>
      <c r="I822" s="9">
        <v>1</v>
      </c>
      <c r="J822" s="11">
        <f>K822/360*12</f>
        <v>6.666666666666667</v>
      </c>
      <c r="K822" s="9">
        <v>200</v>
      </c>
      <c r="L822" s="12">
        <v>0.15</v>
      </c>
      <c r="M822" s="27">
        <v>30</v>
      </c>
      <c r="N822" s="13" t="s">
        <v>49</v>
      </c>
      <c r="Q822" s="9">
        <f>IF(Auction_Sales[[#This Row],[Payment Date]]=0,"",-1+WEEKNUM(Auction_Sales[[#This Row],[Payment Date]]))</f>
        <v>4</v>
      </c>
      <c r="R822" s="9">
        <f t="shared" si="300"/>
        <v>0</v>
      </c>
      <c r="S822" s="9" t="s">
        <v>157</v>
      </c>
      <c r="T822" s="9" t="str">
        <f t="shared" si="313"/>
        <v>60CM</v>
      </c>
      <c r="U822" s="9">
        <v>200</v>
      </c>
      <c r="V822" s="13">
        <f>92.8/U822</f>
        <v>0.46399999999999997</v>
      </c>
      <c r="W822" s="13">
        <f t="shared" si="302"/>
        <v>92.8</v>
      </c>
      <c r="X822" s="14">
        <f t="shared" si="310"/>
        <v>-8.7213780918727934</v>
      </c>
      <c r="Y822" s="13">
        <f t="shared" si="303"/>
        <v>84.078621908127204</v>
      </c>
      <c r="Z822" s="10">
        <v>45322</v>
      </c>
      <c r="AA822" s="9">
        <f t="shared" si="304"/>
        <v>0</v>
      </c>
      <c r="AC822" s="9">
        <v>424699</v>
      </c>
      <c r="AD822" s="14">
        <f t="shared" si="311"/>
        <v>22.660727969348663</v>
      </c>
      <c r="AF822" s="14">
        <f t="shared" si="305"/>
        <v>4</v>
      </c>
      <c r="AH822" s="14">
        <f t="shared" si="312"/>
        <v>26.660727969348663</v>
      </c>
      <c r="AI822" s="13">
        <f t="shared" si="307"/>
        <v>57.417893938778541</v>
      </c>
      <c r="AK822" s="9">
        <f t="shared" si="308"/>
        <v>200</v>
      </c>
    </row>
    <row r="823" spans="1:37">
      <c r="A823" s="9">
        <v>3</v>
      </c>
      <c r="B823" s="9">
        <v>2023</v>
      </c>
      <c r="C823" s="9" t="s">
        <v>46</v>
      </c>
      <c r="D823" s="9" t="s">
        <v>47</v>
      </c>
      <c r="E823" s="9" t="s">
        <v>47</v>
      </c>
      <c r="F823" s="10">
        <v>45309</v>
      </c>
      <c r="G823" s="9" t="s">
        <v>157</v>
      </c>
      <c r="H823" s="9" t="s">
        <v>52</v>
      </c>
      <c r="J823" s="11">
        <f t="shared" ref="J823:J824" si="314">K823/360*12</f>
        <v>4</v>
      </c>
      <c r="K823" s="9">
        <v>120</v>
      </c>
      <c r="L823" s="12">
        <v>0.15</v>
      </c>
      <c r="M823" s="27">
        <v>18</v>
      </c>
      <c r="N823" s="13" t="s">
        <v>49</v>
      </c>
      <c r="Q823" s="9">
        <f>IF(Auction_Sales[[#This Row],[Payment Date]]=0,"",-1+WEEKNUM(Auction_Sales[[#This Row],[Payment Date]]))</f>
        <v>4</v>
      </c>
      <c r="R823" s="9">
        <f t="shared" si="300"/>
        <v>0</v>
      </c>
      <c r="S823" s="9" t="s">
        <v>157</v>
      </c>
      <c r="T823" s="9" t="str">
        <f t="shared" si="313"/>
        <v>70CM</v>
      </c>
      <c r="U823" s="9">
        <v>120</v>
      </c>
      <c r="V823" s="13">
        <f>52.8/U823</f>
        <v>0.44</v>
      </c>
      <c r="W823" s="13">
        <f t="shared" si="302"/>
        <v>52.8</v>
      </c>
      <c r="X823" s="14">
        <f t="shared" si="310"/>
        <v>-5.2328268551236761</v>
      </c>
      <c r="Y823" s="13">
        <f t="shared" si="303"/>
        <v>47.567173144876321</v>
      </c>
      <c r="Z823" s="10">
        <v>45322</v>
      </c>
      <c r="AA823" s="9">
        <f t="shared" si="304"/>
        <v>0</v>
      </c>
      <c r="AC823" s="9">
        <v>424699</v>
      </c>
      <c r="AD823" s="14">
        <f t="shared" si="311"/>
        <v>13.596436781609196</v>
      </c>
      <c r="AF823" s="14">
        <f t="shared" si="305"/>
        <v>2.4</v>
      </c>
      <c r="AH823" s="14">
        <f t="shared" si="312"/>
        <v>15.996436781609196</v>
      </c>
      <c r="AI823" s="13">
        <f t="shared" si="307"/>
        <v>31.570736363267123</v>
      </c>
      <c r="AK823" s="9">
        <f t="shared" si="308"/>
        <v>120</v>
      </c>
    </row>
    <row r="824" spans="1:37">
      <c r="A824" s="9">
        <v>3</v>
      </c>
      <c r="B824" s="9">
        <v>2023</v>
      </c>
      <c r="C824" s="9" t="s">
        <v>46</v>
      </c>
      <c r="D824" s="9" t="s">
        <v>47</v>
      </c>
      <c r="E824" s="9" t="s">
        <v>47</v>
      </c>
      <c r="F824" s="10">
        <v>45309</v>
      </c>
      <c r="G824" s="9" t="s">
        <v>157</v>
      </c>
      <c r="H824" s="9" t="s">
        <v>54</v>
      </c>
      <c r="J824" s="11">
        <f t="shared" si="314"/>
        <v>1.3333333333333333</v>
      </c>
      <c r="K824" s="9">
        <v>40</v>
      </c>
      <c r="L824" s="12">
        <v>0.15</v>
      </c>
      <c r="M824" s="27">
        <v>6</v>
      </c>
      <c r="N824" s="13" t="s">
        <v>49</v>
      </c>
      <c r="Q824" s="9">
        <f>IF(Auction_Sales[[#This Row],[Payment Date]]=0,"",-1+WEEKNUM(Auction_Sales[[#This Row],[Payment Date]]))</f>
        <v>4</v>
      </c>
      <c r="R824" s="9">
        <f t="shared" si="300"/>
        <v>0</v>
      </c>
      <c r="S824" s="9" t="s">
        <v>157</v>
      </c>
      <c r="T824" s="9" t="str">
        <f t="shared" si="313"/>
        <v>80CM</v>
      </c>
      <c r="U824" s="9">
        <v>40</v>
      </c>
      <c r="V824" s="13">
        <f>18/U824</f>
        <v>0.45</v>
      </c>
      <c r="W824" s="13">
        <f t="shared" si="302"/>
        <v>18</v>
      </c>
      <c r="X824" s="14">
        <f t="shared" si="310"/>
        <v>-1.7442756183745587</v>
      </c>
      <c r="Y824" s="13">
        <f t="shared" si="303"/>
        <v>16.255724381625441</v>
      </c>
      <c r="Z824" s="10">
        <v>45322</v>
      </c>
      <c r="AA824" s="9">
        <f t="shared" si="304"/>
        <v>0</v>
      </c>
      <c r="AC824" s="9">
        <v>424699</v>
      </c>
      <c r="AD824" s="14">
        <f t="shared" si="311"/>
        <v>4.5321455938697319</v>
      </c>
      <c r="AF824" s="14">
        <f t="shared" si="305"/>
        <v>0.8</v>
      </c>
      <c r="AH824" s="14">
        <f t="shared" si="312"/>
        <v>5.3321455938697317</v>
      </c>
      <c r="AI824" s="13">
        <f t="shared" si="307"/>
        <v>10.923578787755709</v>
      </c>
      <c r="AK824" s="9">
        <f t="shared" si="308"/>
        <v>40</v>
      </c>
    </row>
    <row r="825" spans="1:37">
      <c r="A825" s="9">
        <v>2</v>
      </c>
      <c r="B825" s="9">
        <v>2023</v>
      </c>
      <c r="C825" s="9" t="s">
        <v>46</v>
      </c>
      <c r="D825" s="9" t="s">
        <v>47</v>
      </c>
      <c r="E825" s="9" t="s">
        <v>47</v>
      </c>
      <c r="F825" s="10">
        <v>45297</v>
      </c>
      <c r="G825" s="9" t="s">
        <v>155</v>
      </c>
      <c r="H825" s="9" t="s">
        <v>52</v>
      </c>
      <c r="I825" s="9">
        <v>8</v>
      </c>
      <c r="J825" s="9">
        <v>96</v>
      </c>
      <c r="K825" s="9">
        <v>2560</v>
      </c>
      <c r="L825" s="9">
        <v>0.15</v>
      </c>
      <c r="M825" s="9">
        <v>384</v>
      </c>
      <c r="N825" s="9" t="s">
        <v>49</v>
      </c>
      <c r="Q825" s="9">
        <f>IF(Auction_Sales[[#This Row],[Payment Date]]=0,"",-1+WEEKNUM(Auction_Sales[[#This Row],[Payment Date]]))</f>
        <v>2</v>
      </c>
      <c r="R825" s="9">
        <v>0</v>
      </c>
      <c r="S825" s="9" t="s">
        <v>155</v>
      </c>
      <c r="T825" s="9" t="s">
        <v>52</v>
      </c>
      <c r="U825" s="9">
        <v>2560</v>
      </c>
      <c r="V825" s="13">
        <v>0.28843750000000001</v>
      </c>
      <c r="W825" s="13">
        <v>738.40000000000009</v>
      </c>
      <c r="X825" s="14">
        <v>-96.594285714285803</v>
      </c>
      <c r="Y825" s="13">
        <v>641.80571428571432</v>
      </c>
      <c r="Z825" s="10">
        <v>45308</v>
      </c>
      <c r="AA825" s="9">
        <v>0</v>
      </c>
      <c r="AC825" s="9">
        <v>423355</v>
      </c>
      <c r="AD825" s="14">
        <v>325.77142857142854</v>
      </c>
      <c r="AF825" s="14">
        <v>51.2</v>
      </c>
      <c r="AH825" s="14">
        <v>376.97142857142853</v>
      </c>
      <c r="AI825" s="13">
        <v>264.83428571428578</v>
      </c>
      <c r="AK825" s="9">
        <v>2560</v>
      </c>
    </row>
    <row r="826" spans="1:37">
      <c r="A826" s="9">
        <v>2</v>
      </c>
      <c r="B826" s="9">
        <v>2023</v>
      </c>
      <c r="C826" s="9" t="s">
        <v>46</v>
      </c>
      <c r="D826" s="9" t="s">
        <v>47</v>
      </c>
      <c r="E826" s="9" t="s">
        <v>47</v>
      </c>
      <c r="F826" s="10">
        <v>45297</v>
      </c>
      <c r="G826" s="9" t="s">
        <v>155</v>
      </c>
      <c r="H826" s="9" t="s">
        <v>54</v>
      </c>
      <c r="I826" s="9">
        <v>5</v>
      </c>
      <c r="J826" s="9">
        <v>60</v>
      </c>
      <c r="K826" s="9">
        <v>1400</v>
      </c>
      <c r="L826" s="9">
        <v>0.15</v>
      </c>
      <c r="M826" s="9">
        <v>210</v>
      </c>
      <c r="N826" s="9" t="s">
        <v>49</v>
      </c>
      <c r="Q826" s="9">
        <f>IF(Auction_Sales[[#This Row],[Payment Date]]=0,"",-1+WEEKNUM(Auction_Sales[[#This Row],[Payment Date]]))</f>
        <v>2</v>
      </c>
      <c r="R826" s="9">
        <v>1000</v>
      </c>
      <c r="S826" s="9" t="s">
        <v>155</v>
      </c>
      <c r="T826" s="9" t="s">
        <v>54</v>
      </c>
      <c r="U826" s="9">
        <v>400</v>
      </c>
      <c r="V826" s="13">
        <v>0.28999999999999998</v>
      </c>
      <c r="W826" s="13">
        <v>115.99999999999999</v>
      </c>
      <c r="X826" s="14">
        <v>-15.092857142857156</v>
      </c>
      <c r="Y826" s="13">
        <v>100.90714285714283</v>
      </c>
      <c r="Z826" s="10">
        <v>45308</v>
      </c>
      <c r="AA826" s="9">
        <v>-1000</v>
      </c>
      <c r="AC826" s="9">
        <v>423355</v>
      </c>
      <c r="AD826" s="14">
        <v>203.60714285714283</v>
      </c>
      <c r="AF826" s="14">
        <v>8</v>
      </c>
      <c r="AH826" s="14">
        <v>211.60714285714283</v>
      </c>
      <c r="AI826" s="13">
        <v>-110.7</v>
      </c>
      <c r="AK826" s="9">
        <v>400</v>
      </c>
    </row>
    <row r="827" spans="1:37">
      <c r="A827" s="9">
        <v>2</v>
      </c>
      <c r="B827" s="9">
        <v>2023</v>
      </c>
      <c r="C827" s="9" t="s">
        <v>46</v>
      </c>
      <c r="D827" s="9" t="s">
        <v>47</v>
      </c>
      <c r="E827" s="9" t="s">
        <v>47</v>
      </c>
      <c r="F827" s="10">
        <v>45297</v>
      </c>
      <c r="G827" s="9" t="s">
        <v>155</v>
      </c>
      <c r="H827" s="9" t="s">
        <v>56</v>
      </c>
      <c r="I827" s="9">
        <v>3</v>
      </c>
      <c r="J827" s="9">
        <v>36</v>
      </c>
      <c r="K827" s="9">
        <v>720</v>
      </c>
      <c r="L827" s="9">
        <v>0.15</v>
      </c>
      <c r="M827" s="9">
        <v>108</v>
      </c>
      <c r="N827" s="9" t="s">
        <v>49</v>
      </c>
      <c r="Q827" s="9">
        <f>IF(Auction_Sales[[#This Row],[Payment Date]]=0,"",-1+WEEKNUM(Auction_Sales[[#This Row],[Payment Date]]))</f>
        <v>2</v>
      </c>
      <c r="R827" s="9">
        <v>-160</v>
      </c>
      <c r="S827" s="9" t="s">
        <v>155</v>
      </c>
      <c r="T827" s="9" t="s">
        <v>56</v>
      </c>
      <c r="U827" s="9">
        <v>880</v>
      </c>
      <c r="V827" s="13">
        <v>0.29045454545454547</v>
      </c>
      <c r="W827" s="13">
        <v>255.60000000000002</v>
      </c>
      <c r="X827" s="14">
        <v>-33.204285714285746</v>
      </c>
      <c r="Y827" s="13">
        <v>222.39571428571429</v>
      </c>
      <c r="Z827" s="10">
        <v>45308</v>
      </c>
      <c r="AA827" s="9">
        <v>160</v>
      </c>
      <c r="AC827" s="9">
        <v>423355</v>
      </c>
      <c r="AD827" s="14">
        <v>122.16428571428571</v>
      </c>
      <c r="AF827" s="14">
        <v>17.600000000000001</v>
      </c>
      <c r="AH827" s="14">
        <v>139.76428571428571</v>
      </c>
      <c r="AI827" s="13">
        <v>82.631428571428586</v>
      </c>
      <c r="AK827" s="9">
        <v>880</v>
      </c>
    </row>
    <row r="828" spans="1:37">
      <c r="A828" s="9">
        <v>2</v>
      </c>
      <c r="B828" s="9">
        <v>2023</v>
      </c>
      <c r="C828" s="9" t="s">
        <v>46</v>
      </c>
      <c r="D828" s="9" t="s">
        <v>47</v>
      </c>
      <c r="E828" s="9" t="s">
        <v>47</v>
      </c>
      <c r="F828" s="10">
        <v>45297</v>
      </c>
      <c r="G828" s="9" t="s">
        <v>155</v>
      </c>
      <c r="H828" s="9" t="s">
        <v>57</v>
      </c>
      <c r="I828" s="9">
        <v>2</v>
      </c>
      <c r="J828" s="9">
        <v>24</v>
      </c>
      <c r="K828" s="9">
        <v>400</v>
      </c>
      <c r="L828" s="9">
        <v>0.15</v>
      </c>
      <c r="M828" s="9">
        <v>60</v>
      </c>
      <c r="N828" s="9" t="s">
        <v>49</v>
      </c>
      <c r="Q828" s="9">
        <f>IF(Auction_Sales[[#This Row],[Payment Date]]=0,"",-1+WEEKNUM(Auction_Sales[[#This Row],[Payment Date]]))</f>
        <v>2</v>
      </c>
      <c r="R828" s="9">
        <v>0</v>
      </c>
      <c r="S828" s="9" t="s">
        <v>155</v>
      </c>
      <c r="T828" s="9" t="s">
        <v>57</v>
      </c>
      <c r="U828" s="9">
        <v>400</v>
      </c>
      <c r="V828" s="13">
        <v>0.29399999999999998</v>
      </c>
      <c r="W828" s="13">
        <v>117.6</v>
      </c>
      <c r="X828" s="14">
        <v>-15.092857142857156</v>
      </c>
      <c r="Y828" s="13">
        <v>102.50714285714284</v>
      </c>
      <c r="Z828" s="10">
        <v>45308</v>
      </c>
      <c r="AA828" s="9">
        <v>0</v>
      </c>
      <c r="AC828" s="9">
        <v>423355</v>
      </c>
      <c r="AD828" s="14">
        <v>81.442857142857136</v>
      </c>
      <c r="AF828" s="14">
        <v>8</v>
      </c>
      <c r="AH828" s="14">
        <v>89.442857142857136</v>
      </c>
      <c r="AI828" s="13">
        <v>13.064285714285703</v>
      </c>
      <c r="AK828" s="9">
        <v>400</v>
      </c>
    </row>
    <row r="829" spans="1:37">
      <c r="A829" s="9">
        <v>2</v>
      </c>
      <c r="B829" s="9">
        <v>2023</v>
      </c>
      <c r="C829" s="9" t="s">
        <v>46</v>
      </c>
      <c r="D829" s="9" t="s">
        <v>47</v>
      </c>
      <c r="E829" s="9" t="s">
        <v>47</v>
      </c>
      <c r="F829" s="10">
        <v>45297</v>
      </c>
      <c r="G829" s="9" t="s">
        <v>155</v>
      </c>
      <c r="H829" s="9" t="s">
        <v>60</v>
      </c>
      <c r="I829" s="9">
        <v>2</v>
      </c>
      <c r="J829" s="9">
        <v>24</v>
      </c>
      <c r="K829" s="9">
        <v>320</v>
      </c>
      <c r="L829" s="9">
        <v>0.15</v>
      </c>
      <c r="M829" s="9">
        <v>48</v>
      </c>
      <c r="N829" s="9" t="s">
        <v>49</v>
      </c>
      <c r="Q829" s="9">
        <f>IF(Auction_Sales[[#This Row],[Payment Date]]=0,"",-1+WEEKNUM(Auction_Sales[[#This Row],[Payment Date]]))</f>
        <v>2</v>
      </c>
      <c r="R829" s="9">
        <v>0</v>
      </c>
      <c r="S829" s="9" t="s">
        <v>155</v>
      </c>
      <c r="T829" s="9" t="s">
        <v>60</v>
      </c>
      <c r="U829" s="9">
        <v>320</v>
      </c>
      <c r="V829" s="13">
        <v>0.45250000000000001</v>
      </c>
      <c r="W829" s="13">
        <v>144.80000000000001</v>
      </c>
      <c r="X829" s="14">
        <v>-12.074285714285725</v>
      </c>
      <c r="Y829" s="13">
        <v>132.72571428571428</v>
      </c>
      <c r="Z829" s="10">
        <v>45308</v>
      </c>
      <c r="AA829" s="9">
        <v>0</v>
      </c>
      <c r="AC829" s="9">
        <v>423355</v>
      </c>
      <c r="AD829" s="14">
        <v>81.442857142857136</v>
      </c>
      <c r="AF829" s="14">
        <v>6.4</v>
      </c>
      <c r="AH829" s="14">
        <v>87.842857142857142</v>
      </c>
      <c r="AI829" s="13">
        <v>44.882857142857134</v>
      </c>
      <c r="AK829" s="9">
        <v>320</v>
      </c>
    </row>
    <row r="830" spans="1:37">
      <c r="A830" s="9">
        <v>2</v>
      </c>
      <c r="B830" s="9">
        <v>2023</v>
      </c>
      <c r="C830" s="9" t="s">
        <v>46</v>
      </c>
      <c r="D830" s="9" t="s">
        <v>47</v>
      </c>
      <c r="E830" s="9" t="s">
        <v>47</v>
      </c>
      <c r="F830" s="10">
        <v>45297</v>
      </c>
      <c r="G830" s="9" t="s">
        <v>153</v>
      </c>
      <c r="H830" s="9" t="s">
        <v>48</v>
      </c>
      <c r="I830" s="9">
        <v>1</v>
      </c>
      <c r="J830" s="9">
        <v>12</v>
      </c>
      <c r="K830" s="9">
        <v>720</v>
      </c>
      <c r="L830" s="9">
        <v>0.15</v>
      </c>
      <c r="M830" s="9">
        <v>108</v>
      </c>
      <c r="N830" s="9" t="s">
        <v>49</v>
      </c>
      <c r="Q830" s="9">
        <f>IF(Auction_Sales[[#This Row],[Payment Date]]=0,"",-1+WEEKNUM(Auction_Sales[[#This Row],[Payment Date]]))</f>
        <v>2</v>
      </c>
      <c r="R830" s="9">
        <v>40</v>
      </c>
      <c r="S830" s="9" t="s">
        <v>153</v>
      </c>
      <c r="T830" s="9" t="s">
        <v>48</v>
      </c>
      <c r="U830" s="9">
        <v>680</v>
      </c>
      <c r="V830" s="13">
        <v>0.29235294117647059</v>
      </c>
      <c r="W830" s="13">
        <v>198.8</v>
      </c>
      <c r="X830" s="14">
        <v>-25.657857142857164</v>
      </c>
      <c r="Y830" s="13">
        <v>173.14214285714286</v>
      </c>
      <c r="Z830" s="10">
        <v>45308</v>
      </c>
      <c r="AA830" s="9">
        <v>-40</v>
      </c>
      <c r="AC830" s="9">
        <v>423355</v>
      </c>
      <c r="AD830" s="14">
        <v>40.721428571428568</v>
      </c>
      <c r="AF830" s="14">
        <v>13.6</v>
      </c>
      <c r="AH830" s="14">
        <v>54.321428571428569</v>
      </c>
      <c r="AI830" s="13">
        <v>118.82071428571429</v>
      </c>
      <c r="AK830" s="9">
        <v>680</v>
      </c>
    </row>
    <row r="831" spans="1:37">
      <c r="A831" s="9">
        <v>2</v>
      </c>
      <c r="B831" s="9">
        <v>2023</v>
      </c>
      <c r="C831" s="9" t="s">
        <v>46</v>
      </c>
      <c r="D831" s="9" t="s">
        <v>47</v>
      </c>
      <c r="E831" s="9" t="s">
        <v>47</v>
      </c>
      <c r="F831" s="10">
        <v>45297</v>
      </c>
      <c r="G831" s="9" t="s">
        <v>153</v>
      </c>
      <c r="H831" s="9" t="s">
        <v>54</v>
      </c>
      <c r="I831" s="9">
        <v>1</v>
      </c>
      <c r="J831" s="9">
        <v>12</v>
      </c>
      <c r="K831" s="9">
        <v>440</v>
      </c>
      <c r="L831" s="9">
        <v>0.15</v>
      </c>
      <c r="M831" s="9">
        <v>66</v>
      </c>
      <c r="N831" s="9" t="s">
        <v>49</v>
      </c>
      <c r="Q831" s="9">
        <f>IF(Auction_Sales[[#This Row],[Payment Date]]=0,"",-1+WEEKNUM(Auction_Sales[[#This Row],[Payment Date]]))</f>
        <v>2</v>
      </c>
      <c r="R831" s="9">
        <v>40</v>
      </c>
      <c r="S831" s="9" t="s">
        <v>153</v>
      </c>
      <c r="T831" s="9" t="s">
        <v>54</v>
      </c>
      <c r="U831" s="9">
        <v>400</v>
      </c>
      <c r="V831" s="13">
        <v>0.26899999999999996</v>
      </c>
      <c r="W831" s="13">
        <v>107.59999999999998</v>
      </c>
      <c r="X831" s="14">
        <v>-15.092857142857156</v>
      </c>
      <c r="Y831" s="13">
        <v>92.507142857142824</v>
      </c>
      <c r="Z831" s="10">
        <v>45308</v>
      </c>
      <c r="AA831" s="9">
        <v>-40</v>
      </c>
      <c r="AC831" s="9">
        <v>423355</v>
      </c>
      <c r="AD831" s="14">
        <v>40.721428571428568</v>
      </c>
      <c r="AF831" s="14">
        <v>8</v>
      </c>
      <c r="AH831" s="14">
        <v>48.721428571428568</v>
      </c>
      <c r="AI831" s="13">
        <v>43.785714285714256</v>
      </c>
      <c r="AK831" s="9">
        <v>400</v>
      </c>
    </row>
    <row r="832" spans="1:37">
      <c r="A832" s="9">
        <v>2</v>
      </c>
      <c r="B832" s="9">
        <v>2023</v>
      </c>
      <c r="C832" s="9" t="s">
        <v>46</v>
      </c>
      <c r="D832" s="9" t="s">
        <v>47</v>
      </c>
      <c r="E832" s="9" t="s">
        <v>47</v>
      </c>
      <c r="F832" s="10">
        <v>45297</v>
      </c>
      <c r="G832" s="9" t="s">
        <v>153</v>
      </c>
      <c r="H832" s="9" t="s">
        <v>52</v>
      </c>
      <c r="I832" s="9">
        <v>2</v>
      </c>
      <c r="J832" s="9">
        <v>24</v>
      </c>
      <c r="K832" s="9">
        <v>1040</v>
      </c>
      <c r="L832" s="9">
        <v>0.15</v>
      </c>
      <c r="M832" s="9">
        <v>156</v>
      </c>
      <c r="N832" s="9" t="s">
        <v>49</v>
      </c>
      <c r="Q832" s="9">
        <f>IF(Auction_Sales[[#This Row],[Payment Date]]=0,"",-1+WEEKNUM(Auction_Sales[[#This Row],[Payment Date]]))</f>
        <v>2</v>
      </c>
      <c r="R832" s="9">
        <v>1040</v>
      </c>
      <c r="S832" s="9" t="s">
        <v>153</v>
      </c>
      <c r="T832" s="9" t="s">
        <v>52</v>
      </c>
      <c r="W832" s="13">
        <v>0</v>
      </c>
      <c r="X832" s="14">
        <v>0</v>
      </c>
      <c r="Y832" s="13">
        <v>0</v>
      </c>
      <c r="Z832" s="10">
        <v>45308</v>
      </c>
      <c r="AA832" s="9">
        <v>-1040</v>
      </c>
      <c r="AC832" s="9">
        <v>423355</v>
      </c>
      <c r="AD832" s="14">
        <v>81.442857142857136</v>
      </c>
      <c r="AF832" s="14">
        <v>0</v>
      </c>
      <c r="AH832" s="14">
        <v>81.442857142857136</v>
      </c>
      <c r="AI832" s="13">
        <v>-81.442857142857136</v>
      </c>
      <c r="AK832" s="9">
        <v>0</v>
      </c>
    </row>
    <row r="833" spans="1:37">
      <c r="A833" s="9">
        <v>2</v>
      </c>
      <c r="B833" s="9">
        <v>2023</v>
      </c>
      <c r="C833" s="9" t="s">
        <v>46</v>
      </c>
      <c r="D833" s="9" t="s">
        <v>47</v>
      </c>
      <c r="E833" s="9" t="s">
        <v>47</v>
      </c>
      <c r="F833" s="10">
        <v>45297</v>
      </c>
      <c r="G833" s="9" t="s">
        <v>153</v>
      </c>
      <c r="H833" s="9" t="s">
        <v>54</v>
      </c>
      <c r="I833" s="9">
        <v>1</v>
      </c>
      <c r="J833" s="9">
        <v>12</v>
      </c>
      <c r="K833" s="9">
        <v>400</v>
      </c>
      <c r="L833" s="9">
        <v>0.15</v>
      </c>
      <c r="M833" s="9">
        <v>60</v>
      </c>
      <c r="N833" s="9" t="s">
        <v>49</v>
      </c>
      <c r="Q833" s="9">
        <f>IF(Auction_Sales[[#This Row],[Payment Date]]=0,"",-1+WEEKNUM(Auction_Sales[[#This Row],[Payment Date]]))</f>
        <v>2</v>
      </c>
      <c r="R833" s="9">
        <v>0</v>
      </c>
      <c r="S833" s="9" t="s">
        <v>153</v>
      </c>
      <c r="T833" s="9" t="s">
        <v>54</v>
      </c>
      <c r="U833" s="9">
        <v>400</v>
      </c>
      <c r="V833" s="13">
        <v>0.41600000000000004</v>
      </c>
      <c r="W833" s="13">
        <v>166.4</v>
      </c>
      <c r="X833" s="14">
        <v>-15.092857142857156</v>
      </c>
      <c r="Y833" s="13">
        <v>151.30714285714285</v>
      </c>
      <c r="Z833" s="10">
        <v>45308</v>
      </c>
      <c r="AA833" s="9">
        <v>0</v>
      </c>
      <c r="AC833" s="9">
        <v>423355</v>
      </c>
      <c r="AD833" s="14">
        <v>40.721428571428568</v>
      </c>
      <c r="AF833" s="14">
        <v>8</v>
      </c>
      <c r="AH833" s="14">
        <v>48.721428571428568</v>
      </c>
      <c r="AI833" s="13">
        <v>102.58571428571429</v>
      </c>
      <c r="AK833" s="9">
        <v>400</v>
      </c>
    </row>
    <row r="834" spans="1:37">
      <c r="A834" s="9">
        <v>2</v>
      </c>
      <c r="B834" s="9">
        <v>2023</v>
      </c>
      <c r="C834" s="9" t="s">
        <v>46</v>
      </c>
      <c r="D834" s="9" t="s">
        <v>47</v>
      </c>
      <c r="E834" s="9" t="s">
        <v>47</v>
      </c>
      <c r="F834" s="10">
        <v>45297</v>
      </c>
      <c r="G834" s="9" t="s">
        <v>153</v>
      </c>
      <c r="H834" s="9" t="s">
        <v>56</v>
      </c>
      <c r="I834" s="9">
        <v>1</v>
      </c>
      <c r="J834" s="9">
        <v>12</v>
      </c>
      <c r="K834" s="9">
        <v>360</v>
      </c>
      <c r="L834" s="9">
        <v>0.15</v>
      </c>
      <c r="M834" s="9">
        <v>54</v>
      </c>
      <c r="N834" s="9" t="s">
        <v>49</v>
      </c>
      <c r="Q834" s="9">
        <f>IF(Auction_Sales[[#This Row],[Payment Date]]=0,"",-1+WEEKNUM(Auction_Sales[[#This Row],[Payment Date]]))</f>
        <v>2</v>
      </c>
      <c r="R834" s="9">
        <v>360</v>
      </c>
      <c r="S834" s="9" t="s">
        <v>153</v>
      </c>
      <c r="T834" s="9" t="s">
        <v>56</v>
      </c>
      <c r="W834" s="13">
        <v>0</v>
      </c>
      <c r="X834" s="14">
        <v>0</v>
      </c>
      <c r="Y834" s="13">
        <v>0</v>
      </c>
      <c r="Z834" s="10">
        <v>45308</v>
      </c>
      <c r="AA834" s="9">
        <v>-360</v>
      </c>
      <c r="AC834" s="9">
        <v>423355</v>
      </c>
      <c r="AD834" s="14">
        <v>40.721428571428568</v>
      </c>
      <c r="AF834" s="14">
        <v>0</v>
      </c>
      <c r="AH834" s="14">
        <v>40.721428571428568</v>
      </c>
      <c r="AI834" s="13">
        <v>-40.721428571428568</v>
      </c>
      <c r="AK834" s="9">
        <v>0</v>
      </c>
    </row>
    <row r="835" spans="1:37">
      <c r="A835" s="9">
        <v>2</v>
      </c>
      <c r="B835" s="9">
        <v>2023</v>
      </c>
      <c r="C835" s="9" t="s">
        <v>46</v>
      </c>
      <c r="D835" s="9" t="s">
        <v>47</v>
      </c>
      <c r="E835" s="9" t="s">
        <v>47</v>
      </c>
      <c r="F835" s="10">
        <v>45297</v>
      </c>
      <c r="G835" s="9" t="s">
        <v>153</v>
      </c>
      <c r="H835" s="9" t="s">
        <v>48</v>
      </c>
      <c r="I835" s="9">
        <v>1</v>
      </c>
      <c r="J835" s="9">
        <v>12</v>
      </c>
      <c r="K835" s="9">
        <v>640</v>
      </c>
      <c r="L835" s="9">
        <v>0.15</v>
      </c>
      <c r="M835" s="9">
        <v>96</v>
      </c>
      <c r="N835" s="9" t="s">
        <v>49</v>
      </c>
      <c r="Q835" s="9">
        <f>IF(Auction_Sales[[#This Row],[Payment Date]]=0,"",-1+WEEKNUM(Auction_Sales[[#This Row],[Payment Date]]))</f>
        <v>2</v>
      </c>
      <c r="R835" s="9">
        <v>-80</v>
      </c>
      <c r="S835" s="9" t="s">
        <v>153</v>
      </c>
      <c r="T835" s="9" t="s">
        <v>48</v>
      </c>
      <c r="U835" s="9">
        <v>720</v>
      </c>
      <c r="V835" s="13">
        <v>0.16</v>
      </c>
      <c r="W835" s="13">
        <v>115.2</v>
      </c>
      <c r="X835" s="14">
        <v>-27.167142857142878</v>
      </c>
      <c r="Y835" s="13">
        <v>88.032857142857125</v>
      </c>
      <c r="Z835" s="10">
        <v>45308</v>
      </c>
      <c r="AA835" s="9">
        <v>80</v>
      </c>
      <c r="AC835" s="9">
        <v>423355</v>
      </c>
      <c r="AD835" s="14">
        <v>40.721428571428568</v>
      </c>
      <c r="AF835" s="14">
        <v>14.4</v>
      </c>
      <c r="AH835" s="14">
        <v>55.121428571428567</v>
      </c>
      <c r="AI835" s="13">
        <v>32.911428571428559</v>
      </c>
      <c r="AK835" s="9">
        <v>720</v>
      </c>
    </row>
    <row r="836" spans="1:37">
      <c r="A836" s="9">
        <v>2</v>
      </c>
      <c r="B836" s="9">
        <v>2023</v>
      </c>
      <c r="C836" s="9" t="s">
        <v>46</v>
      </c>
      <c r="D836" s="9" t="s">
        <v>47</v>
      </c>
      <c r="E836" s="9" t="s">
        <v>47</v>
      </c>
      <c r="F836" s="10">
        <v>45297</v>
      </c>
      <c r="G836" s="9" t="s">
        <v>154</v>
      </c>
      <c r="H836" s="9" t="s">
        <v>56</v>
      </c>
      <c r="I836" s="9">
        <v>1</v>
      </c>
      <c r="J836" s="9">
        <v>12</v>
      </c>
      <c r="K836" s="9">
        <v>200</v>
      </c>
      <c r="L836" s="9">
        <v>0.15</v>
      </c>
      <c r="M836" s="9">
        <v>30</v>
      </c>
      <c r="N836" s="9" t="s">
        <v>49</v>
      </c>
      <c r="Q836" s="9">
        <f>IF(Auction_Sales[[#This Row],[Payment Date]]=0,"",-1+WEEKNUM(Auction_Sales[[#This Row],[Payment Date]]))</f>
        <v>2</v>
      </c>
      <c r="R836" s="9">
        <v>0</v>
      </c>
      <c r="S836" s="9" t="s">
        <v>154</v>
      </c>
      <c r="T836" s="9" t="s">
        <v>56</v>
      </c>
      <c r="U836" s="9">
        <v>200</v>
      </c>
      <c r="V836" s="13">
        <v>0.36399999999999999</v>
      </c>
      <c r="W836" s="13">
        <v>72.8</v>
      </c>
      <c r="X836" s="14">
        <v>-7.5464285714285779</v>
      </c>
      <c r="Y836" s="13">
        <v>65.253571428571419</v>
      </c>
      <c r="Z836" s="10">
        <v>45308</v>
      </c>
      <c r="AA836" s="9">
        <v>0</v>
      </c>
      <c r="AC836" s="9">
        <v>423355</v>
      </c>
      <c r="AD836" s="14">
        <v>40.721428571428568</v>
      </c>
      <c r="AF836" s="14">
        <v>4</v>
      </c>
      <c r="AH836" s="14">
        <v>44.721428571428568</v>
      </c>
      <c r="AI836" s="13">
        <v>20.532142857142851</v>
      </c>
      <c r="AK836" s="9">
        <v>200</v>
      </c>
    </row>
    <row r="837" spans="1:37">
      <c r="A837" s="9">
        <v>2</v>
      </c>
      <c r="B837" s="9">
        <v>2023</v>
      </c>
      <c r="C837" s="9" t="s">
        <v>46</v>
      </c>
      <c r="D837" s="9" t="s">
        <v>47</v>
      </c>
      <c r="E837" s="9" t="s">
        <v>47</v>
      </c>
      <c r="F837" s="10">
        <v>45297</v>
      </c>
      <c r="G837" s="9" t="s">
        <v>154</v>
      </c>
      <c r="H837" s="9" t="s">
        <v>60</v>
      </c>
      <c r="I837" s="9">
        <v>1</v>
      </c>
      <c r="J837" s="9">
        <v>12</v>
      </c>
      <c r="K837" s="9">
        <v>120</v>
      </c>
      <c r="L837" s="9">
        <v>0.15</v>
      </c>
      <c r="M837" s="9">
        <v>18</v>
      </c>
      <c r="N837" s="9" t="s">
        <v>49</v>
      </c>
      <c r="Q837" s="9">
        <f>IF(Auction_Sales[[#This Row],[Payment Date]]=0,"",-1+WEEKNUM(Auction_Sales[[#This Row],[Payment Date]]))</f>
        <v>2</v>
      </c>
      <c r="R837" s="9">
        <v>0</v>
      </c>
      <c r="S837" s="9" t="s">
        <v>154</v>
      </c>
      <c r="T837" s="9" t="s">
        <v>60</v>
      </c>
      <c r="U837" s="9">
        <v>120</v>
      </c>
      <c r="V837" s="13">
        <v>0.42666666666666669</v>
      </c>
      <c r="W837" s="13">
        <v>51.2</v>
      </c>
      <c r="X837" s="14">
        <v>-4.5278571428571466</v>
      </c>
      <c r="Y837" s="13">
        <v>46.672142857142859</v>
      </c>
      <c r="Z837" s="10">
        <v>45308</v>
      </c>
      <c r="AA837" s="9">
        <v>0</v>
      </c>
      <c r="AC837" s="9">
        <v>423355</v>
      </c>
      <c r="AD837" s="14">
        <v>40.721428571428568</v>
      </c>
      <c r="AF837" s="14">
        <v>2.4</v>
      </c>
      <c r="AH837" s="14">
        <v>43.121428571428567</v>
      </c>
      <c r="AI837" s="13">
        <v>3.5507142857142924</v>
      </c>
      <c r="AK837" s="9">
        <v>120</v>
      </c>
    </row>
    <row r="838" spans="1:37">
      <c r="A838" s="9">
        <v>2</v>
      </c>
      <c r="B838" s="9">
        <v>2023</v>
      </c>
      <c r="C838" s="9" t="s">
        <v>46</v>
      </c>
      <c r="D838" s="9" t="s">
        <v>47</v>
      </c>
      <c r="E838" s="9" t="s">
        <v>47</v>
      </c>
      <c r="F838" s="10">
        <v>45297</v>
      </c>
      <c r="G838" s="9" t="s">
        <v>154</v>
      </c>
      <c r="H838" s="9" t="s">
        <v>52</v>
      </c>
      <c r="I838" s="9">
        <v>1</v>
      </c>
      <c r="J838" s="9">
        <v>9</v>
      </c>
      <c r="K838" s="9">
        <v>240</v>
      </c>
      <c r="L838" s="9">
        <v>0.15</v>
      </c>
      <c r="M838" s="9">
        <v>36</v>
      </c>
      <c r="N838" s="9" t="s">
        <v>49</v>
      </c>
      <c r="Q838" s="9">
        <f>IF(Auction_Sales[[#This Row],[Payment Date]]=0,"",-1+WEEKNUM(Auction_Sales[[#This Row],[Payment Date]]))</f>
        <v>2</v>
      </c>
      <c r="R838" s="9">
        <v>0</v>
      </c>
      <c r="S838" s="9" t="s">
        <v>154</v>
      </c>
      <c r="T838" s="9" t="s">
        <v>52</v>
      </c>
      <c r="U838" s="9">
        <v>240</v>
      </c>
      <c r="V838" s="13">
        <v>0.15666666666666668</v>
      </c>
      <c r="W838" s="13">
        <v>37.6</v>
      </c>
      <c r="X838" s="14">
        <v>-9.0557142857142932</v>
      </c>
      <c r="Y838" s="13">
        <v>28.544285714285706</v>
      </c>
      <c r="Z838" s="10">
        <v>45308</v>
      </c>
      <c r="AA838" s="9">
        <v>0</v>
      </c>
      <c r="AC838" s="9">
        <v>423355</v>
      </c>
      <c r="AD838" s="14">
        <v>30.541071428571428</v>
      </c>
      <c r="AF838" s="14">
        <v>4.8</v>
      </c>
      <c r="AH838" s="14">
        <v>35.341071428571425</v>
      </c>
      <c r="AI838" s="13">
        <v>-6.7967857142857184</v>
      </c>
      <c r="AK838" s="9">
        <v>240</v>
      </c>
    </row>
    <row r="839" spans="1:37">
      <c r="A839" s="9">
        <v>2</v>
      </c>
      <c r="B839" s="9">
        <v>2023</v>
      </c>
      <c r="C839" s="9" t="s">
        <v>46</v>
      </c>
      <c r="D839" s="9" t="s">
        <v>47</v>
      </c>
      <c r="E839" s="9" t="s">
        <v>47</v>
      </c>
      <c r="F839" s="10">
        <v>45297</v>
      </c>
      <c r="G839" s="9" t="s">
        <v>154</v>
      </c>
      <c r="H839" s="9" t="s">
        <v>54</v>
      </c>
      <c r="J839" s="9">
        <v>3</v>
      </c>
      <c r="K839" s="9">
        <v>80</v>
      </c>
      <c r="L839" s="9">
        <v>0.15</v>
      </c>
      <c r="M839" s="9">
        <v>12</v>
      </c>
      <c r="N839" s="9" t="s">
        <v>49</v>
      </c>
      <c r="Q839" s="9">
        <f>IF(Auction_Sales[[#This Row],[Payment Date]]=0,"",-1+WEEKNUM(Auction_Sales[[#This Row],[Payment Date]]))</f>
        <v>2</v>
      </c>
      <c r="R839" s="9">
        <v>-280</v>
      </c>
      <c r="S839" s="9" t="s">
        <v>154</v>
      </c>
      <c r="T839" s="9" t="s">
        <v>54</v>
      </c>
      <c r="U839" s="9">
        <v>360</v>
      </c>
      <c r="V839" s="13">
        <v>0.26222222222222225</v>
      </c>
      <c r="W839" s="13">
        <v>94.4</v>
      </c>
      <c r="X839" s="14">
        <v>-13.583571428571439</v>
      </c>
      <c r="Y839" s="13">
        <v>80.81642857142856</v>
      </c>
      <c r="Z839" s="10">
        <v>45308</v>
      </c>
      <c r="AA839" s="9">
        <v>280</v>
      </c>
      <c r="AC839" s="9">
        <v>423355</v>
      </c>
      <c r="AD839" s="14">
        <v>10.180357142857142</v>
      </c>
      <c r="AF839" s="14">
        <v>7.2</v>
      </c>
      <c r="AH839" s="14">
        <v>17.380357142857143</v>
      </c>
      <c r="AI839" s="13">
        <v>63.436071428571417</v>
      </c>
      <c r="AK839" s="9">
        <v>360</v>
      </c>
    </row>
    <row r="840" spans="1:37">
      <c r="A840" s="9">
        <v>2</v>
      </c>
      <c r="B840" s="9">
        <v>2023</v>
      </c>
      <c r="C840" s="9" t="s">
        <v>46</v>
      </c>
      <c r="D840" s="9" t="s">
        <v>47</v>
      </c>
      <c r="E840" s="9" t="s">
        <v>47</v>
      </c>
      <c r="F840" s="10">
        <v>45297</v>
      </c>
      <c r="G840" s="9" t="s">
        <v>154</v>
      </c>
      <c r="H840" s="9" t="s">
        <v>57</v>
      </c>
      <c r="I840" s="9">
        <v>1</v>
      </c>
      <c r="J840" s="9">
        <v>4</v>
      </c>
      <c r="K840" s="9">
        <v>80</v>
      </c>
      <c r="L840" s="9">
        <v>0.15</v>
      </c>
      <c r="M840" s="9">
        <v>12</v>
      </c>
      <c r="N840" s="9" t="s">
        <v>49</v>
      </c>
      <c r="Q840" s="9">
        <f>IF(Auction_Sales[[#This Row],[Payment Date]]=0,"",-1+WEEKNUM(Auction_Sales[[#This Row],[Payment Date]]))</f>
        <v>2</v>
      </c>
      <c r="R840" s="9">
        <v>0</v>
      </c>
      <c r="S840" s="9" t="s">
        <v>154</v>
      </c>
      <c r="T840" s="9" t="s">
        <v>57</v>
      </c>
      <c r="U840" s="9">
        <v>80</v>
      </c>
      <c r="V840" s="13">
        <v>0.43</v>
      </c>
      <c r="W840" s="13">
        <v>34.4</v>
      </c>
      <c r="X840" s="14">
        <v>-3.0185714285714313</v>
      </c>
      <c r="Y840" s="13">
        <v>31.381428571428568</v>
      </c>
      <c r="Z840" s="10">
        <v>45308</v>
      </c>
      <c r="AA840" s="9">
        <v>0</v>
      </c>
      <c r="AC840" s="9">
        <v>423355</v>
      </c>
      <c r="AD840" s="14">
        <v>13.573809523809524</v>
      </c>
      <c r="AF840" s="14">
        <v>1.6</v>
      </c>
      <c r="AH840" s="14">
        <v>15.173809523809524</v>
      </c>
      <c r="AI840" s="13">
        <v>16.207619047619044</v>
      </c>
      <c r="AK840" s="9">
        <v>80</v>
      </c>
    </row>
    <row r="841" spans="1:37">
      <c r="A841" s="9">
        <v>2</v>
      </c>
      <c r="B841" s="9">
        <v>2023</v>
      </c>
      <c r="C841" s="9" t="s">
        <v>46</v>
      </c>
      <c r="D841" s="9" t="s">
        <v>47</v>
      </c>
      <c r="E841" s="9" t="s">
        <v>47</v>
      </c>
      <c r="F841" s="10">
        <v>45297</v>
      </c>
      <c r="G841" s="9" t="s">
        <v>155</v>
      </c>
      <c r="H841" s="9" t="s">
        <v>56</v>
      </c>
      <c r="J841" s="9">
        <v>8</v>
      </c>
      <c r="K841" s="9">
        <v>160</v>
      </c>
      <c r="L841" s="9">
        <v>0.15</v>
      </c>
      <c r="M841" s="9">
        <v>24</v>
      </c>
      <c r="N841" s="9" t="s">
        <v>49</v>
      </c>
      <c r="Q841" s="9">
        <f>IF(Auction_Sales[[#This Row],[Payment Date]]=0,"",-1+WEEKNUM(Auction_Sales[[#This Row],[Payment Date]]))</f>
        <v>2</v>
      </c>
      <c r="R841" s="9">
        <v>160</v>
      </c>
      <c r="S841" s="9" t="s">
        <v>155</v>
      </c>
      <c r="T841" s="9" t="s">
        <v>56</v>
      </c>
      <c r="W841" s="13">
        <v>0</v>
      </c>
      <c r="X841" s="14">
        <v>0</v>
      </c>
      <c r="Y841" s="13">
        <v>0</v>
      </c>
      <c r="Z841" s="10">
        <v>45308</v>
      </c>
      <c r="AA841" s="9">
        <v>-160</v>
      </c>
      <c r="AC841" s="9">
        <v>423355</v>
      </c>
      <c r="AD841" s="14">
        <v>27.147619047619049</v>
      </c>
      <c r="AF841" s="14">
        <v>0</v>
      </c>
      <c r="AH841" s="14">
        <v>27.147619047619049</v>
      </c>
      <c r="AI841" s="13">
        <v>-27.147619047619049</v>
      </c>
      <c r="AK841" s="9">
        <v>0</v>
      </c>
    </row>
    <row r="842" spans="1:37">
      <c r="A842" s="9">
        <v>2</v>
      </c>
      <c r="B842" s="9">
        <v>2023</v>
      </c>
      <c r="C842" s="9" t="s">
        <v>46</v>
      </c>
      <c r="D842" s="9" t="s">
        <v>47</v>
      </c>
      <c r="E842" s="9" t="s">
        <v>47</v>
      </c>
      <c r="F842" s="10">
        <v>45297</v>
      </c>
      <c r="G842" s="9" t="s">
        <v>156</v>
      </c>
      <c r="H842" s="9" t="s">
        <v>54</v>
      </c>
      <c r="I842" s="9">
        <v>1</v>
      </c>
      <c r="J842" s="9">
        <v>4.8000000000000007</v>
      </c>
      <c r="K842" s="9">
        <v>80</v>
      </c>
      <c r="L842" s="9">
        <v>0.15</v>
      </c>
      <c r="M842" s="9">
        <v>12</v>
      </c>
      <c r="N842" s="9" t="s">
        <v>49</v>
      </c>
      <c r="Q842" s="9">
        <f>IF(Auction_Sales[[#This Row],[Payment Date]]=0,"",-1+WEEKNUM(Auction_Sales[[#This Row],[Payment Date]]))</f>
        <v>2</v>
      </c>
      <c r="R842" s="9">
        <v>0</v>
      </c>
      <c r="S842" s="9" t="s">
        <v>156</v>
      </c>
      <c r="T842" s="9" t="s">
        <v>54</v>
      </c>
      <c r="U842" s="9">
        <v>80</v>
      </c>
      <c r="V842" s="13">
        <v>0.82</v>
      </c>
      <c r="W842" s="13">
        <v>65.599999999999994</v>
      </c>
      <c r="X842" s="14">
        <v>-3.0185714285714313</v>
      </c>
      <c r="Y842" s="13">
        <v>62.58142857142856</v>
      </c>
      <c r="Z842" s="10">
        <v>45308</v>
      </c>
      <c r="AA842" s="9">
        <v>0</v>
      </c>
      <c r="AC842" s="9">
        <v>423355</v>
      </c>
      <c r="AD842" s="14">
        <v>16.28857142857143</v>
      </c>
      <c r="AF842" s="14">
        <v>1.6</v>
      </c>
      <c r="AH842" s="14">
        <v>17.888571428571431</v>
      </c>
      <c r="AI842" s="13">
        <v>44.692857142857129</v>
      </c>
      <c r="AK842" s="9">
        <v>80</v>
      </c>
    </row>
    <row r="843" spans="1:37">
      <c r="A843" s="9">
        <v>2</v>
      </c>
      <c r="B843" s="9">
        <v>2023</v>
      </c>
      <c r="C843" s="9" t="s">
        <v>46</v>
      </c>
      <c r="D843" s="9" t="s">
        <v>47</v>
      </c>
      <c r="E843" s="9" t="s">
        <v>47</v>
      </c>
      <c r="F843" s="10">
        <v>45297</v>
      </c>
      <c r="G843" s="9" t="s">
        <v>156</v>
      </c>
      <c r="H843" s="9" t="s">
        <v>57</v>
      </c>
      <c r="J843" s="9">
        <v>2.4000000000000004</v>
      </c>
      <c r="K843" s="9">
        <v>40</v>
      </c>
      <c r="L843" s="9">
        <v>0.15</v>
      </c>
      <c r="M843" s="9">
        <v>6</v>
      </c>
      <c r="N843" s="9" t="s">
        <v>49</v>
      </c>
      <c r="Q843" s="9">
        <f>IF(Auction_Sales[[#This Row],[Payment Date]]=0,"",-1+WEEKNUM(Auction_Sales[[#This Row],[Payment Date]]))</f>
        <v>2</v>
      </c>
      <c r="R843" s="9">
        <v>0</v>
      </c>
      <c r="S843" s="9" t="s">
        <v>156</v>
      </c>
      <c r="T843" s="9" t="s">
        <v>57</v>
      </c>
      <c r="U843" s="9">
        <v>40</v>
      </c>
      <c r="V843" s="13">
        <v>0.85</v>
      </c>
      <c r="W843" s="13">
        <v>34</v>
      </c>
      <c r="X843" s="14">
        <v>-1.5092857142857157</v>
      </c>
      <c r="Y843" s="13">
        <v>32.490714285714283</v>
      </c>
      <c r="Z843" s="10">
        <v>45308</v>
      </c>
      <c r="AA843" s="9">
        <v>0</v>
      </c>
      <c r="AC843" s="9">
        <v>423355</v>
      </c>
      <c r="AD843" s="14">
        <v>8.144285714285715</v>
      </c>
      <c r="AF843" s="14">
        <v>0.8</v>
      </c>
      <c r="AH843" s="14">
        <v>8.9442857142857157</v>
      </c>
      <c r="AI843" s="13">
        <v>23.546428571428567</v>
      </c>
      <c r="AK843" s="9">
        <v>40</v>
      </c>
    </row>
    <row r="844" spans="1:37">
      <c r="A844" s="9">
        <v>2</v>
      </c>
      <c r="B844" s="9">
        <v>2023</v>
      </c>
      <c r="C844" s="9" t="s">
        <v>46</v>
      </c>
      <c r="D844" s="9" t="s">
        <v>47</v>
      </c>
      <c r="E844" s="9" t="s">
        <v>47</v>
      </c>
      <c r="F844" s="10">
        <v>45297</v>
      </c>
      <c r="G844" s="9" t="s">
        <v>156</v>
      </c>
      <c r="H844" s="9" t="s">
        <v>60</v>
      </c>
      <c r="J844" s="9">
        <v>4.8000000000000007</v>
      </c>
      <c r="K844" s="9">
        <v>80</v>
      </c>
      <c r="L844" s="9">
        <v>0.15</v>
      </c>
      <c r="M844" s="9">
        <v>12</v>
      </c>
      <c r="N844" s="9" t="s">
        <v>49</v>
      </c>
      <c r="Q844" s="9">
        <f>IF(Auction_Sales[[#This Row],[Payment Date]]=0,"",-1+WEEKNUM(Auction_Sales[[#This Row],[Payment Date]]))</f>
        <v>2</v>
      </c>
      <c r="R844" s="9">
        <v>0</v>
      </c>
      <c r="S844" s="9" t="s">
        <v>156</v>
      </c>
      <c r="T844" s="9" t="s">
        <v>60</v>
      </c>
      <c r="U844" s="9">
        <v>80</v>
      </c>
      <c r="V844" s="13">
        <v>1.5</v>
      </c>
      <c r="W844" s="13">
        <v>120</v>
      </c>
      <c r="X844" s="14">
        <v>-3.0185714285714313</v>
      </c>
      <c r="Y844" s="13">
        <v>116.98142857142857</v>
      </c>
      <c r="Z844" s="10">
        <v>45308</v>
      </c>
      <c r="AA844" s="9">
        <v>0</v>
      </c>
      <c r="AC844" s="9">
        <v>423355</v>
      </c>
      <c r="AD844" s="14">
        <v>16.28857142857143</v>
      </c>
      <c r="AF844" s="14">
        <v>1.6</v>
      </c>
      <c r="AH844" s="14">
        <v>17.888571428571431</v>
      </c>
      <c r="AI844" s="13">
        <v>99.092857142857127</v>
      </c>
      <c r="AK844" s="9">
        <v>80</v>
      </c>
    </row>
    <row r="845" spans="1:37">
      <c r="A845" s="9">
        <v>2</v>
      </c>
      <c r="B845" s="9">
        <v>2023</v>
      </c>
      <c r="C845" s="9" t="s">
        <v>46</v>
      </c>
      <c r="D845" s="9" t="s">
        <v>47</v>
      </c>
      <c r="E845" s="9" t="s">
        <v>47</v>
      </c>
      <c r="F845" s="10">
        <v>45297</v>
      </c>
      <c r="G845" s="9" t="s">
        <v>153</v>
      </c>
      <c r="H845" s="9" t="s">
        <v>56</v>
      </c>
      <c r="I845" s="9">
        <v>1</v>
      </c>
      <c r="J845" s="9">
        <v>4.8000000000000007</v>
      </c>
      <c r="K845" s="9">
        <v>160</v>
      </c>
      <c r="L845" s="9">
        <v>0.15</v>
      </c>
      <c r="M845" s="9">
        <v>24</v>
      </c>
      <c r="N845" s="9" t="s">
        <v>49</v>
      </c>
      <c r="Q845" s="9">
        <f>IF(Auction_Sales[[#This Row],[Payment Date]]=0,"",-1+WEEKNUM(Auction_Sales[[#This Row],[Payment Date]]))</f>
        <v>2</v>
      </c>
      <c r="R845" s="9">
        <v>-360</v>
      </c>
      <c r="S845" s="9" t="s">
        <v>153</v>
      </c>
      <c r="T845" s="9" t="s">
        <v>56</v>
      </c>
      <c r="U845" s="9">
        <v>520</v>
      </c>
      <c r="V845" s="13">
        <v>0.48384615384615381</v>
      </c>
      <c r="W845" s="13">
        <v>251.6</v>
      </c>
      <c r="X845" s="14">
        <v>-19.6207142857143</v>
      </c>
      <c r="Y845" s="13">
        <v>231.97928571428571</v>
      </c>
      <c r="Z845" s="10">
        <v>45308</v>
      </c>
      <c r="AA845" s="9">
        <v>360</v>
      </c>
      <c r="AC845" s="9">
        <v>423355</v>
      </c>
      <c r="AD845" s="14">
        <v>16.28857142857143</v>
      </c>
      <c r="AF845" s="14">
        <v>10.4</v>
      </c>
      <c r="AH845" s="14">
        <v>26.688571428571429</v>
      </c>
      <c r="AI845" s="13">
        <v>205.29071428571427</v>
      </c>
      <c r="AK845" s="9">
        <v>520</v>
      </c>
    </row>
    <row r="846" spans="1:37">
      <c r="A846" s="9">
        <v>2</v>
      </c>
      <c r="B846" s="9">
        <v>2023</v>
      </c>
      <c r="C846" s="9" t="s">
        <v>46</v>
      </c>
      <c r="D846" s="9" t="s">
        <v>47</v>
      </c>
      <c r="E846" s="9" t="s">
        <v>47</v>
      </c>
      <c r="F846" s="10">
        <v>45297</v>
      </c>
      <c r="G846" s="9" t="s">
        <v>153</v>
      </c>
      <c r="H846" s="9" t="s">
        <v>57</v>
      </c>
      <c r="J846" s="9">
        <v>4.8000000000000007</v>
      </c>
      <c r="K846" s="9">
        <v>160</v>
      </c>
      <c r="L846" s="9">
        <v>0.15</v>
      </c>
      <c r="M846" s="9">
        <v>24</v>
      </c>
      <c r="N846" s="9" t="s">
        <v>49</v>
      </c>
      <c r="Q846" s="9">
        <f>IF(Auction_Sales[[#This Row],[Payment Date]]=0,"",-1+WEEKNUM(Auction_Sales[[#This Row],[Payment Date]]))</f>
        <v>2</v>
      </c>
      <c r="R846" s="9">
        <v>0</v>
      </c>
      <c r="S846" s="9" t="s">
        <v>153</v>
      </c>
      <c r="T846" s="9" t="s">
        <v>57</v>
      </c>
      <c r="U846" s="9">
        <v>160</v>
      </c>
      <c r="V846" s="13">
        <v>0.45</v>
      </c>
      <c r="W846" s="13">
        <v>72</v>
      </c>
      <c r="X846" s="14">
        <v>-6.0371428571428627</v>
      </c>
      <c r="Y846" s="13">
        <v>65.962857142857132</v>
      </c>
      <c r="Z846" s="10">
        <v>45308</v>
      </c>
      <c r="AA846" s="9">
        <v>0</v>
      </c>
      <c r="AC846" s="9">
        <v>423355</v>
      </c>
      <c r="AD846" s="14">
        <v>16.28857142857143</v>
      </c>
      <c r="AF846" s="14">
        <v>3.2</v>
      </c>
      <c r="AH846" s="14">
        <v>19.488571428571429</v>
      </c>
      <c r="AI846" s="13">
        <v>46.474285714285699</v>
      </c>
      <c r="AK846" s="9">
        <v>160</v>
      </c>
    </row>
    <row r="847" spans="1:37">
      <c r="A847" s="9">
        <v>2</v>
      </c>
      <c r="B847" s="9">
        <v>2023</v>
      </c>
      <c r="C847" s="9" t="s">
        <v>46</v>
      </c>
      <c r="D847" s="9" t="s">
        <v>47</v>
      </c>
      <c r="E847" s="9" t="s">
        <v>47</v>
      </c>
      <c r="F847" s="10">
        <v>45297</v>
      </c>
      <c r="G847" s="9" t="s">
        <v>153</v>
      </c>
      <c r="H847" s="9" t="s">
        <v>60</v>
      </c>
      <c r="J847" s="9">
        <v>2.4000000000000004</v>
      </c>
      <c r="K847" s="9">
        <v>80</v>
      </c>
      <c r="L847" s="9">
        <v>0.15</v>
      </c>
      <c r="M847" s="9">
        <v>12</v>
      </c>
      <c r="N847" s="9" t="s">
        <v>49</v>
      </c>
      <c r="Q847" s="9">
        <f>IF(Auction_Sales[[#This Row],[Payment Date]]=0,"",-1+WEEKNUM(Auction_Sales[[#This Row],[Payment Date]]))</f>
        <v>2</v>
      </c>
      <c r="R847" s="9">
        <v>0</v>
      </c>
      <c r="S847" s="9" t="s">
        <v>153</v>
      </c>
      <c r="T847" s="9" t="s">
        <v>60</v>
      </c>
      <c r="U847" s="9">
        <v>80</v>
      </c>
      <c r="V847" s="13">
        <v>0.45</v>
      </c>
      <c r="W847" s="13">
        <v>36</v>
      </c>
      <c r="X847" s="14">
        <v>-3.0185714285714313</v>
      </c>
      <c r="Y847" s="13">
        <v>32.981428571428566</v>
      </c>
      <c r="Z847" s="10">
        <v>45308</v>
      </c>
      <c r="AA847" s="9">
        <v>0</v>
      </c>
      <c r="AC847" s="9">
        <v>423355</v>
      </c>
      <c r="AD847" s="14">
        <v>8.144285714285715</v>
      </c>
      <c r="AF847" s="14">
        <v>1.6</v>
      </c>
      <c r="AH847" s="14">
        <v>9.7442857142857147</v>
      </c>
      <c r="AI847" s="13">
        <v>23.23714285714285</v>
      </c>
      <c r="AK847" s="9">
        <v>80</v>
      </c>
    </row>
    <row r="848" spans="1:37">
      <c r="A848" s="9">
        <v>2</v>
      </c>
      <c r="B848" s="9">
        <v>2023</v>
      </c>
      <c r="C848" s="9" t="s">
        <v>46</v>
      </c>
      <c r="D848" s="9" t="s">
        <v>47</v>
      </c>
      <c r="E848" s="9" t="s">
        <v>47</v>
      </c>
      <c r="F848" s="10">
        <v>45297</v>
      </c>
      <c r="G848" s="9" t="s">
        <v>155</v>
      </c>
      <c r="H848" s="9" t="s">
        <v>52</v>
      </c>
      <c r="I848" s="9">
        <v>1</v>
      </c>
      <c r="J848" s="9">
        <v>3</v>
      </c>
      <c r="K848" s="9">
        <v>80</v>
      </c>
      <c r="L848" s="9">
        <v>0.15</v>
      </c>
      <c r="M848" s="9">
        <v>12</v>
      </c>
      <c r="N848" s="9" t="s">
        <v>49</v>
      </c>
      <c r="Q848" s="9">
        <f>IF(Auction_Sales[[#This Row],[Payment Date]]=0,"",-1+WEEKNUM(Auction_Sales[[#This Row],[Payment Date]]))</f>
        <v>2</v>
      </c>
      <c r="R848" s="9">
        <v>0</v>
      </c>
      <c r="S848" s="9" t="s">
        <v>155</v>
      </c>
      <c r="T848" s="9" t="s">
        <v>52</v>
      </c>
      <c r="U848" s="9">
        <v>80</v>
      </c>
      <c r="V848" s="13">
        <v>0.29500000000000004</v>
      </c>
      <c r="W848" s="13">
        <v>23.6</v>
      </c>
      <c r="X848" s="14">
        <v>-3.0185714285714313</v>
      </c>
      <c r="Y848" s="13">
        <v>20.581428571428571</v>
      </c>
      <c r="Z848" s="10">
        <v>45308</v>
      </c>
      <c r="AA848" s="9">
        <v>0</v>
      </c>
      <c r="AC848" s="9">
        <v>423355</v>
      </c>
      <c r="AD848" s="14">
        <v>10.180357142857142</v>
      </c>
      <c r="AF848" s="14">
        <v>1.6</v>
      </c>
      <c r="AH848" s="14">
        <v>11.780357142857142</v>
      </c>
      <c r="AI848" s="13">
        <v>8.8010714285714293</v>
      </c>
      <c r="AK848" s="9">
        <v>80</v>
      </c>
    </row>
    <row r="849" spans="1:37">
      <c r="A849" s="9">
        <v>2</v>
      </c>
      <c r="B849" s="9">
        <v>2023</v>
      </c>
      <c r="C849" s="9" t="s">
        <v>46</v>
      </c>
      <c r="D849" s="9" t="s">
        <v>47</v>
      </c>
      <c r="E849" s="9" t="s">
        <v>47</v>
      </c>
      <c r="F849" s="10">
        <v>45297</v>
      </c>
      <c r="G849" s="9" t="s">
        <v>155</v>
      </c>
      <c r="H849" s="9" t="s">
        <v>54</v>
      </c>
      <c r="J849" s="9">
        <v>9</v>
      </c>
      <c r="K849" s="9">
        <v>240</v>
      </c>
      <c r="L849" s="9">
        <v>0.15</v>
      </c>
      <c r="M849" s="9">
        <v>36</v>
      </c>
      <c r="N849" s="9" t="s">
        <v>49</v>
      </c>
      <c r="Q849" s="9">
        <f>IF(Auction_Sales[[#This Row],[Payment Date]]=0,"",-1+WEEKNUM(Auction_Sales[[#This Row],[Payment Date]]))</f>
        <v>2</v>
      </c>
      <c r="R849" s="9">
        <v>-720</v>
      </c>
      <c r="S849" s="9" t="s">
        <v>155</v>
      </c>
      <c r="T849" s="9" t="s">
        <v>54</v>
      </c>
      <c r="U849" s="9">
        <v>960</v>
      </c>
      <c r="V849" s="13">
        <v>0.25</v>
      </c>
      <c r="W849" s="13">
        <v>240</v>
      </c>
      <c r="X849" s="14">
        <v>-36.222857142857173</v>
      </c>
      <c r="Y849" s="13">
        <v>203.77714285714282</v>
      </c>
      <c r="Z849" s="10">
        <v>45308</v>
      </c>
      <c r="AA849" s="9">
        <v>720</v>
      </c>
      <c r="AC849" s="9">
        <v>423355</v>
      </c>
      <c r="AD849" s="14">
        <v>30.541071428571428</v>
      </c>
      <c r="AF849" s="14">
        <v>19.2</v>
      </c>
      <c r="AH849" s="14">
        <v>49.741071428571431</v>
      </c>
      <c r="AI849" s="13">
        <v>154.0360714285714</v>
      </c>
      <c r="AK849" s="9">
        <v>960</v>
      </c>
    </row>
    <row r="850" spans="1:37">
      <c r="A850" s="9">
        <v>2</v>
      </c>
      <c r="B850" s="9">
        <v>2023</v>
      </c>
      <c r="C850" s="9" t="s">
        <v>46</v>
      </c>
      <c r="D850" s="9" t="s">
        <v>47</v>
      </c>
      <c r="E850" s="9" t="s">
        <v>47</v>
      </c>
      <c r="F850" s="10">
        <v>45297</v>
      </c>
      <c r="G850" s="9" t="s">
        <v>153</v>
      </c>
      <c r="H850" s="9" t="s">
        <v>52</v>
      </c>
      <c r="I850" s="9">
        <v>1</v>
      </c>
      <c r="J850" s="9">
        <v>6</v>
      </c>
      <c r="K850" s="9">
        <v>200</v>
      </c>
      <c r="L850" s="9">
        <v>0.15</v>
      </c>
      <c r="M850" s="9">
        <v>30</v>
      </c>
      <c r="N850" s="9" t="s">
        <v>49</v>
      </c>
      <c r="Q850" s="9">
        <f>IF(Auction_Sales[[#This Row],[Payment Date]]=0,"",-1+WEEKNUM(Auction_Sales[[#This Row],[Payment Date]]))</f>
        <v>2</v>
      </c>
      <c r="R850" s="9">
        <v>-1040</v>
      </c>
      <c r="S850" s="9" t="s">
        <v>153</v>
      </c>
      <c r="T850" s="9" t="s">
        <v>52</v>
      </c>
      <c r="U850" s="9">
        <v>1240</v>
      </c>
      <c r="V850" s="13">
        <v>0.32387096774193552</v>
      </c>
      <c r="W850" s="13">
        <v>401.6</v>
      </c>
      <c r="X850" s="14">
        <v>-46.787857142857185</v>
      </c>
      <c r="Y850" s="13">
        <v>354.81214285714282</v>
      </c>
      <c r="Z850" s="10">
        <v>45308</v>
      </c>
      <c r="AA850" s="9">
        <v>1040</v>
      </c>
      <c r="AC850" s="9">
        <v>423355</v>
      </c>
      <c r="AD850" s="14">
        <v>20.360714285714284</v>
      </c>
      <c r="AF850" s="14">
        <v>24.8</v>
      </c>
      <c r="AH850" s="14">
        <v>45.160714285714285</v>
      </c>
      <c r="AI850" s="13">
        <v>309.65142857142854</v>
      </c>
      <c r="AK850" s="9">
        <v>1240</v>
      </c>
    </row>
    <row r="851" spans="1:37">
      <c r="A851" s="9">
        <v>2</v>
      </c>
      <c r="B851" s="9">
        <v>2023</v>
      </c>
      <c r="C851" s="9" t="s">
        <v>46</v>
      </c>
      <c r="D851" s="9" t="s">
        <v>47</v>
      </c>
      <c r="E851" s="9" t="s">
        <v>47</v>
      </c>
      <c r="F851" s="10">
        <v>45297</v>
      </c>
      <c r="G851" s="9" t="s">
        <v>157</v>
      </c>
      <c r="H851" s="9" t="s">
        <v>52</v>
      </c>
      <c r="J851" s="9">
        <v>4.8000000000000007</v>
      </c>
      <c r="K851" s="9">
        <v>160</v>
      </c>
      <c r="L851" s="9">
        <v>0.15</v>
      </c>
      <c r="M851" s="9">
        <v>24</v>
      </c>
      <c r="N851" s="9" t="s">
        <v>49</v>
      </c>
      <c r="Q851" s="9">
        <f>IF(Auction_Sales[[#This Row],[Payment Date]]=0,"",-1+WEEKNUM(Auction_Sales[[#This Row],[Payment Date]]))</f>
        <v>2</v>
      </c>
      <c r="R851" s="9">
        <v>0</v>
      </c>
      <c r="S851" s="9" t="s">
        <v>157</v>
      </c>
      <c r="T851" s="9" t="s">
        <v>52</v>
      </c>
      <c r="U851" s="9">
        <v>160</v>
      </c>
      <c r="V851" s="13">
        <v>0.29749999999999999</v>
      </c>
      <c r="W851" s="13">
        <v>47.599999999999994</v>
      </c>
      <c r="X851" s="14">
        <v>-6.0371428571428627</v>
      </c>
      <c r="Y851" s="13">
        <v>41.562857142857133</v>
      </c>
      <c r="Z851" s="10">
        <v>45308</v>
      </c>
      <c r="AA851" s="9">
        <v>0</v>
      </c>
      <c r="AC851" s="9">
        <v>423355</v>
      </c>
      <c r="AD851" s="14">
        <v>16.28857142857143</v>
      </c>
      <c r="AF851" s="14">
        <v>3.2</v>
      </c>
      <c r="AH851" s="14">
        <v>19.488571428571429</v>
      </c>
      <c r="AI851" s="13">
        <v>22.074285714285704</v>
      </c>
      <c r="AK851" s="9">
        <v>160</v>
      </c>
    </row>
    <row r="852" spans="1:37">
      <c r="A852" s="9">
        <v>2</v>
      </c>
      <c r="B852" s="9">
        <v>2023</v>
      </c>
      <c r="C852" s="9" t="s">
        <v>46</v>
      </c>
      <c r="D852" s="9" t="s">
        <v>47</v>
      </c>
      <c r="E852" s="9" t="s">
        <v>47</v>
      </c>
      <c r="F852" s="10">
        <v>45297</v>
      </c>
      <c r="G852" s="9" t="s">
        <v>157</v>
      </c>
      <c r="H852" s="9" t="s">
        <v>54</v>
      </c>
      <c r="J852" s="9">
        <v>1.2000000000000002</v>
      </c>
      <c r="K852" s="9">
        <v>40</v>
      </c>
      <c r="L852" s="9">
        <v>0.15</v>
      </c>
      <c r="M852" s="9">
        <v>6</v>
      </c>
      <c r="N852" s="9" t="s">
        <v>49</v>
      </c>
      <c r="Q852" s="9">
        <f>IF(Auction_Sales[[#This Row],[Payment Date]]=0,"",-1+WEEKNUM(Auction_Sales[[#This Row],[Payment Date]]))</f>
        <v>2</v>
      </c>
      <c r="R852" s="9">
        <v>0</v>
      </c>
      <c r="S852" s="9" t="s">
        <v>157</v>
      </c>
      <c r="T852" s="9" t="s">
        <v>54</v>
      </c>
      <c r="U852" s="9">
        <v>40</v>
      </c>
      <c r="V852" s="13">
        <v>0.55000000000000004</v>
      </c>
      <c r="W852" s="13">
        <v>22</v>
      </c>
      <c r="X852" s="14">
        <v>-1.5092857142857157</v>
      </c>
      <c r="Y852" s="13">
        <v>20.490714285714283</v>
      </c>
      <c r="Z852" s="10">
        <v>45308</v>
      </c>
      <c r="AA852" s="9">
        <v>0</v>
      </c>
      <c r="AC852" s="9">
        <v>423355</v>
      </c>
      <c r="AD852" s="14">
        <v>4.0721428571428575</v>
      </c>
      <c r="AF852" s="14">
        <v>0.8</v>
      </c>
      <c r="AH852" s="14">
        <v>4.8721428571428573</v>
      </c>
      <c r="AI852" s="13">
        <v>15.618571428571425</v>
      </c>
      <c r="AK852" s="9">
        <v>40</v>
      </c>
    </row>
    <row r="853" spans="1:37">
      <c r="A853" s="9">
        <v>2</v>
      </c>
      <c r="B853" s="9">
        <v>2023</v>
      </c>
      <c r="C853" s="9" t="s">
        <v>46</v>
      </c>
      <c r="D853" s="9" t="s">
        <v>47</v>
      </c>
      <c r="E853" s="9" t="s">
        <v>47</v>
      </c>
      <c r="F853" s="10">
        <v>45299</v>
      </c>
      <c r="G853" s="9" t="s">
        <v>155</v>
      </c>
      <c r="H853" s="9" t="s">
        <v>52</v>
      </c>
      <c r="I853" s="9">
        <v>5</v>
      </c>
      <c r="J853" s="9">
        <v>60</v>
      </c>
      <c r="K853" s="9">
        <v>1600</v>
      </c>
      <c r="L853" s="9">
        <v>0.15</v>
      </c>
      <c r="M853" s="9">
        <v>240</v>
      </c>
      <c r="N853" s="9" t="s">
        <v>49</v>
      </c>
      <c r="Q853" s="9">
        <f>IF(Auction_Sales[[#This Row],[Payment Date]]=0,"",-1+WEEKNUM(Auction_Sales[[#This Row],[Payment Date]]))</f>
        <v>2</v>
      </c>
      <c r="R853" s="9">
        <v>320</v>
      </c>
      <c r="S853" s="9" t="s">
        <v>155</v>
      </c>
      <c r="T853" s="9" t="s">
        <v>52</v>
      </c>
      <c r="U853" s="9">
        <v>1280</v>
      </c>
      <c r="V853" s="13">
        <v>0.3725</v>
      </c>
      <c r="W853" s="13">
        <v>476.8</v>
      </c>
      <c r="X853" s="14">
        <v>-51.311471471471478</v>
      </c>
      <c r="Y853" s="13">
        <v>425.48852852852855</v>
      </c>
      <c r="Z853" s="10">
        <v>45308</v>
      </c>
      <c r="AA853" s="9">
        <v>-320</v>
      </c>
      <c r="AC853" s="9" t="s">
        <v>87</v>
      </c>
      <c r="AD853" s="14">
        <v>184.65930232558139</v>
      </c>
      <c r="AF853" s="14">
        <v>25.6</v>
      </c>
      <c r="AH853" s="14">
        <v>210.25930232558139</v>
      </c>
      <c r="AI853" s="13">
        <v>215.22922620294716</v>
      </c>
      <c r="AK853" s="9">
        <v>1280</v>
      </c>
    </row>
    <row r="854" spans="1:37">
      <c r="A854" s="9">
        <v>2</v>
      </c>
      <c r="B854" s="9">
        <v>2023</v>
      </c>
      <c r="C854" s="9" t="s">
        <v>46</v>
      </c>
      <c r="D854" s="9" t="s">
        <v>47</v>
      </c>
      <c r="E854" s="9" t="s">
        <v>47</v>
      </c>
      <c r="F854" s="10">
        <v>45299</v>
      </c>
      <c r="G854" s="9" t="s">
        <v>155</v>
      </c>
      <c r="H854" s="9" t="s">
        <v>52</v>
      </c>
      <c r="I854" s="9">
        <v>1</v>
      </c>
      <c r="J854" s="9">
        <v>12</v>
      </c>
      <c r="K854" s="9">
        <v>280</v>
      </c>
      <c r="L854" s="9">
        <v>0.15</v>
      </c>
      <c r="M854" s="9">
        <v>42</v>
      </c>
      <c r="N854" s="9" t="s">
        <v>49</v>
      </c>
      <c r="Q854" s="9">
        <f>IF(Auction_Sales[[#This Row],[Payment Date]]=0,"",-1+WEEKNUM(Auction_Sales[[#This Row],[Payment Date]]))</f>
        <v>2</v>
      </c>
      <c r="R854" s="9">
        <v>-680</v>
      </c>
      <c r="S854" s="9" t="s">
        <v>155</v>
      </c>
      <c r="T854" s="9" t="s">
        <v>52</v>
      </c>
      <c r="U854" s="9">
        <v>960</v>
      </c>
      <c r="V854" s="13">
        <v>0.44916666666666666</v>
      </c>
      <c r="W854" s="13">
        <v>431.2</v>
      </c>
      <c r="X854" s="14">
        <v>-38.483603603603605</v>
      </c>
      <c r="Y854" s="13">
        <v>392.71639639639636</v>
      </c>
      <c r="Z854" s="10">
        <v>45308</v>
      </c>
      <c r="AA854" s="9">
        <v>680</v>
      </c>
      <c r="AC854" s="9" t="s">
        <v>87</v>
      </c>
      <c r="AD854" s="14">
        <v>36.93186046511628</v>
      </c>
      <c r="AF854" s="14">
        <v>19.2</v>
      </c>
      <c r="AH854" s="14">
        <v>56.131860465116276</v>
      </c>
      <c r="AI854" s="13">
        <v>336.58453593128007</v>
      </c>
      <c r="AK854" s="9">
        <v>960</v>
      </c>
    </row>
    <row r="855" spans="1:37">
      <c r="A855" s="9">
        <v>2</v>
      </c>
      <c r="B855" s="9">
        <v>2023</v>
      </c>
      <c r="C855" s="9" t="s">
        <v>46</v>
      </c>
      <c r="D855" s="9" t="s">
        <v>47</v>
      </c>
      <c r="E855" s="9" t="s">
        <v>47</v>
      </c>
      <c r="F855" s="10">
        <v>45299</v>
      </c>
      <c r="G855" s="9" t="s">
        <v>155</v>
      </c>
      <c r="H855" s="9" t="s">
        <v>54</v>
      </c>
      <c r="I855" s="9">
        <v>4</v>
      </c>
      <c r="J855" s="9">
        <v>48</v>
      </c>
      <c r="K855" s="9">
        <v>1120</v>
      </c>
      <c r="L855" s="9">
        <v>0.15</v>
      </c>
      <c r="M855" s="9">
        <v>168</v>
      </c>
      <c r="N855" s="9" t="s">
        <v>49</v>
      </c>
      <c r="Q855" s="9">
        <f>IF(Auction_Sales[[#This Row],[Payment Date]]=0,"",-1+WEEKNUM(Auction_Sales[[#This Row],[Payment Date]]))</f>
        <v>2</v>
      </c>
      <c r="R855" s="9">
        <v>-160</v>
      </c>
      <c r="S855" s="9" t="s">
        <v>155</v>
      </c>
      <c r="T855" s="9" t="s">
        <v>54</v>
      </c>
      <c r="U855" s="9">
        <v>1280</v>
      </c>
      <c r="V855" s="13">
        <v>0.38593749999999999</v>
      </c>
      <c r="W855" s="13">
        <v>494</v>
      </c>
      <c r="X855" s="14">
        <v>-51.311471471471478</v>
      </c>
      <c r="Y855" s="13">
        <v>442.68852852852854</v>
      </c>
      <c r="Z855" s="10">
        <v>45308</v>
      </c>
      <c r="AA855" s="9">
        <v>160</v>
      </c>
      <c r="AC855" s="9" t="s">
        <v>87</v>
      </c>
      <c r="AD855" s="14">
        <v>147.72744186046512</v>
      </c>
      <c r="AF855" s="14">
        <v>25.6</v>
      </c>
      <c r="AH855" s="14">
        <v>173.32744186046511</v>
      </c>
      <c r="AI855" s="13">
        <v>269.36108666806342</v>
      </c>
      <c r="AK855" s="9">
        <v>1280</v>
      </c>
    </row>
    <row r="856" spans="1:37">
      <c r="A856" s="9">
        <v>2</v>
      </c>
      <c r="B856" s="9">
        <v>2023</v>
      </c>
      <c r="C856" s="9" t="s">
        <v>46</v>
      </c>
      <c r="D856" s="9" t="s">
        <v>47</v>
      </c>
      <c r="E856" s="9" t="s">
        <v>47</v>
      </c>
      <c r="F856" s="10">
        <v>45299</v>
      </c>
      <c r="G856" s="9" t="s">
        <v>155</v>
      </c>
      <c r="H856" s="9" t="s">
        <v>54</v>
      </c>
      <c r="I856" s="9">
        <v>1</v>
      </c>
      <c r="J856" s="9">
        <v>12</v>
      </c>
      <c r="K856" s="9">
        <v>240</v>
      </c>
      <c r="L856" s="9">
        <v>0.15</v>
      </c>
      <c r="M856" s="9">
        <v>36</v>
      </c>
      <c r="N856" s="9" t="s">
        <v>49</v>
      </c>
      <c r="Q856" s="9">
        <f>IF(Auction_Sales[[#This Row],[Payment Date]]=0,"",-1+WEEKNUM(Auction_Sales[[#This Row],[Payment Date]]))</f>
        <v>2</v>
      </c>
      <c r="R856" s="9">
        <v>240</v>
      </c>
      <c r="S856" s="9" t="s">
        <v>155</v>
      </c>
      <c r="T856" s="9" t="s">
        <v>54</v>
      </c>
      <c r="W856" s="13">
        <v>0</v>
      </c>
      <c r="X856" s="14">
        <v>0</v>
      </c>
      <c r="Y856" s="13">
        <v>0</v>
      </c>
      <c r="Z856" s="10">
        <v>45308</v>
      </c>
      <c r="AA856" s="9">
        <v>-240</v>
      </c>
      <c r="AC856" s="9" t="s">
        <v>87</v>
      </c>
      <c r="AD856" s="14">
        <v>36.93186046511628</v>
      </c>
      <c r="AF856" s="14">
        <v>0</v>
      </c>
      <c r="AH856" s="14">
        <v>36.93186046511628</v>
      </c>
      <c r="AI856" s="13">
        <v>-36.93186046511628</v>
      </c>
      <c r="AK856" s="9">
        <v>0</v>
      </c>
    </row>
    <row r="857" spans="1:37">
      <c r="A857" s="9">
        <v>2</v>
      </c>
      <c r="B857" s="9">
        <v>2023</v>
      </c>
      <c r="C857" s="9" t="s">
        <v>46</v>
      </c>
      <c r="D857" s="9" t="s">
        <v>47</v>
      </c>
      <c r="E857" s="9" t="s">
        <v>47</v>
      </c>
      <c r="F857" s="10">
        <v>45299</v>
      </c>
      <c r="G857" s="9" t="s">
        <v>155</v>
      </c>
      <c r="H857" s="9" t="s">
        <v>56</v>
      </c>
      <c r="I857" s="9">
        <v>4</v>
      </c>
      <c r="J857" s="9">
        <v>48</v>
      </c>
      <c r="K857" s="9">
        <v>960</v>
      </c>
      <c r="L857" s="9">
        <v>0.15</v>
      </c>
      <c r="M857" s="9">
        <v>144</v>
      </c>
      <c r="N857" s="9" t="s">
        <v>49</v>
      </c>
      <c r="Q857" s="9">
        <f>IF(Auction_Sales[[#This Row],[Payment Date]]=0,"",-1+WEEKNUM(Auction_Sales[[#This Row],[Payment Date]]))</f>
        <v>2</v>
      </c>
      <c r="R857" s="9">
        <v>0</v>
      </c>
      <c r="S857" s="9" t="s">
        <v>155</v>
      </c>
      <c r="T857" s="9" t="s">
        <v>56</v>
      </c>
      <c r="U857" s="9">
        <v>960</v>
      </c>
      <c r="V857" s="13">
        <v>0.50416666666666665</v>
      </c>
      <c r="W857" s="13">
        <v>484</v>
      </c>
      <c r="X857" s="14">
        <v>-38.483603603603605</v>
      </c>
      <c r="Y857" s="13">
        <v>445.51639639639637</v>
      </c>
      <c r="Z857" s="10">
        <v>45308</v>
      </c>
      <c r="AA857" s="9">
        <v>0</v>
      </c>
      <c r="AC857" s="9" t="s">
        <v>87</v>
      </c>
      <c r="AD857" s="14">
        <v>147.72744186046512</v>
      </c>
      <c r="AF857" s="14">
        <v>19.2</v>
      </c>
      <c r="AH857" s="14">
        <v>166.92744186046511</v>
      </c>
      <c r="AI857" s="13">
        <v>278.58895453593129</v>
      </c>
      <c r="AK857" s="9">
        <v>960</v>
      </c>
    </row>
    <row r="858" spans="1:37">
      <c r="A858" s="9">
        <v>2</v>
      </c>
      <c r="B858" s="9">
        <v>2023</v>
      </c>
      <c r="C858" s="9" t="s">
        <v>46</v>
      </c>
      <c r="D858" s="9" t="s">
        <v>47</v>
      </c>
      <c r="E858" s="9" t="s">
        <v>47</v>
      </c>
      <c r="F858" s="10">
        <v>45299</v>
      </c>
      <c r="G858" s="9" t="s">
        <v>155</v>
      </c>
      <c r="H858" s="9" t="s">
        <v>57</v>
      </c>
      <c r="I858" s="9">
        <v>3</v>
      </c>
      <c r="J858" s="9">
        <v>36</v>
      </c>
      <c r="K858" s="9">
        <v>600</v>
      </c>
      <c r="L858" s="9">
        <v>0.15</v>
      </c>
      <c r="M858" s="9">
        <v>90</v>
      </c>
      <c r="N858" s="9" t="s">
        <v>49</v>
      </c>
      <c r="Q858" s="9">
        <f>IF(Auction_Sales[[#This Row],[Payment Date]]=0,"",-1+WEEKNUM(Auction_Sales[[#This Row],[Payment Date]]))</f>
        <v>2</v>
      </c>
      <c r="R858" s="9">
        <v>-80</v>
      </c>
      <c r="S858" s="9" t="s">
        <v>155</v>
      </c>
      <c r="T858" s="9" t="s">
        <v>57</v>
      </c>
      <c r="U858" s="9">
        <v>680</v>
      </c>
      <c r="V858" s="13">
        <v>0.40941176470588231</v>
      </c>
      <c r="W858" s="13">
        <v>278.39999999999998</v>
      </c>
      <c r="X858" s="14">
        <v>-27.259219219219222</v>
      </c>
      <c r="Y858" s="13">
        <v>251.14078078078074</v>
      </c>
      <c r="Z858" s="10">
        <v>45308</v>
      </c>
      <c r="AA858" s="9">
        <v>80</v>
      </c>
      <c r="AC858" s="9" t="s">
        <v>87</v>
      </c>
      <c r="AD858" s="14">
        <v>110.79558139534883</v>
      </c>
      <c r="AF858" s="14">
        <v>13.6</v>
      </c>
      <c r="AH858" s="14">
        <v>124.39558139534883</v>
      </c>
      <c r="AI858" s="13">
        <v>126.74519938543192</v>
      </c>
      <c r="AK858" s="9">
        <v>680</v>
      </c>
    </row>
    <row r="859" spans="1:37">
      <c r="A859" s="9">
        <v>2</v>
      </c>
      <c r="B859" s="9">
        <v>2023</v>
      </c>
      <c r="C859" s="9" t="s">
        <v>46</v>
      </c>
      <c r="D859" s="9" t="s">
        <v>47</v>
      </c>
      <c r="E859" s="9" t="s">
        <v>47</v>
      </c>
      <c r="F859" s="10">
        <v>45299</v>
      </c>
      <c r="G859" s="9" t="s">
        <v>155</v>
      </c>
      <c r="H859" s="9" t="s">
        <v>60</v>
      </c>
      <c r="I859" s="9">
        <v>3</v>
      </c>
      <c r="J859" s="9">
        <v>36</v>
      </c>
      <c r="K859" s="9">
        <v>480</v>
      </c>
      <c r="L859" s="9">
        <v>0.15</v>
      </c>
      <c r="M859" s="9">
        <v>72</v>
      </c>
      <c r="N859" s="9" t="s">
        <v>49</v>
      </c>
      <c r="Q859" s="9">
        <f>IF(Auction_Sales[[#This Row],[Payment Date]]=0,"",-1+WEEKNUM(Auction_Sales[[#This Row],[Payment Date]]))</f>
        <v>2</v>
      </c>
      <c r="R859" s="9">
        <v>-80</v>
      </c>
      <c r="S859" s="9" t="s">
        <v>155</v>
      </c>
      <c r="T859" s="9" t="s">
        <v>60</v>
      </c>
      <c r="U859" s="9">
        <v>560</v>
      </c>
      <c r="V859" s="13">
        <v>0.62</v>
      </c>
      <c r="W859" s="13">
        <v>347.2</v>
      </c>
      <c r="X859" s="14">
        <v>-22.448768768768772</v>
      </c>
      <c r="Y859" s="13">
        <v>324.7512312312312</v>
      </c>
      <c r="Z859" s="10">
        <v>45308</v>
      </c>
      <c r="AA859" s="9">
        <v>80</v>
      </c>
      <c r="AC859" s="9" t="s">
        <v>87</v>
      </c>
      <c r="AD859" s="14">
        <v>110.79558139534883</v>
      </c>
      <c r="AF859" s="14">
        <v>11.200000000000001</v>
      </c>
      <c r="AH859" s="14">
        <v>121.99558139534884</v>
      </c>
      <c r="AI859" s="13">
        <v>202.75564983588237</v>
      </c>
      <c r="AK859" s="9">
        <v>560</v>
      </c>
    </row>
    <row r="860" spans="1:37">
      <c r="A860" s="9">
        <v>2</v>
      </c>
      <c r="B860" s="9">
        <v>2023</v>
      </c>
      <c r="C860" s="9" t="s">
        <v>46</v>
      </c>
      <c r="D860" s="9" t="s">
        <v>47</v>
      </c>
      <c r="E860" s="9" t="s">
        <v>47</v>
      </c>
      <c r="F860" s="10">
        <v>45299</v>
      </c>
      <c r="G860" s="9" t="s">
        <v>153</v>
      </c>
      <c r="H860" s="9" t="s">
        <v>48</v>
      </c>
      <c r="I860" s="9">
        <v>2</v>
      </c>
      <c r="J860" s="9">
        <v>24</v>
      </c>
      <c r="K860" s="9">
        <v>1440</v>
      </c>
      <c r="L860" s="9">
        <v>0.15</v>
      </c>
      <c r="M860" s="9">
        <v>216</v>
      </c>
      <c r="N860" s="9" t="s">
        <v>49</v>
      </c>
      <c r="Q860" s="9">
        <f>IF(Auction_Sales[[#This Row],[Payment Date]]=0,"",-1+WEEKNUM(Auction_Sales[[#This Row],[Payment Date]]))</f>
        <v>2</v>
      </c>
      <c r="R860" s="9">
        <v>680</v>
      </c>
      <c r="S860" s="9" t="s">
        <v>153</v>
      </c>
      <c r="T860" s="9" t="s">
        <v>48</v>
      </c>
      <c r="U860" s="9">
        <v>760</v>
      </c>
      <c r="V860" s="13">
        <v>0.29210526315789476</v>
      </c>
      <c r="W860" s="13">
        <v>222.00000000000003</v>
      </c>
      <c r="X860" s="14">
        <v>-30.466186186186189</v>
      </c>
      <c r="Y860" s="13">
        <v>191.53381381381385</v>
      </c>
      <c r="Z860" s="10">
        <v>45308</v>
      </c>
      <c r="AA860" s="9">
        <v>-680</v>
      </c>
      <c r="AC860" s="9" t="s">
        <v>87</v>
      </c>
      <c r="AD860" s="14">
        <v>73.86372093023256</v>
      </c>
      <c r="AF860" s="14">
        <v>15.200000000000001</v>
      </c>
      <c r="AH860" s="14">
        <v>89.063720930232563</v>
      </c>
      <c r="AI860" s="13">
        <v>102.47009288358129</v>
      </c>
      <c r="AK860" s="9">
        <v>760</v>
      </c>
    </row>
    <row r="861" spans="1:37">
      <c r="A861" s="9">
        <v>2</v>
      </c>
      <c r="B861" s="9">
        <v>2023</v>
      </c>
      <c r="C861" s="9" t="s">
        <v>46</v>
      </c>
      <c r="D861" s="9" t="s">
        <v>47</v>
      </c>
      <c r="E861" s="9" t="s">
        <v>47</v>
      </c>
      <c r="F861" s="10">
        <v>45299</v>
      </c>
      <c r="G861" s="9" t="s">
        <v>153</v>
      </c>
      <c r="H861" s="9" t="s">
        <v>52</v>
      </c>
      <c r="I861" s="9">
        <v>2</v>
      </c>
      <c r="J861" s="9">
        <v>24</v>
      </c>
      <c r="K861" s="9">
        <v>1040</v>
      </c>
      <c r="L861" s="9">
        <v>0.15</v>
      </c>
      <c r="M861" s="9">
        <v>156</v>
      </c>
      <c r="N861" s="9" t="s">
        <v>49</v>
      </c>
      <c r="Q861" s="9">
        <f>IF(Auction_Sales[[#This Row],[Payment Date]]=0,"",-1+WEEKNUM(Auction_Sales[[#This Row],[Payment Date]]))</f>
        <v>2</v>
      </c>
      <c r="R861" s="9">
        <v>-240</v>
      </c>
      <c r="S861" s="9" t="s">
        <v>153</v>
      </c>
      <c r="T861" s="9" t="s">
        <v>52</v>
      </c>
      <c r="U861" s="9">
        <v>1280</v>
      </c>
      <c r="V861" s="13">
        <v>0.30312499999999998</v>
      </c>
      <c r="W861" s="13">
        <v>388</v>
      </c>
      <c r="X861" s="14">
        <v>-51.311471471471478</v>
      </c>
      <c r="Y861" s="13">
        <v>336.68852852852854</v>
      </c>
      <c r="Z861" s="10">
        <v>45308</v>
      </c>
      <c r="AA861" s="9">
        <v>240</v>
      </c>
      <c r="AC861" s="9" t="s">
        <v>87</v>
      </c>
      <c r="AD861" s="14">
        <v>73.86372093023256</v>
      </c>
      <c r="AF861" s="14">
        <v>25.6</v>
      </c>
      <c r="AH861" s="14">
        <v>99.463720930232569</v>
      </c>
      <c r="AI861" s="13">
        <v>237.22480759829597</v>
      </c>
      <c r="AK861" s="9">
        <v>1280</v>
      </c>
    </row>
    <row r="862" spans="1:37">
      <c r="A862" s="9">
        <v>2</v>
      </c>
      <c r="B862" s="9">
        <v>2023</v>
      </c>
      <c r="C862" s="9" t="s">
        <v>46</v>
      </c>
      <c r="D862" s="9" t="s">
        <v>47</v>
      </c>
      <c r="E862" s="9" t="s">
        <v>47</v>
      </c>
      <c r="F862" s="10">
        <v>45299</v>
      </c>
      <c r="G862" s="9" t="s">
        <v>153</v>
      </c>
      <c r="H862" s="9" t="s">
        <v>54</v>
      </c>
      <c r="I862" s="9">
        <v>1</v>
      </c>
      <c r="J862" s="9">
        <v>12</v>
      </c>
      <c r="K862" s="9">
        <v>480</v>
      </c>
      <c r="L862" s="9">
        <v>0.15</v>
      </c>
      <c r="M862" s="9">
        <v>72</v>
      </c>
      <c r="N862" s="9" t="s">
        <v>49</v>
      </c>
      <c r="Q862" s="9">
        <f>IF(Auction_Sales[[#This Row],[Payment Date]]=0,"",-1+WEEKNUM(Auction_Sales[[#This Row],[Payment Date]]))</f>
        <v>2</v>
      </c>
      <c r="R862" s="9">
        <v>-360</v>
      </c>
      <c r="S862" s="9" t="s">
        <v>153</v>
      </c>
      <c r="T862" s="9" t="s">
        <v>54</v>
      </c>
      <c r="U862" s="9">
        <v>840</v>
      </c>
      <c r="V862" s="13">
        <v>0.32333333333333336</v>
      </c>
      <c r="W862" s="13">
        <v>271.60000000000002</v>
      </c>
      <c r="X862" s="14">
        <v>-33.673153153153152</v>
      </c>
      <c r="Y862" s="13">
        <v>237.92684684684687</v>
      </c>
      <c r="Z862" s="10">
        <v>45308</v>
      </c>
      <c r="AA862" s="9">
        <v>360</v>
      </c>
      <c r="AC862" s="9" t="s">
        <v>87</v>
      </c>
      <c r="AD862" s="14">
        <v>36.93186046511628</v>
      </c>
      <c r="AF862" s="14">
        <v>16.8</v>
      </c>
      <c r="AH862" s="14">
        <v>53.731860465116284</v>
      </c>
      <c r="AI862" s="13">
        <v>184.19498638173059</v>
      </c>
      <c r="AK862" s="9">
        <v>840</v>
      </c>
    </row>
    <row r="863" spans="1:37">
      <c r="A863" s="9">
        <v>2</v>
      </c>
      <c r="B863" s="9">
        <v>2023</v>
      </c>
      <c r="C863" s="9" t="s">
        <v>46</v>
      </c>
      <c r="D863" s="9" t="s">
        <v>47</v>
      </c>
      <c r="E863" s="9" t="s">
        <v>47</v>
      </c>
      <c r="F863" s="10">
        <v>45299</v>
      </c>
      <c r="G863" s="9" t="s">
        <v>153</v>
      </c>
      <c r="H863" s="9" t="s">
        <v>56</v>
      </c>
      <c r="I863" s="9">
        <v>1</v>
      </c>
      <c r="J863" s="9">
        <v>12</v>
      </c>
      <c r="K863" s="9">
        <v>440</v>
      </c>
      <c r="L863" s="9">
        <v>0.15</v>
      </c>
      <c r="M863" s="9">
        <v>66</v>
      </c>
      <c r="N863" s="9" t="s">
        <v>49</v>
      </c>
      <c r="Q863" s="9">
        <f>IF(Auction_Sales[[#This Row],[Payment Date]]=0,"",-1+WEEKNUM(Auction_Sales[[#This Row],[Payment Date]]))</f>
        <v>2</v>
      </c>
      <c r="R863" s="9">
        <v>440</v>
      </c>
      <c r="S863" s="9" t="s">
        <v>153</v>
      </c>
      <c r="T863" s="9" t="s">
        <v>56</v>
      </c>
      <c r="W863" s="13">
        <v>0</v>
      </c>
      <c r="X863" s="14">
        <v>0</v>
      </c>
      <c r="Y863" s="13">
        <v>0</v>
      </c>
      <c r="Z863" s="10">
        <v>45308</v>
      </c>
      <c r="AA863" s="9">
        <v>-440</v>
      </c>
      <c r="AC863" s="9" t="s">
        <v>87</v>
      </c>
      <c r="AD863" s="14">
        <v>36.93186046511628</v>
      </c>
      <c r="AF863" s="14">
        <v>0</v>
      </c>
      <c r="AH863" s="14">
        <v>36.93186046511628</v>
      </c>
      <c r="AI863" s="13">
        <v>-36.93186046511628</v>
      </c>
      <c r="AK863" s="9">
        <v>0</v>
      </c>
    </row>
    <row r="864" spans="1:37">
      <c r="A864" s="9">
        <v>2</v>
      </c>
      <c r="B864" s="9">
        <v>2023</v>
      </c>
      <c r="C864" s="9" t="s">
        <v>46</v>
      </c>
      <c r="D864" s="9" t="s">
        <v>47</v>
      </c>
      <c r="E864" s="9" t="s">
        <v>47</v>
      </c>
      <c r="F864" s="10">
        <v>45299</v>
      </c>
      <c r="G864" s="9" t="s">
        <v>154</v>
      </c>
      <c r="H864" s="9" t="s">
        <v>52</v>
      </c>
      <c r="I864" s="9">
        <v>2</v>
      </c>
      <c r="J864" s="9">
        <v>24</v>
      </c>
      <c r="K864" s="9">
        <v>640</v>
      </c>
      <c r="L864" s="9">
        <v>0.15</v>
      </c>
      <c r="M864" s="9">
        <v>96</v>
      </c>
      <c r="N864" s="9" t="s">
        <v>49</v>
      </c>
      <c r="Q864" s="9">
        <f>IF(Auction_Sales[[#This Row],[Payment Date]]=0,"",-1+WEEKNUM(Auction_Sales[[#This Row],[Payment Date]]))</f>
        <v>2</v>
      </c>
      <c r="R864" s="9">
        <v>-280</v>
      </c>
      <c r="S864" s="9" t="s">
        <v>154</v>
      </c>
      <c r="T864" s="9" t="s">
        <v>52</v>
      </c>
      <c r="U864" s="9">
        <v>920</v>
      </c>
      <c r="V864" s="13">
        <v>0.36608695652173912</v>
      </c>
      <c r="W864" s="13">
        <v>336.8</v>
      </c>
      <c r="X864" s="14">
        <v>-36.880120120120118</v>
      </c>
      <c r="Y864" s="13">
        <v>299.91987987987989</v>
      </c>
      <c r="Z864" s="10">
        <v>45308</v>
      </c>
      <c r="AA864" s="9">
        <v>280</v>
      </c>
      <c r="AC864" s="9" t="s">
        <v>87</v>
      </c>
      <c r="AD864" s="14">
        <v>73.86372093023256</v>
      </c>
      <c r="AF864" s="14">
        <v>18.400000000000002</v>
      </c>
      <c r="AH864" s="14">
        <v>92.263720930232566</v>
      </c>
      <c r="AI864" s="13">
        <v>207.65615894964731</v>
      </c>
      <c r="AK864" s="9">
        <v>920</v>
      </c>
    </row>
    <row r="865" spans="1:37">
      <c r="A865" s="9">
        <v>2</v>
      </c>
      <c r="B865" s="9">
        <v>2023</v>
      </c>
      <c r="C865" s="9" t="s">
        <v>46</v>
      </c>
      <c r="D865" s="9" t="s">
        <v>47</v>
      </c>
      <c r="E865" s="9" t="s">
        <v>47</v>
      </c>
      <c r="F865" s="10">
        <v>45299</v>
      </c>
      <c r="G865" s="9" t="s">
        <v>154</v>
      </c>
      <c r="H865" s="9" t="s">
        <v>52</v>
      </c>
      <c r="I865" s="9">
        <v>1</v>
      </c>
      <c r="J865" s="9">
        <v>12</v>
      </c>
      <c r="K865" s="9">
        <v>280</v>
      </c>
      <c r="L865" s="9">
        <v>0.15</v>
      </c>
      <c r="M865" s="9">
        <v>42</v>
      </c>
      <c r="N865" s="9" t="s">
        <v>49</v>
      </c>
      <c r="Q865" s="9">
        <f>IF(Auction_Sales[[#This Row],[Payment Date]]=0,"",-1+WEEKNUM(Auction_Sales[[#This Row],[Payment Date]]))</f>
        <v>2</v>
      </c>
      <c r="R865" s="9">
        <v>280</v>
      </c>
      <c r="S865" s="9" t="s">
        <v>154</v>
      </c>
      <c r="T865" s="9" t="s">
        <v>52</v>
      </c>
      <c r="W865" s="13">
        <v>0</v>
      </c>
      <c r="X865" s="14">
        <v>0</v>
      </c>
      <c r="Y865" s="13">
        <v>0</v>
      </c>
      <c r="Z865" s="10">
        <v>45308</v>
      </c>
      <c r="AA865" s="9">
        <v>-280</v>
      </c>
      <c r="AC865" s="9" t="s">
        <v>87</v>
      </c>
      <c r="AD865" s="14">
        <v>36.93186046511628</v>
      </c>
      <c r="AF865" s="14">
        <v>0</v>
      </c>
      <c r="AH865" s="14">
        <v>36.93186046511628</v>
      </c>
      <c r="AI865" s="13">
        <v>-36.93186046511628</v>
      </c>
      <c r="AK865" s="9">
        <v>0</v>
      </c>
    </row>
    <row r="866" spans="1:37">
      <c r="A866" s="9">
        <v>2</v>
      </c>
      <c r="B866" s="9">
        <v>2023</v>
      </c>
      <c r="C866" s="9" t="s">
        <v>46</v>
      </c>
      <c r="D866" s="9" t="s">
        <v>47</v>
      </c>
      <c r="E866" s="9" t="s">
        <v>47</v>
      </c>
      <c r="F866" s="10">
        <v>45299</v>
      </c>
      <c r="G866" s="9" t="s">
        <v>154</v>
      </c>
      <c r="H866" s="9" t="s">
        <v>54</v>
      </c>
      <c r="I866" s="9">
        <v>1</v>
      </c>
      <c r="J866" s="9">
        <v>12</v>
      </c>
      <c r="K866" s="9">
        <v>280</v>
      </c>
      <c r="L866" s="9">
        <v>0.15</v>
      </c>
      <c r="M866" s="9">
        <v>42</v>
      </c>
      <c r="N866" s="9" t="s">
        <v>49</v>
      </c>
      <c r="Q866" s="9">
        <f>IF(Auction_Sales[[#This Row],[Payment Date]]=0,"",-1+WEEKNUM(Auction_Sales[[#This Row],[Payment Date]]))</f>
        <v>2</v>
      </c>
      <c r="R866" s="9">
        <v>0</v>
      </c>
      <c r="S866" s="9" t="s">
        <v>154</v>
      </c>
      <c r="T866" s="9" t="s">
        <v>54</v>
      </c>
      <c r="U866" s="9">
        <v>280</v>
      </c>
      <c r="V866" s="13">
        <v>0.36</v>
      </c>
      <c r="W866" s="13">
        <v>100.8</v>
      </c>
      <c r="X866" s="14">
        <v>-11.224384384384386</v>
      </c>
      <c r="Y866" s="13">
        <v>89.575615615615618</v>
      </c>
      <c r="Z866" s="10">
        <v>45308</v>
      </c>
      <c r="AA866" s="9">
        <v>0</v>
      </c>
      <c r="AC866" s="9" t="s">
        <v>87</v>
      </c>
      <c r="AD866" s="14">
        <v>36.93186046511628</v>
      </c>
      <c r="AF866" s="14">
        <v>5.6000000000000005</v>
      </c>
      <c r="AH866" s="14">
        <v>42.531860465116281</v>
      </c>
      <c r="AI866" s="13">
        <v>47.043755150499337</v>
      </c>
      <c r="AK866" s="9">
        <v>280</v>
      </c>
    </row>
    <row r="867" spans="1:37">
      <c r="A867" s="9">
        <v>2</v>
      </c>
      <c r="B867" s="9">
        <v>2023</v>
      </c>
      <c r="C867" s="9" t="s">
        <v>46</v>
      </c>
      <c r="D867" s="9" t="s">
        <v>47</v>
      </c>
      <c r="E867" s="9" t="s">
        <v>47</v>
      </c>
      <c r="F867" s="10">
        <v>45299</v>
      </c>
      <c r="G867" s="9" t="s">
        <v>154</v>
      </c>
      <c r="H867" s="9" t="s">
        <v>56</v>
      </c>
      <c r="I867" s="9">
        <v>2</v>
      </c>
      <c r="J867" s="9">
        <v>24</v>
      </c>
      <c r="K867" s="9">
        <v>480</v>
      </c>
      <c r="L867" s="9">
        <v>0.15</v>
      </c>
      <c r="M867" s="9">
        <v>72</v>
      </c>
      <c r="N867" s="9" t="s">
        <v>49</v>
      </c>
      <c r="Q867" s="9">
        <f>IF(Auction_Sales[[#This Row],[Payment Date]]=0,"",-1+WEEKNUM(Auction_Sales[[#This Row],[Payment Date]]))</f>
        <v>2</v>
      </c>
      <c r="R867" s="9">
        <v>0</v>
      </c>
      <c r="S867" s="9" t="s">
        <v>154</v>
      </c>
      <c r="T867" s="9" t="s">
        <v>56</v>
      </c>
      <c r="U867" s="9">
        <v>480</v>
      </c>
      <c r="V867" s="13">
        <v>0.46750000000000003</v>
      </c>
      <c r="W867" s="13">
        <v>224.4</v>
      </c>
      <c r="X867" s="14">
        <v>-19.241801801801802</v>
      </c>
      <c r="Y867" s="13">
        <v>205.15819819819819</v>
      </c>
      <c r="Z867" s="10">
        <v>45308</v>
      </c>
      <c r="AA867" s="9">
        <v>0</v>
      </c>
      <c r="AC867" s="9" t="s">
        <v>87</v>
      </c>
      <c r="AD867" s="14">
        <v>73.86372093023256</v>
      </c>
      <c r="AF867" s="14">
        <v>9.6</v>
      </c>
      <c r="AH867" s="14">
        <v>83.463720930232554</v>
      </c>
      <c r="AI867" s="13">
        <v>121.69447726796564</v>
      </c>
      <c r="AK867" s="9">
        <v>480</v>
      </c>
    </row>
    <row r="868" spans="1:37">
      <c r="A868" s="9">
        <v>2</v>
      </c>
      <c r="B868" s="9">
        <v>2023</v>
      </c>
      <c r="C868" s="9" t="s">
        <v>46</v>
      </c>
      <c r="D868" s="9" t="s">
        <v>47</v>
      </c>
      <c r="E868" s="9" t="s">
        <v>47</v>
      </c>
      <c r="F868" s="10">
        <v>45299</v>
      </c>
      <c r="G868" s="9" t="s">
        <v>156</v>
      </c>
      <c r="H868" s="9" t="s">
        <v>54</v>
      </c>
      <c r="I868" s="9">
        <v>1</v>
      </c>
      <c r="J868" s="9">
        <v>12</v>
      </c>
      <c r="K868" s="9">
        <v>280</v>
      </c>
      <c r="L868" s="9">
        <v>0.15</v>
      </c>
      <c r="M868" s="9">
        <v>42</v>
      </c>
      <c r="N868" s="9" t="s">
        <v>49</v>
      </c>
      <c r="Q868" s="9">
        <f>IF(Auction_Sales[[#This Row],[Payment Date]]=0,"",-1+WEEKNUM(Auction_Sales[[#This Row],[Payment Date]]))</f>
        <v>2</v>
      </c>
      <c r="R868" s="9">
        <v>-40</v>
      </c>
      <c r="S868" s="9" t="s">
        <v>156</v>
      </c>
      <c r="T868" s="9" t="s">
        <v>54</v>
      </c>
      <c r="U868" s="9">
        <v>320</v>
      </c>
      <c r="V868" s="13">
        <v>0.78375000000000006</v>
      </c>
      <c r="W868" s="13">
        <v>250.8</v>
      </c>
      <c r="X868" s="14">
        <v>-12.827867867867869</v>
      </c>
      <c r="Y868" s="13">
        <v>237.97213213213215</v>
      </c>
      <c r="Z868" s="10">
        <v>45308</v>
      </c>
      <c r="AA868" s="9">
        <v>40</v>
      </c>
      <c r="AC868" s="9" t="s">
        <v>87</v>
      </c>
      <c r="AD868" s="14">
        <v>36.93186046511628</v>
      </c>
      <c r="AF868" s="14">
        <v>6.4</v>
      </c>
      <c r="AH868" s="14">
        <v>43.331860465116279</v>
      </c>
      <c r="AI868" s="13">
        <v>194.64027166701587</v>
      </c>
      <c r="AK868" s="9">
        <v>320</v>
      </c>
    </row>
    <row r="869" spans="1:37">
      <c r="A869" s="9">
        <v>2</v>
      </c>
      <c r="B869" s="9">
        <v>2023</v>
      </c>
      <c r="C869" s="9" t="s">
        <v>46</v>
      </c>
      <c r="D869" s="9" t="s">
        <v>47</v>
      </c>
      <c r="E869" s="9" t="s">
        <v>47</v>
      </c>
      <c r="F869" s="10">
        <v>45299</v>
      </c>
      <c r="G869" s="9" t="s">
        <v>156</v>
      </c>
      <c r="H869" s="9" t="s">
        <v>60</v>
      </c>
      <c r="I869" s="9">
        <v>1</v>
      </c>
      <c r="J869" s="9">
        <v>12</v>
      </c>
      <c r="K869" s="9">
        <v>160</v>
      </c>
      <c r="L869" s="9">
        <v>0.15</v>
      </c>
      <c r="M869" s="9">
        <v>24</v>
      </c>
      <c r="N869" s="9" t="s">
        <v>49</v>
      </c>
      <c r="Q869" s="9">
        <f>IF(Auction_Sales[[#This Row],[Payment Date]]=0,"",-1+WEEKNUM(Auction_Sales[[#This Row],[Payment Date]]))</f>
        <v>2</v>
      </c>
      <c r="R869" s="9">
        <v>0</v>
      </c>
      <c r="S869" s="9" t="s">
        <v>156</v>
      </c>
      <c r="T869" s="9" t="s">
        <v>60</v>
      </c>
      <c r="U869" s="9">
        <v>160</v>
      </c>
      <c r="V869" s="13">
        <v>1.115</v>
      </c>
      <c r="W869" s="13">
        <v>178.4</v>
      </c>
      <c r="X869" s="14">
        <v>-6.4139339339339347</v>
      </c>
      <c r="Y869" s="13">
        <v>171.98606606606606</v>
      </c>
      <c r="Z869" s="10">
        <v>45308</v>
      </c>
      <c r="AA869" s="9">
        <v>0</v>
      </c>
      <c r="AC869" s="9" t="s">
        <v>87</v>
      </c>
      <c r="AD869" s="14">
        <v>36.93186046511628</v>
      </c>
      <c r="AF869" s="14">
        <v>3.2</v>
      </c>
      <c r="AH869" s="14">
        <v>40.131860465116283</v>
      </c>
      <c r="AI869" s="13">
        <v>131.85420560094977</v>
      </c>
      <c r="AK869" s="9">
        <v>160</v>
      </c>
    </row>
    <row r="870" spans="1:37">
      <c r="A870" s="9">
        <v>2</v>
      </c>
      <c r="B870" s="9">
        <v>2023</v>
      </c>
      <c r="C870" s="9" t="s">
        <v>46</v>
      </c>
      <c r="D870" s="9" t="s">
        <v>47</v>
      </c>
      <c r="E870" s="9" t="s">
        <v>47</v>
      </c>
      <c r="F870" s="10">
        <v>45299</v>
      </c>
      <c r="G870" s="9" t="s">
        <v>156</v>
      </c>
      <c r="H870" s="9" t="s">
        <v>56</v>
      </c>
      <c r="I870" s="9">
        <v>1</v>
      </c>
      <c r="J870" s="9">
        <v>7.1999999999999993</v>
      </c>
      <c r="K870" s="9">
        <v>120</v>
      </c>
      <c r="L870" s="9">
        <v>0.15</v>
      </c>
      <c r="M870" s="9">
        <v>18</v>
      </c>
      <c r="N870" s="9" t="s">
        <v>49</v>
      </c>
      <c r="Q870" s="9">
        <f>IF(Auction_Sales[[#This Row],[Payment Date]]=0,"",-1+WEEKNUM(Auction_Sales[[#This Row],[Payment Date]]))</f>
        <v>2</v>
      </c>
      <c r="R870" s="9">
        <v>0</v>
      </c>
      <c r="S870" s="9" t="s">
        <v>156</v>
      </c>
      <c r="T870" s="9" t="s">
        <v>56</v>
      </c>
      <c r="U870" s="9">
        <v>120</v>
      </c>
      <c r="V870" s="13">
        <v>0.89</v>
      </c>
      <c r="W870" s="13">
        <v>106.8</v>
      </c>
      <c r="X870" s="14">
        <v>-4.8104504504504506</v>
      </c>
      <c r="Y870" s="13">
        <v>101.98954954954955</v>
      </c>
      <c r="Z870" s="10">
        <v>45308</v>
      </c>
      <c r="AA870" s="9">
        <v>0</v>
      </c>
      <c r="AC870" s="9" t="s">
        <v>87</v>
      </c>
      <c r="AD870" s="14">
        <v>22.159116279069764</v>
      </c>
      <c r="AF870" s="14">
        <v>2.4</v>
      </c>
      <c r="AH870" s="14">
        <v>24.559116279069762</v>
      </c>
      <c r="AI870" s="13">
        <v>77.430433270479796</v>
      </c>
      <c r="AK870" s="9">
        <v>120</v>
      </c>
    </row>
    <row r="871" spans="1:37">
      <c r="A871" s="9">
        <v>2</v>
      </c>
      <c r="B871" s="9">
        <v>2023</v>
      </c>
      <c r="C871" s="9" t="s">
        <v>46</v>
      </c>
      <c r="D871" s="9" t="s">
        <v>47</v>
      </c>
      <c r="E871" s="9" t="s">
        <v>47</v>
      </c>
      <c r="F871" s="10">
        <v>45299</v>
      </c>
      <c r="G871" s="9" t="s">
        <v>156</v>
      </c>
      <c r="H871" s="9" t="s">
        <v>57</v>
      </c>
      <c r="J871" s="9">
        <v>2.4000000000000004</v>
      </c>
      <c r="K871" s="9">
        <v>40</v>
      </c>
      <c r="L871" s="9">
        <v>0.15</v>
      </c>
      <c r="M871" s="9">
        <v>6</v>
      </c>
      <c r="N871" s="9" t="s">
        <v>49</v>
      </c>
      <c r="Q871" s="9">
        <f>IF(Auction_Sales[[#This Row],[Payment Date]]=0,"",-1+WEEKNUM(Auction_Sales[[#This Row],[Payment Date]]))</f>
        <v>2</v>
      </c>
      <c r="R871" s="9">
        <v>0</v>
      </c>
      <c r="S871" s="9" t="s">
        <v>156</v>
      </c>
      <c r="T871" s="9" t="s">
        <v>57</v>
      </c>
      <c r="U871" s="9">
        <v>40</v>
      </c>
      <c r="V871" s="13">
        <v>1.05</v>
      </c>
      <c r="W871" s="13">
        <v>42</v>
      </c>
      <c r="X871" s="14">
        <v>-1.6034834834834837</v>
      </c>
      <c r="Y871" s="13">
        <v>40.396516516516513</v>
      </c>
      <c r="Z871" s="10">
        <v>45308</v>
      </c>
      <c r="AA871" s="9">
        <v>0</v>
      </c>
      <c r="AC871" s="9" t="s">
        <v>87</v>
      </c>
      <c r="AD871" s="14">
        <v>7.3863720930232564</v>
      </c>
      <c r="AF871" s="14">
        <v>0.8</v>
      </c>
      <c r="AH871" s="14">
        <v>8.1863720930232571</v>
      </c>
      <c r="AI871" s="13">
        <v>32.210144423493254</v>
      </c>
      <c r="AK871" s="9">
        <v>40</v>
      </c>
    </row>
    <row r="872" spans="1:37">
      <c r="A872" s="9">
        <v>2</v>
      </c>
      <c r="B872" s="9">
        <v>2023</v>
      </c>
      <c r="C872" s="9" t="s">
        <v>46</v>
      </c>
      <c r="D872" s="9" t="s">
        <v>47</v>
      </c>
      <c r="E872" s="9" t="s">
        <v>47</v>
      </c>
      <c r="F872" s="10">
        <v>45299</v>
      </c>
      <c r="G872" s="9" t="s">
        <v>156</v>
      </c>
      <c r="H872" s="9" t="s">
        <v>60</v>
      </c>
      <c r="J872" s="9">
        <v>2.4000000000000004</v>
      </c>
      <c r="K872" s="9">
        <v>40</v>
      </c>
      <c r="L872" s="9">
        <v>0.15</v>
      </c>
      <c r="M872" s="9">
        <v>6</v>
      </c>
      <c r="N872" s="9" t="s">
        <v>49</v>
      </c>
      <c r="Q872" s="9">
        <f>IF(Auction_Sales[[#This Row],[Payment Date]]=0,"",-1+WEEKNUM(Auction_Sales[[#This Row],[Payment Date]]))</f>
        <v>2</v>
      </c>
      <c r="R872" s="9">
        <v>40</v>
      </c>
      <c r="S872" s="9" t="s">
        <v>156</v>
      </c>
      <c r="T872" s="9" t="s">
        <v>60</v>
      </c>
      <c r="W872" s="13">
        <v>0</v>
      </c>
      <c r="X872" s="14">
        <v>0</v>
      </c>
      <c r="Y872" s="13">
        <v>0</v>
      </c>
      <c r="Z872" s="10">
        <v>45308</v>
      </c>
      <c r="AA872" s="9">
        <v>-40</v>
      </c>
      <c r="AC872" s="9" t="s">
        <v>87</v>
      </c>
      <c r="AD872" s="14">
        <v>7.3863720930232564</v>
      </c>
      <c r="AF872" s="14">
        <v>0</v>
      </c>
      <c r="AH872" s="14">
        <v>7.3863720930232564</v>
      </c>
      <c r="AI872" s="13">
        <v>-7.3863720930232564</v>
      </c>
      <c r="AK872" s="9">
        <v>0</v>
      </c>
    </row>
    <row r="873" spans="1:37">
      <c r="A873" s="9">
        <v>2</v>
      </c>
      <c r="B873" s="9">
        <v>2023</v>
      </c>
      <c r="C873" s="9" t="s">
        <v>46</v>
      </c>
      <c r="D873" s="9" t="s">
        <v>47</v>
      </c>
      <c r="E873" s="9" t="s">
        <v>47</v>
      </c>
      <c r="F873" s="10">
        <v>45299</v>
      </c>
      <c r="G873" s="9" t="s">
        <v>154</v>
      </c>
      <c r="H873" s="9" t="s">
        <v>60</v>
      </c>
      <c r="I873" s="9">
        <v>1</v>
      </c>
      <c r="J873" s="9">
        <v>6</v>
      </c>
      <c r="K873" s="9">
        <v>80</v>
      </c>
      <c r="L873" s="9">
        <v>0.15</v>
      </c>
      <c r="M873" s="9">
        <v>12</v>
      </c>
      <c r="N873" s="9" t="s">
        <v>49</v>
      </c>
      <c r="Q873" s="9">
        <f>IF(Auction_Sales[[#This Row],[Payment Date]]=0,"",-1+WEEKNUM(Auction_Sales[[#This Row],[Payment Date]]))</f>
        <v>2</v>
      </c>
      <c r="R873" s="9">
        <v>0</v>
      </c>
      <c r="S873" s="9" t="s">
        <v>154</v>
      </c>
      <c r="T873" s="9" t="s">
        <v>60</v>
      </c>
      <c r="U873" s="9">
        <v>80</v>
      </c>
      <c r="V873" s="13">
        <v>0.64</v>
      </c>
      <c r="W873" s="13">
        <v>51.2</v>
      </c>
      <c r="X873" s="14">
        <v>-3.2069669669669674</v>
      </c>
      <c r="Y873" s="13">
        <v>47.993033033033036</v>
      </c>
      <c r="Z873" s="10">
        <v>45308</v>
      </c>
      <c r="AA873" s="9">
        <v>0</v>
      </c>
      <c r="AC873" s="9" t="s">
        <v>87</v>
      </c>
      <c r="AD873" s="14">
        <v>18.46593023255814</v>
      </c>
      <c r="AF873" s="14">
        <v>1.6</v>
      </c>
      <c r="AH873" s="14">
        <v>20.065930232558141</v>
      </c>
      <c r="AI873" s="13">
        <v>27.927102800474895</v>
      </c>
      <c r="AK873" s="9">
        <v>80</v>
      </c>
    </row>
    <row r="874" spans="1:37">
      <c r="A874" s="9">
        <v>2</v>
      </c>
      <c r="B874" s="9">
        <v>2023</v>
      </c>
      <c r="C874" s="9" t="s">
        <v>46</v>
      </c>
      <c r="D874" s="9" t="s">
        <v>47</v>
      </c>
      <c r="E874" s="9" t="s">
        <v>47</v>
      </c>
      <c r="F874" s="10">
        <v>45299</v>
      </c>
      <c r="G874" s="9" t="s">
        <v>154</v>
      </c>
      <c r="H874" s="9" t="s">
        <v>57</v>
      </c>
      <c r="J874" s="9">
        <v>6</v>
      </c>
      <c r="K874" s="9">
        <v>80</v>
      </c>
      <c r="L874" s="9">
        <v>0.15</v>
      </c>
      <c r="M874" s="9">
        <v>12</v>
      </c>
      <c r="N874" s="9" t="s">
        <v>49</v>
      </c>
      <c r="Q874" s="9">
        <f>IF(Auction_Sales[[#This Row],[Payment Date]]=0,"",-1+WEEKNUM(Auction_Sales[[#This Row],[Payment Date]]))</f>
        <v>2</v>
      </c>
      <c r="R874" s="9">
        <v>0</v>
      </c>
      <c r="S874" s="9" t="s">
        <v>154</v>
      </c>
      <c r="T874" s="9" t="s">
        <v>57</v>
      </c>
      <c r="U874" s="9">
        <v>80</v>
      </c>
      <c r="V874" s="13">
        <v>0.6</v>
      </c>
      <c r="W874" s="13">
        <v>48</v>
      </c>
      <c r="X874" s="14">
        <v>-3.2069669669669674</v>
      </c>
      <c r="Y874" s="13">
        <v>44.793033033033034</v>
      </c>
      <c r="Z874" s="10">
        <v>45308</v>
      </c>
      <c r="AA874" s="9">
        <v>0</v>
      </c>
      <c r="AC874" s="9" t="s">
        <v>87</v>
      </c>
      <c r="AD874" s="14">
        <v>18.46593023255814</v>
      </c>
      <c r="AF874" s="14">
        <v>1.6</v>
      </c>
      <c r="AH874" s="14">
        <v>20.065930232558141</v>
      </c>
      <c r="AI874" s="13">
        <v>24.727102800474892</v>
      </c>
      <c r="AK874" s="9">
        <v>80</v>
      </c>
    </row>
    <row r="875" spans="1:37">
      <c r="A875" s="9">
        <v>2</v>
      </c>
      <c r="B875" s="9">
        <v>2023</v>
      </c>
      <c r="C875" s="9" t="s">
        <v>46</v>
      </c>
      <c r="D875" s="9" t="s">
        <v>47</v>
      </c>
      <c r="E875" s="9" t="s">
        <v>47</v>
      </c>
      <c r="F875" s="10">
        <v>45299</v>
      </c>
      <c r="G875" s="9" t="s">
        <v>155</v>
      </c>
      <c r="H875" s="9" t="s">
        <v>54</v>
      </c>
      <c r="I875" s="9">
        <v>1</v>
      </c>
      <c r="J875" s="9">
        <v>8</v>
      </c>
      <c r="K875" s="9">
        <v>240</v>
      </c>
      <c r="L875" s="9">
        <v>0.15</v>
      </c>
      <c r="M875" s="9">
        <v>36</v>
      </c>
      <c r="N875" s="9" t="s">
        <v>49</v>
      </c>
      <c r="Q875" s="9">
        <f>IF(Auction_Sales[[#This Row],[Payment Date]]=0,"",-1+WEEKNUM(Auction_Sales[[#This Row],[Payment Date]]))</f>
        <v>2</v>
      </c>
      <c r="R875" s="9">
        <v>240</v>
      </c>
      <c r="S875" s="9" t="s">
        <v>155</v>
      </c>
      <c r="T875" s="9" t="s">
        <v>54</v>
      </c>
      <c r="W875" s="13">
        <v>0</v>
      </c>
      <c r="X875" s="14">
        <v>0</v>
      </c>
      <c r="Y875" s="13">
        <v>0</v>
      </c>
      <c r="Z875" s="10">
        <v>45308</v>
      </c>
      <c r="AA875" s="9">
        <v>-240</v>
      </c>
      <c r="AC875" s="9" t="s">
        <v>87</v>
      </c>
      <c r="AD875" s="14">
        <v>24.621240310077518</v>
      </c>
      <c r="AF875" s="14">
        <v>0</v>
      </c>
      <c r="AH875" s="14">
        <v>24.621240310077518</v>
      </c>
      <c r="AI875" s="13">
        <v>-24.621240310077518</v>
      </c>
      <c r="AK875" s="9">
        <v>0</v>
      </c>
    </row>
    <row r="876" spans="1:37">
      <c r="A876" s="9">
        <v>2</v>
      </c>
      <c r="B876" s="9">
        <v>2023</v>
      </c>
      <c r="C876" s="9" t="s">
        <v>46</v>
      </c>
      <c r="D876" s="9" t="s">
        <v>47</v>
      </c>
      <c r="E876" s="9" t="s">
        <v>47</v>
      </c>
      <c r="F876" s="10">
        <v>45299</v>
      </c>
      <c r="G876" s="9" t="s">
        <v>157</v>
      </c>
      <c r="H876" s="9" t="s">
        <v>52</v>
      </c>
      <c r="J876" s="9">
        <v>2.6666666666666665</v>
      </c>
      <c r="K876" s="9">
        <v>80</v>
      </c>
      <c r="L876" s="9">
        <v>0.15</v>
      </c>
      <c r="M876" s="9">
        <v>12</v>
      </c>
      <c r="N876" s="9" t="s">
        <v>49</v>
      </c>
      <c r="Q876" s="9">
        <f>IF(Auction_Sales[[#This Row],[Payment Date]]=0,"",-1+WEEKNUM(Auction_Sales[[#This Row],[Payment Date]]))</f>
        <v>2</v>
      </c>
      <c r="R876" s="9">
        <v>0</v>
      </c>
      <c r="S876" s="9" t="s">
        <v>157</v>
      </c>
      <c r="T876" s="9" t="s">
        <v>52</v>
      </c>
      <c r="U876" s="9">
        <v>80</v>
      </c>
      <c r="V876" s="13">
        <v>0.32</v>
      </c>
      <c r="W876" s="13">
        <v>25.6</v>
      </c>
      <c r="X876" s="14">
        <v>-3.2069669669669674</v>
      </c>
      <c r="Y876" s="13">
        <v>22.393033033033035</v>
      </c>
      <c r="Z876" s="10">
        <v>45308</v>
      </c>
      <c r="AA876" s="9">
        <v>0</v>
      </c>
      <c r="AC876" s="9" t="s">
        <v>87</v>
      </c>
      <c r="AD876" s="14">
        <v>8.2070801033591714</v>
      </c>
      <c r="AF876" s="14">
        <v>1.6</v>
      </c>
      <c r="AH876" s="14">
        <v>9.807080103359171</v>
      </c>
      <c r="AI876" s="13">
        <v>12.585952929673864</v>
      </c>
      <c r="AK876" s="9">
        <v>80</v>
      </c>
    </row>
    <row r="877" spans="1:37">
      <c r="A877" s="9">
        <v>2</v>
      </c>
      <c r="B877" s="9">
        <v>2023</v>
      </c>
      <c r="C877" s="9" t="s">
        <v>46</v>
      </c>
      <c r="D877" s="9" t="s">
        <v>47</v>
      </c>
      <c r="E877" s="9" t="s">
        <v>47</v>
      </c>
      <c r="F877" s="10">
        <v>45299</v>
      </c>
      <c r="G877" s="9" t="s">
        <v>157</v>
      </c>
      <c r="H877" s="9" t="s">
        <v>54</v>
      </c>
      <c r="J877" s="9">
        <v>1.3333333333333333</v>
      </c>
      <c r="K877" s="9">
        <v>40</v>
      </c>
      <c r="L877" s="9">
        <v>0.15</v>
      </c>
      <c r="M877" s="9">
        <v>6</v>
      </c>
      <c r="N877" s="9" t="s">
        <v>49</v>
      </c>
      <c r="Q877" s="9">
        <f>IF(Auction_Sales[[#This Row],[Payment Date]]=0,"",-1+WEEKNUM(Auction_Sales[[#This Row],[Payment Date]]))</f>
        <v>2</v>
      </c>
      <c r="R877" s="9">
        <v>0</v>
      </c>
      <c r="S877" s="9" t="s">
        <v>157</v>
      </c>
      <c r="T877" s="9" t="s">
        <v>54</v>
      </c>
      <c r="U877" s="9">
        <v>40</v>
      </c>
      <c r="V877" s="13">
        <v>0.35</v>
      </c>
      <c r="W877" s="13">
        <v>14</v>
      </c>
      <c r="X877" s="14">
        <v>-1.6034834834834837</v>
      </c>
      <c r="Y877" s="13">
        <v>12.396516516516517</v>
      </c>
      <c r="Z877" s="10">
        <v>45308</v>
      </c>
      <c r="AA877" s="9">
        <v>0</v>
      </c>
      <c r="AC877" s="9" t="s">
        <v>87</v>
      </c>
      <c r="AD877" s="14">
        <v>4.1035400516795857</v>
      </c>
      <c r="AF877" s="14">
        <v>0.8</v>
      </c>
      <c r="AH877" s="14">
        <v>4.9035400516795855</v>
      </c>
      <c r="AI877" s="13">
        <v>7.4929764648369312</v>
      </c>
      <c r="AK877" s="9">
        <v>40</v>
      </c>
    </row>
    <row r="878" spans="1:37">
      <c r="A878" s="9">
        <v>2</v>
      </c>
      <c r="B878" s="9">
        <v>2023</v>
      </c>
      <c r="C878" s="9" t="s">
        <v>46</v>
      </c>
      <c r="D878" s="9" t="s">
        <v>47</v>
      </c>
      <c r="E878" s="9" t="s">
        <v>47</v>
      </c>
      <c r="F878" s="10">
        <v>45299</v>
      </c>
      <c r="G878" s="9" t="s">
        <v>153</v>
      </c>
      <c r="H878" s="9" t="s">
        <v>52</v>
      </c>
      <c r="I878" s="9">
        <v>1</v>
      </c>
      <c r="J878" s="9">
        <v>6.545454545454545</v>
      </c>
      <c r="K878" s="9">
        <v>240</v>
      </c>
      <c r="L878" s="9">
        <v>0.15</v>
      </c>
      <c r="M878" s="9">
        <v>36</v>
      </c>
      <c r="N878" s="9" t="s">
        <v>49</v>
      </c>
      <c r="Q878" s="9">
        <f>IF(Auction_Sales[[#This Row],[Payment Date]]=0,"",-1+WEEKNUM(Auction_Sales[[#This Row],[Payment Date]]))</f>
        <v>2</v>
      </c>
      <c r="R878" s="9">
        <v>240</v>
      </c>
      <c r="S878" s="9" t="s">
        <v>153</v>
      </c>
      <c r="T878" s="9" t="s">
        <v>52</v>
      </c>
      <c r="W878" s="13">
        <v>0</v>
      </c>
      <c r="X878" s="14">
        <v>0</v>
      </c>
      <c r="Y878" s="13">
        <v>0</v>
      </c>
      <c r="Z878" s="10">
        <v>45308</v>
      </c>
      <c r="AA878" s="9">
        <v>-240</v>
      </c>
      <c r="AC878" s="9" t="s">
        <v>87</v>
      </c>
      <c r="AD878" s="14">
        <v>20.144651162790698</v>
      </c>
      <c r="AF878" s="14">
        <v>0</v>
      </c>
      <c r="AH878" s="14">
        <v>20.144651162790698</v>
      </c>
      <c r="AI878" s="13">
        <v>-20.144651162790698</v>
      </c>
      <c r="AK878" s="9">
        <v>0</v>
      </c>
    </row>
    <row r="879" spans="1:37">
      <c r="A879" s="9">
        <v>2</v>
      </c>
      <c r="B879" s="9">
        <v>2023</v>
      </c>
      <c r="C879" s="9" t="s">
        <v>46</v>
      </c>
      <c r="D879" s="9" t="s">
        <v>47</v>
      </c>
      <c r="E879" s="9" t="s">
        <v>47</v>
      </c>
      <c r="F879" s="10">
        <v>45299</v>
      </c>
      <c r="G879" s="9" t="s">
        <v>153</v>
      </c>
      <c r="H879" s="9" t="s">
        <v>56</v>
      </c>
      <c r="J879" s="9">
        <v>5.4545454545454541</v>
      </c>
      <c r="K879" s="9">
        <v>200</v>
      </c>
      <c r="L879" s="9">
        <v>0.15</v>
      </c>
      <c r="M879" s="9">
        <v>30</v>
      </c>
      <c r="N879" s="9" t="s">
        <v>49</v>
      </c>
      <c r="Q879" s="9">
        <f>IF(Auction_Sales[[#This Row],[Payment Date]]=0,"",-1+WEEKNUM(Auction_Sales[[#This Row],[Payment Date]]))</f>
        <v>2</v>
      </c>
      <c r="R879" s="9">
        <v>-400</v>
      </c>
      <c r="S879" s="9" t="s">
        <v>153</v>
      </c>
      <c r="T879" s="9" t="s">
        <v>56</v>
      </c>
      <c r="U879" s="9">
        <v>600</v>
      </c>
      <c r="V879" s="13">
        <v>0.37133333333333335</v>
      </c>
      <c r="W879" s="13">
        <v>222.8</v>
      </c>
      <c r="X879" s="14">
        <v>-24.052252252252252</v>
      </c>
      <c r="Y879" s="13">
        <v>198.74774774774775</v>
      </c>
      <c r="Z879" s="10">
        <v>45308</v>
      </c>
      <c r="AA879" s="9">
        <v>400</v>
      </c>
      <c r="AC879" s="9" t="s">
        <v>87</v>
      </c>
      <c r="AD879" s="14">
        <v>16.787209302325582</v>
      </c>
      <c r="AF879" s="14">
        <v>12</v>
      </c>
      <c r="AH879" s="14">
        <v>28.787209302325582</v>
      </c>
      <c r="AI879" s="13">
        <v>169.96053844542217</v>
      </c>
      <c r="AK879" s="9">
        <v>600</v>
      </c>
    </row>
    <row r="880" spans="1:37">
      <c r="A880" s="9">
        <v>2</v>
      </c>
      <c r="B880" s="9">
        <v>2023</v>
      </c>
      <c r="C880" s="9" t="s">
        <v>46</v>
      </c>
      <c r="D880" s="9" t="s">
        <v>47</v>
      </c>
      <c r="E880" s="9" t="s">
        <v>47</v>
      </c>
      <c r="F880" s="10">
        <v>45299</v>
      </c>
      <c r="G880" s="9" t="s">
        <v>153</v>
      </c>
      <c r="H880" s="9" t="s">
        <v>57</v>
      </c>
      <c r="I880" s="9">
        <v>1</v>
      </c>
      <c r="J880" s="9">
        <v>9</v>
      </c>
      <c r="K880" s="9">
        <v>240</v>
      </c>
      <c r="L880" s="9">
        <v>0.15</v>
      </c>
      <c r="M880" s="9">
        <v>36</v>
      </c>
      <c r="N880" s="9" t="s">
        <v>49</v>
      </c>
      <c r="Q880" s="9">
        <f>IF(Auction_Sales[[#This Row],[Payment Date]]=0,"",-1+WEEKNUM(Auction_Sales[[#This Row],[Payment Date]]))</f>
        <v>2</v>
      </c>
      <c r="R880" s="9">
        <v>0</v>
      </c>
      <c r="S880" s="9" t="s">
        <v>153</v>
      </c>
      <c r="T880" s="9" t="s">
        <v>57</v>
      </c>
      <c r="U880" s="9">
        <v>240</v>
      </c>
      <c r="V880" s="13">
        <v>0.48666666666666664</v>
      </c>
      <c r="W880" s="13">
        <v>116.8</v>
      </c>
      <c r="X880" s="14">
        <v>-9.6209009009009012</v>
      </c>
      <c r="Y880" s="13">
        <v>107.17909909909909</v>
      </c>
      <c r="Z880" s="10">
        <v>45308</v>
      </c>
      <c r="AA880" s="9">
        <v>0</v>
      </c>
      <c r="AC880" s="9" t="s">
        <v>87</v>
      </c>
      <c r="AD880" s="14">
        <v>27.698895348837208</v>
      </c>
      <c r="AF880" s="14">
        <v>4.8</v>
      </c>
      <c r="AH880" s="14">
        <v>32.498895348837209</v>
      </c>
      <c r="AI880" s="13">
        <v>74.680203750261882</v>
      </c>
      <c r="AK880" s="9">
        <v>240</v>
      </c>
    </row>
    <row r="881" spans="1:37">
      <c r="A881" s="9">
        <v>2</v>
      </c>
      <c r="B881" s="9">
        <v>2023</v>
      </c>
      <c r="C881" s="9" t="s">
        <v>46</v>
      </c>
      <c r="D881" s="9" t="s">
        <v>47</v>
      </c>
      <c r="E881" s="9" t="s">
        <v>47</v>
      </c>
      <c r="F881" s="10">
        <v>45299</v>
      </c>
      <c r="G881" s="9" t="s">
        <v>153</v>
      </c>
      <c r="H881" s="9" t="s">
        <v>60</v>
      </c>
      <c r="J881" s="9">
        <v>3</v>
      </c>
      <c r="K881" s="9">
        <v>80</v>
      </c>
      <c r="L881" s="9">
        <v>0.15</v>
      </c>
      <c r="M881" s="9">
        <v>12</v>
      </c>
      <c r="N881" s="9" t="s">
        <v>49</v>
      </c>
      <c r="Q881" s="9">
        <f>IF(Auction_Sales[[#This Row],[Payment Date]]=0,"",-1+WEEKNUM(Auction_Sales[[#This Row],[Payment Date]]))</f>
        <v>2</v>
      </c>
      <c r="R881" s="9">
        <v>0</v>
      </c>
      <c r="S881" s="9" t="s">
        <v>153</v>
      </c>
      <c r="T881" s="9" t="s">
        <v>60</v>
      </c>
      <c r="U881" s="9">
        <v>80</v>
      </c>
      <c r="V881" s="13">
        <v>0.5</v>
      </c>
      <c r="W881" s="13">
        <v>40</v>
      </c>
      <c r="X881" s="14">
        <v>-3.2069669669669674</v>
      </c>
      <c r="Y881" s="13">
        <v>36.793033033033034</v>
      </c>
      <c r="Z881" s="10">
        <v>45308</v>
      </c>
      <c r="AA881" s="9">
        <v>0</v>
      </c>
      <c r="AC881" s="9" t="s">
        <v>87</v>
      </c>
      <c r="AD881" s="14">
        <v>9.23296511627907</v>
      </c>
      <c r="AF881" s="14">
        <v>1.6</v>
      </c>
      <c r="AH881" s="14">
        <v>10.83296511627907</v>
      </c>
      <c r="AI881" s="13">
        <v>25.960067916753964</v>
      </c>
      <c r="AK881" s="9">
        <v>80</v>
      </c>
    </row>
    <row r="882" spans="1:37">
      <c r="A882" s="9">
        <v>2</v>
      </c>
      <c r="B882" s="9">
        <v>2023</v>
      </c>
      <c r="C882" s="9" t="s">
        <v>46</v>
      </c>
      <c r="D882" s="9" t="s">
        <v>47</v>
      </c>
      <c r="E882" s="9" t="s">
        <v>47</v>
      </c>
      <c r="F882" s="10">
        <v>45299</v>
      </c>
      <c r="G882" s="9" t="s">
        <v>155</v>
      </c>
      <c r="H882" s="9" t="s">
        <v>57</v>
      </c>
      <c r="I882" s="9">
        <v>1</v>
      </c>
      <c r="J882" s="9">
        <v>6</v>
      </c>
      <c r="K882" s="9">
        <v>80</v>
      </c>
      <c r="L882" s="9">
        <v>0.15</v>
      </c>
      <c r="M882" s="9">
        <v>12</v>
      </c>
      <c r="N882" s="9" t="s">
        <v>49</v>
      </c>
      <c r="Q882" s="9">
        <f>IF(Auction_Sales[[#This Row],[Payment Date]]=0,"",-1+WEEKNUM(Auction_Sales[[#This Row],[Payment Date]]))</f>
        <v>2</v>
      </c>
      <c r="R882" s="9">
        <v>80</v>
      </c>
      <c r="S882" s="9" t="s">
        <v>155</v>
      </c>
      <c r="T882" s="9" t="s">
        <v>57</v>
      </c>
      <c r="W882" s="13">
        <v>0</v>
      </c>
      <c r="X882" s="14">
        <v>0</v>
      </c>
      <c r="Y882" s="13">
        <v>0</v>
      </c>
      <c r="Z882" s="10">
        <v>45308</v>
      </c>
      <c r="AA882" s="9">
        <v>-80</v>
      </c>
      <c r="AC882" s="9" t="s">
        <v>87</v>
      </c>
      <c r="AD882" s="14">
        <v>18.46593023255814</v>
      </c>
      <c r="AF882" s="14">
        <v>0</v>
      </c>
      <c r="AH882" s="14">
        <v>18.46593023255814</v>
      </c>
      <c r="AI882" s="13">
        <v>-18.46593023255814</v>
      </c>
      <c r="AK882" s="9">
        <v>0</v>
      </c>
    </row>
    <row r="883" spans="1:37">
      <c r="A883" s="9">
        <v>2</v>
      </c>
      <c r="B883" s="9">
        <v>2023</v>
      </c>
      <c r="C883" s="9" t="s">
        <v>46</v>
      </c>
      <c r="D883" s="9" t="s">
        <v>47</v>
      </c>
      <c r="E883" s="9" t="s">
        <v>47</v>
      </c>
      <c r="F883" s="10">
        <v>45299</v>
      </c>
      <c r="G883" s="9" t="s">
        <v>155</v>
      </c>
      <c r="H883" s="9" t="s">
        <v>60</v>
      </c>
      <c r="J883" s="9">
        <v>6</v>
      </c>
      <c r="K883" s="9">
        <v>80</v>
      </c>
      <c r="L883" s="9">
        <v>0.15</v>
      </c>
      <c r="M883" s="9">
        <v>12</v>
      </c>
      <c r="N883" s="9" t="s">
        <v>49</v>
      </c>
      <c r="Q883" s="9">
        <f>IF(Auction_Sales[[#This Row],[Payment Date]]=0,"",-1+WEEKNUM(Auction_Sales[[#This Row],[Payment Date]]))</f>
        <v>2</v>
      </c>
      <c r="R883" s="9">
        <v>80</v>
      </c>
      <c r="S883" s="9" t="s">
        <v>155</v>
      </c>
      <c r="T883" s="9" t="s">
        <v>60</v>
      </c>
      <c r="W883" s="13">
        <v>0</v>
      </c>
      <c r="X883" s="14">
        <v>0</v>
      </c>
      <c r="Y883" s="13">
        <v>0</v>
      </c>
      <c r="Z883" s="10">
        <v>45308</v>
      </c>
      <c r="AA883" s="9">
        <v>-80</v>
      </c>
      <c r="AC883" s="9" t="s">
        <v>87</v>
      </c>
      <c r="AD883" s="14">
        <v>18.46593023255814</v>
      </c>
      <c r="AF883" s="14">
        <v>0</v>
      </c>
      <c r="AH883" s="14">
        <v>18.46593023255814</v>
      </c>
      <c r="AI883" s="13">
        <v>-18.46593023255814</v>
      </c>
      <c r="AK883" s="9">
        <v>0</v>
      </c>
    </row>
    <row r="884" spans="1:37">
      <c r="A884" s="9">
        <v>2</v>
      </c>
      <c r="B884" s="9">
        <v>2023</v>
      </c>
      <c r="C884" s="9" t="s">
        <v>46</v>
      </c>
      <c r="D884" s="9" t="s">
        <v>47</v>
      </c>
      <c r="E884" s="9" t="s">
        <v>47</v>
      </c>
      <c r="F884" s="10">
        <v>45299</v>
      </c>
      <c r="G884" s="9" t="s">
        <v>156</v>
      </c>
      <c r="H884" s="9" t="s">
        <v>52</v>
      </c>
      <c r="I884" s="9">
        <v>1</v>
      </c>
      <c r="J884" s="9">
        <v>7.5</v>
      </c>
      <c r="K884" s="9">
        <v>200</v>
      </c>
      <c r="L884" s="9">
        <v>0.15</v>
      </c>
      <c r="M884" s="9">
        <v>30</v>
      </c>
      <c r="N884" s="9" t="s">
        <v>49</v>
      </c>
      <c r="Q884" s="9">
        <f>IF(Auction_Sales[[#This Row],[Payment Date]]=0,"",-1+WEEKNUM(Auction_Sales[[#This Row],[Payment Date]]))</f>
        <v>2</v>
      </c>
      <c r="R884" s="9">
        <v>0</v>
      </c>
      <c r="S884" s="9" t="s">
        <v>156</v>
      </c>
      <c r="T884" s="9" t="s">
        <v>52</v>
      </c>
      <c r="U884" s="9">
        <v>200</v>
      </c>
      <c r="V884" s="13">
        <v>0.64</v>
      </c>
      <c r="W884" s="13">
        <v>128</v>
      </c>
      <c r="X884" s="14">
        <v>-8.017417417417418</v>
      </c>
      <c r="Y884" s="13">
        <v>119.98258258258258</v>
      </c>
      <c r="Z884" s="10">
        <v>45308</v>
      </c>
      <c r="AA884" s="9">
        <v>0</v>
      </c>
      <c r="AC884" s="9" t="s">
        <v>87</v>
      </c>
      <c r="AD884" s="14">
        <v>23.082412790697674</v>
      </c>
      <c r="AF884" s="14">
        <v>4</v>
      </c>
      <c r="AH884" s="14">
        <v>27.082412790697674</v>
      </c>
      <c r="AI884" s="13">
        <v>92.900169791884906</v>
      </c>
      <c r="AK884" s="9">
        <v>200</v>
      </c>
    </row>
    <row r="885" spans="1:37">
      <c r="A885" s="9">
        <v>2</v>
      </c>
      <c r="B885" s="9">
        <v>2023</v>
      </c>
      <c r="C885" s="9" t="s">
        <v>46</v>
      </c>
      <c r="D885" s="9" t="s">
        <v>47</v>
      </c>
      <c r="E885" s="9" t="s">
        <v>47</v>
      </c>
      <c r="F885" s="10">
        <v>45299</v>
      </c>
      <c r="G885" s="9" t="s">
        <v>156</v>
      </c>
      <c r="H885" s="9" t="s">
        <v>48</v>
      </c>
      <c r="J885" s="9">
        <v>4.5</v>
      </c>
      <c r="K885" s="9">
        <v>120</v>
      </c>
      <c r="L885" s="9">
        <v>0.15</v>
      </c>
      <c r="M885" s="9">
        <v>18</v>
      </c>
      <c r="N885" s="9" t="s">
        <v>49</v>
      </c>
      <c r="Q885" s="9">
        <f>IF(Auction_Sales[[#This Row],[Payment Date]]=0,"",-1+WEEKNUM(Auction_Sales[[#This Row],[Payment Date]]))</f>
        <v>2</v>
      </c>
      <c r="R885" s="9">
        <v>0</v>
      </c>
      <c r="S885" s="9" t="s">
        <v>156</v>
      </c>
      <c r="T885" s="9" t="s">
        <v>48</v>
      </c>
      <c r="U885" s="9">
        <v>120</v>
      </c>
      <c r="V885" s="13">
        <v>0.51</v>
      </c>
      <c r="W885" s="13">
        <v>61.2</v>
      </c>
      <c r="X885" s="14">
        <v>-4.8104504504504506</v>
      </c>
      <c r="Y885" s="13">
        <v>56.38954954954955</v>
      </c>
      <c r="Z885" s="10">
        <v>45308</v>
      </c>
      <c r="AA885" s="9">
        <v>0</v>
      </c>
      <c r="AC885" s="9" t="s">
        <v>87</v>
      </c>
      <c r="AD885" s="14">
        <v>13.849447674418604</v>
      </c>
      <c r="AF885" s="14">
        <v>2.4</v>
      </c>
      <c r="AH885" s="14">
        <v>16.249447674418604</v>
      </c>
      <c r="AI885" s="13">
        <v>40.140101875130945</v>
      </c>
      <c r="AK885" s="9">
        <v>120</v>
      </c>
    </row>
    <row r="886" spans="1:37">
      <c r="A886" s="9">
        <v>2</v>
      </c>
      <c r="B886" s="9">
        <v>2023</v>
      </c>
      <c r="C886" s="9" t="s">
        <v>46</v>
      </c>
      <c r="D886" s="9" t="s">
        <v>47</v>
      </c>
      <c r="E886" s="9" t="s">
        <v>47</v>
      </c>
      <c r="F886" s="10">
        <v>45299</v>
      </c>
      <c r="G886" s="9" t="s">
        <v>153</v>
      </c>
      <c r="H886" s="9" t="s">
        <v>48</v>
      </c>
      <c r="I886" s="9">
        <v>1</v>
      </c>
      <c r="J886" s="9">
        <v>3.2727272727272725</v>
      </c>
      <c r="K886" s="9">
        <v>120</v>
      </c>
      <c r="L886" s="9">
        <v>0.15</v>
      </c>
      <c r="M886" s="9">
        <v>18</v>
      </c>
      <c r="N886" s="9" t="s">
        <v>49</v>
      </c>
      <c r="Q886" s="9">
        <f>IF(Auction_Sales[[#This Row],[Payment Date]]=0,"",-1+WEEKNUM(Auction_Sales[[#This Row],[Payment Date]]))</f>
        <v>2</v>
      </c>
      <c r="R886" s="9">
        <v>-680</v>
      </c>
      <c r="S886" s="9" t="s">
        <v>153</v>
      </c>
      <c r="T886" s="9" t="s">
        <v>48</v>
      </c>
      <c r="U886" s="9">
        <v>800</v>
      </c>
      <c r="V886" s="13">
        <v>0.17499999999999999</v>
      </c>
      <c r="W886" s="13">
        <v>140</v>
      </c>
      <c r="X886" s="14">
        <v>-32.069669669669672</v>
      </c>
      <c r="Y886" s="13">
        <v>107.93033033033032</v>
      </c>
      <c r="Z886" s="10">
        <v>45308</v>
      </c>
      <c r="AA886" s="9">
        <v>680</v>
      </c>
      <c r="AC886" s="9" t="s">
        <v>87</v>
      </c>
      <c r="AD886" s="14">
        <v>10.072325581395349</v>
      </c>
      <c r="AF886" s="14">
        <v>16</v>
      </c>
      <c r="AH886" s="14">
        <v>26.072325581395347</v>
      </c>
      <c r="AI886" s="13">
        <v>81.858004748934974</v>
      </c>
      <c r="AK886" s="9">
        <v>800</v>
      </c>
    </row>
    <row r="887" spans="1:37">
      <c r="A887" s="9">
        <v>2</v>
      </c>
      <c r="B887" s="9">
        <v>2023</v>
      </c>
      <c r="C887" s="9" t="s">
        <v>46</v>
      </c>
      <c r="D887" s="9" t="s">
        <v>47</v>
      </c>
      <c r="E887" s="9" t="s">
        <v>47</v>
      </c>
      <c r="F887" s="10">
        <v>45299</v>
      </c>
      <c r="G887" s="9" t="s">
        <v>153</v>
      </c>
      <c r="H887" s="9" t="s">
        <v>54</v>
      </c>
      <c r="J887" s="9">
        <v>8.7272727272727266</v>
      </c>
      <c r="K887" s="9">
        <v>320</v>
      </c>
      <c r="L887" s="9">
        <v>0.15</v>
      </c>
      <c r="M887" s="9">
        <v>48</v>
      </c>
      <c r="N887" s="9" t="s">
        <v>49</v>
      </c>
      <c r="Q887" s="9">
        <f>IF(Auction_Sales[[#This Row],[Payment Date]]=0,"",-1+WEEKNUM(Auction_Sales[[#This Row],[Payment Date]]))</f>
        <v>2</v>
      </c>
      <c r="R887" s="9">
        <v>320</v>
      </c>
      <c r="S887" s="9" t="s">
        <v>153</v>
      </c>
      <c r="T887" s="9" t="s">
        <v>54</v>
      </c>
      <c r="W887" s="13">
        <v>0</v>
      </c>
      <c r="X887" s="14">
        <v>0</v>
      </c>
      <c r="Y887" s="13">
        <v>0</v>
      </c>
      <c r="Z887" s="10">
        <v>45308</v>
      </c>
      <c r="AA887" s="9">
        <v>-320</v>
      </c>
      <c r="AC887" s="9" t="s">
        <v>87</v>
      </c>
      <c r="AD887" s="14">
        <v>26.859534883720926</v>
      </c>
      <c r="AF887" s="14">
        <v>0</v>
      </c>
      <c r="AH887" s="14">
        <v>26.859534883720926</v>
      </c>
      <c r="AI887" s="13">
        <v>-26.859534883720926</v>
      </c>
      <c r="AK887" s="9">
        <v>0</v>
      </c>
    </row>
    <row r="888" spans="1:37">
      <c r="F888" s="10"/>
      <c r="G888" s="9" t="s">
        <v>157</v>
      </c>
      <c r="H888" s="9" t="s">
        <v>48</v>
      </c>
      <c r="Q888" s="9">
        <f>IF(Auction_Sales[[#This Row],[Payment Date]]=0,"",-1+WEEKNUM(Auction_Sales[[#This Row],[Payment Date]]))</f>
        <v>1</v>
      </c>
      <c r="R888" s="9">
        <v>-80</v>
      </c>
      <c r="S888" s="9" t="s">
        <v>157</v>
      </c>
      <c r="T888" s="9" t="s">
        <v>48</v>
      </c>
      <c r="U888" s="9">
        <v>80</v>
      </c>
      <c r="V888" s="13">
        <v>0.32</v>
      </c>
      <c r="W888" s="13">
        <v>25.6</v>
      </c>
      <c r="X888" s="14">
        <v>-3.2069669669669674</v>
      </c>
      <c r="Y888" s="13">
        <v>22.393033033033035</v>
      </c>
      <c r="Z888" s="10">
        <v>45301</v>
      </c>
      <c r="AA888" s="9">
        <v>80</v>
      </c>
      <c r="AC888" s="9" t="s">
        <v>87</v>
      </c>
      <c r="AD888" s="14">
        <v>0</v>
      </c>
      <c r="AF888" s="14">
        <v>1.6</v>
      </c>
      <c r="AH888" s="14">
        <v>1.6</v>
      </c>
      <c r="AI888" s="13">
        <v>20.793033033033034</v>
      </c>
      <c r="AK888" s="9">
        <v>80</v>
      </c>
    </row>
    <row r="889" spans="1:37">
      <c r="A889" s="9">
        <v>2</v>
      </c>
      <c r="B889" s="9">
        <v>2023</v>
      </c>
      <c r="C889" s="9" t="s">
        <v>46</v>
      </c>
      <c r="D889" s="9" t="s">
        <v>47</v>
      </c>
      <c r="E889" s="9" t="s">
        <v>47</v>
      </c>
      <c r="F889" s="10">
        <v>45300</v>
      </c>
      <c r="G889" s="9" t="s">
        <v>155</v>
      </c>
      <c r="H889" s="9" t="s">
        <v>52</v>
      </c>
      <c r="I889" s="9">
        <v>5</v>
      </c>
      <c r="J889" s="9">
        <v>60</v>
      </c>
      <c r="K889" s="9">
        <v>1600</v>
      </c>
      <c r="L889" s="9">
        <v>0.15</v>
      </c>
      <c r="M889" s="9">
        <v>240</v>
      </c>
      <c r="N889" s="9" t="s">
        <v>49</v>
      </c>
      <c r="Q889" s="9">
        <f>IF(Auction_Sales[[#This Row],[Payment Date]]=0,"",-1+WEEKNUM(Auction_Sales[[#This Row],[Payment Date]]))</f>
        <v>2</v>
      </c>
      <c r="R889" s="9">
        <v>720</v>
      </c>
      <c r="S889" s="9" t="s">
        <v>155</v>
      </c>
      <c r="T889" s="9" t="s">
        <v>52</v>
      </c>
      <c r="U889" s="9">
        <v>880</v>
      </c>
      <c r="V889" s="13">
        <v>0.36</v>
      </c>
      <c r="W889" s="13">
        <v>316.8</v>
      </c>
      <c r="X889" s="14">
        <v>-42.134117647058865</v>
      </c>
      <c r="Y889" s="13">
        <v>274.66588235294114</v>
      </c>
      <c r="Z889" s="10">
        <v>45308</v>
      </c>
      <c r="AA889" s="9">
        <v>-720</v>
      </c>
      <c r="AC889" s="9">
        <v>423631</v>
      </c>
      <c r="AD889" s="14">
        <v>186.14791666666667</v>
      </c>
      <c r="AF889" s="14">
        <v>17.600000000000001</v>
      </c>
      <c r="AH889" s="14">
        <v>203.74791666666667</v>
      </c>
      <c r="AI889" s="13">
        <v>70.917965686274471</v>
      </c>
      <c r="AK889" s="9">
        <v>880</v>
      </c>
    </row>
    <row r="890" spans="1:37">
      <c r="A890" s="9">
        <v>2</v>
      </c>
      <c r="B890" s="9">
        <v>2023</v>
      </c>
      <c r="C890" s="9" t="s">
        <v>46</v>
      </c>
      <c r="D890" s="9" t="s">
        <v>47</v>
      </c>
      <c r="E890" s="9" t="s">
        <v>47</v>
      </c>
      <c r="F890" s="10">
        <v>45300</v>
      </c>
      <c r="G890" s="9" t="s">
        <v>155</v>
      </c>
      <c r="H890" s="9" t="s">
        <v>54</v>
      </c>
      <c r="I890" s="9">
        <v>3</v>
      </c>
      <c r="J890" s="9">
        <v>36</v>
      </c>
      <c r="K890" s="9">
        <v>840</v>
      </c>
      <c r="L890" s="9">
        <v>0.15</v>
      </c>
      <c r="M890" s="9">
        <v>126</v>
      </c>
      <c r="N890" s="9" t="s">
        <v>49</v>
      </c>
      <c r="Q890" s="9">
        <f>IF(Auction_Sales[[#This Row],[Payment Date]]=0,"",-1+WEEKNUM(Auction_Sales[[#This Row],[Payment Date]]))</f>
        <v>2</v>
      </c>
      <c r="R890" s="9">
        <v>-240</v>
      </c>
      <c r="S890" s="9" t="s">
        <v>155</v>
      </c>
      <c r="T890" s="9" t="s">
        <v>54</v>
      </c>
      <c r="U890" s="9">
        <v>1080</v>
      </c>
      <c r="V890" s="13">
        <v>0.54814814814814816</v>
      </c>
      <c r="W890" s="13">
        <v>592</v>
      </c>
      <c r="X890" s="14">
        <v>-51.710053475935879</v>
      </c>
      <c r="Y890" s="13">
        <v>540.28994652406413</v>
      </c>
      <c r="Z890" s="10">
        <v>45308</v>
      </c>
      <c r="AA890" s="9">
        <v>240</v>
      </c>
      <c r="AC890" s="9">
        <v>423631</v>
      </c>
      <c r="AD890" s="14">
        <v>111.68875</v>
      </c>
      <c r="AF890" s="14">
        <v>21.6</v>
      </c>
      <c r="AH890" s="14">
        <v>133.28874999999999</v>
      </c>
      <c r="AI890" s="13">
        <v>407.00119652406414</v>
      </c>
      <c r="AK890" s="9">
        <v>1080</v>
      </c>
    </row>
    <row r="891" spans="1:37">
      <c r="A891" s="9">
        <v>2</v>
      </c>
      <c r="B891" s="9">
        <v>2023</v>
      </c>
      <c r="C891" s="9" t="s">
        <v>46</v>
      </c>
      <c r="D891" s="9" t="s">
        <v>47</v>
      </c>
      <c r="E891" s="9" t="s">
        <v>47</v>
      </c>
      <c r="F891" s="10">
        <v>45300</v>
      </c>
      <c r="G891" s="9" t="s">
        <v>155</v>
      </c>
      <c r="H891" s="9" t="s">
        <v>56</v>
      </c>
      <c r="I891" s="9">
        <v>2</v>
      </c>
      <c r="J891" s="9">
        <v>24</v>
      </c>
      <c r="K891" s="9">
        <v>480</v>
      </c>
      <c r="L891" s="9">
        <v>0.15</v>
      </c>
      <c r="M891" s="9">
        <v>72</v>
      </c>
      <c r="N891" s="9" t="s">
        <v>49</v>
      </c>
      <c r="Q891" s="9">
        <f>IF(Auction_Sales[[#This Row],[Payment Date]]=0,"",-1+WEEKNUM(Auction_Sales[[#This Row],[Payment Date]]))</f>
        <v>2</v>
      </c>
      <c r="R891" s="9">
        <v>-160</v>
      </c>
      <c r="S891" s="9" t="s">
        <v>155</v>
      </c>
      <c r="T891" s="9" t="s">
        <v>56</v>
      </c>
      <c r="U891" s="9">
        <v>640</v>
      </c>
      <c r="V891" s="13">
        <v>0.6</v>
      </c>
      <c r="W891" s="13">
        <v>384</v>
      </c>
      <c r="X891" s="14">
        <v>-30.642994652406443</v>
      </c>
      <c r="Y891" s="13">
        <v>353.35700534759354</v>
      </c>
      <c r="Z891" s="10">
        <v>45308</v>
      </c>
      <c r="AA891" s="9">
        <v>160</v>
      </c>
      <c r="AC891" s="9">
        <v>423631</v>
      </c>
      <c r="AD891" s="14">
        <v>74.459166666666661</v>
      </c>
      <c r="AF891" s="14">
        <v>12.8</v>
      </c>
      <c r="AH891" s="14">
        <v>87.259166666666658</v>
      </c>
      <c r="AI891" s="13">
        <v>266.09783868092688</v>
      </c>
      <c r="AK891" s="9">
        <v>640</v>
      </c>
    </row>
    <row r="892" spans="1:37">
      <c r="A892" s="9">
        <v>2</v>
      </c>
      <c r="B892" s="9">
        <v>2023</v>
      </c>
      <c r="C892" s="9" t="s">
        <v>46</v>
      </c>
      <c r="D892" s="9" t="s">
        <v>47</v>
      </c>
      <c r="E892" s="9" t="s">
        <v>47</v>
      </c>
      <c r="F892" s="10">
        <v>45300</v>
      </c>
      <c r="G892" s="9" t="s">
        <v>155</v>
      </c>
      <c r="H892" s="9" t="s">
        <v>57</v>
      </c>
      <c r="I892" s="9">
        <v>1</v>
      </c>
      <c r="J892" s="9">
        <v>12</v>
      </c>
      <c r="K892" s="9">
        <v>160</v>
      </c>
      <c r="L892" s="9">
        <v>0.15</v>
      </c>
      <c r="M892" s="9">
        <v>24</v>
      </c>
      <c r="N892" s="9" t="s">
        <v>49</v>
      </c>
      <c r="Q892" s="9">
        <f>IF(Auction_Sales[[#This Row],[Payment Date]]=0,"",-1+WEEKNUM(Auction_Sales[[#This Row],[Payment Date]]))</f>
        <v>2</v>
      </c>
      <c r="R892" s="9">
        <v>160</v>
      </c>
      <c r="S892" s="9" t="s">
        <v>155</v>
      </c>
      <c r="T892" s="9" t="s">
        <v>57</v>
      </c>
      <c r="W892" s="13">
        <v>0</v>
      </c>
      <c r="X892" s="14">
        <v>0</v>
      </c>
      <c r="Y892" s="13">
        <v>0</v>
      </c>
      <c r="Z892" s="10">
        <v>45308</v>
      </c>
      <c r="AA892" s="9">
        <v>-160</v>
      </c>
      <c r="AC892" s="9">
        <v>423631</v>
      </c>
      <c r="AD892" s="14">
        <v>37.229583333333331</v>
      </c>
      <c r="AF892" s="14">
        <v>0</v>
      </c>
      <c r="AH892" s="14">
        <v>37.229583333333331</v>
      </c>
      <c r="AI892" s="13">
        <v>-37.229583333333331</v>
      </c>
      <c r="AK892" s="9">
        <v>0</v>
      </c>
    </row>
    <row r="893" spans="1:37">
      <c r="A893" s="9">
        <v>2</v>
      </c>
      <c r="B893" s="9">
        <v>2023</v>
      </c>
      <c r="C893" s="9" t="s">
        <v>46</v>
      </c>
      <c r="D893" s="9" t="s">
        <v>47</v>
      </c>
      <c r="E893" s="9" t="s">
        <v>47</v>
      </c>
      <c r="F893" s="10">
        <v>45300</v>
      </c>
      <c r="G893" s="9" t="s">
        <v>155</v>
      </c>
      <c r="H893" s="9" t="s">
        <v>57</v>
      </c>
      <c r="I893" s="9">
        <v>1</v>
      </c>
      <c r="J893" s="9">
        <v>12</v>
      </c>
      <c r="K893" s="9">
        <v>200</v>
      </c>
      <c r="L893" s="9">
        <v>0.15</v>
      </c>
      <c r="M893" s="9">
        <v>30</v>
      </c>
      <c r="N893" s="9" t="s">
        <v>49</v>
      </c>
      <c r="Q893" s="9">
        <f>IF(Auction_Sales[[#This Row],[Payment Date]]=0,"",-1+WEEKNUM(Auction_Sales[[#This Row],[Payment Date]]))</f>
        <v>2</v>
      </c>
      <c r="R893" s="9">
        <v>-160</v>
      </c>
      <c r="S893" s="9" t="s">
        <v>155</v>
      </c>
      <c r="T893" s="9" t="s">
        <v>57</v>
      </c>
      <c r="U893" s="9">
        <v>360</v>
      </c>
      <c r="V893" s="13">
        <v>0.71888888888888891</v>
      </c>
      <c r="W893" s="13">
        <v>258.8</v>
      </c>
      <c r="X893" s="14">
        <v>-17.236684491978625</v>
      </c>
      <c r="Y893" s="13">
        <v>241.56331550802139</v>
      </c>
      <c r="Z893" s="10">
        <v>45308</v>
      </c>
      <c r="AA893" s="9">
        <v>160</v>
      </c>
      <c r="AC893" s="9">
        <v>423631</v>
      </c>
      <c r="AD893" s="14">
        <v>37.229583333333331</v>
      </c>
      <c r="AF893" s="14">
        <v>7.2</v>
      </c>
      <c r="AH893" s="14">
        <v>44.429583333333333</v>
      </c>
      <c r="AI893" s="13">
        <v>197.13373217468805</v>
      </c>
      <c r="AK893" s="9">
        <v>360</v>
      </c>
    </row>
    <row r="894" spans="1:37">
      <c r="A894" s="9">
        <v>2</v>
      </c>
      <c r="B894" s="9">
        <v>2023</v>
      </c>
      <c r="C894" s="9" t="s">
        <v>46</v>
      </c>
      <c r="D894" s="9" t="s">
        <v>47</v>
      </c>
      <c r="E894" s="9" t="s">
        <v>47</v>
      </c>
      <c r="F894" s="10">
        <v>45300</v>
      </c>
      <c r="G894" s="9" t="s">
        <v>153</v>
      </c>
      <c r="H894" s="9" t="s">
        <v>48</v>
      </c>
      <c r="I894" s="9">
        <v>1</v>
      </c>
      <c r="J894" s="9">
        <v>12</v>
      </c>
      <c r="K894" s="9">
        <v>720</v>
      </c>
      <c r="L894" s="9">
        <v>0.15</v>
      </c>
      <c r="M894" s="9">
        <v>108</v>
      </c>
      <c r="N894" s="9" t="s">
        <v>49</v>
      </c>
      <c r="Q894" s="9">
        <f>IF(Auction_Sales[[#This Row],[Payment Date]]=0,"",-1+WEEKNUM(Auction_Sales[[#This Row],[Payment Date]]))</f>
        <v>2</v>
      </c>
      <c r="R894" s="9">
        <v>0</v>
      </c>
      <c r="S894" s="9" t="s">
        <v>153</v>
      </c>
      <c r="T894" s="9" t="s">
        <v>48</v>
      </c>
      <c r="U894" s="9">
        <v>720</v>
      </c>
      <c r="V894" s="13">
        <v>0.26111111111111113</v>
      </c>
      <c r="W894" s="13">
        <v>188</v>
      </c>
      <c r="X894" s="14">
        <v>-34.473368983957251</v>
      </c>
      <c r="Y894" s="13">
        <v>153.52663101604276</v>
      </c>
      <c r="Z894" s="10">
        <v>45308</v>
      </c>
      <c r="AA894" s="9">
        <v>0</v>
      </c>
      <c r="AC894" s="9">
        <v>423631</v>
      </c>
      <c r="AD894" s="14">
        <v>37.229583333333331</v>
      </c>
      <c r="AF894" s="14">
        <v>14.4</v>
      </c>
      <c r="AH894" s="14">
        <v>51.629583333333329</v>
      </c>
      <c r="AI894" s="13">
        <v>101.89704768270943</v>
      </c>
      <c r="AK894" s="9">
        <v>720</v>
      </c>
    </row>
    <row r="895" spans="1:37">
      <c r="A895" s="9">
        <v>2</v>
      </c>
      <c r="B895" s="9">
        <v>2023</v>
      </c>
      <c r="C895" s="9" t="s">
        <v>46</v>
      </c>
      <c r="D895" s="9" t="s">
        <v>47</v>
      </c>
      <c r="E895" s="9" t="s">
        <v>47</v>
      </c>
      <c r="F895" s="10">
        <v>45300</v>
      </c>
      <c r="G895" s="9" t="s">
        <v>153</v>
      </c>
      <c r="H895" s="9" t="s">
        <v>52</v>
      </c>
      <c r="I895" s="9">
        <v>1</v>
      </c>
      <c r="J895" s="9">
        <v>12</v>
      </c>
      <c r="K895" s="9">
        <v>520</v>
      </c>
      <c r="L895" s="9">
        <v>0.15</v>
      </c>
      <c r="M895" s="9">
        <v>78</v>
      </c>
      <c r="N895" s="9" t="s">
        <v>49</v>
      </c>
      <c r="Q895" s="9">
        <f>IF(Auction_Sales[[#This Row],[Payment Date]]=0,"",-1+WEEKNUM(Auction_Sales[[#This Row],[Payment Date]]))</f>
        <v>2</v>
      </c>
      <c r="R895" s="9">
        <v>-120</v>
      </c>
      <c r="S895" s="9" t="s">
        <v>153</v>
      </c>
      <c r="T895" s="9" t="s">
        <v>52</v>
      </c>
      <c r="U895" s="9">
        <v>640</v>
      </c>
      <c r="V895" s="13">
        <v>0.39500000000000002</v>
      </c>
      <c r="W895" s="13">
        <v>252.8</v>
      </c>
      <c r="X895" s="14">
        <v>-30.642994652406443</v>
      </c>
      <c r="Y895" s="13">
        <v>222.15700534759355</v>
      </c>
      <c r="Z895" s="10">
        <v>45308</v>
      </c>
      <c r="AA895" s="9">
        <v>120</v>
      </c>
      <c r="AC895" s="9">
        <v>423631</v>
      </c>
      <c r="AD895" s="14">
        <v>37.229583333333331</v>
      </c>
      <c r="AF895" s="14">
        <v>12.8</v>
      </c>
      <c r="AH895" s="14">
        <v>50.029583333333335</v>
      </c>
      <c r="AI895" s="13">
        <v>172.12742201426022</v>
      </c>
      <c r="AK895" s="9">
        <v>640</v>
      </c>
    </row>
    <row r="896" spans="1:37">
      <c r="A896" s="9">
        <v>2</v>
      </c>
      <c r="B896" s="9">
        <v>2023</v>
      </c>
      <c r="C896" s="9" t="s">
        <v>46</v>
      </c>
      <c r="D896" s="9" t="s">
        <v>47</v>
      </c>
      <c r="E896" s="9" t="s">
        <v>47</v>
      </c>
      <c r="F896" s="10">
        <v>45300</v>
      </c>
      <c r="G896" s="9" t="s">
        <v>155</v>
      </c>
      <c r="H896" s="9" t="s">
        <v>60</v>
      </c>
      <c r="I896" s="9">
        <v>1</v>
      </c>
      <c r="J896" s="9">
        <v>12</v>
      </c>
      <c r="K896" s="9">
        <v>160</v>
      </c>
      <c r="L896" s="9">
        <v>0.15</v>
      </c>
      <c r="M896" s="9">
        <v>24</v>
      </c>
      <c r="N896" s="9" t="s">
        <v>49</v>
      </c>
      <c r="Q896" s="9">
        <f>IF(Auction_Sales[[#This Row],[Payment Date]]=0,"",-1+WEEKNUM(Auction_Sales[[#This Row],[Payment Date]]))</f>
        <v>2</v>
      </c>
      <c r="R896" s="9">
        <v>-80</v>
      </c>
      <c r="S896" s="9" t="s">
        <v>155</v>
      </c>
      <c r="T896" s="9" t="s">
        <v>60</v>
      </c>
      <c r="U896" s="9">
        <v>240</v>
      </c>
      <c r="V896" s="13">
        <v>0.81333333333333324</v>
      </c>
      <c r="W896" s="13">
        <v>195.2</v>
      </c>
      <c r="X896" s="14">
        <v>-11.491122994652416</v>
      </c>
      <c r="Y896" s="13">
        <v>183.70887700534757</v>
      </c>
      <c r="Z896" s="10">
        <v>45308</v>
      </c>
      <c r="AA896" s="9">
        <v>80</v>
      </c>
      <c r="AC896" s="9">
        <v>423631</v>
      </c>
      <c r="AD896" s="14">
        <v>37.229583333333331</v>
      </c>
      <c r="AF896" s="14">
        <v>4.8</v>
      </c>
      <c r="AH896" s="14">
        <v>42.029583333333328</v>
      </c>
      <c r="AI896" s="13">
        <v>141.67929367201424</v>
      </c>
      <c r="AK896" s="9">
        <v>240</v>
      </c>
    </row>
    <row r="897" spans="1:37">
      <c r="A897" s="9">
        <v>2</v>
      </c>
      <c r="B897" s="9">
        <v>2023</v>
      </c>
      <c r="C897" s="9" t="s">
        <v>46</v>
      </c>
      <c r="D897" s="9" t="s">
        <v>47</v>
      </c>
      <c r="E897" s="9" t="s">
        <v>47</v>
      </c>
      <c r="F897" s="10">
        <v>45300</v>
      </c>
      <c r="G897" s="9" t="s">
        <v>154</v>
      </c>
      <c r="H897" s="9" t="s">
        <v>52</v>
      </c>
      <c r="I897" s="9">
        <v>1</v>
      </c>
      <c r="J897" s="9">
        <v>12</v>
      </c>
      <c r="K897" s="9">
        <v>320</v>
      </c>
      <c r="L897" s="9">
        <v>0.15</v>
      </c>
      <c r="M897" s="9">
        <v>48</v>
      </c>
      <c r="N897" s="9" t="s">
        <v>49</v>
      </c>
      <c r="Q897" s="9">
        <f>IF(Auction_Sales[[#This Row],[Payment Date]]=0,"",-1+WEEKNUM(Auction_Sales[[#This Row],[Payment Date]]))</f>
        <v>2</v>
      </c>
      <c r="R897" s="9">
        <v>-160</v>
      </c>
      <c r="S897" s="9" t="s">
        <v>154</v>
      </c>
      <c r="T897" s="9" t="s">
        <v>52</v>
      </c>
      <c r="U897" s="9">
        <v>480</v>
      </c>
      <c r="V897" s="13">
        <v>0.39499999999999996</v>
      </c>
      <c r="W897" s="13">
        <v>189.6</v>
      </c>
      <c r="X897" s="14">
        <v>-22.982245989304833</v>
      </c>
      <c r="Y897" s="13">
        <v>166.61775401069517</v>
      </c>
      <c r="Z897" s="10">
        <v>45308</v>
      </c>
      <c r="AA897" s="9">
        <v>160</v>
      </c>
      <c r="AC897" s="9">
        <v>423631</v>
      </c>
      <c r="AD897" s="14">
        <v>37.229583333333331</v>
      </c>
      <c r="AF897" s="14">
        <v>9.6</v>
      </c>
      <c r="AH897" s="14">
        <v>46.829583333333332</v>
      </c>
      <c r="AI897" s="13">
        <v>119.78817067736183</v>
      </c>
      <c r="AK897" s="9">
        <v>480</v>
      </c>
    </row>
    <row r="898" spans="1:37">
      <c r="A898" s="9">
        <v>2</v>
      </c>
      <c r="B898" s="9">
        <v>2023</v>
      </c>
      <c r="C898" s="9" t="s">
        <v>46</v>
      </c>
      <c r="D898" s="9" t="s">
        <v>47</v>
      </c>
      <c r="E898" s="9" t="s">
        <v>47</v>
      </c>
      <c r="F898" s="10">
        <v>45300</v>
      </c>
      <c r="G898" s="9" t="s">
        <v>154</v>
      </c>
      <c r="H898" s="9" t="s">
        <v>54</v>
      </c>
      <c r="I898" s="9">
        <v>1</v>
      </c>
      <c r="J898" s="9">
        <v>12</v>
      </c>
      <c r="K898" s="9">
        <v>280</v>
      </c>
      <c r="L898" s="9">
        <v>0.15</v>
      </c>
      <c r="M898" s="9">
        <v>42</v>
      </c>
      <c r="N898" s="9" t="s">
        <v>49</v>
      </c>
      <c r="Q898" s="9">
        <f>IF(Auction_Sales[[#This Row],[Payment Date]]=0,"",-1+WEEKNUM(Auction_Sales[[#This Row],[Payment Date]]))</f>
        <v>2</v>
      </c>
      <c r="R898" s="9">
        <v>40</v>
      </c>
      <c r="S898" s="9" t="s">
        <v>154</v>
      </c>
      <c r="T898" s="9" t="s">
        <v>54</v>
      </c>
      <c r="U898" s="9">
        <v>240</v>
      </c>
      <c r="V898" s="13">
        <v>0.41000000000000003</v>
      </c>
      <c r="W898" s="13">
        <v>98.4</v>
      </c>
      <c r="X898" s="14">
        <v>-11.491122994652416</v>
      </c>
      <c r="Y898" s="13">
        <v>86.908877005347591</v>
      </c>
      <c r="Z898" s="10">
        <v>45308</v>
      </c>
      <c r="AA898" s="9">
        <v>-40</v>
      </c>
      <c r="AC898" s="9">
        <v>423631</v>
      </c>
      <c r="AD898" s="14">
        <v>37.229583333333331</v>
      </c>
      <c r="AF898" s="14">
        <v>4.8</v>
      </c>
      <c r="AH898" s="14">
        <v>42.029583333333328</v>
      </c>
      <c r="AI898" s="13">
        <v>44.879293672014263</v>
      </c>
      <c r="AK898" s="9">
        <v>240</v>
      </c>
    </row>
    <row r="899" spans="1:37">
      <c r="A899" s="9">
        <v>2</v>
      </c>
      <c r="B899" s="9">
        <v>2023</v>
      </c>
      <c r="C899" s="9" t="s">
        <v>46</v>
      </c>
      <c r="D899" s="9" t="s">
        <v>47</v>
      </c>
      <c r="E899" s="9" t="s">
        <v>47</v>
      </c>
      <c r="F899" s="10">
        <v>45300</v>
      </c>
      <c r="G899" s="9" t="s">
        <v>155</v>
      </c>
      <c r="H899" s="9" t="s">
        <v>56</v>
      </c>
      <c r="I899" s="9">
        <v>1</v>
      </c>
      <c r="J899" s="9">
        <v>8.5714285714285712</v>
      </c>
      <c r="K899" s="9">
        <v>200</v>
      </c>
      <c r="L899" s="9">
        <v>0.15</v>
      </c>
      <c r="M899" s="9">
        <v>30</v>
      </c>
      <c r="N899" s="9" t="s">
        <v>49</v>
      </c>
      <c r="Q899" s="9">
        <f>IF(Auction_Sales[[#This Row],[Payment Date]]=0,"",-1+WEEKNUM(Auction_Sales[[#This Row],[Payment Date]]))</f>
        <v>2</v>
      </c>
      <c r="R899" s="9">
        <v>200</v>
      </c>
      <c r="S899" s="9" t="s">
        <v>155</v>
      </c>
      <c r="T899" s="9" t="s">
        <v>56</v>
      </c>
      <c r="W899" s="13">
        <v>0</v>
      </c>
      <c r="X899" s="14">
        <v>0</v>
      </c>
      <c r="Y899" s="13">
        <v>0</v>
      </c>
      <c r="Z899" s="10">
        <v>45308</v>
      </c>
      <c r="AA899" s="9">
        <v>-200</v>
      </c>
      <c r="AC899" s="9">
        <v>423631</v>
      </c>
      <c r="AD899" s="14">
        <v>26.592559523809523</v>
      </c>
      <c r="AF899" s="14">
        <v>0</v>
      </c>
      <c r="AH899" s="14">
        <v>26.592559523809523</v>
      </c>
      <c r="AI899" s="13">
        <v>-26.592559523809523</v>
      </c>
      <c r="AK899" s="9">
        <v>0</v>
      </c>
    </row>
    <row r="900" spans="1:37">
      <c r="A900" s="9">
        <v>2</v>
      </c>
      <c r="B900" s="9">
        <v>2023</v>
      </c>
      <c r="C900" s="9" t="s">
        <v>46</v>
      </c>
      <c r="D900" s="9" t="s">
        <v>47</v>
      </c>
      <c r="E900" s="9" t="s">
        <v>47</v>
      </c>
      <c r="F900" s="10">
        <v>45300</v>
      </c>
      <c r="G900" s="9" t="s">
        <v>155</v>
      </c>
      <c r="H900" s="9" t="s">
        <v>60</v>
      </c>
      <c r="J900" s="9">
        <v>3.4285714285714284</v>
      </c>
      <c r="K900" s="9">
        <v>80</v>
      </c>
      <c r="L900" s="9">
        <v>0.15</v>
      </c>
      <c r="M900" s="9">
        <v>12</v>
      </c>
      <c r="N900" s="9" t="s">
        <v>49</v>
      </c>
      <c r="Q900" s="9">
        <f>IF(Auction_Sales[[#This Row],[Payment Date]]=0,"",-1+WEEKNUM(Auction_Sales[[#This Row],[Payment Date]]))</f>
        <v>2</v>
      </c>
      <c r="R900" s="9">
        <v>80</v>
      </c>
      <c r="S900" s="9" t="s">
        <v>155</v>
      </c>
      <c r="T900" s="9" t="s">
        <v>60</v>
      </c>
      <c r="W900" s="13">
        <v>0</v>
      </c>
      <c r="X900" s="14">
        <v>0</v>
      </c>
      <c r="Y900" s="13">
        <v>0</v>
      </c>
      <c r="Z900" s="10">
        <v>45308</v>
      </c>
      <c r="AA900" s="9">
        <v>-80</v>
      </c>
      <c r="AC900" s="9">
        <v>423631</v>
      </c>
      <c r="AD900" s="14">
        <v>10.637023809523809</v>
      </c>
      <c r="AF900" s="14">
        <v>0</v>
      </c>
      <c r="AH900" s="14">
        <v>10.637023809523809</v>
      </c>
      <c r="AI900" s="13">
        <v>-10.637023809523809</v>
      </c>
      <c r="AK900" s="9">
        <v>0</v>
      </c>
    </row>
    <row r="901" spans="1:37">
      <c r="A901" s="9">
        <v>2</v>
      </c>
      <c r="B901" s="9">
        <v>2023</v>
      </c>
      <c r="C901" s="9" t="s">
        <v>46</v>
      </c>
      <c r="D901" s="9" t="s">
        <v>47</v>
      </c>
      <c r="E901" s="9" t="s">
        <v>47</v>
      </c>
      <c r="F901" s="10">
        <v>45300</v>
      </c>
      <c r="G901" s="9" t="s">
        <v>155</v>
      </c>
      <c r="H901" s="9" t="s">
        <v>52</v>
      </c>
      <c r="I901" s="9">
        <v>1</v>
      </c>
      <c r="J901" s="9">
        <v>4</v>
      </c>
      <c r="K901" s="9">
        <v>120</v>
      </c>
      <c r="L901" s="9">
        <v>0.15</v>
      </c>
      <c r="M901" s="9">
        <v>18</v>
      </c>
      <c r="N901" s="9" t="s">
        <v>49</v>
      </c>
      <c r="Q901" s="9">
        <f>IF(Auction_Sales[[#This Row],[Payment Date]]=0,"",-1+WEEKNUM(Auction_Sales[[#This Row],[Payment Date]]))</f>
        <v>2</v>
      </c>
      <c r="R901" s="9">
        <v>-760</v>
      </c>
      <c r="S901" s="9" t="s">
        <v>155</v>
      </c>
      <c r="T901" s="9" t="s">
        <v>52</v>
      </c>
      <c r="U901" s="9">
        <v>880</v>
      </c>
      <c r="V901" s="13">
        <v>0.44545454545454544</v>
      </c>
      <c r="W901" s="13">
        <v>392</v>
      </c>
      <c r="X901" s="14">
        <v>-42.134117647058865</v>
      </c>
      <c r="Y901" s="13">
        <v>349.86588235294113</v>
      </c>
      <c r="Z901" s="10">
        <v>45308</v>
      </c>
      <c r="AA901" s="9">
        <v>760</v>
      </c>
      <c r="AC901" s="9">
        <v>423631</v>
      </c>
      <c r="AD901" s="14">
        <v>12.409861111111111</v>
      </c>
      <c r="AF901" s="14">
        <v>17.600000000000001</v>
      </c>
      <c r="AH901" s="14">
        <v>30.009861111111114</v>
      </c>
      <c r="AI901" s="13">
        <v>319.85602124183004</v>
      </c>
      <c r="AK901" s="9">
        <v>880</v>
      </c>
    </row>
    <row r="902" spans="1:37">
      <c r="A902" s="9">
        <v>2</v>
      </c>
      <c r="B902" s="9">
        <v>2023</v>
      </c>
      <c r="C902" s="9" t="s">
        <v>46</v>
      </c>
      <c r="D902" s="9" t="s">
        <v>47</v>
      </c>
      <c r="E902" s="9" t="s">
        <v>47</v>
      </c>
      <c r="F902" s="10">
        <v>45300</v>
      </c>
      <c r="G902" s="9" t="s">
        <v>155</v>
      </c>
      <c r="H902" s="9" t="s">
        <v>54</v>
      </c>
      <c r="J902" s="9">
        <v>8</v>
      </c>
      <c r="K902" s="9">
        <v>240</v>
      </c>
      <c r="L902" s="9">
        <v>0.15</v>
      </c>
      <c r="M902" s="9">
        <v>36</v>
      </c>
      <c r="N902" s="9" t="s">
        <v>49</v>
      </c>
      <c r="Q902" s="9">
        <f>IF(Auction_Sales[[#This Row],[Payment Date]]=0,"",-1+WEEKNUM(Auction_Sales[[#This Row],[Payment Date]]))</f>
        <v>2</v>
      </c>
      <c r="R902" s="9">
        <v>240</v>
      </c>
      <c r="S902" s="9" t="s">
        <v>155</v>
      </c>
      <c r="T902" s="9" t="s">
        <v>54</v>
      </c>
      <c r="W902" s="13">
        <v>0</v>
      </c>
      <c r="X902" s="14">
        <v>0</v>
      </c>
      <c r="Y902" s="13">
        <v>0</v>
      </c>
      <c r="Z902" s="10">
        <v>45308</v>
      </c>
      <c r="AA902" s="9">
        <v>-240</v>
      </c>
      <c r="AC902" s="9">
        <v>423631</v>
      </c>
      <c r="AD902" s="14">
        <v>24.819722222222222</v>
      </c>
      <c r="AF902" s="14">
        <v>0</v>
      </c>
      <c r="AH902" s="14">
        <v>24.819722222222222</v>
      </c>
      <c r="AI902" s="13">
        <v>-24.819722222222222</v>
      </c>
      <c r="AK902" s="9">
        <v>0</v>
      </c>
    </row>
    <row r="903" spans="1:37">
      <c r="A903" s="9">
        <v>2</v>
      </c>
      <c r="B903" s="9">
        <v>2023</v>
      </c>
      <c r="C903" s="9" t="s">
        <v>46</v>
      </c>
      <c r="D903" s="9" t="s">
        <v>47</v>
      </c>
      <c r="E903" s="9" t="s">
        <v>47</v>
      </c>
      <c r="F903" s="10">
        <v>45300</v>
      </c>
      <c r="G903" s="9" t="s">
        <v>154</v>
      </c>
      <c r="H903" s="9" t="s">
        <v>52</v>
      </c>
      <c r="I903" s="9">
        <v>1</v>
      </c>
      <c r="J903" s="9">
        <v>8</v>
      </c>
      <c r="K903" s="9">
        <v>160</v>
      </c>
      <c r="L903" s="9">
        <v>0.15</v>
      </c>
      <c r="M903" s="9">
        <v>24</v>
      </c>
      <c r="N903" s="9" t="s">
        <v>49</v>
      </c>
      <c r="Q903" s="9">
        <f>IF(Auction_Sales[[#This Row],[Payment Date]]=0,"",-1+WEEKNUM(Auction_Sales[[#This Row],[Payment Date]]))</f>
        <v>2</v>
      </c>
      <c r="R903" s="9">
        <v>160</v>
      </c>
      <c r="S903" s="9" t="s">
        <v>154</v>
      </c>
      <c r="T903" s="9" t="s">
        <v>52</v>
      </c>
      <c r="W903" s="13">
        <v>0</v>
      </c>
      <c r="X903" s="14">
        <v>0</v>
      </c>
      <c r="Y903" s="13">
        <v>0</v>
      </c>
      <c r="Z903" s="10">
        <v>45308</v>
      </c>
      <c r="AA903" s="9">
        <v>-160</v>
      </c>
      <c r="AC903" s="9">
        <v>423631</v>
      </c>
      <c r="AD903" s="14">
        <v>24.819722222222222</v>
      </c>
      <c r="AF903" s="14">
        <v>0</v>
      </c>
      <c r="AH903" s="14">
        <v>24.819722222222222</v>
      </c>
      <c r="AI903" s="13">
        <v>-24.819722222222222</v>
      </c>
      <c r="AK903" s="9">
        <v>0</v>
      </c>
    </row>
    <row r="904" spans="1:37">
      <c r="A904" s="9">
        <v>2</v>
      </c>
      <c r="B904" s="9">
        <v>2023</v>
      </c>
      <c r="C904" s="9" t="s">
        <v>46</v>
      </c>
      <c r="D904" s="9" t="s">
        <v>47</v>
      </c>
      <c r="E904" s="9" t="s">
        <v>47</v>
      </c>
      <c r="F904" s="10">
        <v>45300</v>
      </c>
      <c r="G904" s="9" t="s">
        <v>154</v>
      </c>
      <c r="H904" s="9" t="s">
        <v>56</v>
      </c>
      <c r="J904" s="9">
        <v>4</v>
      </c>
      <c r="K904" s="9">
        <v>80</v>
      </c>
      <c r="L904" s="9">
        <v>0.15</v>
      </c>
      <c r="M904" s="9">
        <v>12</v>
      </c>
      <c r="N904" s="9" t="s">
        <v>49</v>
      </c>
      <c r="Q904" s="9">
        <f>IF(Auction_Sales[[#This Row],[Payment Date]]=0,"",-1+WEEKNUM(Auction_Sales[[#This Row],[Payment Date]]))</f>
        <v>2</v>
      </c>
      <c r="R904" s="9">
        <v>0</v>
      </c>
      <c r="S904" s="9" t="s">
        <v>154</v>
      </c>
      <c r="T904" s="9" t="s">
        <v>56</v>
      </c>
      <c r="U904" s="9">
        <v>80</v>
      </c>
      <c r="V904" s="13">
        <v>0.49000000000000005</v>
      </c>
      <c r="W904" s="13">
        <v>39.200000000000003</v>
      </c>
      <c r="X904" s="14">
        <v>-3.8303743315508054</v>
      </c>
      <c r="Y904" s="13">
        <v>35.369625668449196</v>
      </c>
      <c r="Z904" s="10">
        <v>45308</v>
      </c>
      <c r="AA904" s="9">
        <v>0</v>
      </c>
      <c r="AC904" s="9">
        <v>423631</v>
      </c>
      <c r="AD904" s="14">
        <v>12.409861111111111</v>
      </c>
      <c r="AF904" s="14">
        <v>1.6</v>
      </c>
      <c r="AH904" s="14">
        <v>14.00986111111111</v>
      </c>
      <c r="AI904" s="13">
        <v>21.359764557338085</v>
      </c>
      <c r="AK904" s="9">
        <v>80</v>
      </c>
    </row>
    <row r="905" spans="1:37">
      <c r="A905" s="9">
        <v>2</v>
      </c>
      <c r="B905" s="9">
        <v>2023</v>
      </c>
      <c r="C905" s="9" t="s">
        <v>46</v>
      </c>
      <c r="D905" s="9" t="s">
        <v>47</v>
      </c>
      <c r="E905" s="9" t="s">
        <v>47</v>
      </c>
      <c r="F905" s="10">
        <v>45300</v>
      </c>
      <c r="G905" s="9" t="s">
        <v>156</v>
      </c>
      <c r="H905" s="9" t="s">
        <v>56</v>
      </c>
      <c r="I905" s="9">
        <v>1</v>
      </c>
      <c r="J905" s="9">
        <v>2.4000000000000004</v>
      </c>
      <c r="K905" s="9">
        <v>40</v>
      </c>
      <c r="L905" s="9">
        <v>0.15</v>
      </c>
      <c r="M905" s="9">
        <v>6</v>
      </c>
      <c r="N905" s="9" t="s">
        <v>49</v>
      </c>
      <c r="Q905" s="9">
        <f>IF(Auction_Sales[[#This Row],[Payment Date]]=0,"",-1+WEEKNUM(Auction_Sales[[#This Row],[Payment Date]]))</f>
        <v>2</v>
      </c>
      <c r="R905" s="9">
        <v>0</v>
      </c>
      <c r="S905" s="9" t="s">
        <v>156</v>
      </c>
      <c r="T905" s="9" t="s">
        <v>56</v>
      </c>
      <c r="U905" s="9">
        <v>40</v>
      </c>
      <c r="V905" s="13">
        <v>0.9</v>
      </c>
      <c r="W905" s="13">
        <v>36</v>
      </c>
      <c r="X905" s="14">
        <v>-1.9151871657754027</v>
      </c>
      <c r="Y905" s="13">
        <v>34.0848128342246</v>
      </c>
      <c r="Z905" s="10">
        <v>45308</v>
      </c>
      <c r="AA905" s="9">
        <v>0</v>
      </c>
      <c r="AC905" s="9">
        <v>423631</v>
      </c>
      <c r="AD905" s="14">
        <v>7.4459166666666681</v>
      </c>
      <c r="AF905" s="14">
        <v>0.8</v>
      </c>
      <c r="AH905" s="14">
        <v>8.2459166666666679</v>
      </c>
      <c r="AI905" s="13">
        <v>25.838896167557934</v>
      </c>
      <c r="AK905" s="9">
        <v>40</v>
      </c>
    </row>
    <row r="906" spans="1:37">
      <c r="A906" s="9">
        <v>2</v>
      </c>
      <c r="B906" s="9">
        <v>2023</v>
      </c>
      <c r="C906" s="9" t="s">
        <v>46</v>
      </c>
      <c r="D906" s="9" t="s">
        <v>47</v>
      </c>
      <c r="E906" s="9" t="s">
        <v>47</v>
      </c>
      <c r="F906" s="10">
        <v>45300</v>
      </c>
      <c r="G906" s="9" t="s">
        <v>156</v>
      </c>
      <c r="H906" s="9" t="s">
        <v>57</v>
      </c>
      <c r="J906" s="9">
        <v>2.4000000000000004</v>
      </c>
      <c r="K906" s="9">
        <v>40</v>
      </c>
      <c r="L906" s="9">
        <v>0.15</v>
      </c>
      <c r="M906" s="9">
        <v>6</v>
      </c>
      <c r="N906" s="9" t="s">
        <v>49</v>
      </c>
      <c r="Q906" s="9">
        <f>IF(Auction_Sales[[#This Row],[Payment Date]]=0,"",-1+WEEKNUM(Auction_Sales[[#This Row],[Payment Date]]))</f>
        <v>2</v>
      </c>
      <c r="R906" s="9">
        <v>-40</v>
      </c>
      <c r="S906" s="9" t="s">
        <v>156</v>
      </c>
      <c r="T906" s="9" t="s">
        <v>57</v>
      </c>
      <c r="U906" s="9">
        <v>80</v>
      </c>
      <c r="V906" s="13">
        <v>0.96</v>
      </c>
      <c r="W906" s="13">
        <v>76.8</v>
      </c>
      <c r="X906" s="14">
        <v>-3.8303743315508054</v>
      </c>
      <c r="Y906" s="13">
        <v>72.969625668449197</v>
      </c>
      <c r="Z906" s="10">
        <v>45308</v>
      </c>
      <c r="AA906" s="9">
        <v>40</v>
      </c>
      <c r="AC906" s="9">
        <v>423631</v>
      </c>
      <c r="AD906" s="14">
        <v>7.4459166666666681</v>
      </c>
      <c r="AF906" s="14">
        <v>1.6</v>
      </c>
      <c r="AH906" s="14">
        <v>9.0459166666666686</v>
      </c>
      <c r="AI906" s="13">
        <v>63.923709001782527</v>
      </c>
      <c r="AK906" s="9">
        <v>80</v>
      </c>
    </row>
    <row r="907" spans="1:37">
      <c r="A907" s="9">
        <v>2</v>
      </c>
      <c r="B907" s="9">
        <v>2023</v>
      </c>
      <c r="C907" s="9" t="s">
        <v>46</v>
      </c>
      <c r="D907" s="9" t="s">
        <v>47</v>
      </c>
      <c r="E907" s="9" t="s">
        <v>47</v>
      </c>
      <c r="F907" s="10">
        <v>45300</v>
      </c>
      <c r="G907" s="9" t="s">
        <v>156</v>
      </c>
      <c r="H907" s="9" t="s">
        <v>60</v>
      </c>
      <c r="J907" s="9">
        <v>7.1999999999999993</v>
      </c>
      <c r="K907" s="9">
        <v>120</v>
      </c>
      <c r="L907" s="9">
        <v>0.15</v>
      </c>
      <c r="M907" s="9">
        <v>18</v>
      </c>
      <c r="N907" s="9" t="s">
        <v>49</v>
      </c>
      <c r="Q907" s="9">
        <f>IF(Auction_Sales[[#This Row],[Payment Date]]=0,"",-1+WEEKNUM(Auction_Sales[[#This Row],[Payment Date]]))</f>
        <v>2</v>
      </c>
      <c r="R907" s="9">
        <v>40</v>
      </c>
      <c r="S907" s="9" t="s">
        <v>156</v>
      </c>
      <c r="T907" s="9" t="s">
        <v>60</v>
      </c>
      <c r="U907" s="9">
        <v>80</v>
      </c>
      <c r="V907" s="13">
        <v>1.1400000000000001</v>
      </c>
      <c r="W907" s="13">
        <v>91.200000000000017</v>
      </c>
      <c r="X907" s="14">
        <v>-3.8303743315508054</v>
      </c>
      <c r="Y907" s="13">
        <v>87.369625668449217</v>
      </c>
      <c r="Z907" s="10">
        <v>45308</v>
      </c>
      <c r="AA907" s="9">
        <v>-40</v>
      </c>
      <c r="AC907" s="9">
        <v>423631</v>
      </c>
      <c r="AD907" s="14">
        <v>22.337749999999996</v>
      </c>
      <c r="AF907" s="14">
        <v>1.6</v>
      </c>
      <c r="AH907" s="14">
        <v>23.937749999999998</v>
      </c>
      <c r="AI907" s="13">
        <v>63.431875668449223</v>
      </c>
      <c r="AK907" s="9">
        <v>80</v>
      </c>
    </row>
    <row r="908" spans="1:37">
      <c r="A908" s="9">
        <v>2</v>
      </c>
      <c r="B908" s="9">
        <v>2023</v>
      </c>
      <c r="C908" s="9" t="s">
        <v>46</v>
      </c>
      <c r="D908" s="9" t="s">
        <v>47</v>
      </c>
      <c r="E908" s="9" t="s">
        <v>47</v>
      </c>
      <c r="F908" s="10">
        <v>45300</v>
      </c>
      <c r="G908" s="9" t="s">
        <v>153</v>
      </c>
      <c r="H908" s="9" t="s">
        <v>52</v>
      </c>
      <c r="I908" s="9">
        <v>1</v>
      </c>
      <c r="J908" s="9">
        <v>2.7692307692307692</v>
      </c>
      <c r="K908" s="9">
        <v>120</v>
      </c>
      <c r="L908" s="9">
        <v>0.15</v>
      </c>
      <c r="M908" s="9">
        <v>18</v>
      </c>
      <c r="N908" s="9" t="s">
        <v>49</v>
      </c>
      <c r="Q908" s="9">
        <f>IF(Auction_Sales[[#This Row],[Payment Date]]=0,"",-1+WEEKNUM(Auction_Sales[[#This Row],[Payment Date]]))</f>
        <v>2</v>
      </c>
      <c r="R908" s="9">
        <v>120</v>
      </c>
      <c r="S908" s="9" t="s">
        <v>153</v>
      </c>
      <c r="T908" s="9" t="s">
        <v>52</v>
      </c>
      <c r="W908" s="13">
        <v>0</v>
      </c>
      <c r="X908" s="14">
        <v>0</v>
      </c>
      <c r="Y908" s="13">
        <v>0</v>
      </c>
      <c r="Z908" s="10">
        <v>45308</v>
      </c>
      <c r="AA908" s="9">
        <v>-120</v>
      </c>
      <c r="AC908" s="9">
        <v>423631</v>
      </c>
      <c r="AD908" s="14">
        <v>8.5914423076923079</v>
      </c>
      <c r="AF908" s="14">
        <v>0</v>
      </c>
      <c r="AH908" s="14">
        <v>8.5914423076923079</v>
      </c>
      <c r="AI908" s="13">
        <v>-8.5914423076923079</v>
      </c>
      <c r="AK908" s="9">
        <v>0</v>
      </c>
    </row>
    <row r="909" spans="1:37">
      <c r="A909" s="9">
        <v>2</v>
      </c>
      <c r="B909" s="9">
        <v>2023</v>
      </c>
      <c r="C909" s="9" t="s">
        <v>46</v>
      </c>
      <c r="D909" s="9" t="s">
        <v>47</v>
      </c>
      <c r="E909" s="9" t="s">
        <v>47</v>
      </c>
      <c r="F909" s="10">
        <v>45300</v>
      </c>
      <c r="G909" s="9" t="s">
        <v>153</v>
      </c>
      <c r="H909" s="9" t="s">
        <v>54</v>
      </c>
      <c r="J909" s="9">
        <v>9.2307692307692317</v>
      </c>
      <c r="K909" s="9">
        <v>400</v>
      </c>
      <c r="L909" s="9">
        <v>0.15</v>
      </c>
      <c r="M909" s="9">
        <v>60</v>
      </c>
      <c r="N909" s="9" t="s">
        <v>49</v>
      </c>
      <c r="Q909" s="9">
        <f>IF(Auction_Sales[[#This Row],[Payment Date]]=0,"",-1+WEEKNUM(Auction_Sales[[#This Row],[Payment Date]]))</f>
        <v>2</v>
      </c>
      <c r="R909" s="9">
        <v>0</v>
      </c>
      <c r="S909" s="9" t="s">
        <v>153</v>
      </c>
      <c r="T909" s="9" t="s">
        <v>54</v>
      </c>
      <c r="U909" s="9">
        <v>400</v>
      </c>
      <c r="V909" s="13">
        <v>0.46299999999999997</v>
      </c>
      <c r="W909" s="13">
        <v>185.2</v>
      </c>
      <c r="X909" s="14">
        <v>-19.151871657754025</v>
      </c>
      <c r="Y909" s="13">
        <v>166.04812834224597</v>
      </c>
      <c r="Z909" s="10">
        <v>45308</v>
      </c>
      <c r="AA909" s="9">
        <v>0</v>
      </c>
      <c r="AC909" s="9">
        <v>423631</v>
      </c>
      <c r="AD909" s="14">
        <v>28.63814102564103</v>
      </c>
      <c r="AF909" s="14">
        <v>8</v>
      </c>
      <c r="AH909" s="14">
        <v>36.638141025641033</v>
      </c>
      <c r="AI909" s="13">
        <v>129.40998731660494</v>
      </c>
      <c r="AK909" s="9">
        <v>400</v>
      </c>
    </row>
    <row r="910" spans="1:37">
      <c r="A910" s="9">
        <v>2</v>
      </c>
      <c r="B910" s="9">
        <v>2023</v>
      </c>
      <c r="C910" s="9" t="s">
        <v>46</v>
      </c>
      <c r="D910" s="9" t="s">
        <v>47</v>
      </c>
      <c r="E910" s="9" t="s">
        <v>47</v>
      </c>
      <c r="F910" s="10">
        <v>45300</v>
      </c>
      <c r="G910" s="9" t="s">
        <v>153</v>
      </c>
      <c r="H910" s="9" t="s">
        <v>56</v>
      </c>
      <c r="I910" s="9">
        <v>1</v>
      </c>
      <c r="J910" s="9">
        <v>6</v>
      </c>
      <c r="K910" s="9">
        <v>160</v>
      </c>
      <c r="L910" s="9">
        <v>0.15</v>
      </c>
      <c r="M910" s="9">
        <v>24</v>
      </c>
      <c r="N910" s="9" t="s">
        <v>49</v>
      </c>
      <c r="Q910" s="9">
        <f>IF(Auction_Sales[[#This Row],[Payment Date]]=0,"",-1+WEEKNUM(Auction_Sales[[#This Row],[Payment Date]]))</f>
        <v>2</v>
      </c>
      <c r="R910" s="9">
        <v>0</v>
      </c>
      <c r="S910" s="9" t="s">
        <v>153</v>
      </c>
      <c r="T910" s="9" t="s">
        <v>56</v>
      </c>
      <c r="U910" s="9">
        <v>160</v>
      </c>
      <c r="V910" s="13">
        <v>0.41500000000000004</v>
      </c>
      <c r="W910" s="13">
        <v>66.400000000000006</v>
      </c>
      <c r="X910" s="14">
        <v>-7.6607486631016108</v>
      </c>
      <c r="Y910" s="13">
        <v>58.739251336898391</v>
      </c>
      <c r="Z910" s="10">
        <v>45308</v>
      </c>
      <c r="AA910" s="9">
        <v>0</v>
      </c>
      <c r="AC910" s="9">
        <v>423631</v>
      </c>
      <c r="AD910" s="14">
        <v>18.614791666666665</v>
      </c>
      <c r="AF910" s="14">
        <v>3.2</v>
      </c>
      <c r="AH910" s="14">
        <v>21.814791666666665</v>
      </c>
      <c r="AI910" s="13">
        <v>36.924459670231727</v>
      </c>
      <c r="AK910" s="9">
        <v>160</v>
      </c>
    </row>
    <row r="911" spans="1:37">
      <c r="A911" s="9">
        <v>2</v>
      </c>
      <c r="B911" s="9">
        <v>2023</v>
      </c>
      <c r="C911" s="9" t="s">
        <v>46</v>
      </c>
      <c r="D911" s="9" t="s">
        <v>47</v>
      </c>
      <c r="E911" s="9" t="s">
        <v>47</v>
      </c>
      <c r="F911" s="10">
        <v>45300</v>
      </c>
      <c r="G911" s="9" t="s">
        <v>153</v>
      </c>
      <c r="H911" s="9" t="s">
        <v>57</v>
      </c>
      <c r="J911" s="9">
        <v>6</v>
      </c>
      <c r="K911" s="9">
        <v>160</v>
      </c>
      <c r="L911" s="9">
        <v>0.15</v>
      </c>
      <c r="M911" s="9">
        <v>24</v>
      </c>
      <c r="N911" s="9" t="s">
        <v>49</v>
      </c>
      <c r="Q911" s="9">
        <f>IF(Auction_Sales[[#This Row],[Payment Date]]=0,"",-1+WEEKNUM(Auction_Sales[[#This Row],[Payment Date]]))</f>
        <v>2</v>
      </c>
      <c r="R911" s="9">
        <v>0</v>
      </c>
      <c r="S911" s="9" t="s">
        <v>153</v>
      </c>
      <c r="T911" s="9" t="s">
        <v>57</v>
      </c>
      <c r="U911" s="9">
        <v>160</v>
      </c>
      <c r="V911" s="13">
        <v>0.54749999999999999</v>
      </c>
      <c r="W911" s="13">
        <v>87.6</v>
      </c>
      <c r="X911" s="14">
        <v>-7.6607486631016108</v>
      </c>
      <c r="Y911" s="13">
        <v>79.93925133689838</v>
      </c>
      <c r="Z911" s="10">
        <v>45308</v>
      </c>
      <c r="AA911" s="9">
        <v>0</v>
      </c>
      <c r="AC911" s="9">
        <v>423631</v>
      </c>
      <c r="AD911" s="14">
        <v>18.614791666666665</v>
      </c>
      <c r="AF911" s="14">
        <v>3.2</v>
      </c>
      <c r="AH911" s="14">
        <v>21.814791666666665</v>
      </c>
      <c r="AI911" s="13">
        <v>58.124459670231715</v>
      </c>
      <c r="AK911" s="9">
        <v>160</v>
      </c>
    </row>
    <row r="912" spans="1:37">
      <c r="A912" s="9">
        <v>2</v>
      </c>
      <c r="B912" s="9">
        <v>2023</v>
      </c>
      <c r="C912" s="9" t="s">
        <v>46</v>
      </c>
      <c r="D912" s="9" t="s">
        <v>47</v>
      </c>
      <c r="E912" s="9" t="s">
        <v>47</v>
      </c>
      <c r="F912" s="10">
        <v>45300</v>
      </c>
      <c r="G912" s="9" t="s">
        <v>156</v>
      </c>
      <c r="H912" s="9" t="s">
        <v>52</v>
      </c>
      <c r="I912" s="9">
        <v>1</v>
      </c>
      <c r="J912" s="9">
        <v>1.5</v>
      </c>
      <c r="K912" s="9">
        <v>40</v>
      </c>
      <c r="L912" s="9">
        <v>0.15</v>
      </c>
      <c r="M912" s="9">
        <v>6</v>
      </c>
      <c r="N912" s="9" t="s">
        <v>49</v>
      </c>
      <c r="Q912" s="9">
        <f>IF(Auction_Sales[[#This Row],[Payment Date]]=0,"",-1+WEEKNUM(Auction_Sales[[#This Row],[Payment Date]]))</f>
        <v>2</v>
      </c>
      <c r="R912" s="9">
        <v>0</v>
      </c>
      <c r="S912" s="9" t="s">
        <v>156</v>
      </c>
      <c r="T912" s="9" t="s">
        <v>52</v>
      </c>
      <c r="U912" s="9">
        <v>40</v>
      </c>
      <c r="V912" s="13">
        <v>0.67</v>
      </c>
      <c r="W912" s="13">
        <v>26.8</v>
      </c>
      <c r="X912" s="14">
        <v>-1.9151871657754027</v>
      </c>
      <c r="Y912" s="13">
        <v>24.884812834224597</v>
      </c>
      <c r="Z912" s="10">
        <v>45308</v>
      </c>
      <c r="AA912" s="9">
        <v>0</v>
      </c>
      <c r="AC912" s="9">
        <v>423631</v>
      </c>
      <c r="AD912" s="14">
        <v>4.6536979166666663</v>
      </c>
      <c r="AF912" s="14">
        <v>0.8</v>
      </c>
      <c r="AH912" s="14">
        <v>5.4536979166666661</v>
      </c>
      <c r="AI912" s="13">
        <v>19.431114917557931</v>
      </c>
      <c r="AK912" s="9">
        <v>40</v>
      </c>
    </row>
    <row r="913" spans="1:37">
      <c r="A913" s="9">
        <v>2</v>
      </c>
      <c r="B913" s="9">
        <v>2023</v>
      </c>
      <c r="C913" s="9" t="s">
        <v>46</v>
      </c>
      <c r="D913" s="9" t="s">
        <v>47</v>
      </c>
      <c r="E913" s="9" t="s">
        <v>47</v>
      </c>
      <c r="F913" s="10">
        <v>45300</v>
      </c>
      <c r="G913" s="9" t="s">
        <v>156</v>
      </c>
      <c r="H913" s="9" t="s">
        <v>54</v>
      </c>
      <c r="J913" s="9">
        <v>4.5</v>
      </c>
      <c r="K913" s="9">
        <v>120</v>
      </c>
      <c r="L913" s="9">
        <v>0.15</v>
      </c>
      <c r="M913" s="9">
        <v>18</v>
      </c>
      <c r="N913" s="9" t="s">
        <v>49</v>
      </c>
      <c r="Q913" s="9">
        <f>IF(Auction_Sales[[#This Row],[Payment Date]]=0,"",-1+WEEKNUM(Auction_Sales[[#This Row],[Payment Date]]))</f>
        <v>2</v>
      </c>
      <c r="R913" s="9">
        <v>0</v>
      </c>
      <c r="S913" s="9" t="s">
        <v>156</v>
      </c>
      <c r="T913" s="9" t="s">
        <v>54</v>
      </c>
      <c r="U913" s="9">
        <v>120</v>
      </c>
      <c r="V913" s="13">
        <v>0.77666666666666673</v>
      </c>
      <c r="W913" s="13">
        <v>93.2</v>
      </c>
      <c r="X913" s="14">
        <v>-5.7455614973262081</v>
      </c>
      <c r="Y913" s="13">
        <v>87.454438502673796</v>
      </c>
      <c r="Z913" s="10">
        <v>45308</v>
      </c>
      <c r="AA913" s="9">
        <v>0</v>
      </c>
      <c r="AC913" s="9">
        <v>423631</v>
      </c>
      <c r="AD913" s="14">
        <v>13.96109375</v>
      </c>
      <c r="AF913" s="14">
        <v>2.4</v>
      </c>
      <c r="AH913" s="14">
        <v>16.361093749999998</v>
      </c>
      <c r="AI913" s="13">
        <v>71.093344752673801</v>
      </c>
      <c r="AK913" s="9">
        <v>120</v>
      </c>
    </row>
    <row r="914" spans="1:37">
      <c r="A914" s="9">
        <v>2</v>
      </c>
      <c r="B914" s="9">
        <v>2023</v>
      </c>
      <c r="C914" s="9" t="s">
        <v>46</v>
      </c>
      <c r="D914" s="9" t="s">
        <v>47</v>
      </c>
      <c r="E914" s="9" t="s">
        <v>47</v>
      </c>
      <c r="F914" s="10">
        <v>45300</v>
      </c>
      <c r="G914" s="9" t="s">
        <v>159</v>
      </c>
      <c r="H914" s="9" t="s">
        <v>56</v>
      </c>
      <c r="J914" s="9">
        <v>1.5</v>
      </c>
      <c r="K914" s="9">
        <v>40</v>
      </c>
      <c r="L914" s="9">
        <v>0.15</v>
      </c>
      <c r="M914" s="9">
        <v>6</v>
      </c>
      <c r="N914" s="9" t="s">
        <v>49</v>
      </c>
      <c r="Q914" s="9">
        <f>IF(Auction_Sales[[#This Row],[Payment Date]]=0,"",-1+WEEKNUM(Auction_Sales[[#This Row],[Payment Date]]))</f>
        <v>2</v>
      </c>
      <c r="R914" s="9">
        <v>0</v>
      </c>
      <c r="S914" s="9" t="s">
        <v>159</v>
      </c>
      <c r="T914" s="9" t="s">
        <v>56</v>
      </c>
      <c r="U914" s="9">
        <v>40</v>
      </c>
      <c r="V914" s="13">
        <v>0.67999999999999994</v>
      </c>
      <c r="W914" s="13">
        <v>27.199999999999996</v>
      </c>
      <c r="X914" s="14">
        <v>-1.9151871657754027</v>
      </c>
      <c r="Y914" s="13">
        <v>25.284812834224592</v>
      </c>
      <c r="Z914" s="10">
        <v>45308</v>
      </c>
      <c r="AA914" s="9">
        <v>0</v>
      </c>
      <c r="AC914" s="9">
        <v>423631</v>
      </c>
      <c r="AD914" s="14">
        <v>4.6536979166666663</v>
      </c>
      <c r="AF914" s="14">
        <v>0.8</v>
      </c>
      <c r="AH914" s="14">
        <v>5.4536979166666661</v>
      </c>
      <c r="AI914" s="13">
        <v>19.831114917557926</v>
      </c>
      <c r="AK914" s="9">
        <v>40</v>
      </c>
    </row>
    <row r="915" spans="1:37">
      <c r="A915" s="9">
        <v>2</v>
      </c>
      <c r="B915" s="9">
        <v>2023</v>
      </c>
      <c r="C915" s="9" t="s">
        <v>46</v>
      </c>
      <c r="D915" s="9" t="s">
        <v>47</v>
      </c>
      <c r="E915" s="9" t="s">
        <v>47</v>
      </c>
      <c r="F915" s="10">
        <v>45300</v>
      </c>
      <c r="G915" s="9" t="s">
        <v>159</v>
      </c>
      <c r="H915" s="9" t="s">
        <v>52</v>
      </c>
      <c r="J915" s="9">
        <v>3</v>
      </c>
      <c r="K915" s="9">
        <v>80</v>
      </c>
      <c r="L915" s="9">
        <v>0.15</v>
      </c>
      <c r="M915" s="9">
        <v>12</v>
      </c>
      <c r="N915" s="9" t="s">
        <v>49</v>
      </c>
      <c r="Q915" s="9">
        <f>IF(Auction_Sales[[#This Row],[Payment Date]]=0,"",-1+WEEKNUM(Auction_Sales[[#This Row],[Payment Date]]))</f>
        <v>2</v>
      </c>
      <c r="R915" s="9">
        <v>0</v>
      </c>
      <c r="S915" s="9" t="s">
        <v>159</v>
      </c>
      <c r="T915" s="9" t="s">
        <v>52</v>
      </c>
      <c r="U915" s="9">
        <v>80</v>
      </c>
      <c r="V915" s="13">
        <v>0.48</v>
      </c>
      <c r="W915" s="13">
        <v>38.4</v>
      </c>
      <c r="X915" s="14">
        <v>-3.8303743315508054</v>
      </c>
      <c r="Y915" s="13">
        <v>34.569625668449191</v>
      </c>
      <c r="Z915" s="10">
        <v>45308</v>
      </c>
      <c r="AA915" s="9">
        <v>0</v>
      </c>
      <c r="AC915" s="9">
        <v>423631</v>
      </c>
      <c r="AD915" s="14">
        <v>9.3073958333333326</v>
      </c>
      <c r="AF915" s="14">
        <v>1.6</v>
      </c>
      <c r="AH915" s="14">
        <v>10.907395833333332</v>
      </c>
      <c r="AI915" s="13">
        <v>23.662229835115859</v>
      </c>
      <c r="AK915" s="9">
        <v>80</v>
      </c>
    </row>
    <row r="916" spans="1:37">
      <c r="A916" s="9">
        <v>2</v>
      </c>
      <c r="B916" s="9">
        <v>2023</v>
      </c>
      <c r="C916" s="9" t="s">
        <v>46</v>
      </c>
      <c r="D916" s="9" t="s">
        <v>47</v>
      </c>
      <c r="E916" s="9" t="s">
        <v>47</v>
      </c>
      <c r="F916" s="10">
        <v>45300</v>
      </c>
      <c r="G916" s="9" t="s">
        <v>159</v>
      </c>
      <c r="H916" s="9" t="s">
        <v>54</v>
      </c>
      <c r="J916" s="9">
        <v>1.5</v>
      </c>
      <c r="K916" s="9">
        <v>40</v>
      </c>
      <c r="L916" s="9">
        <v>0.15</v>
      </c>
      <c r="M916" s="9">
        <v>6</v>
      </c>
      <c r="N916" s="9" t="s">
        <v>49</v>
      </c>
      <c r="Q916" s="9">
        <f>IF(Auction_Sales[[#This Row],[Payment Date]]=0,"",-1+WEEKNUM(Auction_Sales[[#This Row],[Payment Date]]))</f>
        <v>2</v>
      </c>
      <c r="R916" s="9">
        <v>0</v>
      </c>
      <c r="S916" s="9" t="s">
        <v>159</v>
      </c>
      <c r="T916" s="9" t="s">
        <v>54</v>
      </c>
      <c r="U916" s="9">
        <v>40</v>
      </c>
      <c r="V916" s="13">
        <v>0.53</v>
      </c>
      <c r="W916" s="13">
        <v>21.200000000000003</v>
      </c>
      <c r="X916" s="14">
        <v>-1.9151871657754027</v>
      </c>
      <c r="Y916" s="13">
        <v>19.284812834224599</v>
      </c>
      <c r="Z916" s="10">
        <v>45308</v>
      </c>
      <c r="AA916" s="9">
        <v>0</v>
      </c>
      <c r="AC916" s="9">
        <v>423631</v>
      </c>
      <c r="AD916" s="14">
        <v>4.6536979166666663</v>
      </c>
      <c r="AF916" s="14">
        <v>0.8</v>
      </c>
      <c r="AH916" s="14">
        <v>5.4536979166666661</v>
      </c>
      <c r="AI916" s="13">
        <v>13.831114917557933</v>
      </c>
      <c r="AK916" s="9">
        <v>40</v>
      </c>
    </row>
    <row r="917" spans="1:37">
      <c r="A917" s="9">
        <v>2</v>
      </c>
      <c r="B917" s="9">
        <v>2023</v>
      </c>
      <c r="C917" s="9" t="s">
        <v>46</v>
      </c>
      <c r="D917" s="9" t="s">
        <v>47</v>
      </c>
      <c r="E917" s="9" t="s">
        <v>47</v>
      </c>
      <c r="F917" s="10">
        <v>45302</v>
      </c>
      <c r="G917" s="9" t="s">
        <v>155</v>
      </c>
      <c r="H917" s="9" t="s">
        <v>48</v>
      </c>
      <c r="I917" s="9">
        <v>2</v>
      </c>
      <c r="J917" s="9">
        <v>24</v>
      </c>
      <c r="K917" s="9">
        <v>1040</v>
      </c>
      <c r="L917" s="9">
        <v>0.15</v>
      </c>
      <c r="M917" s="9">
        <v>156</v>
      </c>
      <c r="N917" s="9" t="s">
        <v>49</v>
      </c>
      <c r="Q917" s="9">
        <f>IF(Auction_Sales[[#This Row],[Payment Date]]=0,"",-1+WEEKNUM(Auction_Sales[[#This Row],[Payment Date]]))</f>
        <v>3</v>
      </c>
      <c r="R917" s="9">
        <v>-480</v>
      </c>
      <c r="S917" s="9" t="s">
        <v>155</v>
      </c>
      <c r="T917" s="9" t="s">
        <v>48</v>
      </c>
      <c r="U917" s="9">
        <v>1520</v>
      </c>
      <c r="V917" s="13">
        <v>0.35815789473684206</v>
      </c>
      <c r="W917" s="13">
        <v>544.4</v>
      </c>
      <c r="X917" s="14">
        <v>-61.680852459016357</v>
      </c>
      <c r="Y917" s="13">
        <v>482.71914754098361</v>
      </c>
      <c r="Z917" s="10">
        <v>45315</v>
      </c>
      <c r="AA917" s="9">
        <v>480</v>
      </c>
      <c r="AC917" s="9">
        <v>423642</v>
      </c>
      <c r="AD917" s="14">
        <v>77.535428571428568</v>
      </c>
      <c r="AF917" s="14">
        <v>30.400000000000002</v>
      </c>
      <c r="AH917" s="14">
        <v>107.93542857142857</v>
      </c>
      <c r="AI917" s="13">
        <v>374.78371896955503</v>
      </c>
      <c r="AK917" s="9">
        <v>1520</v>
      </c>
    </row>
    <row r="918" spans="1:37">
      <c r="A918" s="9">
        <v>2</v>
      </c>
      <c r="B918" s="9">
        <v>2023</v>
      </c>
      <c r="C918" s="9" t="s">
        <v>46</v>
      </c>
      <c r="D918" s="9" t="s">
        <v>47</v>
      </c>
      <c r="E918" s="9" t="s">
        <v>47</v>
      </c>
      <c r="F918" s="10">
        <v>45302</v>
      </c>
      <c r="G918" s="9" t="s">
        <v>155</v>
      </c>
      <c r="H918" s="9" t="s">
        <v>48</v>
      </c>
      <c r="I918" s="9">
        <v>1</v>
      </c>
      <c r="J918" s="9">
        <v>12</v>
      </c>
      <c r="K918" s="9">
        <v>480</v>
      </c>
      <c r="L918" s="9">
        <v>0.15</v>
      </c>
      <c r="M918" s="9">
        <v>72</v>
      </c>
      <c r="N918" s="9" t="s">
        <v>49</v>
      </c>
      <c r="Q918" s="9">
        <f>IF(Auction_Sales[[#This Row],[Payment Date]]=0,"",-1+WEEKNUM(Auction_Sales[[#This Row],[Payment Date]]))</f>
        <v>3</v>
      </c>
      <c r="R918" s="9">
        <v>480</v>
      </c>
      <c r="S918" s="9" t="s">
        <v>155</v>
      </c>
      <c r="T918" s="9" t="s">
        <v>48</v>
      </c>
      <c r="W918" s="13">
        <v>0</v>
      </c>
      <c r="X918" s="14">
        <v>0</v>
      </c>
      <c r="Y918" s="13">
        <v>0</v>
      </c>
      <c r="Z918" s="10">
        <v>45315</v>
      </c>
      <c r="AA918" s="9">
        <v>-480</v>
      </c>
      <c r="AC918" s="9">
        <v>423642</v>
      </c>
      <c r="AD918" s="14">
        <v>38.767714285714284</v>
      </c>
      <c r="AF918" s="14">
        <v>0</v>
      </c>
      <c r="AH918" s="14">
        <v>38.767714285714284</v>
      </c>
      <c r="AI918" s="13">
        <v>-38.767714285714284</v>
      </c>
      <c r="AK918" s="9">
        <v>0</v>
      </c>
    </row>
    <row r="919" spans="1:37">
      <c r="A919" s="9">
        <v>2</v>
      </c>
      <c r="B919" s="9">
        <v>2023</v>
      </c>
      <c r="C919" s="9" t="s">
        <v>46</v>
      </c>
      <c r="D919" s="9" t="s">
        <v>47</v>
      </c>
      <c r="E919" s="9" t="s">
        <v>47</v>
      </c>
      <c r="F919" s="10">
        <v>45302</v>
      </c>
      <c r="G919" s="9" t="s">
        <v>155</v>
      </c>
      <c r="H919" s="9" t="s">
        <v>52</v>
      </c>
      <c r="I919" s="9">
        <v>7</v>
      </c>
      <c r="J919" s="9">
        <v>84</v>
      </c>
      <c r="K919" s="9">
        <v>2240</v>
      </c>
      <c r="L919" s="9">
        <v>0.15</v>
      </c>
      <c r="M919" s="9">
        <v>336</v>
      </c>
      <c r="N919" s="9" t="s">
        <v>49</v>
      </c>
      <c r="Q919" s="9">
        <f>IF(Auction_Sales[[#This Row],[Payment Date]]=0,"",-1+WEEKNUM(Auction_Sales[[#This Row],[Payment Date]]))</f>
        <v>3</v>
      </c>
      <c r="R919" s="9">
        <v>0</v>
      </c>
      <c r="S919" s="9" t="s">
        <v>155</v>
      </c>
      <c r="T919" s="9" t="s">
        <v>52</v>
      </c>
      <c r="U919" s="9">
        <v>2240</v>
      </c>
      <c r="V919" s="13">
        <v>0.49428571428571422</v>
      </c>
      <c r="W919" s="13">
        <v>1107.1999999999998</v>
      </c>
      <c r="X919" s="14">
        <v>-90.89809836065568</v>
      </c>
      <c r="Y919" s="13">
        <v>1016.3019016393441</v>
      </c>
      <c r="Z919" s="10">
        <v>45315</v>
      </c>
      <c r="AA919" s="9">
        <v>0</v>
      </c>
      <c r="AC919" s="9">
        <v>423642</v>
      </c>
      <c r="AD919" s="14">
        <v>271.37399999999997</v>
      </c>
      <c r="AF919" s="14">
        <v>44.800000000000004</v>
      </c>
      <c r="AH919" s="14">
        <v>316.17399999999998</v>
      </c>
      <c r="AI919" s="13">
        <v>700.12790163934415</v>
      </c>
      <c r="AK919" s="9">
        <v>2240</v>
      </c>
    </row>
    <row r="920" spans="1:37">
      <c r="A920" s="9">
        <v>2</v>
      </c>
      <c r="B920" s="9">
        <v>2023</v>
      </c>
      <c r="C920" s="9" t="s">
        <v>46</v>
      </c>
      <c r="D920" s="9" t="s">
        <v>47</v>
      </c>
      <c r="E920" s="9" t="s">
        <v>47</v>
      </c>
      <c r="F920" s="10">
        <v>45302</v>
      </c>
      <c r="G920" s="9" t="s">
        <v>155</v>
      </c>
      <c r="H920" s="9" t="s">
        <v>54</v>
      </c>
      <c r="I920" s="9">
        <v>4</v>
      </c>
      <c r="J920" s="9">
        <v>48</v>
      </c>
      <c r="K920" s="9">
        <v>1120</v>
      </c>
      <c r="L920" s="9">
        <v>0.15</v>
      </c>
      <c r="M920" s="9">
        <v>168</v>
      </c>
      <c r="N920" s="9" t="s">
        <v>49</v>
      </c>
      <c r="Q920" s="9">
        <f>IF(Auction_Sales[[#This Row],[Payment Date]]=0,"",-1+WEEKNUM(Auction_Sales[[#This Row],[Payment Date]]))</f>
        <v>3</v>
      </c>
      <c r="R920" s="9">
        <v>0</v>
      </c>
      <c r="S920" s="9" t="s">
        <v>155</v>
      </c>
      <c r="T920" s="9" t="s">
        <v>54</v>
      </c>
      <c r="U920" s="9">
        <v>1120</v>
      </c>
      <c r="V920" s="13">
        <v>0.58178571428571435</v>
      </c>
      <c r="W920" s="13">
        <v>651.6</v>
      </c>
      <c r="X920" s="14">
        <v>-45.44904918032784</v>
      </c>
      <c r="Y920" s="13">
        <v>606.15095081967218</v>
      </c>
      <c r="Z920" s="10">
        <v>45315</v>
      </c>
      <c r="AA920" s="9">
        <v>0</v>
      </c>
      <c r="AC920" s="9">
        <v>423642</v>
      </c>
      <c r="AD920" s="14">
        <v>155.07085714285714</v>
      </c>
      <c r="AF920" s="14">
        <v>22.400000000000002</v>
      </c>
      <c r="AH920" s="14">
        <v>177.47085714285714</v>
      </c>
      <c r="AI920" s="13">
        <v>428.68009367681503</v>
      </c>
      <c r="AK920" s="9">
        <v>1120</v>
      </c>
    </row>
    <row r="921" spans="1:37">
      <c r="A921" s="9">
        <v>2</v>
      </c>
      <c r="B921" s="9">
        <v>2023</v>
      </c>
      <c r="C921" s="9" t="s">
        <v>46</v>
      </c>
      <c r="D921" s="9" t="s">
        <v>47</v>
      </c>
      <c r="E921" s="9" t="s">
        <v>47</v>
      </c>
      <c r="F921" s="10">
        <v>45302</v>
      </c>
      <c r="G921" s="9" t="s">
        <v>155</v>
      </c>
      <c r="H921" s="9" t="s">
        <v>56</v>
      </c>
      <c r="I921" s="9">
        <v>4</v>
      </c>
      <c r="J921" s="9">
        <v>48</v>
      </c>
      <c r="K921" s="9">
        <v>960</v>
      </c>
      <c r="L921" s="9">
        <v>0.15</v>
      </c>
      <c r="M921" s="9">
        <v>144</v>
      </c>
      <c r="N921" s="9" t="s">
        <v>49</v>
      </c>
      <c r="Q921" s="9">
        <f>IF(Auction_Sales[[#This Row],[Payment Date]]=0,"",-1+WEEKNUM(Auction_Sales[[#This Row],[Payment Date]]))</f>
        <v>3</v>
      </c>
      <c r="R921" s="9">
        <v>0</v>
      </c>
      <c r="S921" s="9" t="s">
        <v>155</v>
      </c>
      <c r="T921" s="9" t="s">
        <v>56</v>
      </c>
      <c r="U921" s="9">
        <v>960</v>
      </c>
      <c r="V921" s="13">
        <v>0.64083333333333337</v>
      </c>
      <c r="W921" s="13">
        <v>615.20000000000005</v>
      </c>
      <c r="X921" s="14">
        <v>-38.956327868852433</v>
      </c>
      <c r="Y921" s="13">
        <v>576.2436721311476</v>
      </c>
      <c r="Z921" s="10">
        <v>45315</v>
      </c>
      <c r="AA921" s="9">
        <v>0</v>
      </c>
      <c r="AC921" s="9">
        <v>423642</v>
      </c>
      <c r="AD921" s="14">
        <v>155.07085714285714</v>
      </c>
      <c r="AF921" s="14">
        <v>19.2</v>
      </c>
      <c r="AH921" s="14">
        <v>174.27085714285712</v>
      </c>
      <c r="AI921" s="13">
        <v>401.97281498829045</v>
      </c>
      <c r="AK921" s="9">
        <v>960</v>
      </c>
    </row>
    <row r="922" spans="1:37">
      <c r="A922" s="9">
        <v>2</v>
      </c>
      <c r="B922" s="9">
        <v>2023</v>
      </c>
      <c r="C922" s="9" t="s">
        <v>46</v>
      </c>
      <c r="D922" s="9" t="s">
        <v>47</v>
      </c>
      <c r="E922" s="9" t="s">
        <v>47</v>
      </c>
      <c r="F922" s="10">
        <v>45302</v>
      </c>
      <c r="G922" s="9" t="s">
        <v>155</v>
      </c>
      <c r="H922" s="9" t="s">
        <v>57</v>
      </c>
      <c r="I922" s="9">
        <v>2</v>
      </c>
      <c r="J922" s="9">
        <v>24</v>
      </c>
      <c r="K922" s="9">
        <v>400</v>
      </c>
      <c r="L922" s="9">
        <v>0.15</v>
      </c>
      <c r="M922" s="9">
        <v>60</v>
      </c>
      <c r="N922" s="9" t="s">
        <v>49</v>
      </c>
      <c r="Q922" s="9">
        <f>IF(Auction_Sales[[#This Row],[Payment Date]]=0,"",-1+WEEKNUM(Auction_Sales[[#This Row],[Payment Date]]))</f>
        <v>3</v>
      </c>
      <c r="R922" s="9">
        <v>-40</v>
      </c>
      <c r="S922" s="9" t="s">
        <v>155</v>
      </c>
      <c r="T922" s="9" t="s">
        <v>57</v>
      </c>
      <c r="U922" s="9">
        <v>440</v>
      </c>
      <c r="V922" s="13">
        <v>0.74454545454545462</v>
      </c>
      <c r="W922" s="13">
        <v>327.60000000000002</v>
      </c>
      <c r="X922" s="14">
        <v>-17.854983606557365</v>
      </c>
      <c r="Y922" s="13">
        <v>309.74501639344265</v>
      </c>
      <c r="Z922" s="10">
        <v>45315</v>
      </c>
      <c r="AA922" s="9">
        <v>40</v>
      </c>
      <c r="AC922" s="9">
        <v>423642</v>
      </c>
      <c r="AD922" s="14">
        <v>77.535428571428568</v>
      </c>
      <c r="AF922" s="14">
        <v>8.8000000000000007</v>
      </c>
      <c r="AH922" s="14">
        <v>86.335428571428565</v>
      </c>
      <c r="AI922" s="13">
        <v>223.40958782201409</v>
      </c>
      <c r="AK922" s="9">
        <v>440</v>
      </c>
    </row>
    <row r="923" spans="1:37">
      <c r="A923" s="9">
        <v>2</v>
      </c>
      <c r="B923" s="9">
        <v>2023</v>
      </c>
      <c r="C923" s="9" t="s">
        <v>46</v>
      </c>
      <c r="D923" s="9" t="s">
        <v>47</v>
      </c>
      <c r="E923" s="9" t="s">
        <v>47</v>
      </c>
      <c r="F923" s="10">
        <v>45302</v>
      </c>
      <c r="G923" s="9" t="s">
        <v>155</v>
      </c>
      <c r="H923" s="9" t="s">
        <v>60</v>
      </c>
      <c r="I923" s="9">
        <v>1</v>
      </c>
      <c r="J923" s="9">
        <v>12</v>
      </c>
      <c r="K923" s="9">
        <v>160</v>
      </c>
      <c r="L923" s="9">
        <v>0.15</v>
      </c>
      <c r="M923" s="9">
        <v>24</v>
      </c>
      <c r="N923" s="9" t="s">
        <v>49</v>
      </c>
      <c r="Q923" s="9">
        <f>IF(Auction_Sales[[#This Row],[Payment Date]]=0,"",-1+WEEKNUM(Auction_Sales[[#This Row],[Payment Date]]))</f>
        <v>3</v>
      </c>
      <c r="R923" s="9">
        <v>-120</v>
      </c>
      <c r="S923" s="9" t="s">
        <v>155</v>
      </c>
      <c r="T923" s="9" t="s">
        <v>60</v>
      </c>
      <c r="U923" s="9">
        <v>280</v>
      </c>
      <c r="V923" s="13">
        <v>0.8214285714285714</v>
      </c>
      <c r="W923" s="13">
        <v>230</v>
      </c>
      <c r="X923" s="14">
        <v>-11.36226229508196</v>
      </c>
      <c r="Y923" s="13">
        <v>218.63773770491804</v>
      </c>
      <c r="Z923" s="10">
        <v>45315</v>
      </c>
      <c r="AA923" s="9">
        <v>120</v>
      </c>
      <c r="AC923" s="9">
        <v>423642</v>
      </c>
      <c r="AD923" s="14">
        <v>38.767714285714284</v>
      </c>
      <c r="AF923" s="14">
        <v>5.6000000000000005</v>
      </c>
      <c r="AH923" s="14">
        <v>44.367714285714285</v>
      </c>
      <c r="AI923" s="13">
        <v>174.27002341920377</v>
      </c>
      <c r="AK923" s="9">
        <v>280</v>
      </c>
    </row>
    <row r="924" spans="1:37">
      <c r="A924" s="9">
        <v>2</v>
      </c>
      <c r="B924" s="9">
        <v>2023</v>
      </c>
      <c r="C924" s="9" t="s">
        <v>46</v>
      </c>
      <c r="D924" s="9" t="s">
        <v>47</v>
      </c>
      <c r="E924" s="9" t="s">
        <v>47</v>
      </c>
      <c r="F924" s="10">
        <v>45302</v>
      </c>
      <c r="G924" s="9" t="s">
        <v>153</v>
      </c>
      <c r="H924" s="9" t="s">
        <v>48</v>
      </c>
      <c r="I924" s="9">
        <v>1</v>
      </c>
      <c r="J924" s="9">
        <v>12</v>
      </c>
      <c r="K924" s="9">
        <v>720</v>
      </c>
      <c r="L924" s="9">
        <v>0.15</v>
      </c>
      <c r="M924" s="9">
        <v>108</v>
      </c>
      <c r="N924" s="9" t="s">
        <v>49</v>
      </c>
      <c r="Q924" s="9">
        <f>IF(Auction_Sales[[#This Row],[Payment Date]]=0,"",-1+WEEKNUM(Auction_Sales[[#This Row],[Payment Date]]))</f>
        <v>3</v>
      </c>
      <c r="R924" s="9">
        <v>-760</v>
      </c>
      <c r="S924" s="9" t="s">
        <v>153</v>
      </c>
      <c r="T924" s="9" t="s">
        <v>48</v>
      </c>
      <c r="U924" s="9">
        <v>1480</v>
      </c>
      <c r="V924" s="13">
        <v>0.23702702702702705</v>
      </c>
      <c r="W924" s="13">
        <v>350.8</v>
      </c>
      <c r="X924" s="14">
        <v>-60.057672131147513</v>
      </c>
      <c r="Y924" s="13">
        <v>290.7423278688525</v>
      </c>
      <c r="Z924" s="10">
        <v>45315</v>
      </c>
      <c r="AA924" s="9">
        <v>760</v>
      </c>
      <c r="AC924" s="9">
        <v>423642</v>
      </c>
      <c r="AD924" s="14">
        <v>38.767714285714284</v>
      </c>
      <c r="AF924" s="14">
        <v>29.6</v>
      </c>
      <c r="AH924" s="14">
        <v>68.367714285714285</v>
      </c>
      <c r="AI924" s="13">
        <v>222.37461358313823</v>
      </c>
      <c r="AK924" s="9">
        <v>1480</v>
      </c>
    </row>
    <row r="925" spans="1:37">
      <c r="A925" s="9">
        <v>2</v>
      </c>
      <c r="B925" s="9">
        <v>2023</v>
      </c>
      <c r="C925" s="9" t="s">
        <v>46</v>
      </c>
      <c r="D925" s="9" t="s">
        <v>47</v>
      </c>
      <c r="E925" s="9" t="s">
        <v>47</v>
      </c>
      <c r="F925" s="10">
        <v>45302</v>
      </c>
      <c r="G925" s="9" t="s">
        <v>153</v>
      </c>
      <c r="H925" s="9" t="s">
        <v>48</v>
      </c>
      <c r="I925" s="9">
        <v>1</v>
      </c>
      <c r="J925" s="9">
        <v>12</v>
      </c>
      <c r="K925" s="9">
        <v>760</v>
      </c>
      <c r="L925" s="9">
        <v>0.15</v>
      </c>
      <c r="M925" s="9">
        <v>114</v>
      </c>
      <c r="N925" s="9" t="s">
        <v>49</v>
      </c>
      <c r="Q925" s="9">
        <f>IF(Auction_Sales[[#This Row],[Payment Date]]=0,"",-1+WEEKNUM(Auction_Sales[[#This Row],[Payment Date]]))</f>
        <v>3</v>
      </c>
      <c r="R925" s="9">
        <v>760</v>
      </c>
      <c r="S925" s="9" t="s">
        <v>153</v>
      </c>
      <c r="T925" s="9" t="s">
        <v>48</v>
      </c>
      <c r="W925" s="13">
        <v>0</v>
      </c>
      <c r="X925" s="14">
        <v>0</v>
      </c>
      <c r="Y925" s="13">
        <v>0</v>
      </c>
      <c r="Z925" s="10">
        <v>45315</v>
      </c>
      <c r="AA925" s="9">
        <v>-760</v>
      </c>
      <c r="AC925" s="9">
        <v>423642</v>
      </c>
      <c r="AD925" s="14">
        <v>38.767714285714284</v>
      </c>
      <c r="AF925" s="14">
        <v>0</v>
      </c>
      <c r="AH925" s="14">
        <v>38.767714285714284</v>
      </c>
      <c r="AI925" s="13">
        <v>-38.767714285714284</v>
      </c>
      <c r="AK925" s="9">
        <v>0</v>
      </c>
    </row>
    <row r="926" spans="1:37">
      <c r="A926" s="9">
        <v>2</v>
      </c>
      <c r="B926" s="9">
        <v>2023</v>
      </c>
      <c r="C926" s="9" t="s">
        <v>46</v>
      </c>
      <c r="D926" s="9" t="s">
        <v>47</v>
      </c>
      <c r="E926" s="9" t="s">
        <v>47</v>
      </c>
      <c r="F926" s="10">
        <v>45302</v>
      </c>
      <c r="G926" s="9" t="s">
        <v>153</v>
      </c>
      <c r="H926" s="9" t="s">
        <v>52</v>
      </c>
      <c r="I926" s="9">
        <v>2</v>
      </c>
      <c r="J926" s="9">
        <v>24</v>
      </c>
      <c r="K926" s="9">
        <v>1040</v>
      </c>
      <c r="L926" s="9">
        <v>0.15</v>
      </c>
      <c r="M926" s="9">
        <v>156</v>
      </c>
      <c r="N926" s="9" t="s">
        <v>49</v>
      </c>
      <c r="Q926" s="9">
        <f>IF(Auction_Sales[[#This Row],[Payment Date]]=0,"",-1+WEEKNUM(Auction_Sales[[#This Row],[Payment Date]]))</f>
        <v>3</v>
      </c>
      <c r="R926" s="9">
        <v>0</v>
      </c>
      <c r="S926" s="9" t="s">
        <v>153</v>
      </c>
      <c r="T926" s="9" t="s">
        <v>52</v>
      </c>
      <c r="U926" s="9">
        <v>1040</v>
      </c>
      <c r="V926" s="13">
        <v>0.41</v>
      </c>
      <c r="W926" s="13">
        <v>426.4</v>
      </c>
      <c r="X926" s="14">
        <v>-42.202688524590137</v>
      </c>
      <c r="Y926" s="13">
        <v>384.19731147540983</v>
      </c>
      <c r="Z926" s="10">
        <v>45315</v>
      </c>
      <c r="AA926" s="9">
        <v>0</v>
      </c>
      <c r="AC926" s="9">
        <v>423642</v>
      </c>
      <c r="AD926" s="14">
        <v>77.535428571428568</v>
      </c>
      <c r="AF926" s="14">
        <v>20.8</v>
      </c>
      <c r="AH926" s="14">
        <v>98.335428571428565</v>
      </c>
      <c r="AI926" s="13">
        <v>285.86188290398127</v>
      </c>
      <c r="AK926" s="9">
        <v>1040</v>
      </c>
    </row>
    <row r="927" spans="1:37">
      <c r="A927" s="9">
        <v>2</v>
      </c>
      <c r="B927" s="9">
        <v>2023</v>
      </c>
      <c r="C927" s="9" t="s">
        <v>46</v>
      </c>
      <c r="D927" s="9" t="s">
        <v>47</v>
      </c>
      <c r="E927" s="9" t="s">
        <v>47</v>
      </c>
      <c r="F927" s="10">
        <v>45302</v>
      </c>
      <c r="G927" s="9" t="s">
        <v>153</v>
      </c>
      <c r="H927" s="9" t="s">
        <v>54</v>
      </c>
      <c r="I927" s="9">
        <v>1</v>
      </c>
      <c r="J927" s="9">
        <v>12</v>
      </c>
      <c r="K927" s="9">
        <v>480</v>
      </c>
      <c r="L927" s="9">
        <v>0.15</v>
      </c>
      <c r="M927" s="9">
        <v>72</v>
      </c>
      <c r="N927" s="9" t="s">
        <v>49</v>
      </c>
      <c r="Q927" s="9">
        <f>IF(Auction_Sales[[#This Row],[Payment Date]]=0,"",-1+WEEKNUM(Auction_Sales[[#This Row],[Payment Date]]))</f>
        <v>3</v>
      </c>
      <c r="R927" s="9">
        <v>-280</v>
      </c>
      <c r="S927" s="9" t="s">
        <v>153</v>
      </c>
      <c r="T927" s="9" t="s">
        <v>54</v>
      </c>
      <c r="U927" s="9">
        <v>760</v>
      </c>
      <c r="V927" s="13">
        <v>0.4168421052631579</v>
      </c>
      <c r="W927" s="13">
        <v>316.8</v>
      </c>
      <c r="X927" s="14">
        <v>-30.840426229508179</v>
      </c>
      <c r="Y927" s="13">
        <v>285.95957377049183</v>
      </c>
      <c r="Z927" s="10">
        <v>45315</v>
      </c>
      <c r="AA927" s="9">
        <v>280</v>
      </c>
      <c r="AC927" s="9">
        <v>423642</v>
      </c>
      <c r="AD927" s="14">
        <v>38.767714285714284</v>
      </c>
      <c r="AF927" s="14">
        <v>15.200000000000001</v>
      </c>
      <c r="AH927" s="14">
        <v>53.967714285714287</v>
      </c>
      <c r="AI927" s="13">
        <v>231.99185948477754</v>
      </c>
      <c r="AK927" s="9">
        <v>760</v>
      </c>
    </row>
    <row r="928" spans="1:37">
      <c r="A928" s="9">
        <v>2</v>
      </c>
      <c r="B928" s="9">
        <v>2023</v>
      </c>
      <c r="C928" s="9" t="s">
        <v>46</v>
      </c>
      <c r="D928" s="9" t="s">
        <v>47</v>
      </c>
      <c r="E928" s="9" t="s">
        <v>47</v>
      </c>
      <c r="F928" s="10">
        <v>45302</v>
      </c>
      <c r="G928" s="9" t="s">
        <v>153</v>
      </c>
      <c r="H928" s="9" t="s">
        <v>56</v>
      </c>
      <c r="I928" s="9">
        <v>1</v>
      </c>
      <c r="J928" s="9">
        <v>12</v>
      </c>
      <c r="K928" s="9">
        <v>440</v>
      </c>
      <c r="L928" s="9">
        <v>0.15</v>
      </c>
      <c r="M928" s="9">
        <v>66</v>
      </c>
      <c r="N928" s="9" t="s">
        <v>49</v>
      </c>
      <c r="Q928" s="9">
        <f>IF(Auction_Sales[[#This Row],[Payment Date]]=0,"",-1+WEEKNUM(Auction_Sales[[#This Row],[Payment Date]]))</f>
        <v>3</v>
      </c>
      <c r="R928" s="9">
        <v>-40</v>
      </c>
      <c r="S928" s="9" t="s">
        <v>153</v>
      </c>
      <c r="T928" s="9" t="s">
        <v>56</v>
      </c>
      <c r="U928" s="9">
        <v>480</v>
      </c>
      <c r="V928" s="13">
        <v>0.47583333333333333</v>
      </c>
      <c r="W928" s="13">
        <v>228.4</v>
      </c>
      <c r="X928" s="14">
        <v>-19.478163934426217</v>
      </c>
      <c r="Y928" s="13">
        <v>208.92183606557379</v>
      </c>
      <c r="Z928" s="10">
        <v>45315</v>
      </c>
      <c r="AA928" s="9">
        <v>40</v>
      </c>
      <c r="AC928" s="9">
        <v>423642</v>
      </c>
      <c r="AD928" s="14">
        <v>38.767714285714284</v>
      </c>
      <c r="AF928" s="14">
        <v>9.6</v>
      </c>
      <c r="AH928" s="14">
        <v>48.367714285714285</v>
      </c>
      <c r="AI928" s="13">
        <v>160.55412177985949</v>
      </c>
      <c r="AK928" s="9">
        <v>480</v>
      </c>
    </row>
    <row r="929" spans="1:37">
      <c r="A929" s="9">
        <v>2</v>
      </c>
      <c r="B929" s="9">
        <v>2023</v>
      </c>
      <c r="C929" s="9" t="s">
        <v>46</v>
      </c>
      <c r="D929" s="9" t="s">
        <v>47</v>
      </c>
      <c r="E929" s="9" t="s">
        <v>47</v>
      </c>
      <c r="F929" s="10">
        <v>45302</v>
      </c>
      <c r="G929" s="9" t="s">
        <v>154</v>
      </c>
      <c r="H929" s="9" t="s">
        <v>56</v>
      </c>
      <c r="I929" s="9">
        <v>1</v>
      </c>
      <c r="J929" s="9">
        <v>12</v>
      </c>
      <c r="K929" s="9">
        <v>240</v>
      </c>
      <c r="L929" s="9">
        <v>0.15</v>
      </c>
      <c r="M929" s="9">
        <v>36</v>
      </c>
      <c r="N929" s="9" t="s">
        <v>49</v>
      </c>
      <c r="Q929" s="9">
        <f>IF(Auction_Sales[[#This Row],[Payment Date]]=0,"",-1+WEEKNUM(Auction_Sales[[#This Row],[Payment Date]]))</f>
        <v>3</v>
      </c>
      <c r="R929" s="9">
        <v>240</v>
      </c>
      <c r="S929" s="9" t="s">
        <v>154</v>
      </c>
      <c r="T929" s="9" t="s">
        <v>56</v>
      </c>
      <c r="W929" s="13">
        <v>0</v>
      </c>
      <c r="X929" s="14">
        <v>0</v>
      </c>
      <c r="Y929" s="13">
        <v>0</v>
      </c>
      <c r="Z929" s="10">
        <v>45315</v>
      </c>
      <c r="AA929" s="9">
        <v>-240</v>
      </c>
      <c r="AC929" s="9">
        <v>423642</v>
      </c>
      <c r="AD929" s="14">
        <v>38.767714285714284</v>
      </c>
      <c r="AF929" s="14">
        <v>0</v>
      </c>
      <c r="AH929" s="14">
        <v>38.767714285714284</v>
      </c>
      <c r="AI929" s="13">
        <v>-38.767714285714284</v>
      </c>
      <c r="AK929" s="9">
        <v>0</v>
      </c>
    </row>
    <row r="930" spans="1:37">
      <c r="A930" s="9">
        <v>2</v>
      </c>
      <c r="B930" s="9">
        <v>2023</v>
      </c>
      <c r="C930" s="9" t="s">
        <v>46</v>
      </c>
      <c r="D930" s="9" t="s">
        <v>47</v>
      </c>
      <c r="E930" s="9" t="s">
        <v>47</v>
      </c>
      <c r="F930" s="10">
        <v>45302</v>
      </c>
      <c r="G930" s="9" t="s">
        <v>154</v>
      </c>
      <c r="H930" s="9" t="s">
        <v>54</v>
      </c>
      <c r="I930" s="9">
        <v>1</v>
      </c>
      <c r="J930" s="9">
        <v>12</v>
      </c>
      <c r="K930" s="9">
        <v>280</v>
      </c>
      <c r="L930" s="9">
        <v>0.15</v>
      </c>
      <c r="M930" s="9">
        <v>42</v>
      </c>
      <c r="N930" s="9" t="s">
        <v>49</v>
      </c>
      <c r="Q930" s="9">
        <f>IF(Auction_Sales[[#This Row],[Payment Date]]=0,"",-1+WEEKNUM(Auction_Sales[[#This Row],[Payment Date]]))</f>
        <v>3</v>
      </c>
      <c r="R930" s="9">
        <v>-200</v>
      </c>
      <c r="S930" s="9" t="s">
        <v>154</v>
      </c>
      <c r="T930" s="9" t="s">
        <v>54</v>
      </c>
      <c r="U930" s="9">
        <v>480</v>
      </c>
      <c r="V930" s="13">
        <v>0.44833333333333331</v>
      </c>
      <c r="W930" s="13">
        <v>215.2</v>
      </c>
      <c r="X930" s="14">
        <v>-19.478163934426217</v>
      </c>
      <c r="Y930" s="13">
        <v>195.72183606557377</v>
      </c>
      <c r="Z930" s="10">
        <v>45315</v>
      </c>
      <c r="AA930" s="9">
        <v>200</v>
      </c>
      <c r="AC930" s="9">
        <v>423642</v>
      </c>
      <c r="AD930" s="14">
        <v>38.767714285714284</v>
      </c>
      <c r="AF930" s="14">
        <v>9.6</v>
      </c>
      <c r="AH930" s="14">
        <v>48.367714285714285</v>
      </c>
      <c r="AI930" s="13">
        <v>147.3541217798595</v>
      </c>
      <c r="AK930" s="9">
        <v>480</v>
      </c>
    </row>
    <row r="931" spans="1:37">
      <c r="A931" s="9">
        <v>2</v>
      </c>
      <c r="B931" s="9">
        <v>2023</v>
      </c>
      <c r="C931" s="9" t="s">
        <v>46</v>
      </c>
      <c r="D931" s="9" t="s">
        <v>47</v>
      </c>
      <c r="E931" s="9" t="s">
        <v>47</v>
      </c>
      <c r="F931" s="10">
        <v>45302</v>
      </c>
      <c r="G931" s="9" t="s">
        <v>154</v>
      </c>
      <c r="H931" s="9" t="s">
        <v>56</v>
      </c>
      <c r="I931" s="9">
        <v>1</v>
      </c>
      <c r="J931" s="9">
        <v>1</v>
      </c>
      <c r="K931" s="9">
        <v>40</v>
      </c>
      <c r="L931" s="9">
        <v>0.15</v>
      </c>
      <c r="M931" s="9">
        <v>6</v>
      </c>
      <c r="N931" s="9" t="s">
        <v>49</v>
      </c>
      <c r="Q931" s="9">
        <f>IF(Auction_Sales[[#This Row],[Payment Date]]=0,"",-1+WEEKNUM(Auction_Sales[[#This Row],[Payment Date]]))</f>
        <v>3</v>
      </c>
      <c r="R931" s="9">
        <v>-240</v>
      </c>
      <c r="S931" s="9" t="s">
        <v>154</v>
      </c>
      <c r="T931" s="9" t="s">
        <v>56</v>
      </c>
      <c r="U931" s="9">
        <v>280</v>
      </c>
      <c r="V931" s="13">
        <v>0.56857142857142851</v>
      </c>
      <c r="W931" s="13">
        <v>159.19999999999999</v>
      </c>
      <c r="X931" s="14">
        <v>-11.36226229508196</v>
      </c>
      <c r="Y931" s="13">
        <v>147.83773770491803</v>
      </c>
      <c r="Z931" s="10">
        <v>45315</v>
      </c>
      <c r="AA931" s="9">
        <v>240</v>
      </c>
      <c r="AC931" s="9">
        <v>423642</v>
      </c>
      <c r="AD931" s="14">
        <v>3.2306428571428571</v>
      </c>
      <c r="AF931" s="14">
        <v>5.6000000000000005</v>
      </c>
      <c r="AH931" s="14">
        <v>8.8306428571428572</v>
      </c>
      <c r="AI931" s="13">
        <v>139.00709484777516</v>
      </c>
      <c r="AK931" s="9">
        <v>280</v>
      </c>
    </row>
    <row r="932" spans="1:37">
      <c r="A932" s="9">
        <v>2</v>
      </c>
      <c r="B932" s="9">
        <v>2023</v>
      </c>
      <c r="C932" s="9" t="s">
        <v>46</v>
      </c>
      <c r="D932" s="9" t="s">
        <v>47</v>
      </c>
      <c r="E932" s="9" t="s">
        <v>47</v>
      </c>
      <c r="F932" s="10">
        <v>45302</v>
      </c>
      <c r="G932" s="9" t="s">
        <v>154</v>
      </c>
      <c r="H932" s="9" t="s">
        <v>48</v>
      </c>
      <c r="J932" s="9">
        <v>11</v>
      </c>
      <c r="K932" s="9">
        <v>440</v>
      </c>
      <c r="L932" s="9">
        <v>0.15</v>
      </c>
      <c r="M932" s="9">
        <v>66</v>
      </c>
      <c r="N932" s="9" t="s">
        <v>49</v>
      </c>
      <c r="Q932" s="9">
        <f>IF(Auction_Sales[[#This Row],[Payment Date]]=0,"",-1+WEEKNUM(Auction_Sales[[#This Row],[Payment Date]]))</f>
        <v>3</v>
      </c>
      <c r="R932" s="9">
        <v>0</v>
      </c>
      <c r="S932" s="9" t="s">
        <v>154</v>
      </c>
      <c r="T932" s="9" t="s">
        <v>48</v>
      </c>
      <c r="U932" s="9">
        <v>440</v>
      </c>
      <c r="V932" s="13">
        <v>0.35636363636363638</v>
      </c>
      <c r="W932" s="13">
        <v>156.80000000000001</v>
      </c>
      <c r="X932" s="14">
        <v>-17.854983606557365</v>
      </c>
      <c r="Y932" s="13">
        <v>138.94501639344264</v>
      </c>
      <c r="Z932" s="10">
        <v>45315</v>
      </c>
      <c r="AA932" s="9">
        <v>0</v>
      </c>
      <c r="AC932" s="9">
        <v>423642</v>
      </c>
      <c r="AD932" s="14">
        <v>35.53707142857143</v>
      </c>
      <c r="AF932" s="14">
        <v>8.8000000000000007</v>
      </c>
      <c r="AH932" s="14">
        <v>44.337071428571434</v>
      </c>
      <c r="AI932" s="13">
        <v>94.607944964871209</v>
      </c>
      <c r="AK932" s="9">
        <v>440</v>
      </c>
    </row>
    <row r="933" spans="1:37">
      <c r="A933" s="9">
        <v>2</v>
      </c>
      <c r="B933" s="9">
        <v>2023</v>
      </c>
      <c r="C933" s="9" t="s">
        <v>46</v>
      </c>
      <c r="D933" s="9" t="s">
        <v>47</v>
      </c>
      <c r="E933" s="9" t="s">
        <v>47</v>
      </c>
      <c r="F933" s="10">
        <v>45302</v>
      </c>
      <c r="G933" s="9" t="s">
        <v>154</v>
      </c>
      <c r="H933" s="9" t="s">
        <v>57</v>
      </c>
      <c r="I933" s="9">
        <v>1</v>
      </c>
      <c r="J933" s="9">
        <v>7.1999999999999993</v>
      </c>
      <c r="K933" s="9">
        <v>120</v>
      </c>
      <c r="L933" s="9">
        <v>0.15</v>
      </c>
      <c r="M933" s="9">
        <v>18</v>
      </c>
      <c r="N933" s="9" t="s">
        <v>49</v>
      </c>
      <c r="Q933" s="9">
        <f>IF(Auction_Sales[[#This Row],[Payment Date]]=0,"",-1+WEEKNUM(Auction_Sales[[#This Row],[Payment Date]]))</f>
        <v>3</v>
      </c>
      <c r="R933" s="9">
        <v>0</v>
      </c>
      <c r="S933" s="9" t="s">
        <v>154</v>
      </c>
      <c r="T933" s="9" t="s">
        <v>57</v>
      </c>
      <c r="U933" s="9">
        <v>120</v>
      </c>
      <c r="V933" s="13">
        <v>0.64</v>
      </c>
      <c r="W933" s="13">
        <v>76.8</v>
      </c>
      <c r="X933" s="14">
        <v>-4.8695409836065542</v>
      </c>
      <c r="Y933" s="13">
        <v>71.930459016393442</v>
      </c>
      <c r="Z933" s="10">
        <v>45315</v>
      </c>
      <c r="AA933" s="9">
        <v>0</v>
      </c>
      <c r="AC933" s="9">
        <v>423642</v>
      </c>
      <c r="AD933" s="14">
        <v>23.260628571428565</v>
      </c>
      <c r="AF933" s="14">
        <v>2.4</v>
      </c>
      <c r="AH933" s="14">
        <v>25.660628571428564</v>
      </c>
      <c r="AI933" s="13">
        <v>46.269830444964882</v>
      </c>
      <c r="AK933" s="9">
        <v>120</v>
      </c>
    </row>
    <row r="934" spans="1:37">
      <c r="A934" s="9">
        <v>2</v>
      </c>
      <c r="B934" s="9">
        <v>2023</v>
      </c>
      <c r="C934" s="9" t="s">
        <v>46</v>
      </c>
      <c r="D934" s="9" t="s">
        <v>47</v>
      </c>
      <c r="E934" s="9" t="s">
        <v>47</v>
      </c>
      <c r="F934" s="10">
        <v>45302</v>
      </c>
      <c r="G934" s="9" t="s">
        <v>154</v>
      </c>
      <c r="H934" s="9" t="s">
        <v>60</v>
      </c>
      <c r="J934" s="9">
        <v>4.8000000000000007</v>
      </c>
      <c r="K934" s="9">
        <v>80</v>
      </c>
      <c r="L934" s="9">
        <v>0.15</v>
      </c>
      <c r="M934" s="9">
        <v>12</v>
      </c>
      <c r="N934" s="9" t="s">
        <v>49</v>
      </c>
      <c r="Q934" s="9">
        <f>IF(Auction_Sales[[#This Row],[Payment Date]]=0,"",-1+WEEKNUM(Auction_Sales[[#This Row],[Payment Date]]))</f>
        <v>3</v>
      </c>
      <c r="R934" s="9">
        <v>0</v>
      </c>
      <c r="S934" s="9" t="s">
        <v>154</v>
      </c>
      <c r="T934" s="9" t="s">
        <v>60</v>
      </c>
      <c r="U934" s="9">
        <v>80</v>
      </c>
      <c r="V934" s="13">
        <v>0.81500000000000006</v>
      </c>
      <c r="W934" s="13">
        <v>65.2</v>
      </c>
      <c r="X934" s="14">
        <v>-3.2463606557377029</v>
      </c>
      <c r="Y934" s="13">
        <v>61.953639344262299</v>
      </c>
      <c r="Z934" s="10">
        <v>45315</v>
      </c>
      <c r="AA934" s="9">
        <v>0</v>
      </c>
      <c r="AC934" s="9">
        <v>423642</v>
      </c>
      <c r="AD934" s="14">
        <v>15.507085714285715</v>
      </c>
      <c r="AF934" s="14">
        <v>1.6</v>
      </c>
      <c r="AH934" s="14">
        <v>17.107085714285716</v>
      </c>
      <c r="AI934" s="13">
        <v>44.846553629976583</v>
      </c>
      <c r="AK934" s="9">
        <v>80</v>
      </c>
    </row>
    <row r="935" spans="1:37">
      <c r="A935" s="9">
        <v>2</v>
      </c>
      <c r="B935" s="9">
        <v>2023</v>
      </c>
      <c r="C935" s="9" t="s">
        <v>46</v>
      </c>
      <c r="D935" s="9" t="s">
        <v>47</v>
      </c>
      <c r="E935" s="9" t="s">
        <v>47</v>
      </c>
      <c r="F935" s="10">
        <v>45302</v>
      </c>
      <c r="G935" s="9" t="s">
        <v>154</v>
      </c>
      <c r="H935" s="9" t="s">
        <v>52</v>
      </c>
      <c r="I935" s="9">
        <v>1</v>
      </c>
      <c r="J935" s="9">
        <v>6</v>
      </c>
      <c r="K935" s="9">
        <v>200</v>
      </c>
      <c r="L935" s="9">
        <v>0.15</v>
      </c>
      <c r="M935" s="9">
        <v>30</v>
      </c>
      <c r="N935" s="9" t="s">
        <v>49</v>
      </c>
      <c r="Q935" s="9">
        <f>IF(Auction_Sales[[#This Row],[Payment Date]]=0,"",-1+WEEKNUM(Auction_Sales[[#This Row],[Payment Date]]))</f>
        <v>3</v>
      </c>
      <c r="R935" s="9">
        <v>0</v>
      </c>
      <c r="S935" s="9" t="s">
        <v>154</v>
      </c>
      <c r="T935" s="9" t="s">
        <v>52</v>
      </c>
      <c r="U935" s="9">
        <v>200</v>
      </c>
      <c r="V935" s="13">
        <v>0.4</v>
      </c>
      <c r="W935" s="13">
        <v>80</v>
      </c>
      <c r="X935" s="14">
        <v>-8.1159016393442567</v>
      </c>
      <c r="Y935" s="13">
        <v>71.884098360655742</v>
      </c>
      <c r="Z935" s="10">
        <v>45315</v>
      </c>
      <c r="AA935" s="9">
        <v>0</v>
      </c>
      <c r="AC935" s="9">
        <v>423642</v>
      </c>
      <c r="AD935" s="14">
        <v>19.383857142857142</v>
      </c>
      <c r="AF935" s="14">
        <v>4</v>
      </c>
      <c r="AH935" s="14">
        <v>23.383857142857142</v>
      </c>
      <c r="AI935" s="13">
        <v>48.500241217798603</v>
      </c>
      <c r="AK935" s="9">
        <v>200</v>
      </c>
    </row>
    <row r="936" spans="1:37">
      <c r="A936" s="9">
        <v>2</v>
      </c>
      <c r="B936" s="9">
        <v>2023</v>
      </c>
      <c r="C936" s="9" t="s">
        <v>46</v>
      </c>
      <c r="D936" s="9" t="s">
        <v>47</v>
      </c>
      <c r="E936" s="9" t="s">
        <v>47</v>
      </c>
      <c r="F936" s="10">
        <v>45302</v>
      </c>
      <c r="G936" s="9" t="s">
        <v>154</v>
      </c>
      <c r="H936" s="9" t="s">
        <v>54</v>
      </c>
      <c r="J936" s="9">
        <v>6</v>
      </c>
      <c r="K936" s="9">
        <v>200</v>
      </c>
      <c r="L936" s="9">
        <v>0.15</v>
      </c>
      <c r="M936" s="9">
        <v>30</v>
      </c>
      <c r="N936" s="9" t="s">
        <v>49</v>
      </c>
      <c r="Q936" s="9">
        <f>IF(Auction_Sales[[#This Row],[Payment Date]]=0,"",-1+WEEKNUM(Auction_Sales[[#This Row],[Payment Date]]))</f>
        <v>3</v>
      </c>
      <c r="R936" s="9">
        <v>200</v>
      </c>
      <c r="S936" s="9" t="s">
        <v>154</v>
      </c>
      <c r="T936" s="9" t="s">
        <v>54</v>
      </c>
      <c r="W936" s="13">
        <v>0</v>
      </c>
      <c r="X936" s="14">
        <v>0</v>
      </c>
      <c r="Y936" s="13">
        <v>0</v>
      </c>
      <c r="Z936" s="10">
        <v>45315</v>
      </c>
      <c r="AA936" s="9">
        <v>-200</v>
      </c>
      <c r="AC936" s="9">
        <v>423642</v>
      </c>
      <c r="AD936" s="14">
        <v>19.383857142857142</v>
      </c>
      <c r="AF936" s="14">
        <v>0</v>
      </c>
      <c r="AH936" s="14">
        <v>19.383857142857142</v>
      </c>
      <c r="AI936" s="13">
        <v>-19.383857142857142</v>
      </c>
      <c r="AK936" s="9">
        <v>0</v>
      </c>
    </row>
    <row r="937" spans="1:37">
      <c r="A937" s="9">
        <v>2</v>
      </c>
      <c r="B937" s="9">
        <v>2023</v>
      </c>
      <c r="C937" s="9" t="s">
        <v>46</v>
      </c>
      <c r="D937" s="9" t="s">
        <v>47</v>
      </c>
      <c r="E937" s="9" t="s">
        <v>47</v>
      </c>
      <c r="F937" s="10">
        <v>45302</v>
      </c>
      <c r="G937" s="9" t="s">
        <v>155</v>
      </c>
      <c r="H937" s="9" t="s">
        <v>57</v>
      </c>
      <c r="I937" s="9">
        <v>1</v>
      </c>
      <c r="J937" s="9">
        <v>3</v>
      </c>
      <c r="K937" s="9">
        <v>40</v>
      </c>
      <c r="L937" s="9">
        <v>0.15</v>
      </c>
      <c r="M937" s="9">
        <v>6</v>
      </c>
      <c r="N937" s="9" t="s">
        <v>49</v>
      </c>
      <c r="Q937" s="9">
        <f>IF(Auction_Sales[[#This Row],[Payment Date]]=0,"",-1+WEEKNUM(Auction_Sales[[#This Row],[Payment Date]]))</f>
        <v>3</v>
      </c>
      <c r="R937" s="9">
        <v>40</v>
      </c>
      <c r="S937" s="9" t="s">
        <v>155</v>
      </c>
      <c r="T937" s="9" t="s">
        <v>57</v>
      </c>
      <c r="W937" s="13">
        <v>0</v>
      </c>
      <c r="X937" s="14">
        <v>0</v>
      </c>
      <c r="Y937" s="13">
        <v>0</v>
      </c>
      <c r="Z937" s="10">
        <v>45315</v>
      </c>
      <c r="AA937" s="9">
        <v>-40</v>
      </c>
      <c r="AC937" s="9">
        <v>423642</v>
      </c>
      <c r="AD937" s="14">
        <v>9.691928571428571</v>
      </c>
      <c r="AF937" s="14">
        <v>0</v>
      </c>
      <c r="AH937" s="14">
        <v>9.691928571428571</v>
      </c>
      <c r="AI937" s="13">
        <v>-9.691928571428571</v>
      </c>
      <c r="AK937" s="9">
        <v>0</v>
      </c>
    </row>
    <row r="938" spans="1:37">
      <c r="A938" s="9">
        <v>2</v>
      </c>
      <c r="B938" s="9">
        <v>2023</v>
      </c>
      <c r="C938" s="9" t="s">
        <v>46</v>
      </c>
      <c r="D938" s="9" t="s">
        <v>47</v>
      </c>
      <c r="E938" s="9" t="s">
        <v>47</v>
      </c>
      <c r="F938" s="10">
        <v>45302</v>
      </c>
      <c r="G938" s="9" t="s">
        <v>155</v>
      </c>
      <c r="H938" s="9" t="s">
        <v>60</v>
      </c>
      <c r="J938" s="9">
        <v>9</v>
      </c>
      <c r="K938" s="9">
        <v>120</v>
      </c>
      <c r="L938" s="9">
        <v>0.15</v>
      </c>
      <c r="M938" s="9">
        <v>18</v>
      </c>
      <c r="N938" s="9" t="s">
        <v>49</v>
      </c>
      <c r="Q938" s="9">
        <f>IF(Auction_Sales[[#This Row],[Payment Date]]=0,"",-1+WEEKNUM(Auction_Sales[[#This Row],[Payment Date]]))</f>
        <v>3</v>
      </c>
      <c r="R938" s="9">
        <v>120</v>
      </c>
      <c r="S938" s="9" t="s">
        <v>155</v>
      </c>
      <c r="T938" s="9" t="s">
        <v>60</v>
      </c>
      <c r="W938" s="13">
        <v>0</v>
      </c>
      <c r="X938" s="14">
        <v>0</v>
      </c>
      <c r="Y938" s="13">
        <v>0</v>
      </c>
      <c r="Z938" s="10">
        <v>45315</v>
      </c>
      <c r="AA938" s="9">
        <v>-120</v>
      </c>
      <c r="AC938" s="9">
        <v>423642</v>
      </c>
      <c r="AD938" s="14">
        <v>29.075785714285711</v>
      </c>
      <c r="AF938" s="14">
        <v>0</v>
      </c>
      <c r="AH938" s="14">
        <v>29.075785714285711</v>
      </c>
      <c r="AI938" s="13">
        <v>-29.075785714285711</v>
      </c>
      <c r="AK938" s="9">
        <v>0</v>
      </c>
    </row>
    <row r="939" spans="1:37">
      <c r="A939" s="9">
        <v>2</v>
      </c>
      <c r="B939" s="9">
        <v>2023</v>
      </c>
      <c r="C939" s="9" t="s">
        <v>46</v>
      </c>
      <c r="D939" s="9" t="s">
        <v>47</v>
      </c>
      <c r="E939" s="9" t="s">
        <v>47</v>
      </c>
      <c r="F939" s="10">
        <v>45302</v>
      </c>
      <c r="G939" s="9" t="s">
        <v>153</v>
      </c>
      <c r="H939" s="9" t="s">
        <v>56</v>
      </c>
      <c r="I939" s="9">
        <v>1</v>
      </c>
      <c r="J939" s="9">
        <v>10.5</v>
      </c>
      <c r="K939" s="9">
        <v>280</v>
      </c>
      <c r="L939" s="9">
        <v>0.15</v>
      </c>
      <c r="M939" s="9">
        <v>42</v>
      </c>
      <c r="N939" s="9" t="s">
        <v>49</v>
      </c>
      <c r="Q939" s="9">
        <f>IF(Auction_Sales[[#This Row],[Payment Date]]=0,"",-1+WEEKNUM(Auction_Sales[[#This Row],[Payment Date]]))</f>
        <v>3</v>
      </c>
      <c r="R939" s="9">
        <v>280</v>
      </c>
      <c r="S939" s="9" t="s">
        <v>153</v>
      </c>
      <c r="T939" s="9" t="s">
        <v>56</v>
      </c>
      <c r="W939" s="13">
        <v>0</v>
      </c>
      <c r="X939" s="14">
        <v>0</v>
      </c>
      <c r="Y939" s="13">
        <v>0</v>
      </c>
      <c r="Z939" s="10">
        <v>45315</v>
      </c>
      <c r="AA939" s="9">
        <v>-280</v>
      </c>
      <c r="AC939" s="9">
        <v>423642</v>
      </c>
      <c r="AD939" s="14">
        <v>33.921749999999996</v>
      </c>
      <c r="AF939" s="14">
        <v>0</v>
      </c>
      <c r="AH939" s="14">
        <v>33.921749999999996</v>
      </c>
      <c r="AI939" s="13">
        <v>-33.921749999999996</v>
      </c>
      <c r="AK939" s="9">
        <v>0</v>
      </c>
    </row>
    <row r="940" spans="1:37">
      <c r="A940" s="9">
        <v>2</v>
      </c>
      <c r="B940" s="9">
        <v>2023</v>
      </c>
      <c r="C940" s="9" t="s">
        <v>46</v>
      </c>
      <c r="D940" s="9" t="s">
        <v>47</v>
      </c>
      <c r="E940" s="9" t="s">
        <v>47</v>
      </c>
      <c r="F940" s="10">
        <v>45302</v>
      </c>
      <c r="G940" s="9" t="s">
        <v>153</v>
      </c>
      <c r="H940" s="9" t="s">
        <v>54</v>
      </c>
      <c r="J940" s="9">
        <v>1.5</v>
      </c>
      <c r="K940" s="9">
        <v>40</v>
      </c>
      <c r="L940" s="9">
        <v>0.15</v>
      </c>
      <c r="M940" s="9">
        <v>6</v>
      </c>
      <c r="N940" s="9" t="s">
        <v>49</v>
      </c>
      <c r="Q940" s="9">
        <f>IF(Auction_Sales[[#This Row],[Payment Date]]=0,"",-1+WEEKNUM(Auction_Sales[[#This Row],[Payment Date]]))</f>
        <v>3</v>
      </c>
      <c r="R940" s="9">
        <v>40</v>
      </c>
      <c r="S940" s="9" t="s">
        <v>153</v>
      </c>
      <c r="T940" s="9" t="s">
        <v>54</v>
      </c>
      <c r="W940" s="13">
        <v>0</v>
      </c>
      <c r="X940" s="14">
        <v>0</v>
      </c>
      <c r="Y940" s="13">
        <v>0</v>
      </c>
      <c r="Z940" s="10">
        <v>45315</v>
      </c>
      <c r="AA940" s="9">
        <v>-40</v>
      </c>
      <c r="AC940" s="9">
        <v>423642</v>
      </c>
      <c r="AD940" s="14">
        <v>4.8459642857142855</v>
      </c>
      <c r="AF940" s="14">
        <v>0</v>
      </c>
      <c r="AH940" s="14">
        <v>4.8459642857142855</v>
      </c>
      <c r="AI940" s="13">
        <v>-4.8459642857142855</v>
      </c>
      <c r="AK940" s="9">
        <v>0</v>
      </c>
    </row>
    <row r="941" spans="1:37">
      <c r="A941" s="9">
        <v>2</v>
      </c>
      <c r="B941" s="9">
        <v>2023</v>
      </c>
      <c r="C941" s="9" t="s">
        <v>46</v>
      </c>
      <c r="D941" s="9" t="s">
        <v>47</v>
      </c>
      <c r="E941" s="9" t="s">
        <v>47</v>
      </c>
      <c r="F941" s="10">
        <v>45302</v>
      </c>
      <c r="G941" s="9" t="s">
        <v>153</v>
      </c>
      <c r="H941" s="9" t="s">
        <v>60</v>
      </c>
      <c r="I941" s="9">
        <v>1</v>
      </c>
      <c r="J941" s="9">
        <v>3.4285714285714284</v>
      </c>
      <c r="K941" s="9">
        <v>80</v>
      </c>
      <c r="L941" s="9">
        <v>0.15</v>
      </c>
      <c r="M941" s="9">
        <v>12</v>
      </c>
      <c r="N941" s="9" t="s">
        <v>49</v>
      </c>
      <c r="Q941" s="9">
        <f>IF(Auction_Sales[[#This Row],[Payment Date]]=0,"",-1+WEEKNUM(Auction_Sales[[#This Row],[Payment Date]]))</f>
        <v>3</v>
      </c>
      <c r="R941" s="9">
        <v>0</v>
      </c>
      <c r="S941" s="9" t="s">
        <v>153</v>
      </c>
      <c r="T941" s="9" t="s">
        <v>60</v>
      </c>
      <c r="U941" s="9">
        <v>80</v>
      </c>
      <c r="V941" s="13">
        <v>0.61</v>
      </c>
      <c r="W941" s="13">
        <v>48.8</v>
      </c>
      <c r="X941" s="14">
        <v>-3.2463606557377029</v>
      </c>
      <c r="Y941" s="13">
        <v>45.553639344262294</v>
      </c>
      <c r="Z941" s="10">
        <v>45315</v>
      </c>
      <c r="AA941" s="9">
        <v>0</v>
      </c>
      <c r="AC941" s="9">
        <v>423642</v>
      </c>
      <c r="AD941" s="14">
        <v>11.076489795918365</v>
      </c>
      <c r="AF941" s="14">
        <v>1.6</v>
      </c>
      <c r="AH941" s="14">
        <v>12.676489795918364</v>
      </c>
      <c r="AI941" s="13">
        <v>32.87714954834393</v>
      </c>
      <c r="AK941" s="9">
        <v>80</v>
      </c>
    </row>
    <row r="942" spans="1:37">
      <c r="A942" s="9">
        <v>2</v>
      </c>
      <c r="B942" s="9">
        <v>2023</v>
      </c>
      <c r="C942" s="9" t="s">
        <v>46</v>
      </c>
      <c r="D942" s="9" t="s">
        <v>47</v>
      </c>
      <c r="E942" s="9" t="s">
        <v>47</v>
      </c>
      <c r="F942" s="10">
        <v>45302</v>
      </c>
      <c r="G942" s="9" t="s">
        <v>153</v>
      </c>
      <c r="H942" s="9" t="s">
        <v>57</v>
      </c>
      <c r="J942" s="9">
        <v>8.5714285714285712</v>
      </c>
      <c r="K942" s="9">
        <v>200</v>
      </c>
      <c r="L942" s="9">
        <v>0.15</v>
      </c>
      <c r="M942" s="9">
        <v>30</v>
      </c>
      <c r="N942" s="9" t="s">
        <v>49</v>
      </c>
      <c r="Q942" s="9">
        <f>IF(Auction_Sales[[#This Row],[Payment Date]]=0,"",-1+WEEKNUM(Auction_Sales[[#This Row],[Payment Date]]))</f>
        <v>3</v>
      </c>
      <c r="R942" s="9">
        <v>0</v>
      </c>
      <c r="S942" s="9" t="s">
        <v>153</v>
      </c>
      <c r="T942" s="9" t="s">
        <v>57</v>
      </c>
      <c r="U942" s="9">
        <v>200</v>
      </c>
      <c r="V942" s="13">
        <v>0.498</v>
      </c>
      <c r="W942" s="13">
        <v>99.6</v>
      </c>
      <c r="X942" s="14">
        <v>-8.1159016393442567</v>
      </c>
      <c r="Y942" s="13">
        <v>91.484098360655736</v>
      </c>
      <c r="Z942" s="10">
        <v>45315</v>
      </c>
      <c r="AA942" s="9">
        <v>0</v>
      </c>
      <c r="AC942" s="9">
        <v>423642</v>
      </c>
      <c r="AD942" s="14">
        <v>27.691224489795914</v>
      </c>
      <c r="AF942" s="14">
        <v>4</v>
      </c>
      <c r="AH942" s="14">
        <v>31.691224489795914</v>
      </c>
      <c r="AI942" s="13">
        <v>59.792873870859822</v>
      </c>
      <c r="AK942" s="9">
        <v>200</v>
      </c>
    </row>
    <row r="943" spans="1:37">
      <c r="A943" s="9">
        <v>1</v>
      </c>
      <c r="B943" s="9">
        <v>2023</v>
      </c>
      <c r="C943" s="9" t="s">
        <v>46</v>
      </c>
      <c r="D943" s="9" t="s">
        <v>47</v>
      </c>
      <c r="E943" s="9" t="s">
        <v>47</v>
      </c>
      <c r="F943" s="10">
        <v>45290</v>
      </c>
      <c r="G943" s="9" t="s">
        <v>155</v>
      </c>
      <c r="H943" s="9" t="s">
        <v>52</v>
      </c>
      <c r="I943" s="9">
        <v>7</v>
      </c>
      <c r="J943" s="11">
        <f>12*I943</f>
        <v>84</v>
      </c>
      <c r="K943" s="9">
        <v>2240</v>
      </c>
      <c r="L943" s="12">
        <v>0.15</v>
      </c>
      <c r="M943" s="12">
        <v>336</v>
      </c>
      <c r="N943" s="13" t="s">
        <v>49</v>
      </c>
      <c r="Q943" s="9">
        <f>IF(Auction_Sales[[#This Row],[Payment Date]]=0,"",-1+WEEKNUM(Auction_Sales[[#This Row],[Payment Date]]))</f>
        <v>1</v>
      </c>
      <c r="R943" s="9">
        <f>K943-U943</f>
        <v>-80</v>
      </c>
      <c r="S943" s="1" t="str">
        <f>G943</f>
        <v>Floribunda Roses</v>
      </c>
      <c r="T943" s="9" t="str">
        <f>H943</f>
        <v>70CM</v>
      </c>
      <c r="U943" s="9">
        <v>2320</v>
      </c>
      <c r="V943" s="13">
        <f>402/2320</f>
        <v>0.17327586206896553</v>
      </c>
      <c r="W943" s="13">
        <f t="shared" ref="W943:W1004" si="315">U943*V943</f>
        <v>402.00000000000006</v>
      </c>
      <c r="X943" s="14">
        <f>-(2991.2-2625.1)*U943/(7320+3560)</f>
        <v>-78.065441176470571</v>
      </c>
      <c r="Y943" s="13">
        <f>W943+X943</f>
        <v>323.93455882352947</v>
      </c>
      <c r="Z943" s="10">
        <v>45301</v>
      </c>
      <c r="AA943" s="9">
        <f>U943-K943</f>
        <v>80</v>
      </c>
      <c r="AC943" s="9">
        <v>422299</v>
      </c>
      <c r="AD943" s="14">
        <f>J943/(31*12)*1242.92</f>
        <v>280.6593548387097</v>
      </c>
      <c r="AF943" s="14">
        <f>U943*0.02</f>
        <v>46.4</v>
      </c>
      <c r="AH943" s="14">
        <f>SUM(AD943:AG943)</f>
        <v>327.05935483870968</v>
      </c>
      <c r="AI943" s="13">
        <f>Y943-AH943</f>
        <v>-3.124796015180209</v>
      </c>
      <c r="AK943" s="9">
        <f>U943</f>
        <v>2320</v>
      </c>
    </row>
    <row r="944" spans="1:37">
      <c r="A944" s="9">
        <v>1</v>
      </c>
      <c r="B944" s="9">
        <v>2023</v>
      </c>
      <c r="C944" s="9" t="s">
        <v>46</v>
      </c>
      <c r="D944" s="9" t="s">
        <v>47</v>
      </c>
      <c r="E944" s="9" t="s">
        <v>47</v>
      </c>
      <c r="F944" s="10">
        <v>45290</v>
      </c>
      <c r="G944" s="9" t="s">
        <v>155</v>
      </c>
      <c r="H944" s="9" t="s">
        <v>54</v>
      </c>
      <c r="I944" s="9">
        <v>4</v>
      </c>
      <c r="J944" s="11">
        <f t="shared" ref="J944:J953" si="316">12*I944</f>
        <v>48</v>
      </c>
      <c r="K944" s="9">
        <v>1120</v>
      </c>
      <c r="L944" s="12">
        <v>0.15</v>
      </c>
      <c r="M944" s="12">
        <v>168</v>
      </c>
      <c r="N944" s="13" t="s">
        <v>49</v>
      </c>
      <c r="Q944" s="9">
        <f>IF(Auction_Sales[[#This Row],[Payment Date]]=0,"",-1+WEEKNUM(Auction_Sales[[#This Row],[Payment Date]]))</f>
        <v>1</v>
      </c>
      <c r="R944" s="9">
        <f t="shared" ref="R944:R1004" si="317">K944-U944</f>
        <v>-80</v>
      </c>
      <c r="S944" s="1" t="str">
        <f t="shared" ref="S944:T960" si="318">G944</f>
        <v>Floribunda Roses</v>
      </c>
      <c r="T944" s="9" t="str">
        <f t="shared" si="318"/>
        <v>80CM</v>
      </c>
      <c r="U944" s="9">
        <v>1200</v>
      </c>
      <c r="V944" s="13">
        <f>552.4/1200</f>
        <v>0.46033333333333332</v>
      </c>
      <c r="W944" s="13">
        <f t="shared" si="315"/>
        <v>552.4</v>
      </c>
      <c r="X944" s="14">
        <f t="shared" ref="X944:X965" si="319">-(2991.2-2625.1)*U944/(7320+3560)</f>
        <v>-40.378676470588225</v>
      </c>
      <c r="Y944" s="13">
        <f t="shared" ref="Y944:Y1004" si="320">W944+X944</f>
        <v>512.0213235294118</v>
      </c>
      <c r="Z944" s="10">
        <v>45301</v>
      </c>
      <c r="AA944" s="9">
        <f t="shared" ref="AA944:AA1004" si="321">U944-K944</f>
        <v>80</v>
      </c>
      <c r="AC944" s="9">
        <v>422299</v>
      </c>
      <c r="AD944" s="14">
        <f t="shared" ref="AD944:AD965" si="322">J944/(31*12)*1242.92</f>
        <v>160.37677419354839</v>
      </c>
      <c r="AF944" s="14">
        <f t="shared" ref="AF944:AF965" si="323">U944*0.02</f>
        <v>24</v>
      </c>
      <c r="AH944" s="14">
        <f t="shared" ref="AH944:AH959" si="324">SUM(AD944:AG944)</f>
        <v>184.37677419354839</v>
      </c>
      <c r="AI944" s="13">
        <f t="shared" ref="AI944:AI965" si="325">Y944-AH944</f>
        <v>327.64454933586342</v>
      </c>
      <c r="AK944" s="9">
        <f t="shared" ref="AK944:AK965" si="326">U944</f>
        <v>1200</v>
      </c>
    </row>
    <row r="945" spans="1:37">
      <c r="A945" s="9">
        <v>1</v>
      </c>
      <c r="B945" s="9">
        <v>2023</v>
      </c>
      <c r="C945" s="9" t="s">
        <v>46</v>
      </c>
      <c r="D945" s="9" t="s">
        <v>47</v>
      </c>
      <c r="E945" s="9" t="s">
        <v>47</v>
      </c>
      <c r="F945" s="10">
        <v>45290</v>
      </c>
      <c r="G945" s="9" t="s">
        <v>155</v>
      </c>
      <c r="H945" s="9" t="s">
        <v>56</v>
      </c>
      <c r="I945" s="9">
        <v>3</v>
      </c>
      <c r="J945" s="11">
        <f t="shared" si="316"/>
        <v>36</v>
      </c>
      <c r="K945" s="9">
        <v>720</v>
      </c>
      <c r="L945" s="12">
        <v>0.15</v>
      </c>
      <c r="M945" s="12">
        <v>108</v>
      </c>
      <c r="N945" s="13" t="s">
        <v>49</v>
      </c>
      <c r="Q945" s="9">
        <f>IF(Auction_Sales[[#This Row],[Payment Date]]=0,"",-1+WEEKNUM(Auction_Sales[[#This Row],[Payment Date]]))</f>
        <v>1</v>
      </c>
      <c r="R945" s="9">
        <f t="shared" si="317"/>
        <v>0</v>
      </c>
      <c r="S945" s="1" t="str">
        <f t="shared" si="318"/>
        <v>Floribunda Roses</v>
      </c>
      <c r="T945" s="9" t="str">
        <f t="shared" si="318"/>
        <v>90CM</v>
      </c>
      <c r="U945" s="9">
        <v>720</v>
      </c>
      <c r="V945" s="13">
        <f>228/720</f>
        <v>0.31666666666666665</v>
      </c>
      <c r="W945" s="13">
        <f t="shared" si="315"/>
        <v>228</v>
      </c>
      <c r="X945" s="14">
        <f t="shared" si="319"/>
        <v>-24.227205882352937</v>
      </c>
      <c r="Y945" s="13">
        <f t="shared" si="320"/>
        <v>203.77279411764707</v>
      </c>
      <c r="Z945" s="10">
        <v>45301</v>
      </c>
      <c r="AA945" s="9">
        <f t="shared" si="321"/>
        <v>0</v>
      </c>
      <c r="AC945" s="9">
        <v>422299</v>
      </c>
      <c r="AD945" s="14">
        <f t="shared" si="322"/>
        <v>120.28258064516129</v>
      </c>
      <c r="AF945" s="14">
        <f t="shared" si="323"/>
        <v>14.4</v>
      </c>
      <c r="AH945" s="14">
        <f t="shared" si="324"/>
        <v>134.68258064516129</v>
      </c>
      <c r="AI945" s="13">
        <f t="shared" si="325"/>
        <v>69.090213472485772</v>
      </c>
      <c r="AK945" s="9">
        <f t="shared" si="326"/>
        <v>720</v>
      </c>
    </row>
    <row r="946" spans="1:37">
      <c r="A946" s="9">
        <v>1</v>
      </c>
      <c r="B946" s="9">
        <v>2023</v>
      </c>
      <c r="C946" s="9" t="s">
        <v>46</v>
      </c>
      <c r="D946" s="9" t="s">
        <v>47</v>
      </c>
      <c r="E946" s="9" t="s">
        <v>47</v>
      </c>
      <c r="F946" s="10">
        <v>45290</v>
      </c>
      <c r="G946" s="9" t="s">
        <v>155</v>
      </c>
      <c r="H946" s="9" t="s">
        <v>60</v>
      </c>
      <c r="I946" s="9">
        <v>1</v>
      </c>
      <c r="J946" s="11">
        <f t="shared" si="316"/>
        <v>12</v>
      </c>
      <c r="K946" s="9">
        <v>160</v>
      </c>
      <c r="L946" s="12">
        <v>0.15</v>
      </c>
      <c r="M946" s="12">
        <v>24</v>
      </c>
      <c r="N946" s="13" t="s">
        <v>49</v>
      </c>
      <c r="Q946" s="9">
        <f>IF(Auction_Sales[[#This Row],[Payment Date]]=0,"",-1+WEEKNUM(Auction_Sales[[#This Row],[Payment Date]]))</f>
        <v>1</v>
      </c>
      <c r="R946" s="9">
        <f t="shared" si="317"/>
        <v>-40</v>
      </c>
      <c r="S946" s="1" t="str">
        <f t="shared" si="318"/>
        <v>Floribunda Roses</v>
      </c>
      <c r="T946" s="9" t="str">
        <f t="shared" si="318"/>
        <v>110CM</v>
      </c>
      <c r="U946" s="9">
        <v>200</v>
      </c>
      <c r="V946" s="13">
        <f>102.8/200</f>
        <v>0.51400000000000001</v>
      </c>
      <c r="W946" s="13">
        <f t="shared" si="315"/>
        <v>102.8</v>
      </c>
      <c r="X946" s="14">
        <f t="shared" si="319"/>
        <v>-6.7297794117647047</v>
      </c>
      <c r="Y946" s="13">
        <f t="shared" si="320"/>
        <v>96.070220588235287</v>
      </c>
      <c r="Z946" s="10">
        <v>45301</v>
      </c>
      <c r="AA946" s="9">
        <f t="shared" si="321"/>
        <v>40</v>
      </c>
      <c r="AC946" s="9">
        <v>422299</v>
      </c>
      <c r="AD946" s="14">
        <f t="shared" si="322"/>
        <v>40.094193548387096</v>
      </c>
      <c r="AF946" s="14">
        <f t="shared" si="323"/>
        <v>4</v>
      </c>
      <c r="AH946" s="14">
        <f t="shared" si="324"/>
        <v>44.094193548387096</v>
      </c>
      <c r="AI946" s="13">
        <f t="shared" si="325"/>
        <v>51.976027039848191</v>
      </c>
      <c r="AK946" s="9">
        <f t="shared" si="326"/>
        <v>200</v>
      </c>
    </row>
    <row r="947" spans="1:37">
      <c r="A947" s="9">
        <v>1</v>
      </c>
      <c r="B947" s="9">
        <v>2023</v>
      </c>
      <c r="C947" s="9" t="s">
        <v>46</v>
      </c>
      <c r="D947" s="9" t="s">
        <v>47</v>
      </c>
      <c r="E947" s="9" t="s">
        <v>47</v>
      </c>
      <c r="F947" s="10">
        <v>45290</v>
      </c>
      <c r="G947" s="9" t="s">
        <v>153</v>
      </c>
      <c r="H947" s="9" t="s">
        <v>48</v>
      </c>
      <c r="I947" s="9">
        <v>2</v>
      </c>
      <c r="J947" s="11">
        <f t="shared" si="316"/>
        <v>24</v>
      </c>
      <c r="K947" s="9">
        <v>1440</v>
      </c>
      <c r="L947" s="12">
        <v>0.15</v>
      </c>
      <c r="M947" s="12">
        <v>216</v>
      </c>
      <c r="N947" s="13" t="s">
        <v>49</v>
      </c>
      <c r="Q947" s="9">
        <f>IF(Auction_Sales[[#This Row],[Payment Date]]=0,"",-1+WEEKNUM(Auction_Sales[[#This Row],[Payment Date]]))</f>
        <v>1</v>
      </c>
      <c r="R947" s="9">
        <f t="shared" si="317"/>
        <v>-280</v>
      </c>
      <c r="S947" s="1" t="str">
        <f t="shared" si="318"/>
        <v>Grandiflora Roses</v>
      </c>
      <c r="T947" s="9" t="str">
        <f t="shared" si="318"/>
        <v>60CM</v>
      </c>
      <c r="U947" s="9">
        <f>960+760</f>
        <v>1720</v>
      </c>
      <c r="V947" s="13">
        <f>(88+114.8)/1720</f>
        <v>0.11790697674418606</v>
      </c>
      <c r="W947" s="13">
        <f t="shared" si="315"/>
        <v>202.8</v>
      </c>
      <c r="X947" s="14">
        <f t="shared" si="319"/>
        <v>-57.876102941176462</v>
      </c>
      <c r="Y947" s="13">
        <f t="shared" si="320"/>
        <v>144.92389705882354</v>
      </c>
      <c r="Z947" s="10">
        <v>45301</v>
      </c>
      <c r="AA947" s="9">
        <f t="shared" si="321"/>
        <v>280</v>
      </c>
      <c r="AC947" s="9">
        <v>422299</v>
      </c>
      <c r="AD947" s="14">
        <f t="shared" si="322"/>
        <v>80.188387096774193</v>
      </c>
      <c r="AF947" s="14">
        <f t="shared" si="323"/>
        <v>34.4</v>
      </c>
      <c r="AH947" s="14">
        <f t="shared" si="324"/>
        <v>114.5883870967742</v>
      </c>
      <c r="AI947" s="13">
        <f t="shared" si="325"/>
        <v>30.335509962049343</v>
      </c>
      <c r="AK947" s="9">
        <f t="shared" si="326"/>
        <v>1720</v>
      </c>
    </row>
    <row r="948" spans="1:37">
      <c r="A948" s="9">
        <v>1</v>
      </c>
      <c r="B948" s="9">
        <v>2023</v>
      </c>
      <c r="C948" s="9" t="s">
        <v>46</v>
      </c>
      <c r="D948" s="9" t="s">
        <v>47</v>
      </c>
      <c r="E948" s="9" t="s">
        <v>47</v>
      </c>
      <c r="F948" s="10">
        <v>45290</v>
      </c>
      <c r="G948" s="9" t="s">
        <v>153</v>
      </c>
      <c r="H948" s="9" t="s">
        <v>52</v>
      </c>
      <c r="I948" s="9">
        <v>4</v>
      </c>
      <c r="J948" s="11">
        <f t="shared" si="316"/>
        <v>48</v>
      </c>
      <c r="K948" s="9">
        <v>2080</v>
      </c>
      <c r="L948" s="12">
        <v>0.15</v>
      </c>
      <c r="M948" s="12">
        <v>312</v>
      </c>
      <c r="N948" s="13" t="s">
        <v>49</v>
      </c>
      <c r="Q948" s="9">
        <f>IF(Auction_Sales[[#This Row],[Payment Date]]=0,"",-1+WEEKNUM(Auction_Sales[[#This Row],[Payment Date]]))</f>
        <v>1</v>
      </c>
      <c r="R948" s="9">
        <f t="shared" si="317"/>
        <v>560</v>
      </c>
      <c r="S948" s="1" t="str">
        <f t="shared" si="318"/>
        <v>Grandiflora Roses</v>
      </c>
      <c r="T948" s="9" t="str">
        <f t="shared" si="318"/>
        <v>70CM</v>
      </c>
      <c r="U948" s="9">
        <v>1520</v>
      </c>
      <c r="V948" s="13">
        <f>282.4/1520</f>
        <v>0.1857894736842105</v>
      </c>
      <c r="W948" s="13">
        <f t="shared" si="315"/>
        <v>282.39999999999998</v>
      </c>
      <c r="X948" s="14">
        <f t="shared" si="319"/>
        <v>-51.146323529411752</v>
      </c>
      <c r="Y948" s="13">
        <f t="shared" si="320"/>
        <v>231.25367647058823</v>
      </c>
      <c r="Z948" s="10">
        <v>45301</v>
      </c>
      <c r="AA948" s="9">
        <f t="shared" si="321"/>
        <v>-560</v>
      </c>
      <c r="AC948" s="9">
        <v>422299</v>
      </c>
      <c r="AD948" s="14">
        <f t="shared" si="322"/>
        <v>160.37677419354839</v>
      </c>
      <c r="AF948" s="14">
        <f t="shared" si="323"/>
        <v>30.400000000000002</v>
      </c>
      <c r="AH948" s="14">
        <f t="shared" si="324"/>
        <v>190.77677419354839</v>
      </c>
      <c r="AI948" s="13">
        <f t="shared" si="325"/>
        <v>40.476902277039841</v>
      </c>
      <c r="AK948" s="9">
        <f t="shared" si="326"/>
        <v>1520</v>
      </c>
    </row>
    <row r="949" spans="1:37">
      <c r="A949" s="9">
        <v>1</v>
      </c>
      <c r="B949" s="9">
        <v>2023</v>
      </c>
      <c r="C949" s="9" t="s">
        <v>46</v>
      </c>
      <c r="D949" s="9" t="s">
        <v>47</v>
      </c>
      <c r="E949" s="9" t="s">
        <v>47</v>
      </c>
      <c r="F949" s="10">
        <v>45290</v>
      </c>
      <c r="G949" s="9" t="s">
        <v>153</v>
      </c>
      <c r="H949" s="9" t="s">
        <v>54</v>
      </c>
      <c r="I949" s="9">
        <v>2</v>
      </c>
      <c r="J949" s="11">
        <f t="shared" si="316"/>
        <v>24</v>
      </c>
      <c r="K949" s="9">
        <v>800</v>
      </c>
      <c r="L949" s="12">
        <v>0.15</v>
      </c>
      <c r="M949" s="12">
        <v>120</v>
      </c>
      <c r="N949" s="13" t="s">
        <v>49</v>
      </c>
      <c r="Q949" s="9">
        <f>IF(Auction_Sales[[#This Row],[Payment Date]]=0,"",-1+WEEKNUM(Auction_Sales[[#This Row],[Payment Date]]))</f>
        <v>1</v>
      </c>
      <c r="R949" s="9">
        <f t="shared" si="317"/>
        <v>-360</v>
      </c>
      <c r="S949" s="1" t="str">
        <f t="shared" si="318"/>
        <v>Grandiflora Roses</v>
      </c>
      <c r="T949" s="9" t="str">
        <f t="shared" si="318"/>
        <v>80CM</v>
      </c>
      <c r="U949" s="9">
        <v>1160</v>
      </c>
      <c r="V949" s="13">
        <f>294.4/1160</f>
        <v>0.25379310344827583</v>
      </c>
      <c r="W949" s="13">
        <f t="shared" si="315"/>
        <v>294.39999999999998</v>
      </c>
      <c r="X949" s="14">
        <f t="shared" si="319"/>
        <v>-39.032720588235286</v>
      </c>
      <c r="Y949" s="13">
        <f t="shared" si="320"/>
        <v>255.36727941176468</v>
      </c>
      <c r="Z949" s="10">
        <v>45301</v>
      </c>
      <c r="AA949" s="9">
        <f t="shared" si="321"/>
        <v>360</v>
      </c>
      <c r="AC949" s="9">
        <v>422299</v>
      </c>
      <c r="AD949" s="14">
        <f t="shared" si="322"/>
        <v>80.188387096774193</v>
      </c>
      <c r="AF949" s="14">
        <f t="shared" si="323"/>
        <v>23.2</v>
      </c>
      <c r="AH949" s="14">
        <f t="shared" si="324"/>
        <v>103.3883870967742</v>
      </c>
      <c r="AI949" s="13">
        <f t="shared" si="325"/>
        <v>151.9788923149905</v>
      </c>
      <c r="AK949" s="9">
        <f t="shared" si="326"/>
        <v>1160</v>
      </c>
    </row>
    <row r="950" spans="1:37">
      <c r="A950" s="9">
        <v>1</v>
      </c>
      <c r="B950" s="9">
        <v>2023</v>
      </c>
      <c r="C950" s="9" t="s">
        <v>46</v>
      </c>
      <c r="D950" s="9" t="s">
        <v>47</v>
      </c>
      <c r="E950" s="9" t="s">
        <v>47</v>
      </c>
      <c r="F950" s="10">
        <v>45290</v>
      </c>
      <c r="G950" s="9" t="s">
        <v>153</v>
      </c>
      <c r="H950" s="9" t="s">
        <v>54</v>
      </c>
      <c r="I950" s="9">
        <v>1</v>
      </c>
      <c r="J950" s="11">
        <f t="shared" si="316"/>
        <v>12</v>
      </c>
      <c r="K950" s="9">
        <v>360</v>
      </c>
      <c r="L950" s="12">
        <v>0.15</v>
      </c>
      <c r="M950" s="12">
        <v>54</v>
      </c>
      <c r="N950" s="13" t="s">
        <v>49</v>
      </c>
      <c r="Q950" s="9">
        <f>IF(Auction_Sales[[#This Row],[Payment Date]]=0,"",-1+WEEKNUM(Auction_Sales[[#This Row],[Payment Date]]))</f>
        <v>1</v>
      </c>
      <c r="R950" s="9">
        <f t="shared" si="317"/>
        <v>360</v>
      </c>
      <c r="S950" s="1" t="str">
        <f t="shared" si="318"/>
        <v>Grandiflora Roses</v>
      </c>
      <c r="T950" s="9" t="str">
        <f t="shared" si="318"/>
        <v>80CM</v>
      </c>
      <c r="W950" s="13">
        <f t="shared" si="315"/>
        <v>0</v>
      </c>
      <c r="X950" s="14">
        <f t="shared" si="319"/>
        <v>0</v>
      </c>
      <c r="Y950" s="13">
        <f t="shared" si="320"/>
        <v>0</v>
      </c>
      <c r="Z950" s="10">
        <v>45301</v>
      </c>
      <c r="AA950" s="9">
        <f t="shared" si="321"/>
        <v>-360</v>
      </c>
      <c r="AC950" s="9">
        <v>422299</v>
      </c>
      <c r="AD950" s="14">
        <f t="shared" si="322"/>
        <v>40.094193548387096</v>
      </c>
      <c r="AF950" s="14">
        <f t="shared" si="323"/>
        <v>0</v>
      </c>
      <c r="AH950" s="14">
        <f t="shared" si="324"/>
        <v>40.094193548387096</v>
      </c>
      <c r="AI950" s="13">
        <f t="shared" si="325"/>
        <v>-40.094193548387096</v>
      </c>
      <c r="AK950" s="9">
        <f t="shared" si="326"/>
        <v>0</v>
      </c>
    </row>
    <row r="951" spans="1:37">
      <c r="A951" s="9">
        <v>1</v>
      </c>
      <c r="B951" s="9">
        <v>2023</v>
      </c>
      <c r="C951" s="9" t="s">
        <v>46</v>
      </c>
      <c r="D951" s="9" t="s">
        <v>47</v>
      </c>
      <c r="E951" s="9" t="s">
        <v>47</v>
      </c>
      <c r="F951" s="10">
        <v>45290</v>
      </c>
      <c r="G951" s="9" t="s">
        <v>153</v>
      </c>
      <c r="H951" s="9" t="s">
        <v>56</v>
      </c>
      <c r="I951" s="9">
        <v>1</v>
      </c>
      <c r="J951" s="11">
        <f t="shared" si="316"/>
        <v>12</v>
      </c>
      <c r="K951" s="9">
        <v>360</v>
      </c>
      <c r="L951" s="12">
        <v>0.15</v>
      </c>
      <c r="M951" s="12">
        <v>54</v>
      </c>
      <c r="N951" s="13" t="s">
        <v>49</v>
      </c>
      <c r="Q951" s="9">
        <f>IF(Auction_Sales[[#This Row],[Payment Date]]=0,"",-1+WEEKNUM(Auction_Sales[[#This Row],[Payment Date]]))</f>
        <v>1</v>
      </c>
      <c r="R951" s="9">
        <f t="shared" si="317"/>
        <v>-240</v>
      </c>
      <c r="S951" s="1" t="str">
        <f t="shared" si="318"/>
        <v>Grandiflora Roses</v>
      </c>
      <c r="T951" s="9" t="str">
        <f t="shared" si="318"/>
        <v>90CM</v>
      </c>
      <c r="U951" s="9">
        <v>600</v>
      </c>
      <c r="V951" s="13">
        <f>179.6/600</f>
        <v>0.29933333333333334</v>
      </c>
      <c r="W951" s="13">
        <f t="shared" si="315"/>
        <v>179.6</v>
      </c>
      <c r="X951" s="14">
        <f t="shared" si="319"/>
        <v>-20.189338235294112</v>
      </c>
      <c r="Y951" s="13">
        <f t="shared" si="320"/>
        <v>159.41066176470588</v>
      </c>
      <c r="Z951" s="10">
        <v>45301</v>
      </c>
      <c r="AA951" s="9">
        <f t="shared" si="321"/>
        <v>240</v>
      </c>
      <c r="AC951" s="9">
        <v>422299</v>
      </c>
      <c r="AD951" s="14">
        <f t="shared" si="322"/>
        <v>40.094193548387096</v>
      </c>
      <c r="AF951" s="14">
        <f t="shared" si="323"/>
        <v>12</v>
      </c>
      <c r="AH951" s="14">
        <f t="shared" si="324"/>
        <v>52.094193548387096</v>
      </c>
      <c r="AI951" s="13">
        <f t="shared" si="325"/>
        <v>107.31646821631878</v>
      </c>
      <c r="AK951" s="9">
        <f t="shared" si="326"/>
        <v>600</v>
      </c>
    </row>
    <row r="952" spans="1:37">
      <c r="A952" s="9">
        <v>1</v>
      </c>
      <c r="B952" s="9">
        <v>2023</v>
      </c>
      <c r="C952" s="9" t="s">
        <v>46</v>
      </c>
      <c r="D952" s="9" t="s">
        <v>47</v>
      </c>
      <c r="E952" s="9" t="s">
        <v>47</v>
      </c>
      <c r="F952" s="10">
        <v>45290</v>
      </c>
      <c r="G952" s="9" t="s">
        <v>154</v>
      </c>
      <c r="H952" s="9" t="s">
        <v>52</v>
      </c>
      <c r="I952" s="9">
        <v>1</v>
      </c>
      <c r="J952" s="11">
        <f t="shared" si="316"/>
        <v>12</v>
      </c>
      <c r="K952" s="9">
        <v>320</v>
      </c>
      <c r="L952" s="12">
        <v>0.15</v>
      </c>
      <c r="M952" s="12">
        <v>48</v>
      </c>
      <c r="N952" s="13" t="s">
        <v>49</v>
      </c>
      <c r="Q952" s="9">
        <f>IF(Auction_Sales[[#This Row],[Payment Date]]=0,"",-1+WEEKNUM(Auction_Sales[[#This Row],[Payment Date]]))</f>
        <v>1</v>
      </c>
      <c r="R952" s="9">
        <f t="shared" si="317"/>
        <v>-120</v>
      </c>
      <c r="S952" s="1" t="str">
        <f t="shared" si="318"/>
        <v>English Roses</v>
      </c>
      <c r="T952" s="9" t="str">
        <f t="shared" si="318"/>
        <v>70CM</v>
      </c>
      <c r="U952" s="9">
        <v>440</v>
      </c>
      <c r="V952" s="13">
        <f>164/440</f>
        <v>0.37272727272727274</v>
      </c>
      <c r="W952" s="13">
        <f t="shared" si="315"/>
        <v>164</v>
      </c>
      <c r="X952" s="14">
        <f t="shared" si="319"/>
        <v>-14.80551470588235</v>
      </c>
      <c r="Y952" s="13">
        <f t="shared" si="320"/>
        <v>149.19448529411764</v>
      </c>
      <c r="Z952" s="10">
        <v>45301</v>
      </c>
      <c r="AA952" s="9">
        <f t="shared" si="321"/>
        <v>120</v>
      </c>
      <c r="AC952" s="9">
        <v>422299</v>
      </c>
      <c r="AD952" s="14">
        <f t="shared" si="322"/>
        <v>40.094193548387096</v>
      </c>
      <c r="AF952" s="14">
        <f t="shared" si="323"/>
        <v>8.8000000000000007</v>
      </c>
      <c r="AH952" s="14">
        <f t="shared" si="324"/>
        <v>48.894193548387094</v>
      </c>
      <c r="AI952" s="13">
        <f t="shared" si="325"/>
        <v>100.30029174573055</v>
      </c>
      <c r="AK952" s="9">
        <f t="shared" si="326"/>
        <v>440</v>
      </c>
    </row>
    <row r="953" spans="1:37">
      <c r="A953" s="9">
        <v>1</v>
      </c>
      <c r="B953" s="9">
        <v>2023</v>
      </c>
      <c r="C953" s="9" t="s">
        <v>46</v>
      </c>
      <c r="D953" s="9" t="s">
        <v>47</v>
      </c>
      <c r="E953" s="9" t="s">
        <v>47</v>
      </c>
      <c r="F953" s="10">
        <v>45290</v>
      </c>
      <c r="G953" s="9" t="s">
        <v>154</v>
      </c>
      <c r="H953" s="9" t="s">
        <v>54</v>
      </c>
      <c r="I953" s="9">
        <v>1</v>
      </c>
      <c r="J953" s="11">
        <f t="shared" si="316"/>
        <v>12</v>
      </c>
      <c r="K953" s="9">
        <v>280</v>
      </c>
      <c r="L953" s="12">
        <v>0.15</v>
      </c>
      <c r="M953" s="12">
        <v>42</v>
      </c>
      <c r="N953" s="13" t="s">
        <v>49</v>
      </c>
      <c r="Q953" s="9">
        <f>IF(Auction_Sales[[#This Row],[Payment Date]]=0,"",-1+WEEKNUM(Auction_Sales[[#This Row],[Payment Date]]))</f>
        <v>1</v>
      </c>
      <c r="R953" s="9">
        <f t="shared" si="317"/>
        <v>-40</v>
      </c>
      <c r="S953" s="1" t="str">
        <f t="shared" si="318"/>
        <v>English Roses</v>
      </c>
      <c r="T953" s="9" t="str">
        <f t="shared" si="318"/>
        <v>80CM</v>
      </c>
      <c r="U953" s="9">
        <v>320</v>
      </c>
      <c r="V953" s="13">
        <f>195.6/320</f>
        <v>0.61124999999999996</v>
      </c>
      <c r="W953" s="13">
        <f t="shared" si="315"/>
        <v>195.6</v>
      </c>
      <c r="X953" s="14">
        <f t="shared" si="319"/>
        <v>-10.767647058823528</v>
      </c>
      <c r="Y953" s="13">
        <f t="shared" si="320"/>
        <v>184.83235294117645</v>
      </c>
      <c r="Z953" s="10">
        <v>45301</v>
      </c>
      <c r="AA953" s="9">
        <f t="shared" si="321"/>
        <v>40</v>
      </c>
      <c r="AC953" s="9">
        <v>422299</v>
      </c>
      <c r="AD953" s="14">
        <f t="shared" si="322"/>
        <v>40.094193548387096</v>
      </c>
      <c r="AF953" s="14">
        <f t="shared" si="323"/>
        <v>6.4</v>
      </c>
      <c r="AH953" s="14">
        <f t="shared" si="324"/>
        <v>46.494193548387095</v>
      </c>
      <c r="AI953" s="13">
        <f t="shared" si="325"/>
        <v>138.33815939278935</v>
      </c>
      <c r="AK953" s="9">
        <f t="shared" si="326"/>
        <v>320</v>
      </c>
    </row>
    <row r="954" spans="1:37">
      <c r="A954" s="9">
        <v>1</v>
      </c>
      <c r="B954" s="9">
        <v>2023</v>
      </c>
      <c r="C954" s="9" t="s">
        <v>46</v>
      </c>
      <c r="D954" s="9" t="s">
        <v>47</v>
      </c>
      <c r="E954" s="9" t="s">
        <v>47</v>
      </c>
      <c r="F954" s="10">
        <v>45290</v>
      </c>
      <c r="G954" s="9" t="s">
        <v>153</v>
      </c>
      <c r="H954" s="9" t="s">
        <v>57</v>
      </c>
      <c r="I954" s="9">
        <v>1</v>
      </c>
      <c r="J954" s="11">
        <v>6</v>
      </c>
      <c r="K954" s="9">
        <v>200</v>
      </c>
      <c r="L954" s="12">
        <v>0.15</v>
      </c>
      <c r="M954" s="12">
        <v>30</v>
      </c>
      <c r="N954" s="13" t="s">
        <v>49</v>
      </c>
      <c r="Q954" s="9">
        <f>IF(Auction_Sales[[#This Row],[Payment Date]]=0,"",-1+WEEKNUM(Auction_Sales[[#This Row],[Payment Date]]))</f>
        <v>1</v>
      </c>
      <c r="R954" s="9">
        <f t="shared" si="317"/>
        <v>200</v>
      </c>
      <c r="S954" s="1" t="str">
        <f t="shared" si="318"/>
        <v>Grandiflora Roses</v>
      </c>
      <c r="T954" s="9" t="str">
        <f t="shared" si="318"/>
        <v>100CM</v>
      </c>
      <c r="W954" s="13">
        <f t="shared" si="315"/>
        <v>0</v>
      </c>
      <c r="X954" s="14">
        <f t="shared" si="319"/>
        <v>0</v>
      </c>
      <c r="Y954" s="13">
        <f t="shared" si="320"/>
        <v>0</v>
      </c>
      <c r="Z954" s="10">
        <v>45301</v>
      </c>
      <c r="AA954" s="9">
        <f t="shared" si="321"/>
        <v>-200</v>
      </c>
      <c r="AC954" s="9">
        <v>422299</v>
      </c>
      <c r="AD954" s="14">
        <f t="shared" si="322"/>
        <v>20.047096774193548</v>
      </c>
      <c r="AF954" s="14">
        <f t="shared" si="323"/>
        <v>0</v>
      </c>
      <c r="AH954" s="14">
        <f t="shared" si="324"/>
        <v>20.047096774193548</v>
      </c>
      <c r="AI954" s="13">
        <f t="shared" si="325"/>
        <v>-20.047096774193548</v>
      </c>
      <c r="AK954" s="9">
        <f t="shared" si="326"/>
        <v>0</v>
      </c>
    </row>
    <row r="955" spans="1:37">
      <c r="A955" s="9">
        <v>1</v>
      </c>
      <c r="B955" s="9">
        <v>2023</v>
      </c>
      <c r="C955" s="9" t="s">
        <v>46</v>
      </c>
      <c r="D955" s="9" t="s">
        <v>47</v>
      </c>
      <c r="E955" s="9" t="s">
        <v>47</v>
      </c>
      <c r="F955" s="10">
        <v>45290</v>
      </c>
      <c r="G955" s="9" t="s">
        <v>157</v>
      </c>
      <c r="H955" s="9" t="s">
        <v>52</v>
      </c>
      <c r="J955" s="11">
        <v>6</v>
      </c>
      <c r="K955" s="9">
        <v>200</v>
      </c>
      <c r="L955" s="12">
        <v>0.15</v>
      </c>
      <c r="M955" s="12">
        <v>30</v>
      </c>
      <c r="N955" s="13" t="s">
        <v>49</v>
      </c>
      <c r="Q955" s="9">
        <f>IF(Auction_Sales[[#This Row],[Payment Date]]=0,"",-1+WEEKNUM(Auction_Sales[[#This Row],[Payment Date]]))</f>
        <v>1</v>
      </c>
      <c r="R955" s="9">
        <f t="shared" si="317"/>
        <v>0</v>
      </c>
      <c r="S955" s="9" t="s">
        <v>157</v>
      </c>
      <c r="T955" s="9" t="str">
        <f t="shared" si="318"/>
        <v>70CM</v>
      </c>
      <c r="U955" s="9">
        <v>200</v>
      </c>
      <c r="V955" s="13">
        <f>46.8/200</f>
        <v>0.23399999999999999</v>
      </c>
      <c r="W955" s="13">
        <f t="shared" si="315"/>
        <v>46.8</v>
      </c>
      <c r="X955" s="14">
        <f t="shared" si="319"/>
        <v>-6.7297794117647047</v>
      </c>
      <c r="Y955" s="13">
        <f t="shared" si="320"/>
        <v>40.070220588235294</v>
      </c>
      <c r="Z955" s="10">
        <v>45301</v>
      </c>
      <c r="AA955" s="9">
        <f t="shared" si="321"/>
        <v>0</v>
      </c>
      <c r="AC955" s="9">
        <v>422299</v>
      </c>
      <c r="AD955" s="14">
        <f t="shared" si="322"/>
        <v>20.047096774193548</v>
      </c>
      <c r="AF955" s="14">
        <f t="shared" si="323"/>
        <v>4</v>
      </c>
      <c r="AH955" s="14">
        <f t="shared" si="324"/>
        <v>24.047096774193548</v>
      </c>
      <c r="AI955" s="13">
        <f t="shared" si="325"/>
        <v>16.023123814041746</v>
      </c>
      <c r="AK955" s="9">
        <f t="shared" si="326"/>
        <v>200</v>
      </c>
    </row>
    <row r="956" spans="1:37">
      <c r="A956" s="9">
        <v>1</v>
      </c>
      <c r="B956" s="9">
        <v>2023</v>
      </c>
      <c r="C956" s="9" t="s">
        <v>46</v>
      </c>
      <c r="D956" s="9" t="s">
        <v>47</v>
      </c>
      <c r="E956" s="9" t="s">
        <v>47</v>
      </c>
      <c r="F956" s="10">
        <v>45290</v>
      </c>
      <c r="G956" s="9" t="s">
        <v>154</v>
      </c>
      <c r="H956" s="9" t="s">
        <v>57</v>
      </c>
      <c r="I956" s="9">
        <v>1</v>
      </c>
      <c r="J956" s="11">
        <f>K956/200*12</f>
        <v>9.6000000000000014</v>
      </c>
      <c r="K956" s="9">
        <v>160</v>
      </c>
      <c r="L956" s="12">
        <v>0.15</v>
      </c>
      <c r="M956" s="12">
        <v>24</v>
      </c>
      <c r="N956" s="13" t="s">
        <v>49</v>
      </c>
      <c r="Q956" s="9">
        <f>IF(Auction_Sales[[#This Row],[Payment Date]]=0,"",-1+WEEKNUM(Auction_Sales[[#This Row],[Payment Date]]))</f>
        <v>1</v>
      </c>
      <c r="R956" s="9">
        <f t="shared" si="317"/>
        <v>40</v>
      </c>
      <c r="S956" s="1" t="str">
        <f t="shared" si="318"/>
        <v>English Roses</v>
      </c>
      <c r="T956" s="9" t="str">
        <f t="shared" si="318"/>
        <v>100CM</v>
      </c>
      <c r="U956" s="9">
        <v>120</v>
      </c>
      <c r="V956" s="13">
        <f>126/120</f>
        <v>1.05</v>
      </c>
      <c r="W956" s="13">
        <f t="shared" si="315"/>
        <v>126</v>
      </c>
      <c r="X956" s="14">
        <f t="shared" si="319"/>
        <v>-4.037867647058822</v>
      </c>
      <c r="Y956" s="13">
        <f t="shared" si="320"/>
        <v>121.96213235294118</v>
      </c>
      <c r="Z956" s="10">
        <v>45301</v>
      </c>
      <c r="AA956" s="9">
        <f t="shared" si="321"/>
        <v>-40</v>
      </c>
      <c r="AC956" s="9">
        <v>422299</v>
      </c>
      <c r="AD956" s="14">
        <f t="shared" si="322"/>
        <v>32.075354838709686</v>
      </c>
      <c r="AF956" s="14">
        <f t="shared" si="323"/>
        <v>2.4</v>
      </c>
      <c r="AH956" s="14">
        <f t="shared" si="324"/>
        <v>34.475354838709684</v>
      </c>
      <c r="AI956" s="13">
        <f t="shared" si="325"/>
        <v>87.486777514231505</v>
      </c>
      <c r="AK956" s="9">
        <f t="shared" si="326"/>
        <v>120</v>
      </c>
    </row>
    <row r="957" spans="1:37">
      <c r="A957" s="9">
        <v>1</v>
      </c>
      <c r="B957" s="9">
        <v>2023</v>
      </c>
      <c r="C957" s="9" t="s">
        <v>46</v>
      </c>
      <c r="D957" s="9" t="s">
        <v>47</v>
      </c>
      <c r="E957" s="9" t="s">
        <v>47</v>
      </c>
      <c r="F957" s="10">
        <v>45290</v>
      </c>
      <c r="G957" s="9" t="s">
        <v>154</v>
      </c>
      <c r="H957" s="9" t="s">
        <v>60</v>
      </c>
      <c r="J957" s="11">
        <f>K957/200*12</f>
        <v>2.4000000000000004</v>
      </c>
      <c r="K957" s="9">
        <v>40</v>
      </c>
      <c r="L957" s="12">
        <v>0.15</v>
      </c>
      <c r="M957" s="12">
        <v>6</v>
      </c>
      <c r="N957" s="13" t="s">
        <v>49</v>
      </c>
      <c r="Q957" s="9">
        <f>IF(Auction_Sales[[#This Row],[Payment Date]]=0,"",-1+WEEKNUM(Auction_Sales[[#This Row],[Payment Date]]))</f>
        <v>1</v>
      </c>
      <c r="R957" s="9">
        <f t="shared" si="317"/>
        <v>0</v>
      </c>
      <c r="S957" s="1" t="str">
        <f t="shared" si="318"/>
        <v>English Roses</v>
      </c>
      <c r="T957" s="9" t="str">
        <f t="shared" si="318"/>
        <v>110CM</v>
      </c>
      <c r="U957" s="9">
        <v>40</v>
      </c>
      <c r="V957" s="13">
        <f>39.6/40</f>
        <v>0.99</v>
      </c>
      <c r="W957" s="13">
        <f t="shared" si="315"/>
        <v>39.6</v>
      </c>
      <c r="X957" s="14">
        <f t="shared" si="319"/>
        <v>-1.3459558823529409</v>
      </c>
      <c r="Y957" s="13">
        <f t="shared" si="320"/>
        <v>38.254044117647062</v>
      </c>
      <c r="Z957" s="10">
        <v>45301</v>
      </c>
      <c r="AA957" s="9">
        <f t="shared" si="321"/>
        <v>0</v>
      </c>
      <c r="AC957" s="9">
        <v>422299</v>
      </c>
      <c r="AD957" s="14">
        <f t="shared" si="322"/>
        <v>8.0188387096774214</v>
      </c>
      <c r="AF957" s="14">
        <f t="shared" si="323"/>
        <v>0.8</v>
      </c>
      <c r="AH957" s="14">
        <f t="shared" si="324"/>
        <v>8.8188387096774221</v>
      </c>
      <c r="AI957" s="13">
        <f t="shared" si="325"/>
        <v>29.43520540796964</v>
      </c>
      <c r="AK957" s="9">
        <f t="shared" si="326"/>
        <v>40</v>
      </c>
    </row>
    <row r="958" spans="1:37">
      <c r="A958" s="9">
        <v>1</v>
      </c>
      <c r="B958" s="9">
        <v>2023</v>
      </c>
      <c r="C958" s="9" t="s">
        <v>46</v>
      </c>
      <c r="D958" s="9" t="s">
        <v>47</v>
      </c>
      <c r="E958" s="9" t="s">
        <v>47</v>
      </c>
      <c r="F958" s="10">
        <v>45290</v>
      </c>
      <c r="G958" s="9" t="s">
        <v>155</v>
      </c>
      <c r="H958" s="9" t="s">
        <v>54</v>
      </c>
      <c r="I958" s="9">
        <v>1</v>
      </c>
      <c r="J958" s="11">
        <f>K958/240*12</f>
        <v>2</v>
      </c>
      <c r="K958" s="9">
        <v>40</v>
      </c>
      <c r="L958" s="12">
        <v>0.15</v>
      </c>
      <c r="M958" s="12">
        <v>6</v>
      </c>
      <c r="N958" s="13" t="s">
        <v>49</v>
      </c>
      <c r="Q958" s="9">
        <f>IF(Auction_Sales[[#This Row],[Payment Date]]=0,"",-1+WEEKNUM(Auction_Sales[[#This Row],[Payment Date]]))</f>
        <v>1</v>
      </c>
      <c r="R958" s="9">
        <f t="shared" si="317"/>
        <v>40</v>
      </c>
      <c r="S958" s="1" t="str">
        <f t="shared" si="318"/>
        <v>Floribunda Roses</v>
      </c>
      <c r="T958" s="9" t="str">
        <f t="shared" si="318"/>
        <v>80CM</v>
      </c>
      <c r="W958" s="13">
        <f t="shared" si="315"/>
        <v>0</v>
      </c>
      <c r="X958" s="14">
        <f t="shared" si="319"/>
        <v>0</v>
      </c>
      <c r="Y958" s="13">
        <f t="shared" si="320"/>
        <v>0</v>
      </c>
      <c r="Z958" s="10">
        <v>45301</v>
      </c>
      <c r="AA958" s="9">
        <f t="shared" si="321"/>
        <v>-40</v>
      </c>
      <c r="AC958" s="9">
        <v>422299</v>
      </c>
      <c r="AD958" s="14">
        <f t="shared" si="322"/>
        <v>6.6823655913978506</v>
      </c>
      <c r="AF958" s="14">
        <f t="shared" si="323"/>
        <v>0</v>
      </c>
      <c r="AH958" s="14">
        <f t="shared" si="324"/>
        <v>6.6823655913978506</v>
      </c>
      <c r="AI958" s="13">
        <f t="shared" si="325"/>
        <v>-6.6823655913978506</v>
      </c>
      <c r="AK958" s="9">
        <f t="shared" si="326"/>
        <v>0</v>
      </c>
    </row>
    <row r="959" spans="1:37">
      <c r="A959" s="9">
        <v>1</v>
      </c>
      <c r="B959" s="9">
        <v>2023</v>
      </c>
      <c r="C959" s="9" t="s">
        <v>46</v>
      </c>
      <c r="D959" s="9" t="s">
        <v>47</v>
      </c>
      <c r="E959" s="9" t="s">
        <v>47</v>
      </c>
      <c r="F959" s="10">
        <v>45290</v>
      </c>
      <c r="G959" s="9" t="s">
        <v>155</v>
      </c>
      <c r="H959" s="9" t="s">
        <v>52</v>
      </c>
      <c r="J959" s="11">
        <f t="shared" ref="J959:J961" si="327">K959/240*12</f>
        <v>6</v>
      </c>
      <c r="K959" s="9">
        <v>120</v>
      </c>
      <c r="L959" s="12">
        <v>0.15</v>
      </c>
      <c r="M959" s="12">
        <v>18</v>
      </c>
      <c r="N959" s="13" t="s">
        <v>49</v>
      </c>
      <c r="Q959" s="9">
        <f>IF(Auction_Sales[[#This Row],[Payment Date]]=0,"",-1+WEEKNUM(Auction_Sales[[#This Row],[Payment Date]]))</f>
        <v>1</v>
      </c>
      <c r="R959" s="9">
        <f t="shared" si="317"/>
        <v>120</v>
      </c>
      <c r="S959" s="1" t="str">
        <f t="shared" si="318"/>
        <v>Floribunda Roses</v>
      </c>
      <c r="T959" s="9" t="str">
        <f t="shared" si="318"/>
        <v>70CM</v>
      </c>
      <c r="W959" s="13">
        <f t="shared" si="315"/>
        <v>0</v>
      </c>
      <c r="X959" s="14">
        <f t="shared" si="319"/>
        <v>0</v>
      </c>
      <c r="Y959" s="13">
        <f t="shared" si="320"/>
        <v>0</v>
      </c>
      <c r="Z959" s="10">
        <v>45301</v>
      </c>
      <c r="AA959" s="9">
        <f t="shared" si="321"/>
        <v>-120</v>
      </c>
      <c r="AC959" s="9">
        <v>422299</v>
      </c>
      <c r="AD959" s="14">
        <f t="shared" si="322"/>
        <v>20.047096774193548</v>
      </c>
      <c r="AF959" s="14">
        <f t="shared" si="323"/>
        <v>0</v>
      </c>
      <c r="AH959" s="14">
        <f t="shared" si="324"/>
        <v>20.047096774193548</v>
      </c>
      <c r="AI959" s="13">
        <f t="shared" si="325"/>
        <v>-20.047096774193548</v>
      </c>
      <c r="AK959" s="9">
        <f t="shared" si="326"/>
        <v>0</v>
      </c>
    </row>
    <row r="960" spans="1:37">
      <c r="A960" s="9">
        <v>1</v>
      </c>
      <c r="B960" s="9">
        <v>2023</v>
      </c>
      <c r="C960" s="9" t="s">
        <v>46</v>
      </c>
      <c r="D960" s="9" t="s">
        <v>47</v>
      </c>
      <c r="E960" s="9" t="s">
        <v>47</v>
      </c>
      <c r="F960" s="10">
        <v>45290</v>
      </c>
      <c r="G960" s="9" t="s">
        <v>155</v>
      </c>
      <c r="H960" s="9" t="s">
        <v>57</v>
      </c>
      <c r="J960" s="11">
        <f t="shared" si="327"/>
        <v>2</v>
      </c>
      <c r="K960" s="9">
        <v>40</v>
      </c>
      <c r="L960" s="12">
        <v>0.15</v>
      </c>
      <c r="M960" s="12">
        <v>6</v>
      </c>
      <c r="N960" s="13" t="s">
        <v>49</v>
      </c>
      <c r="Q960" s="9">
        <f>IF(Auction_Sales[[#This Row],[Payment Date]]=0,"",-1+WEEKNUM(Auction_Sales[[#This Row],[Payment Date]]))</f>
        <v>1</v>
      </c>
      <c r="R960" s="9">
        <f t="shared" si="317"/>
        <v>0</v>
      </c>
      <c r="S960" s="1" t="str">
        <f t="shared" si="318"/>
        <v>Floribunda Roses</v>
      </c>
      <c r="T960" s="9" t="str">
        <f t="shared" si="318"/>
        <v>100CM</v>
      </c>
      <c r="U960" s="9">
        <v>40</v>
      </c>
      <c r="V960" s="13">
        <f>18.4/40</f>
        <v>0.45999999999999996</v>
      </c>
      <c r="W960" s="13">
        <f t="shared" si="315"/>
        <v>18.399999999999999</v>
      </c>
      <c r="X960" s="14">
        <f t="shared" si="319"/>
        <v>-1.3459558823529409</v>
      </c>
      <c r="Y960" s="13">
        <f t="shared" si="320"/>
        <v>17.054044117647059</v>
      </c>
      <c r="Z960" s="10">
        <v>45301</v>
      </c>
      <c r="AA960" s="9">
        <f t="shared" si="321"/>
        <v>0</v>
      </c>
      <c r="AC960" s="9">
        <v>422299</v>
      </c>
      <c r="AD960" s="14">
        <f t="shared" si="322"/>
        <v>6.6823655913978506</v>
      </c>
      <c r="AF960" s="14">
        <f t="shared" si="323"/>
        <v>0.8</v>
      </c>
      <c r="AH960" s="14">
        <f t="shared" ref="AH960:AH964" si="328">SUM(AD960:AG960)</f>
        <v>7.4823655913978504</v>
      </c>
      <c r="AI960" s="13">
        <f t="shared" si="325"/>
        <v>9.5716785262492081</v>
      </c>
      <c r="AK960" s="9">
        <f t="shared" si="326"/>
        <v>40</v>
      </c>
    </row>
    <row r="961" spans="1:37">
      <c r="A961" s="9">
        <v>1</v>
      </c>
      <c r="B961" s="9">
        <v>2023</v>
      </c>
      <c r="C961" s="9" t="s">
        <v>46</v>
      </c>
      <c r="D961" s="9" t="s">
        <v>47</v>
      </c>
      <c r="E961" s="9" t="s">
        <v>47</v>
      </c>
      <c r="F961" s="10">
        <v>45290</v>
      </c>
      <c r="G961" s="9" t="s">
        <v>155</v>
      </c>
      <c r="H961" s="9" t="s">
        <v>60</v>
      </c>
      <c r="J961" s="11">
        <f t="shared" si="327"/>
        <v>2</v>
      </c>
      <c r="K961" s="9">
        <v>40</v>
      </c>
      <c r="L961" s="12">
        <v>0.15</v>
      </c>
      <c r="M961" s="12">
        <v>6</v>
      </c>
      <c r="N961" s="13" t="s">
        <v>49</v>
      </c>
      <c r="Q961" s="9">
        <f>IF(Auction_Sales[[#This Row],[Payment Date]]=0,"",-1+WEEKNUM(Auction_Sales[[#This Row],[Payment Date]]))</f>
        <v>1</v>
      </c>
      <c r="R961" s="9">
        <f t="shared" si="317"/>
        <v>40</v>
      </c>
      <c r="S961" s="1" t="str">
        <f>G961</f>
        <v>Floribunda Roses</v>
      </c>
      <c r="T961" s="9" t="str">
        <f>H961</f>
        <v>110CM</v>
      </c>
      <c r="W961" s="13">
        <f t="shared" si="315"/>
        <v>0</v>
      </c>
      <c r="X961" s="14">
        <f t="shared" si="319"/>
        <v>0</v>
      </c>
      <c r="Y961" s="13">
        <f t="shared" si="320"/>
        <v>0</v>
      </c>
      <c r="Z961" s="10">
        <v>45301</v>
      </c>
      <c r="AA961" s="9">
        <f t="shared" si="321"/>
        <v>-40</v>
      </c>
      <c r="AC961" s="9">
        <v>422299</v>
      </c>
      <c r="AD961" s="14">
        <f t="shared" si="322"/>
        <v>6.6823655913978506</v>
      </c>
      <c r="AF961" s="14">
        <f t="shared" si="323"/>
        <v>0</v>
      </c>
      <c r="AH961" s="14">
        <f t="shared" si="328"/>
        <v>6.6823655913978506</v>
      </c>
      <c r="AI961" s="13">
        <f t="shared" si="325"/>
        <v>-6.6823655913978506</v>
      </c>
      <c r="AK961" s="9">
        <f t="shared" si="326"/>
        <v>0</v>
      </c>
    </row>
    <row r="962" spans="1:37">
      <c r="A962" s="9">
        <v>1</v>
      </c>
      <c r="B962" s="9">
        <v>2023</v>
      </c>
      <c r="C962" s="9" t="s">
        <v>46</v>
      </c>
      <c r="D962" s="9" t="s">
        <v>47</v>
      </c>
      <c r="E962" s="9" t="s">
        <v>47</v>
      </c>
      <c r="F962" s="10">
        <v>45290</v>
      </c>
      <c r="G962" s="9" t="s">
        <v>154</v>
      </c>
      <c r="H962" s="9" t="s">
        <v>56</v>
      </c>
      <c r="I962" s="9">
        <v>1</v>
      </c>
      <c r="J962" s="11">
        <f>K962/240*12</f>
        <v>4</v>
      </c>
      <c r="K962" s="9">
        <v>80</v>
      </c>
      <c r="L962" s="12">
        <v>0.15</v>
      </c>
      <c r="M962" s="12">
        <v>12</v>
      </c>
      <c r="N962" s="13" t="s">
        <v>49</v>
      </c>
      <c r="Q962" s="9">
        <f>IF(Auction_Sales[[#This Row],[Payment Date]]=0,"",-1+WEEKNUM(Auction_Sales[[#This Row],[Payment Date]]))</f>
        <v>1</v>
      </c>
      <c r="R962" s="9">
        <f t="shared" si="317"/>
        <v>0</v>
      </c>
      <c r="S962" s="1" t="str">
        <f>G962</f>
        <v>English Roses</v>
      </c>
      <c r="T962" s="9" t="str">
        <f>H962</f>
        <v>90CM</v>
      </c>
      <c r="U962" s="9">
        <v>80</v>
      </c>
      <c r="V962" s="13">
        <f>80.8/80</f>
        <v>1.01</v>
      </c>
      <c r="W962" s="13">
        <f t="shared" si="315"/>
        <v>80.8</v>
      </c>
      <c r="X962" s="14">
        <f t="shared" si="319"/>
        <v>-2.6919117647058819</v>
      </c>
      <c r="Y962" s="13">
        <f t="shared" si="320"/>
        <v>78.108088235294119</v>
      </c>
      <c r="Z962" s="10">
        <v>45301</v>
      </c>
      <c r="AA962" s="9">
        <f t="shared" si="321"/>
        <v>0</v>
      </c>
      <c r="AC962" s="9">
        <v>422299</v>
      </c>
      <c r="AD962" s="14">
        <f t="shared" si="322"/>
        <v>13.364731182795701</v>
      </c>
      <c r="AF962" s="14">
        <f t="shared" si="323"/>
        <v>1.6</v>
      </c>
      <c r="AH962" s="14">
        <f t="shared" si="328"/>
        <v>14.964731182795701</v>
      </c>
      <c r="AI962" s="13">
        <f t="shared" si="325"/>
        <v>63.143357052498416</v>
      </c>
      <c r="AK962" s="9">
        <f t="shared" si="326"/>
        <v>80</v>
      </c>
    </row>
    <row r="963" spans="1:37">
      <c r="A963" s="9">
        <v>1</v>
      </c>
      <c r="B963" s="9">
        <v>2023</v>
      </c>
      <c r="C963" s="9" t="s">
        <v>46</v>
      </c>
      <c r="D963" s="9" t="s">
        <v>47</v>
      </c>
      <c r="E963" s="9" t="s">
        <v>47</v>
      </c>
      <c r="F963" s="10">
        <v>45290</v>
      </c>
      <c r="G963" s="9" t="s">
        <v>154</v>
      </c>
      <c r="H963" s="9" t="s">
        <v>52</v>
      </c>
      <c r="J963" s="11">
        <f t="shared" ref="J963:J964" si="329">K963/240*12</f>
        <v>6</v>
      </c>
      <c r="K963" s="9">
        <v>120</v>
      </c>
      <c r="L963" s="12">
        <v>0.15</v>
      </c>
      <c r="M963" s="12">
        <v>18</v>
      </c>
      <c r="N963" s="13" t="s">
        <v>49</v>
      </c>
      <c r="Q963" s="9">
        <f>IF(Auction_Sales[[#This Row],[Payment Date]]=0,"",-1+WEEKNUM(Auction_Sales[[#This Row],[Payment Date]]))</f>
        <v>1</v>
      </c>
      <c r="R963" s="9">
        <f t="shared" si="317"/>
        <v>120</v>
      </c>
      <c r="S963" s="1" t="str">
        <f t="shared" ref="S963:T977" si="330">G963</f>
        <v>English Roses</v>
      </c>
      <c r="T963" s="9" t="str">
        <f t="shared" si="330"/>
        <v>70CM</v>
      </c>
      <c r="W963" s="13">
        <f t="shared" si="315"/>
        <v>0</v>
      </c>
      <c r="X963" s="14">
        <f t="shared" si="319"/>
        <v>0</v>
      </c>
      <c r="Y963" s="13">
        <f t="shared" si="320"/>
        <v>0</v>
      </c>
      <c r="Z963" s="10">
        <v>45301</v>
      </c>
      <c r="AA963" s="9">
        <f t="shared" si="321"/>
        <v>-120</v>
      </c>
      <c r="AC963" s="9">
        <v>422299</v>
      </c>
      <c r="AD963" s="14">
        <f t="shared" si="322"/>
        <v>20.047096774193548</v>
      </c>
      <c r="AF963" s="14">
        <f t="shared" si="323"/>
        <v>0</v>
      </c>
      <c r="AH963" s="14">
        <f t="shared" si="328"/>
        <v>20.047096774193548</v>
      </c>
      <c r="AI963" s="13">
        <f t="shared" si="325"/>
        <v>-20.047096774193548</v>
      </c>
      <c r="AK963" s="9">
        <f t="shared" si="326"/>
        <v>0</v>
      </c>
    </row>
    <row r="964" spans="1:37">
      <c r="A964" s="9">
        <v>1</v>
      </c>
      <c r="B964" s="9">
        <v>2023</v>
      </c>
      <c r="C964" s="9" t="s">
        <v>46</v>
      </c>
      <c r="D964" s="9" t="s">
        <v>47</v>
      </c>
      <c r="E964" s="9" t="s">
        <v>47</v>
      </c>
      <c r="F964" s="10">
        <v>45290</v>
      </c>
      <c r="G964" s="9" t="s">
        <v>154</v>
      </c>
      <c r="H964" s="9" t="s">
        <v>54</v>
      </c>
      <c r="J964" s="11">
        <f t="shared" si="329"/>
        <v>2</v>
      </c>
      <c r="K964" s="1">
        <v>40</v>
      </c>
      <c r="L964" s="12">
        <v>0.15</v>
      </c>
      <c r="M964" s="12">
        <v>6</v>
      </c>
      <c r="N964" s="13" t="s">
        <v>49</v>
      </c>
      <c r="Q964" s="9">
        <f>IF(Auction_Sales[[#This Row],[Payment Date]]=0,"",-1+WEEKNUM(Auction_Sales[[#This Row],[Payment Date]]))</f>
        <v>1</v>
      </c>
      <c r="R964" s="9">
        <f t="shared" si="317"/>
        <v>40</v>
      </c>
      <c r="S964" s="1" t="str">
        <f t="shared" si="330"/>
        <v>English Roses</v>
      </c>
      <c r="T964" s="9" t="str">
        <f t="shared" si="330"/>
        <v>80CM</v>
      </c>
      <c r="W964" s="13">
        <f t="shared" si="315"/>
        <v>0</v>
      </c>
      <c r="X964" s="14">
        <f t="shared" si="319"/>
        <v>0</v>
      </c>
      <c r="Y964" s="13">
        <f t="shared" si="320"/>
        <v>0</v>
      </c>
      <c r="Z964" s="10">
        <v>45301</v>
      </c>
      <c r="AA964" s="9">
        <f t="shared" si="321"/>
        <v>-40</v>
      </c>
      <c r="AC964" s="9">
        <v>422299</v>
      </c>
      <c r="AD964" s="14">
        <f t="shared" si="322"/>
        <v>6.6823655913978506</v>
      </c>
      <c r="AF964" s="14">
        <f t="shared" si="323"/>
        <v>0</v>
      </c>
      <c r="AH964" s="14">
        <f t="shared" si="328"/>
        <v>6.6823655913978506</v>
      </c>
      <c r="AI964" s="13">
        <f t="shared" si="325"/>
        <v>-6.6823655913978506</v>
      </c>
      <c r="AK964" s="9">
        <f t="shared" si="326"/>
        <v>0</v>
      </c>
    </row>
    <row r="965" spans="1:37">
      <c r="F965" s="10"/>
      <c r="G965" s="9" t="s">
        <v>153</v>
      </c>
      <c r="H965" s="9" t="s">
        <v>57</v>
      </c>
      <c r="J965" s="11"/>
      <c r="K965" s="1"/>
      <c r="L965" s="12"/>
      <c r="M965" s="12"/>
      <c r="N965" s="13"/>
      <c r="Q965" s="9">
        <f>IF(Auction_Sales[[#This Row],[Payment Date]]=0,"",-1+WEEKNUM(Auction_Sales[[#This Row],[Payment Date]]))</f>
        <v>1</v>
      </c>
      <c r="R965" s="9">
        <f t="shared" si="317"/>
        <v>-200</v>
      </c>
      <c r="S965" s="1" t="str">
        <f t="shared" si="330"/>
        <v>Grandiflora Roses</v>
      </c>
      <c r="T965" s="9" t="str">
        <f t="shared" si="330"/>
        <v>100CM</v>
      </c>
      <c r="U965" s="9">
        <v>200</v>
      </c>
      <c r="V965" s="13">
        <f>75.6/200</f>
        <v>0.37799999999999995</v>
      </c>
      <c r="W965" s="13">
        <f t="shared" si="315"/>
        <v>75.599999999999994</v>
      </c>
      <c r="X965" s="14">
        <f t="shared" si="319"/>
        <v>-6.7297794117647047</v>
      </c>
      <c r="Y965" s="13">
        <f t="shared" si="320"/>
        <v>68.870220588235284</v>
      </c>
      <c r="Z965" s="10">
        <v>45301</v>
      </c>
      <c r="AA965" s="9">
        <f t="shared" si="321"/>
        <v>200</v>
      </c>
      <c r="AC965" s="9">
        <v>422299</v>
      </c>
      <c r="AD965" s="14">
        <f t="shared" si="322"/>
        <v>0</v>
      </c>
      <c r="AF965" s="14">
        <f t="shared" si="323"/>
        <v>4</v>
      </c>
      <c r="AH965" s="14">
        <f t="shared" ref="AH965" si="331">SUM(AD965:AG965)</f>
        <v>4</v>
      </c>
      <c r="AI965" s="13">
        <f t="shared" si="325"/>
        <v>64.870220588235284</v>
      </c>
      <c r="AK965" s="9">
        <f t="shared" si="326"/>
        <v>200</v>
      </c>
    </row>
    <row r="966" spans="1:37">
      <c r="A966" s="9">
        <v>1</v>
      </c>
      <c r="B966" s="9">
        <v>2023</v>
      </c>
      <c r="C966" s="9" t="s">
        <v>46</v>
      </c>
      <c r="D966" s="9" t="s">
        <v>47</v>
      </c>
      <c r="E966" s="9" t="s">
        <v>47</v>
      </c>
      <c r="F966" s="10">
        <v>45292</v>
      </c>
      <c r="G966" s="9" t="s">
        <v>155</v>
      </c>
      <c r="H966" s="9" t="s">
        <v>52</v>
      </c>
      <c r="I966" s="9">
        <v>10</v>
      </c>
      <c r="J966" s="11">
        <f>12*I966</f>
        <v>120</v>
      </c>
      <c r="K966" s="1">
        <v>3200</v>
      </c>
      <c r="L966" s="12">
        <v>0.15</v>
      </c>
      <c r="M966" s="12">
        <v>480</v>
      </c>
      <c r="N966" s="13" t="s">
        <v>49</v>
      </c>
      <c r="Q966" s="9">
        <f>IF(Auction_Sales[[#This Row],[Payment Date]]=0,"",-1+WEEKNUM(Auction_Sales[[#This Row],[Payment Date]]))</f>
        <v>1</v>
      </c>
      <c r="R966" s="9">
        <f t="shared" si="317"/>
        <v>640</v>
      </c>
      <c r="S966" s="1" t="str">
        <f t="shared" si="330"/>
        <v>Floribunda Roses</v>
      </c>
      <c r="T966" s="9" t="str">
        <f t="shared" si="330"/>
        <v>70CM</v>
      </c>
      <c r="U966" s="9">
        <f>1280+1280</f>
        <v>2560</v>
      </c>
      <c r="V966" s="13">
        <f>(312.4+367.6)/2560</f>
        <v>0.265625</v>
      </c>
      <c r="W966" s="13">
        <f t="shared" si="315"/>
        <v>680</v>
      </c>
      <c r="X966" s="14">
        <f>-(4931.9-4427.2)*U966/(5470+4600+2840)</f>
        <v>-100.07993803253288</v>
      </c>
      <c r="Y966" s="13">
        <f t="shared" si="320"/>
        <v>579.92006196746706</v>
      </c>
      <c r="Z966" s="10">
        <v>45301</v>
      </c>
      <c r="AA966" s="9">
        <f t="shared" si="321"/>
        <v>-640</v>
      </c>
      <c r="AC966" s="9" t="s">
        <v>88</v>
      </c>
      <c r="AD966" s="14">
        <f>J966/(59*12)*2100.33</f>
        <v>355.98813559322031</v>
      </c>
      <c r="AF966" s="14">
        <f t="shared" ref="AF966:AF1004" si="332">U966*0.02</f>
        <v>51.2</v>
      </c>
      <c r="AH966" s="14">
        <f t="shared" ref="AH966:AH1004" si="333">SUM(AD966:AG966)</f>
        <v>407.1881355932203</v>
      </c>
      <c r="AI966" s="13">
        <f t="shared" ref="AI966:AI1004" si="334">Y966-AH966</f>
        <v>172.73192637424677</v>
      </c>
      <c r="AK966" s="9">
        <f t="shared" ref="AK966:AK1004" si="335">U966</f>
        <v>2560</v>
      </c>
    </row>
    <row r="967" spans="1:37">
      <c r="A967" s="9">
        <v>1</v>
      </c>
      <c r="B967" s="9">
        <v>2023</v>
      </c>
      <c r="C967" s="9" t="s">
        <v>46</v>
      </c>
      <c r="D967" s="9" t="s">
        <v>47</v>
      </c>
      <c r="E967" s="9" t="s">
        <v>47</v>
      </c>
      <c r="F967" s="10">
        <v>45292</v>
      </c>
      <c r="G967" s="9" t="s">
        <v>155</v>
      </c>
      <c r="H967" s="9" t="s">
        <v>54</v>
      </c>
      <c r="I967" s="9">
        <v>5</v>
      </c>
      <c r="J967" s="11">
        <f t="shared" ref="J967:J986" si="336">12*I967</f>
        <v>60</v>
      </c>
      <c r="K967" s="1">
        <v>1400</v>
      </c>
      <c r="L967" s="12">
        <v>0.15</v>
      </c>
      <c r="M967" s="12">
        <v>210</v>
      </c>
      <c r="N967" s="13" t="s">
        <v>49</v>
      </c>
      <c r="Q967" s="9">
        <f>IF(Auction_Sales[[#This Row],[Payment Date]]=0,"",-1+WEEKNUM(Auction_Sales[[#This Row],[Payment Date]]))</f>
        <v>1</v>
      </c>
      <c r="R967" s="9">
        <f t="shared" si="317"/>
        <v>-120</v>
      </c>
      <c r="S967" s="1" t="str">
        <f t="shared" si="330"/>
        <v>Floribunda Roses</v>
      </c>
      <c r="T967" s="9" t="str">
        <f t="shared" si="330"/>
        <v>80CM</v>
      </c>
      <c r="U967" s="1">
        <v>1520</v>
      </c>
      <c r="V967" s="15">
        <f>677.2/1520</f>
        <v>0.44552631578947371</v>
      </c>
      <c r="W967" s="15">
        <f t="shared" si="315"/>
        <v>677.2</v>
      </c>
      <c r="X967" s="29">
        <f>-(2077.6-1838.83)*U967/(5200)</f>
        <v>-69.794307692307683</v>
      </c>
      <c r="Y967" s="15">
        <f t="shared" si="320"/>
        <v>607.40569230769233</v>
      </c>
      <c r="Z967" s="10">
        <v>45301</v>
      </c>
      <c r="AA967" s="9">
        <f t="shared" si="321"/>
        <v>120</v>
      </c>
      <c r="AC967" s="9" t="s">
        <v>88</v>
      </c>
      <c r="AD967" s="14">
        <f t="shared" ref="AD967:AD1004" si="337">J967/(59*12)*2100.33</f>
        <v>177.99406779661015</v>
      </c>
      <c r="AF967" s="14">
        <f t="shared" si="332"/>
        <v>30.400000000000002</v>
      </c>
      <c r="AH967" s="14">
        <f t="shared" si="333"/>
        <v>208.39406779661016</v>
      </c>
      <c r="AI967" s="13">
        <f t="shared" si="334"/>
        <v>399.01162451108218</v>
      </c>
      <c r="AK967" s="9">
        <f t="shared" si="335"/>
        <v>1520</v>
      </c>
    </row>
    <row r="968" spans="1:37">
      <c r="A968" s="9">
        <v>1</v>
      </c>
      <c r="B968" s="9">
        <v>2023</v>
      </c>
      <c r="C968" s="9" t="s">
        <v>46</v>
      </c>
      <c r="D968" s="9" t="s">
        <v>47</v>
      </c>
      <c r="E968" s="9" t="s">
        <v>47</v>
      </c>
      <c r="F968" s="10">
        <v>45292</v>
      </c>
      <c r="G968" s="9" t="s">
        <v>155</v>
      </c>
      <c r="H968" s="9" t="s">
        <v>56</v>
      </c>
      <c r="I968" s="9">
        <v>5</v>
      </c>
      <c r="J968" s="11">
        <f t="shared" si="336"/>
        <v>60</v>
      </c>
      <c r="K968" s="1">
        <v>1200</v>
      </c>
      <c r="L968" s="12">
        <v>0.15</v>
      </c>
      <c r="M968" s="12">
        <v>180</v>
      </c>
      <c r="N968" s="13" t="s">
        <v>49</v>
      </c>
      <c r="Q968" s="9">
        <f>IF(Auction_Sales[[#This Row],[Payment Date]]=0,"",-1+WEEKNUM(Auction_Sales[[#This Row],[Payment Date]]))</f>
        <v>1</v>
      </c>
      <c r="R968" s="9">
        <f t="shared" si="317"/>
        <v>0</v>
      </c>
      <c r="S968" s="1" t="str">
        <f t="shared" si="330"/>
        <v>Floribunda Roses</v>
      </c>
      <c r="T968" s="9" t="str">
        <f t="shared" si="330"/>
        <v>90CM</v>
      </c>
      <c r="U968" s="9">
        <v>1200</v>
      </c>
      <c r="V968" s="13">
        <f>478.4/1200</f>
        <v>0.39866666666666667</v>
      </c>
      <c r="W968" s="13">
        <f t="shared" si="315"/>
        <v>478.4</v>
      </c>
      <c r="X968" s="14">
        <f t="shared" ref="X968:X1004" si="338">-(4931.9-4427.2)*U968/(5470+4600+2840)</f>
        <v>-46.912470952749786</v>
      </c>
      <c r="Y968" s="13">
        <f t="shared" si="320"/>
        <v>431.48752904725018</v>
      </c>
      <c r="Z968" s="10">
        <v>45301</v>
      </c>
      <c r="AA968" s="9">
        <f t="shared" si="321"/>
        <v>0</v>
      </c>
      <c r="AC968" s="9" t="s">
        <v>88</v>
      </c>
      <c r="AD968" s="14">
        <f t="shared" si="337"/>
        <v>177.99406779661015</v>
      </c>
      <c r="AF968" s="14">
        <f t="shared" si="332"/>
        <v>24</v>
      </c>
      <c r="AH968" s="14">
        <f t="shared" si="333"/>
        <v>201.99406779661015</v>
      </c>
      <c r="AI968" s="13">
        <f t="shared" si="334"/>
        <v>229.49346125064002</v>
      </c>
      <c r="AK968" s="9">
        <f t="shared" si="335"/>
        <v>1200</v>
      </c>
    </row>
    <row r="969" spans="1:37">
      <c r="A969" s="9">
        <v>1</v>
      </c>
      <c r="B969" s="9">
        <v>2023</v>
      </c>
      <c r="C969" s="9" t="s">
        <v>46</v>
      </c>
      <c r="D969" s="9" t="s">
        <v>47</v>
      </c>
      <c r="E969" s="9" t="s">
        <v>47</v>
      </c>
      <c r="F969" s="10">
        <v>45292</v>
      </c>
      <c r="G969" s="9" t="s">
        <v>155</v>
      </c>
      <c r="H969" s="9" t="s">
        <v>57</v>
      </c>
      <c r="I969" s="9">
        <v>5</v>
      </c>
      <c r="J969" s="11">
        <f t="shared" si="336"/>
        <v>60</v>
      </c>
      <c r="K969" s="1">
        <v>1000</v>
      </c>
      <c r="L969" s="12">
        <v>0.15</v>
      </c>
      <c r="M969" s="12">
        <v>150</v>
      </c>
      <c r="N969" s="13" t="s">
        <v>49</v>
      </c>
      <c r="Q969" s="9">
        <f>IF(Auction_Sales[[#This Row],[Payment Date]]=0,"",-1+WEEKNUM(Auction_Sales[[#This Row],[Payment Date]]))</f>
        <v>1</v>
      </c>
      <c r="R969" s="9">
        <f t="shared" si="317"/>
        <v>0</v>
      </c>
      <c r="S969" s="1" t="str">
        <f t="shared" si="330"/>
        <v>Floribunda Roses</v>
      </c>
      <c r="T969" s="9" t="str">
        <f t="shared" si="330"/>
        <v>100CM</v>
      </c>
      <c r="U969" s="1">
        <v>1000</v>
      </c>
      <c r="V969" s="15">
        <f>494.4/1000</f>
        <v>0.49439999999999995</v>
      </c>
      <c r="W969" s="15">
        <f t="shared" si="315"/>
        <v>494.4</v>
      </c>
      <c r="X969" s="29">
        <f>-(2077.6-1838.83)*U969/(5200)</f>
        <v>-45.917307692307688</v>
      </c>
      <c r="Y969" s="15">
        <f t="shared" si="320"/>
        <v>448.48269230769228</v>
      </c>
      <c r="Z969" s="10">
        <v>45301</v>
      </c>
      <c r="AA969" s="9">
        <f t="shared" si="321"/>
        <v>0</v>
      </c>
      <c r="AC969" s="9" t="s">
        <v>88</v>
      </c>
      <c r="AD969" s="14">
        <f t="shared" si="337"/>
        <v>177.99406779661015</v>
      </c>
      <c r="AF969" s="14">
        <f t="shared" si="332"/>
        <v>20</v>
      </c>
      <c r="AH969" s="14">
        <f t="shared" si="333"/>
        <v>197.99406779661015</v>
      </c>
      <c r="AI969" s="13">
        <f t="shared" si="334"/>
        <v>250.48862451108212</v>
      </c>
      <c r="AK969" s="9">
        <f t="shared" si="335"/>
        <v>1000</v>
      </c>
    </row>
    <row r="970" spans="1:37">
      <c r="A970" s="9">
        <v>1</v>
      </c>
      <c r="B970" s="9">
        <v>2023</v>
      </c>
      <c r="C970" s="9" t="s">
        <v>46</v>
      </c>
      <c r="D970" s="9" t="s">
        <v>47</v>
      </c>
      <c r="E970" s="9" t="s">
        <v>47</v>
      </c>
      <c r="F970" s="10">
        <v>45292</v>
      </c>
      <c r="G970" s="9" t="s">
        <v>155</v>
      </c>
      <c r="H970" s="9" t="s">
        <v>60</v>
      </c>
      <c r="I970" s="9">
        <v>4</v>
      </c>
      <c r="J970" s="11">
        <f t="shared" si="336"/>
        <v>48</v>
      </c>
      <c r="K970" s="1">
        <v>640</v>
      </c>
      <c r="L970" s="12">
        <v>0.15</v>
      </c>
      <c r="M970" s="12">
        <v>96</v>
      </c>
      <c r="N970" s="13" t="s">
        <v>49</v>
      </c>
      <c r="Q970" s="9">
        <f>IF(Auction_Sales[[#This Row],[Payment Date]]=0,"",-1+WEEKNUM(Auction_Sales[[#This Row],[Payment Date]]))</f>
        <v>1</v>
      </c>
      <c r="R970" s="9">
        <f t="shared" si="317"/>
        <v>0</v>
      </c>
      <c r="S970" s="1" t="str">
        <f t="shared" si="330"/>
        <v>Floribunda Roses</v>
      </c>
      <c r="T970" s="9" t="str">
        <f t="shared" si="330"/>
        <v>110CM</v>
      </c>
      <c r="U970" s="9">
        <v>640</v>
      </c>
      <c r="V970" s="13">
        <f>451.2/640</f>
        <v>0.70499999999999996</v>
      </c>
      <c r="W970" s="13">
        <f t="shared" si="315"/>
        <v>451.2</v>
      </c>
      <c r="X970" s="14">
        <f t="shared" si="338"/>
        <v>-25.01998450813322</v>
      </c>
      <c r="Y970" s="13">
        <f t="shared" si="320"/>
        <v>426.18001549186675</v>
      </c>
      <c r="Z970" s="10">
        <v>45301</v>
      </c>
      <c r="AA970" s="9">
        <f t="shared" si="321"/>
        <v>0</v>
      </c>
      <c r="AC970" s="9" t="s">
        <v>88</v>
      </c>
      <c r="AD970" s="14">
        <f t="shared" si="337"/>
        <v>142.39525423728813</v>
      </c>
      <c r="AF970" s="14">
        <f t="shared" si="332"/>
        <v>12.8</v>
      </c>
      <c r="AH970" s="14">
        <f t="shared" si="333"/>
        <v>155.19525423728814</v>
      </c>
      <c r="AI970" s="13">
        <f t="shared" si="334"/>
        <v>270.98476125457864</v>
      </c>
      <c r="AK970" s="9">
        <f t="shared" si="335"/>
        <v>640</v>
      </c>
    </row>
    <row r="971" spans="1:37">
      <c r="A971" s="9">
        <v>1</v>
      </c>
      <c r="B971" s="9">
        <v>2023</v>
      </c>
      <c r="C971" s="9" t="s">
        <v>46</v>
      </c>
      <c r="D971" s="9" t="s">
        <v>47</v>
      </c>
      <c r="E971" s="9" t="s">
        <v>47</v>
      </c>
      <c r="F971" s="10">
        <v>45292</v>
      </c>
      <c r="G971" s="9" t="s">
        <v>153</v>
      </c>
      <c r="H971" s="9" t="s">
        <v>48</v>
      </c>
      <c r="I971" s="9">
        <v>1</v>
      </c>
      <c r="J971" s="11">
        <f t="shared" si="336"/>
        <v>12</v>
      </c>
      <c r="K971" s="1">
        <v>800</v>
      </c>
      <c r="L971" s="12">
        <v>0.15</v>
      </c>
      <c r="M971" s="12">
        <v>120</v>
      </c>
      <c r="N971" s="13" t="s">
        <v>49</v>
      </c>
      <c r="Q971" s="9">
        <f>IF(Auction_Sales[[#This Row],[Payment Date]]=0,"",-1+WEEKNUM(Auction_Sales[[#This Row],[Payment Date]]))</f>
        <v>1</v>
      </c>
      <c r="R971" s="9">
        <f t="shared" si="317"/>
        <v>-760</v>
      </c>
      <c r="S971" s="1" t="str">
        <f t="shared" si="330"/>
        <v>Grandiflora Roses</v>
      </c>
      <c r="T971" s="9" t="str">
        <f t="shared" si="330"/>
        <v>60CM</v>
      </c>
      <c r="U971" s="9">
        <v>1560</v>
      </c>
      <c r="V971" s="13">
        <f>247.6/1560</f>
        <v>0.15871794871794873</v>
      </c>
      <c r="W971" s="13">
        <f t="shared" si="315"/>
        <v>247.60000000000002</v>
      </c>
      <c r="X971" s="14">
        <f t="shared" si="338"/>
        <v>-60.98621223857473</v>
      </c>
      <c r="Y971" s="13">
        <f t="shared" si="320"/>
        <v>186.6137877614253</v>
      </c>
      <c r="Z971" s="10">
        <v>45301</v>
      </c>
      <c r="AA971" s="9">
        <f t="shared" si="321"/>
        <v>760</v>
      </c>
      <c r="AC971" s="9" t="s">
        <v>88</v>
      </c>
      <c r="AD971" s="14">
        <f t="shared" si="337"/>
        <v>35.598813559322032</v>
      </c>
      <c r="AF971" s="14">
        <f t="shared" si="332"/>
        <v>31.2</v>
      </c>
      <c r="AH971" s="14">
        <f t="shared" si="333"/>
        <v>66.798813559322028</v>
      </c>
      <c r="AI971" s="13">
        <f t="shared" si="334"/>
        <v>119.81497420210327</v>
      </c>
      <c r="AK971" s="9">
        <f t="shared" si="335"/>
        <v>1560</v>
      </c>
    </row>
    <row r="972" spans="1:37">
      <c r="A972" s="9">
        <v>1</v>
      </c>
      <c r="B972" s="9">
        <v>2023</v>
      </c>
      <c r="C972" s="9" t="s">
        <v>46</v>
      </c>
      <c r="D972" s="9" t="s">
        <v>47</v>
      </c>
      <c r="E972" s="9" t="s">
        <v>47</v>
      </c>
      <c r="F972" s="10">
        <v>45292</v>
      </c>
      <c r="G972" s="9" t="s">
        <v>153</v>
      </c>
      <c r="H972" s="9" t="s">
        <v>48</v>
      </c>
      <c r="I972" s="9">
        <v>1</v>
      </c>
      <c r="J972" s="11">
        <f t="shared" si="336"/>
        <v>12</v>
      </c>
      <c r="K972" s="1">
        <v>760</v>
      </c>
      <c r="L972" s="12">
        <v>0.15</v>
      </c>
      <c r="M972" s="12">
        <v>114</v>
      </c>
      <c r="N972" s="13" t="s">
        <v>49</v>
      </c>
      <c r="Q972" s="9">
        <f>IF(Auction_Sales[[#This Row],[Payment Date]]=0,"",-1+WEEKNUM(Auction_Sales[[#This Row],[Payment Date]]))</f>
        <v>1</v>
      </c>
      <c r="R972" s="9">
        <f t="shared" si="317"/>
        <v>760</v>
      </c>
      <c r="S972" s="1" t="str">
        <f t="shared" si="330"/>
        <v>Grandiflora Roses</v>
      </c>
      <c r="T972" s="9" t="str">
        <f t="shared" si="330"/>
        <v>60CM</v>
      </c>
      <c r="W972" s="13">
        <f t="shared" si="315"/>
        <v>0</v>
      </c>
      <c r="X972" s="14">
        <f t="shared" si="338"/>
        <v>0</v>
      </c>
      <c r="Y972" s="13">
        <f t="shared" si="320"/>
        <v>0</v>
      </c>
      <c r="Z972" s="10">
        <v>45301</v>
      </c>
      <c r="AA972" s="9">
        <f t="shared" si="321"/>
        <v>-760</v>
      </c>
      <c r="AC972" s="9" t="s">
        <v>88</v>
      </c>
      <c r="AD972" s="14">
        <f t="shared" si="337"/>
        <v>35.598813559322032</v>
      </c>
      <c r="AF972" s="14">
        <f t="shared" si="332"/>
        <v>0</v>
      </c>
      <c r="AH972" s="14">
        <f t="shared" si="333"/>
        <v>35.598813559322032</v>
      </c>
      <c r="AI972" s="13">
        <f t="shared" si="334"/>
        <v>-35.598813559322032</v>
      </c>
      <c r="AK972" s="9">
        <f t="shared" si="335"/>
        <v>0</v>
      </c>
    </row>
    <row r="973" spans="1:37">
      <c r="A973" s="9">
        <v>1</v>
      </c>
      <c r="B973" s="9">
        <v>2023</v>
      </c>
      <c r="C973" s="9" t="s">
        <v>46</v>
      </c>
      <c r="D973" s="9" t="s">
        <v>47</v>
      </c>
      <c r="E973" s="9" t="s">
        <v>47</v>
      </c>
      <c r="F973" s="10">
        <v>45292</v>
      </c>
      <c r="G973" s="9" t="s">
        <v>153</v>
      </c>
      <c r="H973" s="9" t="s">
        <v>52</v>
      </c>
      <c r="I973" s="9">
        <v>3</v>
      </c>
      <c r="J973" s="11">
        <f t="shared" si="336"/>
        <v>36</v>
      </c>
      <c r="K973" s="1">
        <v>1560</v>
      </c>
      <c r="L973" s="12">
        <v>0.15</v>
      </c>
      <c r="M973" s="12">
        <v>234</v>
      </c>
      <c r="N973" s="13" t="s">
        <v>49</v>
      </c>
      <c r="Q973" s="9">
        <f>IF(Auction_Sales[[#This Row],[Payment Date]]=0,"",-1+WEEKNUM(Auction_Sales[[#This Row],[Payment Date]]))</f>
        <v>1</v>
      </c>
      <c r="R973" s="9">
        <f>K973-U973</f>
        <v>-40</v>
      </c>
      <c r="S973" s="1" t="str">
        <f t="shared" si="330"/>
        <v>Grandiflora Roses</v>
      </c>
      <c r="T973" s="9" t="str">
        <f t="shared" si="330"/>
        <v>70CM</v>
      </c>
      <c r="U973" s="1">
        <v>1600</v>
      </c>
      <c r="V973" s="15">
        <f>607.6/1600</f>
        <v>0.37975000000000003</v>
      </c>
      <c r="W973" s="15">
        <f t="shared" si="315"/>
        <v>607.6</v>
      </c>
      <c r="X973" s="29">
        <f>-(2077.6-1838.83)*U973/(5200)</f>
        <v>-73.467692307692303</v>
      </c>
      <c r="Y973" s="15">
        <f t="shared" si="320"/>
        <v>534.13230769230768</v>
      </c>
      <c r="Z973" s="10">
        <v>45301</v>
      </c>
      <c r="AA973" s="9">
        <f t="shared" si="321"/>
        <v>40</v>
      </c>
      <c r="AC973" s="9" t="s">
        <v>88</v>
      </c>
      <c r="AD973" s="14">
        <f t="shared" si="337"/>
        <v>106.7964406779661</v>
      </c>
      <c r="AF973" s="14">
        <f t="shared" si="332"/>
        <v>32</v>
      </c>
      <c r="AH973" s="14">
        <f t="shared" si="333"/>
        <v>138.7964406779661</v>
      </c>
      <c r="AI973" s="13">
        <f t="shared" si="334"/>
        <v>395.3358670143416</v>
      </c>
      <c r="AK973" s="9">
        <f t="shared" si="335"/>
        <v>1600</v>
      </c>
    </row>
    <row r="974" spans="1:37">
      <c r="A974" s="9">
        <v>1</v>
      </c>
      <c r="B974" s="9">
        <v>2023</v>
      </c>
      <c r="C974" s="9" t="s">
        <v>46</v>
      </c>
      <c r="D974" s="9" t="s">
        <v>47</v>
      </c>
      <c r="E974" s="9" t="s">
        <v>47</v>
      </c>
      <c r="F974" s="10">
        <v>45292</v>
      </c>
      <c r="G974" s="9" t="s">
        <v>153</v>
      </c>
      <c r="H974" s="9" t="s">
        <v>54</v>
      </c>
      <c r="I974" s="9">
        <v>2</v>
      </c>
      <c r="J974" s="11">
        <f t="shared" si="336"/>
        <v>24</v>
      </c>
      <c r="K974" s="1">
        <v>960</v>
      </c>
      <c r="L974" s="12">
        <v>0.15</v>
      </c>
      <c r="M974" s="12">
        <v>144</v>
      </c>
      <c r="N974" s="13" t="s">
        <v>49</v>
      </c>
      <c r="Q974" s="9">
        <f>IF(Auction_Sales[[#This Row],[Payment Date]]=0,"",-1+WEEKNUM(Auction_Sales[[#This Row],[Payment Date]]))</f>
        <v>1</v>
      </c>
      <c r="R974" s="9">
        <f>K974-U974</f>
        <v>-320</v>
      </c>
      <c r="S974" s="1" t="str">
        <f t="shared" si="330"/>
        <v>Grandiflora Roses</v>
      </c>
      <c r="T974" s="9" t="str">
        <f t="shared" si="330"/>
        <v>80CM</v>
      </c>
      <c r="U974" s="9">
        <v>1280</v>
      </c>
      <c r="V974" s="13">
        <f>325.6/1280</f>
        <v>0.25437500000000002</v>
      </c>
      <c r="W974" s="13">
        <f t="shared" si="315"/>
        <v>325.60000000000002</v>
      </c>
      <c r="X974" s="14">
        <f t="shared" si="338"/>
        <v>-50.03996901626644</v>
      </c>
      <c r="Y974" s="13">
        <f t="shared" si="320"/>
        <v>275.56003098373355</v>
      </c>
      <c r="Z974" s="10">
        <v>45301</v>
      </c>
      <c r="AA974" s="9">
        <f t="shared" si="321"/>
        <v>320</v>
      </c>
      <c r="AC974" s="9" t="s">
        <v>88</v>
      </c>
      <c r="AD974" s="14">
        <f t="shared" si="337"/>
        <v>71.197627118644064</v>
      </c>
      <c r="AF974" s="14">
        <f t="shared" si="332"/>
        <v>25.6</v>
      </c>
      <c r="AH974" s="14">
        <f t="shared" si="333"/>
        <v>96.797627118644073</v>
      </c>
      <c r="AI974" s="13">
        <f t="shared" si="334"/>
        <v>178.76240386508948</v>
      </c>
      <c r="AK974" s="9">
        <f t="shared" si="335"/>
        <v>1280</v>
      </c>
    </row>
    <row r="975" spans="1:37">
      <c r="A975" s="9">
        <v>1</v>
      </c>
      <c r="B975" s="9">
        <v>2023</v>
      </c>
      <c r="C975" s="9" t="s">
        <v>46</v>
      </c>
      <c r="D975" s="9" t="s">
        <v>47</v>
      </c>
      <c r="E975" s="9" t="s">
        <v>47</v>
      </c>
      <c r="F975" s="10">
        <v>45292</v>
      </c>
      <c r="G975" s="9" t="s">
        <v>153</v>
      </c>
      <c r="H975" s="9" t="s">
        <v>56</v>
      </c>
      <c r="I975" s="9">
        <v>1</v>
      </c>
      <c r="J975" s="11">
        <f t="shared" si="336"/>
        <v>12</v>
      </c>
      <c r="K975" s="1">
        <v>360</v>
      </c>
      <c r="L975" s="12">
        <v>0.15</v>
      </c>
      <c r="M975" s="12">
        <v>54</v>
      </c>
      <c r="N975" s="13" t="s">
        <v>49</v>
      </c>
      <c r="Q975" s="9">
        <f>IF(Auction_Sales[[#This Row],[Payment Date]]=0,"",-1+WEEKNUM(Auction_Sales[[#This Row],[Payment Date]]))</f>
        <v>1</v>
      </c>
      <c r="R975" s="9">
        <f t="shared" ref="R975:R979" si="339">K975-U975</f>
        <v>360</v>
      </c>
      <c r="S975" s="1" t="str">
        <f t="shared" si="330"/>
        <v>Grandiflora Roses</v>
      </c>
      <c r="T975" s="9" t="str">
        <f t="shared" si="330"/>
        <v>90CM</v>
      </c>
      <c r="W975" s="13">
        <f t="shared" si="315"/>
        <v>0</v>
      </c>
      <c r="X975" s="14">
        <f t="shared" si="338"/>
        <v>0</v>
      </c>
      <c r="Y975" s="13">
        <f t="shared" si="320"/>
        <v>0</v>
      </c>
      <c r="Z975" s="10">
        <v>45301</v>
      </c>
      <c r="AA975" s="9">
        <f t="shared" si="321"/>
        <v>-360</v>
      </c>
      <c r="AC975" s="9" t="s">
        <v>88</v>
      </c>
      <c r="AD975" s="14">
        <f t="shared" si="337"/>
        <v>35.598813559322032</v>
      </c>
      <c r="AF975" s="14">
        <f t="shared" si="332"/>
        <v>0</v>
      </c>
      <c r="AH975" s="14">
        <f t="shared" si="333"/>
        <v>35.598813559322032</v>
      </c>
      <c r="AI975" s="13">
        <f t="shared" si="334"/>
        <v>-35.598813559322032</v>
      </c>
      <c r="AK975" s="9">
        <f t="shared" si="335"/>
        <v>0</v>
      </c>
    </row>
    <row r="976" spans="1:37">
      <c r="A976" s="9">
        <v>1</v>
      </c>
      <c r="B976" s="9">
        <v>2023</v>
      </c>
      <c r="C976" s="9" t="s">
        <v>46</v>
      </c>
      <c r="D976" s="9" t="s">
        <v>47</v>
      </c>
      <c r="E976" s="9" t="s">
        <v>47</v>
      </c>
      <c r="F976" s="10">
        <v>45292</v>
      </c>
      <c r="G976" s="9" t="s">
        <v>153</v>
      </c>
      <c r="H976" s="9" t="s">
        <v>56</v>
      </c>
      <c r="I976" s="9">
        <v>1</v>
      </c>
      <c r="J976" s="11">
        <f t="shared" si="336"/>
        <v>12</v>
      </c>
      <c r="K976" s="1">
        <v>400</v>
      </c>
      <c r="L976" s="12">
        <v>0.15</v>
      </c>
      <c r="M976" s="12">
        <v>60</v>
      </c>
      <c r="N976" s="13" t="s">
        <v>49</v>
      </c>
      <c r="Q976" s="9">
        <f>IF(Auction_Sales[[#This Row],[Payment Date]]=0,"",-1+WEEKNUM(Auction_Sales[[#This Row],[Payment Date]]))</f>
        <v>1</v>
      </c>
      <c r="R976" s="9">
        <f t="shared" si="339"/>
        <v>-320</v>
      </c>
      <c r="S976" s="1" t="str">
        <f t="shared" si="330"/>
        <v>Grandiflora Roses</v>
      </c>
      <c r="T976" s="9" t="str">
        <f t="shared" si="330"/>
        <v>90CM</v>
      </c>
      <c r="U976" s="9">
        <v>720</v>
      </c>
      <c r="V976" s="13">
        <f>299.2/720</f>
        <v>0.41555555555555557</v>
      </c>
      <c r="W976" s="13">
        <f t="shared" si="315"/>
        <v>299.2</v>
      </c>
      <c r="X976" s="14">
        <f t="shared" si="338"/>
        <v>-28.147482571649874</v>
      </c>
      <c r="Y976" s="13">
        <f t="shared" si="320"/>
        <v>271.05251742835014</v>
      </c>
      <c r="Z976" s="10">
        <v>45301</v>
      </c>
      <c r="AA976" s="9">
        <f t="shared" si="321"/>
        <v>320</v>
      </c>
      <c r="AC976" s="9" t="s">
        <v>88</v>
      </c>
      <c r="AD976" s="14">
        <f t="shared" si="337"/>
        <v>35.598813559322032</v>
      </c>
      <c r="AF976" s="14">
        <f t="shared" si="332"/>
        <v>14.4</v>
      </c>
      <c r="AH976" s="14">
        <f t="shared" si="333"/>
        <v>49.998813559322031</v>
      </c>
      <c r="AI976" s="13">
        <f t="shared" si="334"/>
        <v>221.05370386902811</v>
      </c>
      <c r="AK976" s="9">
        <f t="shared" si="335"/>
        <v>720</v>
      </c>
    </row>
    <row r="977" spans="1:37">
      <c r="A977" s="9">
        <v>1</v>
      </c>
      <c r="B977" s="9">
        <v>2023</v>
      </c>
      <c r="C977" s="9" t="s">
        <v>46</v>
      </c>
      <c r="D977" s="9" t="s">
        <v>47</v>
      </c>
      <c r="E977" s="9" t="s">
        <v>47</v>
      </c>
      <c r="F977" s="10">
        <v>45292</v>
      </c>
      <c r="G977" s="9" t="s">
        <v>153</v>
      </c>
      <c r="H977" s="9" t="s">
        <v>57</v>
      </c>
      <c r="I977" s="9">
        <v>1</v>
      </c>
      <c r="J977" s="11">
        <f t="shared" si="336"/>
        <v>12</v>
      </c>
      <c r="K977" s="1">
        <v>320</v>
      </c>
      <c r="L977" s="12">
        <v>0.15</v>
      </c>
      <c r="M977" s="12">
        <v>48</v>
      </c>
      <c r="N977" s="13" t="s">
        <v>49</v>
      </c>
      <c r="Q977" s="9">
        <f>IF(Auction_Sales[[#This Row],[Payment Date]]=0,"",-1+WEEKNUM(Auction_Sales[[#This Row],[Payment Date]]))</f>
        <v>1</v>
      </c>
      <c r="R977" s="9">
        <f t="shared" si="339"/>
        <v>0</v>
      </c>
      <c r="S977" s="1" t="str">
        <f t="shared" si="330"/>
        <v>Grandiflora Roses</v>
      </c>
      <c r="T977" s="9" t="str">
        <f t="shared" si="330"/>
        <v>100CM</v>
      </c>
      <c r="U977" s="9">
        <v>320</v>
      </c>
      <c r="V977" s="13">
        <f>177.6/320</f>
        <v>0.55499999999999994</v>
      </c>
      <c r="W977" s="13">
        <f t="shared" si="315"/>
        <v>177.59999999999997</v>
      </c>
      <c r="X977" s="14">
        <f t="shared" si="338"/>
        <v>-12.50999225406661</v>
      </c>
      <c r="Y977" s="13">
        <f t="shared" si="320"/>
        <v>165.09000774593335</v>
      </c>
      <c r="Z977" s="10">
        <v>45301</v>
      </c>
      <c r="AA977" s="9">
        <f t="shared" si="321"/>
        <v>0</v>
      </c>
      <c r="AC977" s="9" t="s">
        <v>88</v>
      </c>
      <c r="AD977" s="14">
        <f t="shared" si="337"/>
        <v>35.598813559322032</v>
      </c>
      <c r="AF977" s="14">
        <f t="shared" si="332"/>
        <v>6.4</v>
      </c>
      <c r="AH977" s="14">
        <f t="shared" si="333"/>
        <v>41.998813559322031</v>
      </c>
      <c r="AI977" s="13">
        <f t="shared" si="334"/>
        <v>123.09119418661132</v>
      </c>
      <c r="AK977" s="9">
        <f t="shared" si="335"/>
        <v>320</v>
      </c>
    </row>
    <row r="978" spans="1:37">
      <c r="A978" s="9">
        <v>1</v>
      </c>
      <c r="B978" s="9">
        <v>2023</v>
      </c>
      <c r="C978" s="9" t="s">
        <v>46</v>
      </c>
      <c r="D978" s="9" t="s">
        <v>47</v>
      </c>
      <c r="E978" s="9" t="s">
        <v>47</v>
      </c>
      <c r="F978" s="10">
        <v>45292</v>
      </c>
      <c r="G978" s="9" t="s">
        <v>153</v>
      </c>
      <c r="H978" s="9" t="s">
        <v>60</v>
      </c>
      <c r="I978" s="9">
        <v>1</v>
      </c>
      <c r="J978" s="11">
        <f t="shared" si="336"/>
        <v>12</v>
      </c>
      <c r="K978" s="1">
        <v>280</v>
      </c>
      <c r="L978" s="12">
        <v>0.15</v>
      </c>
      <c r="M978" s="12">
        <v>42</v>
      </c>
      <c r="N978" s="13" t="s">
        <v>49</v>
      </c>
      <c r="Q978" s="9">
        <f>IF(Auction_Sales[[#This Row],[Payment Date]]=0,"",-1+WEEKNUM(Auction_Sales[[#This Row],[Payment Date]]))</f>
        <v>1</v>
      </c>
      <c r="R978" s="9">
        <f t="shared" si="339"/>
        <v>-40</v>
      </c>
      <c r="S978" s="1" t="str">
        <f t="shared" ref="S978:T1004" si="340">G978</f>
        <v>Grandiflora Roses</v>
      </c>
      <c r="T978" s="9" t="str">
        <f t="shared" si="340"/>
        <v>110CM</v>
      </c>
      <c r="U978" s="9">
        <v>320</v>
      </c>
      <c r="V978" s="13">
        <f>204/320</f>
        <v>0.63749999999999996</v>
      </c>
      <c r="W978" s="13">
        <f t="shared" si="315"/>
        <v>204</v>
      </c>
      <c r="X978" s="14">
        <f t="shared" si="338"/>
        <v>-12.50999225406661</v>
      </c>
      <c r="Y978" s="13">
        <f t="shared" si="320"/>
        <v>191.49000774593338</v>
      </c>
      <c r="Z978" s="10">
        <v>45301</v>
      </c>
      <c r="AA978" s="9">
        <f t="shared" si="321"/>
        <v>40</v>
      </c>
      <c r="AC978" s="9" t="s">
        <v>88</v>
      </c>
      <c r="AD978" s="14">
        <f t="shared" si="337"/>
        <v>35.598813559322032</v>
      </c>
      <c r="AF978" s="14">
        <f t="shared" si="332"/>
        <v>6.4</v>
      </c>
      <c r="AH978" s="14">
        <f t="shared" si="333"/>
        <v>41.998813559322031</v>
      </c>
      <c r="AI978" s="13">
        <f t="shared" si="334"/>
        <v>149.49119418661135</v>
      </c>
      <c r="AK978" s="9">
        <f t="shared" si="335"/>
        <v>320</v>
      </c>
    </row>
    <row r="979" spans="1:37">
      <c r="A979" s="9">
        <v>1</v>
      </c>
      <c r="B979" s="9">
        <v>2023</v>
      </c>
      <c r="C979" s="9" t="s">
        <v>46</v>
      </c>
      <c r="D979" s="9" t="s">
        <v>47</v>
      </c>
      <c r="E979" s="9" t="s">
        <v>47</v>
      </c>
      <c r="F979" s="10">
        <v>45292</v>
      </c>
      <c r="G979" s="9" t="s">
        <v>156</v>
      </c>
      <c r="H979" s="9" t="s">
        <v>52</v>
      </c>
      <c r="I979" s="9">
        <v>1</v>
      </c>
      <c r="J979" s="11">
        <f t="shared" si="336"/>
        <v>12</v>
      </c>
      <c r="K979" s="9">
        <v>320</v>
      </c>
      <c r="L979" s="12">
        <v>0.15</v>
      </c>
      <c r="M979" s="12">
        <v>48</v>
      </c>
      <c r="N979" s="13" t="s">
        <v>49</v>
      </c>
      <c r="Q979" s="9">
        <f>IF(Auction_Sales[[#This Row],[Payment Date]]=0,"",-1+WEEKNUM(Auction_Sales[[#This Row],[Payment Date]]))</f>
        <v>1</v>
      </c>
      <c r="R979" s="9">
        <f t="shared" si="339"/>
        <v>0</v>
      </c>
      <c r="S979" s="1" t="str">
        <f t="shared" si="340"/>
        <v>Polyantha Roses</v>
      </c>
      <c r="T979" s="9" t="str">
        <f t="shared" si="340"/>
        <v>70CM</v>
      </c>
      <c r="U979" s="9">
        <v>320</v>
      </c>
      <c r="V979" s="13">
        <f>145.6/320</f>
        <v>0.45499999999999996</v>
      </c>
      <c r="W979" s="13">
        <f t="shared" si="315"/>
        <v>145.6</v>
      </c>
      <c r="X979" s="14">
        <f t="shared" si="338"/>
        <v>-12.50999225406661</v>
      </c>
      <c r="Y979" s="13">
        <f t="shared" si="320"/>
        <v>133.09000774593338</v>
      </c>
      <c r="Z979" s="10">
        <v>45301</v>
      </c>
      <c r="AA979" s="9">
        <f t="shared" si="321"/>
        <v>0</v>
      </c>
      <c r="AC979" s="9" t="s">
        <v>88</v>
      </c>
      <c r="AD979" s="14">
        <f t="shared" si="337"/>
        <v>35.598813559322032</v>
      </c>
      <c r="AF979" s="14">
        <f t="shared" si="332"/>
        <v>6.4</v>
      </c>
      <c r="AH979" s="14">
        <f t="shared" si="333"/>
        <v>41.998813559322031</v>
      </c>
      <c r="AI979" s="13">
        <f t="shared" si="334"/>
        <v>91.091194186611347</v>
      </c>
      <c r="AK979" s="9">
        <f t="shared" si="335"/>
        <v>320</v>
      </c>
    </row>
    <row r="980" spans="1:37">
      <c r="A980" s="9">
        <v>1</v>
      </c>
      <c r="B980" s="9">
        <v>2023</v>
      </c>
      <c r="C980" s="9" t="s">
        <v>46</v>
      </c>
      <c r="D980" s="9" t="s">
        <v>47</v>
      </c>
      <c r="E980" s="9" t="s">
        <v>47</v>
      </c>
      <c r="F980" s="10">
        <v>45292</v>
      </c>
      <c r="G980" s="9" t="s">
        <v>156</v>
      </c>
      <c r="H980" s="9" t="s">
        <v>54</v>
      </c>
      <c r="I980" s="9">
        <v>1</v>
      </c>
      <c r="J980" s="11">
        <f t="shared" si="336"/>
        <v>12</v>
      </c>
      <c r="K980" s="9">
        <v>280</v>
      </c>
      <c r="L980" s="12">
        <v>0.15</v>
      </c>
      <c r="M980" s="12">
        <v>42</v>
      </c>
      <c r="N980" s="13" t="s">
        <v>49</v>
      </c>
      <c r="Q980" s="9">
        <f>IF(Auction_Sales[[#This Row],[Payment Date]]=0,"",-1+WEEKNUM(Auction_Sales[[#This Row],[Payment Date]]))</f>
        <v>1</v>
      </c>
      <c r="R980" s="9">
        <f t="shared" si="317"/>
        <v>0</v>
      </c>
      <c r="S980" s="1" t="str">
        <f t="shared" si="340"/>
        <v>Polyantha Roses</v>
      </c>
      <c r="T980" s="9" t="str">
        <f t="shared" si="340"/>
        <v>80CM</v>
      </c>
      <c r="U980" s="9">
        <v>280</v>
      </c>
      <c r="V980" s="13">
        <f>170.8/280</f>
        <v>0.61</v>
      </c>
      <c r="W980" s="13">
        <f t="shared" si="315"/>
        <v>170.79999999999998</v>
      </c>
      <c r="X980" s="14">
        <f t="shared" si="338"/>
        <v>-10.946243222308283</v>
      </c>
      <c r="Y980" s="13">
        <f t="shared" si="320"/>
        <v>159.8537567776917</v>
      </c>
      <c r="Z980" s="10">
        <v>45301</v>
      </c>
      <c r="AA980" s="9">
        <f t="shared" si="321"/>
        <v>0</v>
      </c>
      <c r="AC980" s="9" t="s">
        <v>88</v>
      </c>
      <c r="AD980" s="14">
        <f t="shared" si="337"/>
        <v>35.598813559322032</v>
      </c>
      <c r="AF980" s="14">
        <f t="shared" si="332"/>
        <v>5.6000000000000005</v>
      </c>
      <c r="AH980" s="14">
        <f t="shared" si="333"/>
        <v>41.198813559322033</v>
      </c>
      <c r="AI980" s="13">
        <f t="shared" si="334"/>
        <v>118.65494321836967</v>
      </c>
      <c r="AK980" s="9">
        <f t="shared" si="335"/>
        <v>280</v>
      </c>
    </row>
    <row r="981" spans="1:37">
      <c r="A981" s="9">
        <v>1</v>
      </c>
      <c r="B981" s="9">
        <v>2023</v>
      </c>
      <c r="C981" s="9" t="s">
        <v>46</v>
      </c>
      <c r="D981" s="9" t="s">
        <v>47</v>
      </c>
      <c r="E981" s="9" t="s">
        <v>47</v>
      </c>
      <c r="F981" s="10">
        <v>45292</v>
      </c>
      <c r="G981" s="9" t="s">
        <v>156</v>
      </c>
      <c r="H981" s="9" t="s">
        <v>60</v>
      </c>
      <c r="I981" s="9">
        <v>1</v>
      </c>
      <c r="J981" s="11">
        <f t="shared" si="336"/>
        <v>12</v>
      </c>
      <c r="K981" s="9">
        <v>160</v>
      </c>
      <c r="L981" s="12">
        <v>0.15</v>
      </c>
      <c r="M981" s="12">
        <v>24</v>
      </c>
      <c r="N981" s="13" t="s">
        <v>49</v>
      </c>
      <c r="Q981" s="9">
        <f>IF(Auction_Sales[[#This Row],[Payment Date]]=0,"",-1+WEEKNUM(Auction_Sales[[#This Row],[Payment Date]]))</f>
        <v>1</v>
      </c>
      <c r="R981" s="9">
        <f t="shared" si="317"/>
        <v>-80</v>
      </c>
      <c r="S981" s="1" t="str">
        <f t="shared" si="340"/>
        <v>Polyantha Roses</v>
      </c>
      <c r="T981" s="9" t="str">
        <f t="shared" si="340"/>
        <v>110CM</v>
      </c>
      <c r="U981" s="9">
        <v>240</v>
      </c>
      <c r="V981" s="13">
        <f>267.6/240</f>
        <v>1.115</v>
      </c>
      <c r="W981" s="13">
        <f t="shared" si="315"/>
        <v>267.60000000000002</v>
      </c>
      <c r="X981" s="14">
        <f t="shared" si="338"/>
        <v>-9.3824941905499575</v>
      </c>
      <c r="Y981" s="13">
        <f t="shared" si="320"/>
        <v>258.21750580945007</v>
      </c>
      <c r="Z981" s="10">
        <v>45301</v>
      </c>
      <c r="AA981" s="9">
        <f t="shared" si="321"/>
        <v>80</v>
      </c>
      <c r="AC981" s="9" t="s">
        <v>88</v>
      </c>
      <c r="AD981" s="14">
        <f t="shared" si="337"/>
        <v>35.598813559322032</v>
      </c>
      <c r="AF981" s="14">
        <f t="shared" si="332"/>
        <v>4.8</v>
      </c>
      <c r="AH981" s="14">
        <f t="shared" si="333"/>
        <v>40.398813559322029</v>
      </c>
      <c r="AI981" s="13">
        <f t="shared" si="334"/>
        <v>217.81869225012804</v>
      </c>
      <c r="AK981" s="9">
        <f t="shared" si="335"/>
        <v>240</v>
      </c>
    </row>
    <row r="982" spans="1:37">
      <c r="A982" s="9">
        <v>1</v>
      </c>
      <c r="B982" s="9">
        <v>2023</v>
      </c>
      <c r="C982" s="9" t="s">
        <v>46</v>
      </c>
      <c r="D982" s="9" t="s">
        <v>47</v>
      </c>
      <c r="E982" s="9" t="s">
        <v>47</v>
      </c>
      <c r="F982" s="10">
        <v>45292</v>
      </c>
      <c r="G982" s="9" t="s">
        <v>154</v>
      </c>
      <c r="H982" s="9" t="s">
        <v>52</v>
      </c>
      <c r="I982" s="9">
        <v>3</v>
      </c>
      <c r="J982" s="11">
        <f t="shared" si="336"/>
        <v>36</v>
      </c>
      <c r="K982" s="9">
        <v>960</v>
      </c>
      <c r="L982" s="12">
        <v>0.15</v>
      </c>
      <c r="M982" s="12">
        <v>144</v>
      </c>
      <c r="N982" s="13" t="s">
        <v>49</v>
      </c>
      <c r="Q982" s="9">
        <f>IF(Auction_Sales[[#This Row],[Payment Date]]=0,"",-1+WEEKNUM(Auction_Sales[[#This Row],[Payment Date]]))</f>
        <v>1</v>
      </c>
      <c r="R982" s="9">
        <f t="shared" si="317"/>
        <v>-120</v>
      </c>
      <c r="S982" s="1" t="str">
        <f t="shared" si="340"/>
        <v>English Roses</v>
      </c>
      <c r="T982" s="9" t="str">
        <f t="shared" si="340"/>
        <v>70CM</v>
      </c>
      <c r="U982" s="1">
        <v>1080</v>
      </c>
      <c r="V982" s="15">
        <f>298.4/1080</f>
        <v>0.27629629629629626</v>
      </c>
      <c r="W982" s="15">
        <f t="shared" si="315"/>
        <v>298.39999999999998</v>
      </c>
      <c r="X982" s="29">
        <f>-(2077.6-1838.83)*U982/(5200)</f>
        <v>-49.590692307692301</v>
      </c>
      <c r="Y982" s="15">
        <f t="shared" si="320"/>
        <v>248.80930769230767</v>
      </c>
      <c r="Z982" s="10">
        <v>45301</v>
      </c>
      <c r="AA982" s="9">
        <f t="shared" si="321"/>
        <v>120</v>
      </c>
      <c r="AC982" s="9" t="s">
        <v>88</v>
      </c>
      <c r="AD982" s="14">
        <f t="shared" si="337"/>
        <v>106.7964406779661</v>
      </c>
      <c r="AF982" s="14">
        <f t="shared" si="332"/>
        <v>21.6</v>
      </c>
      <c r="AH982" s="14">
        <f t="shared" si="333"/>
        <v>128.3964406779661</v>
      </c>
      <c r="AI982" s="13">
        <f t="shared" si="334"/>
        <v>120.41286701434157</v>
      </c>
      <c r="AK982" s="9">
        <f t="shared" si="335"/>
        <v>1080</v>
      </c>
    </row>
    <row r="983" spans="1:37">
      <c r="A983" s="9">
        <v>1</v>
      </c>
      <c r="B983" s="9">
        <v>2023</v>
      </c>
      <c r="C983" s="9" t="s">
        <v>46</v>
      </c>
      <c r="D983" s="9" t="s">
        <v>47</v>
      </c>
      <c r="E983" s="9" t="s">
        <v>47</v>
      </c>
      <c r="F983" s="10">
        <v>45292</v>
      </c>
      <c r="G983" s="9" t="s">
        <v>154</v>
      </c>
      <c r="H983" s="9" t="s">
        <v>54</v>
      </c>
      <c r="I983" s="9">
        <v>3</v>
      </c>
      <c r="J983" s="11">
        <f t="shared" si="336"/>
        <v>36</v>
      </c>
      <c r="K983" s="9">
        <v>840</v>
      </c>
      <c r="L983" s="12">
        <v>0.15</v>
      </c>
      <c r="M983" s="12">
        <v>126</v>
      </c>
      <c r="N983" s="13" t="s">
        <v>49</v>
      </c>
      <c r="Q983" s="9">
        <f>IF(Auction_Sales[[#This Row],[Payment Date]]=0,"",-1+WEEKNUM(Auction_Sales[[#This Row],[Payment Date]]))</f>
        <v>1</v>
      </c>
      <c r="R983" s="9">
        <f t="shared" si="317"/>
        <v>0</v>
      </c>
      <c r="S983" s="1" t="str">
        <f t="shared" si="340"/>
        <v>English Roses</v>
      </c>
      <c r="T983" s="9" t="str">
        <f t="shared" si="340"/>
        <v>80CM</v>
      </c>
      <c r="U983" s="9">
        <v>840</v>
      </c>
      <c r="V983" s="13">
        <f>233.2/840</f>
        <v>0.2776190476190476</v>
      </c>
      <c r="W983" s="13">
        <f t="shared" si="315"/>
        <v>233.2</v>
      </c>
      <c r="X983" s="14">
        <f t="shared" si="338"/>
        <v>-32.838729666924849</v>
      </c>
      <c r="Y983" s="13">
        <f t="shared" si="320"/>
        <v>200.36127033307514</v>
      </c>
      <c r="Z983" s="10">
        <v>45301</v>
      </c>
      <c r="AA983" s="9">
        <f t="shared" si="321"/>
        <v>0</v>
      </c>
      <c r="AC983" s="9" t="s">
        <v>88</v>
      </c>
      <c r="AD983" s="14">
        <f t="shared" si="337"/>
        <v>106.7964406779661</v>
      </c>
      <c r="AF983" s="14">
        <f t="shared" si="332"/>
        <v>16.8</v>
      </c>
      <c r="AH983" s="14">
        <f t="shared" si="333"/>
        <v>123.5964406779661</v>
      </c>
      <c r="AI983" s="13">
        <f t="shared" si="334"/>
        <v>76.76482965510904</v>
      </c>
      <c r="AK983" s="9">
        <f t="shared" si="335"/>
        <v>840</v>
      </c>
    </row>
    <row r="984" spans="1:37">
      <c r="A984" s="9">
        <v>1</v>
      </c>
      <c r="B984" s="9">
        <v>2023</v>
      </c>
      <c r="C984" s="9" t="s">
        <v>46</v>
      </c>
      <c r="D984" s="9" t="s">
        <v>47</v>
      </c>
      <c r="E984" s="9" t="s">
        <v>47</v>
      </c>
      <c r="F984" s="10">
        <v>45292</v>
      </c>
      <c r="G984" s="9" t="s">
        <v>154</v>
      </c>
      <c r="H984" s="9" t="s">
        <v>56</v>
      </c>
      <c r="I984" s="9">
        <v>1</v>
      </c>
      <c r="J984" s="11">
        <f t="shared" si="336"/>
        <v>12</v>
      </c>
      <c r="K984" s="9">
        <v>240</v>
      </c>
      <c r="L984" s="12">
        <v>0.15</v>
      </c>
      <c r="M984" s="12">
        <v>36</v>
      </c>
      <c r="N984" s="13" t="s">
        <v>49</v>
      </c>
      <c r="Q984" s="9">
        <f>IF(Auction_Sales[[#This Row],[Payment Date]]=0,"",-1+WEEKNUM(Auction_Sales[[#This Row],[Payment Date]]))</f>
        <v>1</v>
      </c>
      <c r="R984" s="9">
        <f t="shared" si="317"/>
        <v>-200</v>
      </c>
      <c r="S984" s="1" t="str">
        <f t="shared" si="340"/>
        <v>English Roses</v>
      </c>
      <c r="T984" s="9" t="str">
        <f t="shared" si="340"/>
        <v>90CM</v>
      </c>
      <c r="U984" s="9">
        <v>440</v>
      </c>
      <c r="V984" s="13">
        <f>171.2/440</f>
        <v>0.38909090909090904</v>
      </c>
      <c r="W984" s="13">
        <f t="shared" si="315"/>
        <v>171.2</v>
      </c>
      <c r="X984" s="14">
        <f t="shared" si="338"/>
        <v>-17.201239349341588</v>
      </c>
      <c r="Y984" s="13">
        <f t="shared" si="320"/>
        <v>153.9987606506584</v>
      </c>
      <c r="Z984" s="10">
        <v>45301</v>
      </c>
      <c r="AA984" s="9">
        <f t="shared" si="321"/>
        <v>200</v>
      </c>
      <c r="AC984" s="9" t="s">
        <v>88</v>
      </c>
      <c r="AD984" s="14">
        <f t="shared" si="337"/>
        <v>35.598813559322032</v>
      </c>
      <c r="AF984" s="14">
        <f t="shared" si="332"/>
        <v>8.8000000000000007</v>
      </c>
      <c r="AH984" s="14">
        <f t="shared" si="333"/>
        <v>44.398813559322036</v>
      </c>
      <c r="AI984" s="13">
        <f t="shared" si="334"/>
        <v>109.59994709133636</v>
      </c>
      <c r="AK984" s="9">
        <f t="shared" si="335"/>
        <v>440</v>
      </c>
    </row>
    <row r="985" spans="1:37">
      <c r="A985" s="9">
        <v>1</v>
      </c>
      <c r="B985" s="9">
        <v>2023</v>
      </c>
      <c r="C985" s="9" t="s">
        <v>46</v>
      </c>
      <c r="D985" s="9" t="s">
        <v>47</v>
      </c>
      <c r="E985" s="9" t="s">
        <v>47</v>
      </c>
      <c r="F985" s="10">
        <v>45292</v>
      </c>
      <c r="G985" s="9" t="s">
        <v>154</v>
      </c>
      <c r="H985" s="9" t="s">
        <v>56</v>
      </c>
      <c r="I985" s="9">
        <v>1</v>
      </c>
      <c r="J985" s="11">
        <f t="shared" si="336"/>
        <v>12</v>
      </c>
      <c r="K985" s="9">
        <v>200</v>
      </c>
      <c r="L985" s="12">
        <v>0.15</v>
      </c>
      <c r="M985" s="12">
        <v>30</v>
      </c>
      <c r="N985" s="13" t="s">
        <v>49</v>
      </c>
      <c r="Q985" s="9">
        <f>IF(Auction_Sales[[#This Row],[Payment Date]]=0,"",-1+WEEKNUM(Auction_Sales[[#This Row],[Payment Date]]))</f>
        <v>1</v>
      </c>
      <c r="R985" s="9">
        <f>K985-U985</f>
        <v>200</v>
      </c>
      <c r="S985" s="1" t="str">
        <f t="shared" si="340"/>
        <v>English Roses</v>
      </c>
      <c r="T985" s="9" t="str">
        <f t="shared" si="340"/>
        <v>90CM</v>
      </c>
      <c r="W985" s="13">
        <f t="shared" si="315"/>
        <v>0</v>
      </c>
      <c r="X985" s="14">
        <f t="shared" si="338"/>
        <v>0</v>
      </c>
      <c r="Y985" s="13">
        <f t="shared" si="320"/>
        <v>0</v>
      </c>
      <c r="Z985" s="10">
        <v>45301</v>
      </c>
      <c r="AA985" s="9">
        <f t="shared" si="321"/>
        <v>-200</v>
      </c>
      <c r="AC985" s="9" t="s">
        <v>88</v>
      </c>
      <c r="AD985" s="14">
        <f t="shared" si="337"/>
        <v>35.598813559322032</v>
      </c>
      <c r="AF985" s="14">
        <f t="shared" si="332"/>
        <v>0</v>
      </c>
      <c r="AH985" s="14">
        <f t="shared" si="333"/>
        <v>35.598813559322032</v>
      </c>
      <c r="AI985" s="13">
        <f t="shared" si="334"/>
        <v>-35.598813559322032</v>
      </c>
      <c r="AK985" s="9">
        <f t="shared" si="335"/>
        <v>0</v>
      </c>
    </row>
    <row r="986" spans="1:37">
      <c r="A986" s="9">
        <v>1</v>
      </c>
      <c r="B986" s="9">
        <v>2023</v>
      </c>
      <c r="C986" s="9" t="s">
        <v>46</v>
      </c>
      <c r="D986" s="9" t="s">
        <v>47</v>
      </c>
      <c r="E986" s="9" t="s">
        <v>47</v>
      </c>
      <c r="F986" s="10">
        <v>45292</v>
      </c>
      <c r="G986" s="9" t="s">
        <v>154</v>
      </c>
      <c r="H986" s="9" t="s">
        <v>60</v>
      </c>
      <c r="I986" s="9">
        <v>1</v>
      </c>
      <c r="J986" s="11">
        <f t="shared" si="336"/>
        <v>12</v>
      </c>
      <c r="K986" s="9">
        <v>160</v>
      </c>
      <c r="L986" s="12">
        <v>0.15</v>
      </c>
      <c r="M986" s="12">
        <v>24</v>
      </c>
      <c r="N986" s="13" t="s">
        <v>49</v>
      </c>
      <c r="Q986" s="9">
        <f>IF(Auction_Sales[[#This Row],[Payment Date]]=0,"",-1+WEEKNUM(Auction_Sales[[#This Row],[Payment Date]]))</f>
        <v>1</v>
      </c>
      <c r="R986" s="9">
        <f>K986-U986</f>
        <v>-80</v>
      </c>
      <c r="S986" s="1" t="str">
        <f t="shared" si="340"/>
        <v>English Roses</v>
      </c>
      <c r="T986" s="9" t="str">
        <f t="shared" si="340"/>
        <v>110CM</v>
      </c>
      <c r="U986" s="9">
        <v>240</v>
      </c>
      <c r="V986" s="13">
        <f>182.4/240</f>
        <v>0.76</v>
      </c>
      <c r="W986" s="13">
        <f t="shared" si="315"/>
        <v>182.4</v>
      </c>
      <c r="X986" s="14">
        <f t="shared" si="338"/>
        <v>-9.3824941905499575</v>
      </c>
      <c r="Y986" s="13">
        <f t="shared" si="320"/>
        <v>173.01750580945006</v>
      </c>
      <c r="Z986" s="10">
        <v>45301</v>
      </c>
      <c r="AA986" s="9">
        <f t="shared" si="321"/>
        <v>80</v>
      </c>
      <c r="AC986" s="9" t="s">
        <v>88</v>
      </c>
      <c r="AD986" s="14">
        <f t="shared" si="337"/>
        <v>35.598813559322032</v>
      </c>
      <c r="AF986" s="14">
        <f t="shared" si="332"/>
        <v>4.8</v>
      </c>
      <c r="AH986" s="14">
        <f t="shared" si="333"/>
        <v>40.398813559322029</v>
      </c>
      <c r="AI986" s="13">
        <f t="shared" si="334"/>
        <v>132.61869225012802</v>
      </c>
      <c r="AK986" s="9">
        <f t="shared" si="335"/>
        <v>240</v>
      </c>
    </row>
    <row r="987" spans="1:37">
      <c r="A987" s="9">
        <v>1</v>
      </c>
      <c r="B987" s="9">
        <v>2023</v>
      </c>
      <c r="C987" s="9" t="s">
        <v>46</v>
      </c>
      <c r="D987" s="9" t="s">
        <v>47</v>
      </c>
      <c r="E987" s="9" t="s">
        <v>47</v>
      </c>
      <c r="F987" s="10">
        <v>45292</v>
      </c>
      <c r="G987" s="9" t="s">
        <v>156</v>
      </c>
      <c r="H987" s="9" t="s">
        <v>57</v>
      </c>
      <c r="I987" s="9">
        <v>1</v>
      </c>
      <c r="J987" s="11">
        <f>K987/200*12</f>
        <v>7.1999999999999993</v>
      </c>
      <c r="K987" s="9">
        <v>120</v>
      </c>
      <c r="L987" s="12">
        <v>0.15</v>
      </c>
      <c r="M987" s="12">
        <v>18</v>
      </c>
      <c r="N987" s="13" t="s">
        <v>49</v>
      </c>
      <c r="Q987" s="9">
        <f>IF(Auction_Sales[[#This Row],[Payment Date]]=0,"",-1+WEEKNUM(Auction_Sales[[#This Row],[Payment Date]]))</f>
        <v>1</v>
      </c>
      <c r="R987" s="9">
        <f t="shared" si="317"/>
        <v>-40</v>
      </c>
      <c r="S987" s="1" t="str">
        <f t="shared" si="340"/>
        <v>Polyantha Roses</v>
      </c>
      <c r="T987" s="9" t="str">
        <f t="shared" si="340"/>
        <v>100CM</v>
      </c>
      <c r="U987" s="9">
        <v>160</v>
      </c>
      <c r="V987" s="13">
        <f>130.4/160</f>
        <v>0.81500000000000006</v>
      </c>
      <c r="W987" s="13">
        <f t="shared" si="315"/>
        <v>130.4</v>
      </c>
      <c r="X987" s="14">
        <f t="shared" si="338"/>
        <v>-6.254996127033305</v>
      </c>
      <c r="Y987" s="13">
        <f t="shared" si="320"/>
        <v>124.1450038729667</v>
      </c>
      <c r="Z987" s="10">
        <v>45301</v>
      </c>
      <c r="AA987" s="9">
        <f t="shared" si="321"/>
        <v>40</v>
      </c>
      <c r="AC987" s="9" t="s">
        <v>88</v>
      </c>
      <c r="AD987" s="14">
        <f t="shared" si="337"/>
        <v>21.359288135593218</v>
      </c>
      <c r="AF987" s="14">
        <f t="shared" si="332"/>
        <v>3.2</v>
      </c>
      <c r="AH987" s="14">
        <f t="shared" si="333"/>
        <v>24.559288135593217</v>
      </c>
      <c r="AI987" s="13">
        <f t="shared" si="334"/>
        <v>99.585715737373476</v>
      </c>
      <c r="AK987" s="9">
        <f t="shared" si="335"/>
        <v>160</v>
      </c>
    </row>
    <row r="988" spans="1:37">
      <c r="A988" s="9">
        <v>1</v>
      </c>
      <c r="B988" s="9">
        <v>2023</v>
      </c>
      <c r="C988" s="9" t="s">
        <v>46</v>
      </c>
      <c r="D988" s="9" t="s">
        <v>47</v>
      </c>
      <c r="E988" s="9" t="s">
        <v>47</v>
      </c>
      <c r="F988" s="10">
        <v>45292</v>
      </c>
      <c r="G988" s="9" t="s">
        <v>156</v>
      </c>
      <c r="H988" s="9" t="s">
        <v>60</v>
      </c>
      <c r="J988" s="11">
        <f>K988/200*12</f>
        <v>4.8000000000000007</v>
      </c>
      <c r="K988" s="9">
        <v>80</v>
      </c>
      <c r="L988" s="12">
        <v>0.15</v>
      </c>
      <c r="M988" s="12">
        <v>12</v>
      </c>
      <c r="N988" s="13" t="s">
        <v>49</v>
      </c>
      <c r="Q988" s="9">
        <f>IF(Auction_Sales[[#This Row],[Payment Date]]=0,"",-1+WEEKNUM(Auction_Sales[[#This Row],[Payment Date]]))</f>
        <v>1</v>
      </c>
      <c r="R988" s="9">
        <f t="shared" si="317"/>
        <v>80</v>
      </c>
      <c r="S988" s="1" t="str">
        <f t="shared" si="340"/>
        <v>Polyantha Roses</v>
      </c>
      <c r="T988" s="9" t="str">
        <f t="shared" si="340"/>
        <v>110CM</v>
      </c>
      <c r="W988" s="13">
        <f t="shared" si="315"/>
        <v>0</v>
      </c>
      <c r="X988" s="14">
        <f t="shared" si="338"/>
        <v>0</v>
      </c>
      <c r="Y988" s="13">
        <f t="shared" si="320"/>
        <v>0</v>
      </c>
      <c r="Z988" s="10">
        <v>45301</v>
      </c>
      <c r="AA988" s="9">
        <f t="shared" si="321"/>
        <v>-80</v>
      </c>
      <c r="AC988" s="9" t="s">
        <v>88</v>
      </c>
      <c r="AD988" s="14">
        <f t="shared" si="337"/>
        <v>14.239525423728814</v>
      </c>
      <c r="AF988" s="14">
        <f t="shared" si="332"/>
        <v>0</v>
      </c>
      <c r="AH988" s="14">
        <f t="shared" si="333"/>
        <v>14.239525423728814</v>
      </c>
      <c r="AI988" s="13">
        <f t="shared" si="334"/>
        <v>-14.239525423728814</v>
      </c>
      <c r="AK988" s="9">
        <f t="shared" si="335"/>
        <v>0</v>
      </c>
    </row>
    <row r="989" spans="1:37">
      <c r="A989" s="9">
        <v>1</v>
      </c>
      <c r="B989" s="9">
        <v>2023</v>
      </c>
      <c r="C989" s="9" t="s">
        <v>46</v>
      </c>
      <c r="D989" s="9" t="s">
        <v>47</v>
      </c>
      <c r="E989" s="9" t="s">
        <v>47</v>
      </c>
      <c r="F989" s="10">
        <v>45292</v>
      </c>
      <c r="G989" s="9" t="s">
        <v>156</v>
      </c>
      <c r="H989" s="9" t="s">
        <v>57</v>
      </c>
      <c r="I989" s="9">
        <v>1</v>
      </c>
      <c r="J989" s="11">
        <f>K989/200*12</f>
        <v>2.4000000000000004</v>
      </c>
      <c r="K989" s="9">
        <v>40</v>
      </c>
      <c r="L989" s="12">
        <v>0.15</v>
      </c>
      <c r="M989" s="12">
        <v>6</v>
      </c>
      <c r="N989" s="13" t="s">
        <v>49</v>
      </c>
      <c r="Q989" s="9">
        <f>IF(Auction_Sales[[#This Row],[Payment Date]]=0,"",-1+WEEKNUM(Auction_Sales[[#This Row],[Payment Date]]))</f>
        <v>1</v>
      </c>
      <c r="R989" s="9">
        <f t="shared" si="317"/>
        <v>40</v>
      </c>
      <c r="S989" s="1" t="str">
        <f t="shared" si="340"/>
        <v>Polyantha Roses</v>
      </c>
      <c r="T989" s="9" t="str">
        <f t="shared" si="340"/>
        <v>100CM</v>
      </c>
      <c r="W989" s="13">
        <f t="shared" si="315"/>
        <v>0</v>
      </c>
      <c r="X989" s="14">
        <f t="shared" si="338"/>
        <v>0</v>
      </c>
      <c r="Y989" s="13">
        <f t="shared" si="320"/>
        <v>0</v>
      </c>
      <c r="Z989" s="10">
        <v>45301</v>
      </c>
      <c r="AA989" s="9">
        <f t="shared" si="321"/>
        <v>-40</v>
      </c>
      <c r="AC989" s="9" t="s">
        <v>88</v>
      </c>
      <c r="AD989" s="14">
        <f t="shared" si="337"/>
        <v>7.1197627118644071</v>
      </c>
      <c r="AF989" s="14">
        <f t="shared" si="332"/>
        <v>0</v>
      </c>
      <c r="AH989" s="14">
        <f t="shared" si="333"/>
        <v>7.1197627118644071</v>
      </c>
      <c r="AI989" s="13">
        <f t="shared" si="334"/>
        <v>-7.1197627118644071</v>
      </c>
      <c r="AK989" s="9">
        <f t="shared" si="335"/>
        <v>0</v>
      </c>
    </row>
    <row r="990" spans="1:37">
      <c r="A990" s="9">
        <v>1</v>
      </c>
      <c r="B990" s="9">
        <v>2023</v>
      </c>
      <c r="C990" s="9" t="s">
        <v>46</v>
      </c>
      <c r="D990" s="9" t="s">
        <v>47</v>
      </c>
      <c r="E990" s="9" t="s">
        <v>47</v>
      </c>
      <c r="F990" s="10">
        <v>45292</v>
      </c>
      <c r="G990" s="9" t="s">
        <v>156</v>
      </c>
      <c r="H990" s="9" t="s">
        <v>56</v>
      </c>
      <c r="J990" s="11">
        <f>K990/200*12</f>
        <v>9.6000000000000014</v>
      </c>
      <c r="K990" s="9">
        <v>160</v>
      </c>
      <c r="L990" s="12">
        <v>0.15</v>
      </c>
      <c r="M990" s="12">
        <v>24</v>
      </c>
      <c r="N990" s="13" t="s">
        <v>49</v>
      </c>
      <c r="Q990" s="9">
        <f>IF(Auction_Sales[[#This Row],[Payment Date]]=0,"",-1+WEEKNUM(Auction_Sales[[#This Row],[Payment Date]]))</f>
        <v>1</v>
      </c>
      <c r="R990" s="9">
        <f t="shared" si="317"/>
        <v>0</v>
      </c>
      <c r="S990" s="1" t="str">
        <f t="shared" si="340"/>
        <v>Polyantha Roses</v>
      </c>
      <c r="T990" s="9" t="str">
        <f t="shared" si="340"/>
        <v>90CM</v>
      </c>
      <c r="U990" s="9">
        <v>160</v>
      </c>
      <c r="V990" s="13">
        <f>112/160</f>
        <v>0.7</v>
      </c>
      <c r="W990" s="13">
        <f t="shared" si="315"/>
        <v>112</v>
      </c>
      <c r="X990" s="14">
        <f t="shared" si="338"/>
        <v>-6.254996127033305</v>
      </c>
      <c r="Y990" s="13">
        <f t="shared" si="320"/>
        <v>105.74500387296669</v>
      </c>
      <c r="Z990" s="10">
        <v>45301</v>
      </c>
      <c r="AA990" s="9">
        <f t="shared" si="321"/>
        <v>0</v>
      </c>
      <c r="AC990" s="9" t="s">
        <v>88</v>
      </c>
      <c r="AD990" s="14">
        <f t="shared" si="337"/>
        <v>28.479050847457628</v>
      </c>
      <c r="AF990" s="14">
        <f t="shared" si="332"/>
        <v>3.2</v>
      </c>
      <c r="AH990" s="14">
        <f t="shared" si="333"/>
        <v>31.679050847457628</v>
      </c>
      <c r="AI990" s="13">
        <f t="shared" si="334"/>
        <v>74.06595302550906</v>
      </c>
      <c r="AK990" s="9">
        <f t="shared" si="335"/>
        <v>160</v>
      </c>
    </row>
    <row r="991" spans="1:37">
      <c r="A991" s="9">
        <v>1</v>
      </c>
      <c r="B991" s="9">
        <v>2023</v>
      </c>
      <c r="C991" s="9" t="s">
        <v>46</v>
      </c>
      <c r="D991" s="9" t="s">
        <v>47</v>
      </c>
      <c r="E991" s="9" t="s">
        <v>47</v>
      </c>
      <c r="F991" s="10">
        <v>45292</v>
      </c>
      <c r="G991" s="9" t="s">
        <v>153</v>
      </c>
      <c r="H991" s="9" t="s">
        <v>54</v>
      </c>
      <c r="I991" s="9">
        <v>1</v>
      </c>
      <c r="J991" s="11">
        <f>K991/400*12</f>
        <v>10.8</v>
      </c>
      <c r="K991" s="9">
        <v>360</v>
      </c>
      <c r="L991" s="12">
        <v>0.15</v>
      </c>
      <c r="M991" s="12">
        <v>54</v>
      </c>
      <c r="N991" s="13" t="s">
        <v>49</v>
      </c>
      <c r="Q991" s="9">
        <f>IF(Auction_Sales[[#This Row],[Payment Date]]=0,"",-1+WEEKNUM(Auction_Sales[[#This Row],[Payment Date]]))</f>
        <v>1</v>
      </c>
      <c r="R991" s="9">
        <f t="shared" si="317"/>
        <v>360</v>
      </c>
      <c r="S991" s="1" t="str">
        <f t="shared" si="340"/>
        <v>Grandiflora Roses</v>
      </c>
      <c r="T991" s="9" t="str">
        <f t="shared" si="340"/>
        <v>80CM</v>
      </c>
      <c r="W991" s="13">
        <f t="shared" si="315"/>
        <v>0</v>
      </c>
      <c r="X991" s="14">
        <f t="shared" si="338"/>
        <v>0</v>
      </c>
      <c r="Y991" s="13">
        <f t="shared" si="320"/>
        <v>0</v>
      </c>
      <c r="Z991" s="10">
        <v>45301</v>
      </c>
      <c r="AA991" s="9">
        <f t="shared" si="321"/>
        <v>-360</v>
      </c>
      <c r="AC991" s="9" t="s">
        <v>88</v>
      </c>
      <c r="AD991" s="14">
        <f t="shared" si="337"/>
        <v>32.038932203389834</v>
      </c>
      <c r="AF991" s="14">
        <f t="shared" si="332"/>
        <v>0</v>
      </c>
      <c r="AH991" s="14">
        <f t="shared" si="333"/>
        <v>32.038932203389834</v>
      </c>
      <c r="AI991" s="13">
        <f t="shared" si="334"/>
        <v>-32.038932203389834</v>
      </c>
      <c r="AK991" s="9">
        <f t="shared" si="335"/>
        <v>0</v>
      </c>
    </row>
    <row r="992" spans="1:37">
      <c r="A992" s="9">
        <v>1</v>
      </c>
      <c r="B992" s="9">
        <v>2023</v>
      </c>
      <c r="C992" s="9" t="s">
        <v>46</v>
      </c>
      <c r="D992" s="9" t="s">
        <v>47</v>
      </c>
      <c r="E992" s="9" t="s">
        <v>47</v>
      </c>
      <c r="F992" s="10">
        <v>45292</v>
      </c>
      <c r="G992" s="9" t="s">
        <v>153</v>
      </c>
      <c r="H992" s="9" t="s">
        <v>60</v>
      </c>
      <c r="J992" s="11">
        <f>K992/400*12</f>
        <v>1.2000000000000002</v>
      </c>
      <c r="K992" s="9">
        <v>40</v>
      </c>
      <c r="L992" s="12">
        <v>0.15</v>
      </c>
      <c r="M992" s="12">
        <v>6</v>
      </c>
      <c r="N992" s="13" t="s">
        <v>49</v>
      </c>
      <c r="Q992" s="9">
        <f>IF(Auction_Sales[[#This Row],[Payment Date]]=0,"",-1+WEEKNUM(Auction_Sales[[#This Row],[Payment Date]]))</f>
        <v>1</v>
      </c>
      <c r="R992" s="9">
        <f t="shared" si="317"/>
        <v>40</v>
      </c>
      <c r="S992" s="1" t="str">
        <f t="shared" si="340"/>
        <v>Grandiflora Roses</v>
      </c>
      <c r="T992" s="9" t="str">
        <f t="shared" si="340"/>
        <v>110CM</v>
      </c>
      <c r="W992" s="13">
        <f t="shared" si="315"/>
        <v>0</v>
      </c>
      <c r="X992" s="14">
        <f t="shared" si="338"/>
        <v>0</v>
      </c>
      <c r="Y992" s="13">
        <f t="shared" si="320"/>
        <v>0</v>
      </c>
      <c r="Z992" s="10">
        <v>45301</v>
      </c>
      <c r="AA992" s="9">
        <f t="shared" si="321"/>
        <v>-40</v>
      </c>
      <c r="AC992" s="9" t="s">
        <v>88</v>
      </c>
      <c r="AD992" s="14">
        <f t="shared" si="337"/>
        <v>3.5598813559322036</v>
      </c>
      <c r="AF992" s="14">
        <f t="shared" si="332"/>
        <v>0</v>
      </c>
      <c r="AH992" s="14">
        <f t="shared" si="333"/>
        <v>3.5598813559322036</v>
      </c>
      <c r="AI992" s="13">
        <f t="shared" si="334"/>
        <v>-3.5598813559322036</v>
      </c>
      <c r="AK992" s="9">
        <f t="shared" si="335"/>
        <v>0</v>
      </c>
    </row>
    <row r="993" spans="1:37">
      <c r="A993" s="9">
        <v>1</v>
      </c>
      <c r="B993" s="9">
        <v>2023</v>
      </c>
      <c r="C993" s="9" t="s">
        <v>46</v>
      </c>
      <c r="D993" s="9" t="s">
        <v>47</v>
      </c>
      <c r="E993" s="9" t="s">
        <v>47</v>
      </c>
      <c r="F993" s="10">
        <v>45292</v>
      </c>
      <c r="G993" s="9" t="s">
        <v>155</v>
      </c>
      <c r="H993" s="9" t="s">
        <v>52</v>
      </c>
      <c r="I993" s="9">
        <v>1</v>
      </c>
      <c r="J993" s="11">
        <f>K993/360*12</f>
        <v>8</v>
      </c>
      <c r="K993" s="9">
        <v>240</v>
      </c>
      <c r="L993" s="12">
        <v>0.15</v>
      </c>
      <c r="M993" s="12">
        <v>36</v>
      </c>
      <c r="N993" s="13" t="s">
        <v>49</v>
      </c>
      <c r="Q993" s="9">
        <f>IF(Auction_Sales[[#This Row],[Payment Date]]=0,"",-1+WEEKNUM(Auction_Sales[[#This Row],[Payment Date]]))</f>
        <v>1</v>
      </c>
      <c r="R993" s="9">
        <f t="shared" si="317"/>
        <v>-640</v>
      </c>
      <c r="S993" s="1" t="str">
        <f t="shared" si="340"/>
        <v>Floribunda Roses</v>
      </c>
      <c r="T993" s="9" t="str">
        <f t="shared" si="340"/>
        <v>70CM</v>
      </c>
      <c r="U993" s="9">
        <v>880</v>
      </c>
      <c r="V993" s="13">
        <f>312/880</f>
        <v>0.35454545454545455</v>
      </c>
      <c r="W993" s="13">
        <f t="shared" si="315"/>
        <v>312</v>
      </c>
      <c r="X993" s="14">
        <f t="shared" si="338"/>
        <v>-34.402478698683176</v>
      </c>
      <c r="Y993" s="13">
        <f t="shared" si="320"/>
        <v>277.59752130131682</v>
      </c>
      <c r="Z993" s="10">
        <v>45301</v>
      </c>
      <c r="AA993" s="9">
        <f t="shared" si="321"/>
        <v>640</v>
      </c>
      <c r="AC993" s="9" t="s">
        <v>88</v>
      </c>
      <c r="AD993" s="14">
        <f t="shared" si="337"/>
        <v>23.732542372881355</v>
      </c>
      <c r="AF993" s="14">
        <f t="shared" si="332"/>
        <v>17.600000000000001</v>
      </c>
      <c r="AH993" s="14">
        <f t="shared" si="333"/>
        <v>41.332542372881356</v>
      </c>
      <c r="AI993" s="13">
        <f t="shared" si="334"/>
        <v>236.26497892843545</v>
      </c>
      <c r="AK993" s="9">
        <f t="shared" si="335"/>
        <v>880</v>
      </c>
    </row>
    <row r="994" spans="1:37">
      <c r="A994" s="9">
        <v>1</v>
      </c>
      <c r="B994" s="9">
        <v>2023</v>
      </c>
      <c r="C994" s="9" t="s">
        <v>46</v>
      </c>
      <c r="D994" s="9" t="s">
        <v>47</v>
      </c>
      <c r="E994" s="9" t="s">
        <v>47</v>
      </c>
      <c r="F994" s="10">
        <v>45292</v>
      </c>
      <c r="G994" s="9" t="s">
        <v>155</v>
      </c>
      <c r="H994" s="9" t="s">
        <v>54</v>
      </c>
      <c r="J994" s="11">
        <f>K994/360*12</f>
        <v>4</v>
      </c>
      <c r="K994" s="9">
        <v>120</v>
      </c>
      <c r="L994" s="12">
        <v>0.15</v>
      </c>
      <c r="M994" s="12">
        <v>18</v>
      </c>
      <c r="N994" s="13" t="s">
        <v>49</v>
      </c>
      <c r="Q994" s="9">
        <f>IF(Auction_Sales[[#This Row],[Payment Date]]=0,"",-1+WEEKNUM(Auction_Sales[[#This Row],[Payment Date]]))</f>
        <v>1</v>
      </c>
      <c r="R994" s="9">
        <f t="shared" si="317"/>
        <v>120</v>
      </c>
      <c r="S994" s="1" t="str">
        <f t="shared" si="340"/>
        <v>Floribunda Roses</v>
      </c>
      <c r="T994" s="9" t="str">
        <f t="shared" si="340"/>
        <v>80CM</v>
      </c>
      <c r="W994" s="13">
        <f t="shared" si="315"/>
        <v>0</v>
      </c>
      <c r="X994" s="14">
        <f t="shared" si="338"/>
        <v>0</v>
      </c>
      <c r="Y994" s="13">
        <f t="shared" si="320"/>
        <v>0</v>
      </c>
      <c r="Z994" s="10">
        <v>45301</v>
      </c>
      <c r="AA994" s="9">
        <f t="shared" si="321"/>
        <v>-120</v>
      </c>
      <c r="AC994" s="9" t="s">
        <v>88</v>
      </c>
      <c r="AD994" s="14">
        <f t="shared" si="337"/>
        <v>11.866271186440677</v>
      </c>
      <c r="AF994" s="14">
        <f t="shared" si="332"/>
        <v>0</v>
      </c>
      <c r="AH994" s="14">
        <f t="shared" si="333"/>
        <v>11.866271186440677</v>
      </c>
      <c r="AI994" s="13">
        <f t="shared" si="334"/>
        <v>-11.866271186440677</v>
      </c>
      <c r="AK994" s="9">
        <f t="shared" si="335"/>
        <v>0</v>
      </c>
    </row>
    <row r="995" spans="1:37">
      <c r="A995" s="9">
        <v>1</v>
      </c>
      <c r="B995" s="9">
        <v>2023</v>
      </c>
      <c r="C995" s="9" t="s">
        <v>46</v>
      </c>
      <c r="D995" s="9" t="s">
        <v>47</v>
      </c>
      <c r="E995" s="9" t="s">
        <v>47</v>
      </c>
      <c r="F995" s="10">
        <v>45292</v>
      </c>
      <c r="G995" s="9" t="s">
        <v>157</v>
      </c>
      <c r="H995" s="9" t="s">
        <v>56</v>
      </c>
      <c r="I995" s="9">
        <v>1</v>
      </c>
      <c r="J995" s="11">
        <f>K995/440*12</f>
        <v>2.1818181818181817</v>
      </c>
      <c r="K995" s="11">
        <v>80</v>
      </c>
      <c r="L995" s="12">
        <v>0.15</v>
      </c>
      <c r="M995" s="12">
        <v>12</v>
      </c>
      <c r="N995" s="13" t="s">
        <v>49</v>
      </c>
      <c r="Q995" s="9">
        <f>IF(Auction_Sales[[#This Row],[Payment Date]]=0,"",-1+WEEKNUM(Auction_Sales[[#This Row],[Payment Date]]))</f>
        <v>1</v>
      </c>
      <c r="R995" s="9">
        <f>K995-U995</f>
        <v>0</v>
      </c>
      <c r="S995" s="9" t="s">
        <v>157</v>
      </c>
      <c r="T995" s="9" t="str">
        <f t="shared" si="340"/>
        <v>90CM</v>
      </c>
      <c r="U995" s="9">
        <v>80</v>
      </c>
      <c r="V995" s="13">
        <f>40.8/80</f>
        <v>0.51</v>
      </c>
      <c r="W995" s="13">
        <f t="shared" si="315"/>
        <v>40.799999999999997</v>
      </c>
      <c r="X995" s="14">
        <f t="shared" si="338"/>
        <v>-3.1274980635166525</v>
      </c>
      <c r="Y995" s="13">
        <f t="shared" si="320"/>
        <v>37.672501936483343</v>
      </c>
      <c r="Z995" s="10">
        <v>45301</v>
      </c>
      <c r="AA995" s="9">
        <f t="shared" si="321"/>
        <v>0</v>
      </c>
      <c r="AC995" s="9" t="s">
        <v>88</v>
      </c>
      <c r="AD995" s="14">
        <f t="shared" si="337"/>
        <v>6.4725115562403692</v>
      </c>
      <c r="AF995" s="14">
        <f t="shared" si="332"/>
        <v>1.6</v>
      </c>
      <c r="AH995" s="14">
        <f t="shared" si="333"/>
        <v>8.0725115562403698</v>
      </c>
      <c r="AI995" s="13">
        <f t="shared" si="334"/>
        <v>29.599990380242971</v>
      </c>
      <c r="AK995" s="9">
        <f t="shared" si="335"/>
        <v>80</v>
      </c>
    </row>
    <row r="996" spans="1:37">
      <c r="A996" s="9">
        <v>1</v>
      </c>
      <c r="B996" s="9">
        <v>2023</v>
      </c>
      <c r="C996" s="9" t="s">
        <v>46</v>
      </c>
      <c r="D996" s="9" t="s">
        <v>47</v>
      </c>
      <c r="E996" s="9" t="s">
        <v>47</v>
      </c>
      <c r="F996" s="10">
        <v>45292</v>
      </c>
      <c r="G996" s="9" t="s">
        <v>157</v>
      </c>
      <c r="H996" s="9" t="s">
        <v>52</v>
      </c>
      <c r="J996" s="11">
        <f t="shared" ref="J996:J997" si="341">K996/440*12</f>
        <v>5.4545454545454541</v>
      </c>
      <c r="K996" s="11">
        <v>200</v>
      </c>
      <c r="L996" s="12">
        <v>0.15</v>
      </c>
      <c r="M996" s="12">
        <v>30</v>
      </c>
      <c r="N996" s="13" t="s">
        <v>49</v>
      </c>
      <c r="Q996" s="9">
        <f>IF(Auction_Sales[[#This Row],[Payment Date]]=0,"",-1+WEEKNUM(Auction_Sales[[#This Row],[Payment Date]]))</f>
        <v>1</v>
      </c>
      <c r="R996" s="9">
        <f t="shared" si="317"/>
        <v>0</v>
      </c>
      <c r="S996" s="9" t="s">
        <v>157</v>
      </c>
      <c r="T996" s="9" t="str">
        <f t="shared" si="340"/>
        <v>70CM</v>
      </c>
      <c r="U996" s="9">
        <v>200</v>
      </c>
      <c r="V996" s="13">
        <f>66/200</f>
        <v>0.33</v>
      </c>
      <c r="W996" s="13">
        <f t="shared" si="315"/>
        <v>66</v>
      </c>
      <c r="X996" s="14">
        <f t="shared" si="338"/>
        <v>-7.8187451587916321</v>
      </c>
      <c r="Y996" s="13">
        <f t="shared" si="320"/>
        <v>58.181254841208371</v>
      </c>
      <c r="Z996" s="10">
        <v>45301</v>
      </c>
      <c r="AA996" s="9">
        <f t="shared" si="321"/>
        <v>0</v>
      </c>
      <c r="AC996" s="9" t="s">
        <v>88</v>
      </c>
      <c r="AD996" s="14">
        <f t="shared" si="337"/>
        <v>16.181278890600922</v>
      </c>
      <c r="AF996" s="14">
        <f t="shared" si="332"/>
        <v>4</v>
      </c>
      <c r="AH996" s="14">
        <f t="shared" si="333"/>
        <v>20.181278890600922</v>
      </c>
      <c r="AI996" s="13">
        <f t="shared" si="334"/>
        <v>37.99997595060745</v>
      </c>
      <c r="AK996" s="9">
        <f t="shared" si="335"/>
        <v>200</v>
      </c>
    </row>
    <row r="997" spans="1:37">
      <c r="A997" s="9">
        <v>1</v>
      </c>
      <c r="B997" s="9">
        <v>2023</v>
      </c>
      <c r="C997" s="9" t="s">
        <v>46</v>
      </c>
      <c r="D997" s="9" t="s">
        <v>47</v>
      </c>
      <c r="E997" s="9" t="s">
        <v>47</v>
      </c>
      <c r="F997" s="10">
        <v>45292</v>
      </c>
      <c r="G997" s="9" t="s">
        <v>157</v>
      </c>
      <c r="H997" s="9" t="s">
        <v>54</v>
      </c>
      <c r="J997" s="11">
        <f t="shared" si="341"/>
        <v>4.3636363636363633</v>
      </c>
      <c r="K997" s="11">
        <v>160</v>
      </c>
      <c r="L997" s="12">
        <v>0.15</v>
      </c>
      <c r="M997" s="12">
        <v>24</v>
      </c>
      <c r="N997" s="13" t="s">
        <v>49</v>
      </c>
      <c r="Q997" s="9">
        <f>IF(Auction_Sales[[#This Row],[Payment Date]]=0,"",-1+WEEKNUM(Auction_Sales[[#This Row],[Payment Date]]))</f>
        <v>1</v>
      </c>
      <c r="R997" s="9">
        <f>K997-U997</f>
        <v>0</v>
      </c>
      <c r="S997" s="9" t="s">
        <v>157</v>
      </c>
      <c r="T997" s="9" t="str">
        <f t="shared" si="340"/>
        <v>80CM</v>
      </c>
      <c r="U997" s="9">
        <v>160</v>
      </c>
      <c r="V997" s="13">
        <f>52/160</f>
        <v>0.32500000000000001</v>
      </c>
      <c r="W997" s="13">
        <f t="shared" si="315"/>
        <v>52</v>
      </c>
      <c r="X997" s="14">
        <f t="shared" si="338"/>
        <v>-6.254996127033305</v>
      </c>
      <c r="Y997" s="13">
        <f t="shared" si="320"/>
        <v>45.745003872966691</v>
      </c>
      <c r="Z997" s="10">
        <v>45301</v>
      </c>
      <c r="AA997" s="9">
        <f t="shared" si="321"/>
        <v>0</v>
      </c>
      <c r="AC997" s="9" t="s">
        <v>88</v>
      </c>
      <c r="AD997" s="14">
        <f t="shared" si="337"/>
        <v>12.945023112480738</v>
      </c>
      <c r="AF997" s="14">
        <f t="shared" si="332"/>
        <v>3.2</v>
      </c>
      <c r="AH997" s="14">
        <f t="shared" si="333"/>
        <v>16.14502311248074</v>
      </c>
      <c r="AI997" s="13">
        <f t="shared" si="334"/>
        <v>29.599980760485952</v>
      </c>
      <c r="AK997" s="9">
        <f t="shared" si="335"/>
        <v>160</v>
      </c>
    </row>
    <row r="998" spans="1:37">
      <c r="A998" s="9">
        <v>1</v>
      </c>
      <c r="B998" s="9">
        <v>2023</v>
      </c>
      <c r="C998" s="9" t="s">
        <v>46</v>
      </c>
      <c r="D998" s="9" t="s">
        <v>47</v>
      </c>
      <c r="E998" s="9" t="s">
        <v>47</v>
      </c>
      <c r="F998" s="10">
        <v>45292</v>
      </c>
      <c r="G998" s="9" t="s">
        <v>154</v>
      </c>
      <c r="H998" s="9" t="s">
        <v>52</v>
      </c>
      <c r="I998" s="9">
        <v>1</v>
      </c>
      <c r="J998" s="11">
        <f>K998/280*12</f>
        <v>5.1428571428571423</v>
      </c>
      <c r="K998" s="11">
        <v>120</v>
      </c>
      <c r="L998" s="12">
        <v>0.15</v>
      </c>
      <c r="M998" s="12">
        <v>18</v>
      </c>
      <c r="N998" s="13" t="s">
        <v>49</v>
      </c>
      <c r="Q998" s="9">
        <f>IF(Auction_Sales[[#This Row],[Payment Date]]=0,"",-1+WEEKNUM(Auction_Sales[[#This Row],[Payment Date]]))</f>
        <v>1</v>
      </c>
      <c r="R998" s="9">
        <f>K998-U998</f>
        <v>120</v>
      </c>
      <c r="S998" s="1" t="str">
        <f t="shared" si="340"/>
        <v>English Roses</v>
      </c>
      <c r="T998" s="9" t="str">
        <f t="shared" si="340"/>
        <v>70CM</v>
      </c>
      <c r="W998" s="13">
        <f t="shared" si="315"/>
        <v>0</v>
      </c>
      <c r="X998" s="14">
        <f t="shared" si="338"/>
        <v>0</v>
      </c>
      <c r="Y998" s="13">
        <f t="shared" si="320"/>
        <v>0</v>
      </c>
      <c r="Z998" s="10">
        <v>45301</v>
      </c>
      <c r="AA998" s="9">
        <f t="shared" si="321"/>
        <v>-120</v>
      </c>
      <c r="AC998" s="9" t="s">
        <v>88</v>
      </c>
      <c r="AD998" s="14">
        <f t="shared" si="337"/>
        <v>15.256634382566585</v>
      </c>
      <c r="AF998" s="14">
        <f t="shared" si="332"/>
        <v>0</v>
      </c>
      <c r="AH998" s="14">
        <f t="shared" si="333"/>
        <v>15.256634382566585</v>
      </c>
      <c r="AI998" s="13">
        <f t="shared" si="334"/>
        <v>-15.256634382566585</v>
      </c>
      <c r="AK998" s="9">
        <f t="shared" si="335"/>
        <v>0</v>
      </c>
    </row>
    <row r="999" spans="1:37">
      <c r="A999" s="9">
        <v>1</v>
      </c>
      <c r="B999" s="9">
        <v>2023</v>
      </c>
      <c r="C999" s="9" t="s">
        <v>46</v>
      </c>
      <c r="D999" s="9" t="s">
        <v>47</v>
      </c>
      <c r="E999" s="9" t="s">
        <v>47</v>
      </c>
      <c r="F999" s="10">
        <v>45292</v>
      </c>
      <c r="G999" s="9" t="s">
        <v>154</v>
      </c>
      <c r="H999" s="9" t="s">
        <v>57</v>
      </c>
      <c r="J999" s="11">
        <f t="shared" ref="J999:J1000" si="342">K999/280*12</f>
        <v>3.4285714285714284</v>
      </c>
      <c r="K999" s="11">
        <v>80</v>
      </c>
      <c r="L999" s="12">
        <v>0.15</v>
      </c>
      <c r="M999" s="12">
        <v>12</v>
      </c>
      <c r="N999" s="13" t="s">
        <v>49</v>
      </c>
      <c r="Q999" s="9">
        <f>IF(Auction_Sales[[#This Row],[Payment Date]]=0,"",-1+WEEKNUM(Auction_Sales[[#This Row],[Payment Date]]))</f>
        <v>1</v>
      </c>
      <c r="R999" s="9">
        <f t="shared" si="317"/>
        <v>0</v>
      </c>
      <c r="S999" s="1" t="str">
        <f t="shared" si="340"/>
        <v>English Roses</v>
      </c>
      <c r="T999" s="9" t="str">
        <f t="shared" si="340"/>
        <v>100CM</v>
      </c>
      <c r="U999" s="9">
        <v>80</v>
      </c>
      <c r="V999" s="13">
        <f>47.6/80</f>
        <v>0.59499999999999997</v>
      </c>
      <c r="W999" s="13">
        <f t="shared" si="315"/>
        <v>47.599999999999994</v>
      </c>
      <c r="X999" s="14">
        <f t="shared" si="338"/>
        <v>-3.1274980635166525</v>
      </c>
      <c r="Y999" s="13">
        <f t="shared" si="320"/>
        <v>44.47250193648334</v>
      </c>
      <c r="Z999" s="10">
        <v>45301</v>
      </c>
      <c r="AA999" s="9">
        <f t="shared" si="321"/>
        <v>0</v>
      </c>
      <c r="AC999" s="9" t="s">
        <v>88</v>
      </c>
      <c r="AD999" s="14">
        <f t="shared" si="337"/>
        <v>10.171089588377722</v>
      </c>
      <c r="AF999" s="14">
        <f t="shared" si="332"/>
        <v>1.6</v>
      </c>
      <c r="AH999" s="14">
        <f t="shared" si="333"/>
        <v>11.771089588377722</v>
      </c>
      <c r="AI999" s="13">
        <f t="shared" si="334"/>
        <v>32.70141234810562</v>
      </c>
      <c r="AK999" s="9">
        <f t="shared" si="335"/>
        <v>80</v>
      </c>
    </row>
    <row r="1000" spans="1:37">
      <c r="A1000" s="9">
        <v>1</v>
      </c>
      <c r="B1000" s="9">
        <v>2023</v>
      </c>
      <c r="C1000" s="9" t="s">
        <v>46</v>
      </c>
      <c r="D1000" s="9" t="s">
        <v>47</v>
      </c>
      <c r="E1000" s="9" t="s">
        <v>47</v>
      </c>
      <c r="F1000" s="10">
        <v>45292</v>
      </c>
      <c r="G1000" s="9" t="s">
        <v>154</v>
      </c>
      <c r="H1000" s="9" t="s">
        <v>60</v>
      </c>
      <c r="J1000" s="11">
        <f t="shared" si="342"/>
        <v>3.4285714285714284</v>
      </c>
      <c r="K1000" s="11">
        <v>80</v>
      </c>
      <c r="L1000" s="12">
        <v>0.15</v>
      </c>
      <c r="M1000" s="12">
        <v>12</v>
      </c>
      <c r="N1000" s="13" t="s">
        <v>49</v>
      </c>
      <c r="Q1000" s="9">
        <f>IF(Auction_Sales[[#This Row],[Payment Date]]=0,"",-1+WEEKNUM(Auction_Sales[[#This Row],[Payment Date]]))</f>
        <v>1</v>
      </c>
      <c r="R1000" s="9">
        <f t="shared" si="317"/>
        <v>80</v>
      </c>
      <c r="S1000" s="1" t="str">
        <f t="shared" si="340"/>
        <v>English Roses</v>
      </c>
      <c r="T1000" s="9" t="str">
        <f t="shared" si="340"/>
        <v>110CM</v>
      </c>
      <c r="W1000" s="13">
        <f t="shared" si="315"/>
        <v>0</v>
      </c>
      <c r="X1000" s="14">
        <f t="shared" si="338"/>
        <v>0</v>
      </c>
      <c r="Y1000" s="13">
        <f t="shared" si="320"/>
        <v>0</v>
      </c>
      <c r="Z1000" s="10">
        <v>45301</v>
      </c>
      <c r="AA1000" s="9">
        <f t="shared" si="321"/>
        <v>-80</v>
      </c>
      <c r="AC1000" s="9" t="s">
        <v>88</v>
      </c>
      <c r="AD1000" s="14">
        <f t="shared" si="337"/>
        <v>10.171089588377722</v>
      </c>
      <c r="AF1000" s="14">
        <f t="shared" si="332"/>
        <v>0</v>
      </c>
      <c r="AH1000" s="14">
        <f t="shared" si="333"/>
        <v>10.171089588377722</v>
      </c>
      <c r="AI1000" s="13">
        <f t="shared" si="334"/>
        <v>-10.171089588377722</v>
      </c>
      <c r="AK1000" s="9">
        <f t="shared" si="335"/>
        <v>0</v>
      </c>
    </row>
    <row r="1001" spans="1:37">
      <c r="A1001" s="9">
        <v>1</v>
      </c>
      <c r="B1001" s="9">
        <v>2023</v>
      </c>
      <c r="C1001" s="9" t="s">
        <v>46</v>
      </c>
      <c r="D1001" s="9" t="s">
        <v>47</v>
      </c>
      <c r="E1001" s="9" t="s">
        <v>47</v>
      </c>
      <c r="F1001" s="10">
        <v>45292</v>
      </c>
      <c r="G1001" s="9" t="s">
        <v>159</v>
      </c>
      <c r="H1001" s="9" t="s">
        <v>52</v>
      </c>
      <c r="I1001" s="9">
        <v>1</v>
      </c>
      <c r="J1001" s="11">
        <f>K1001/240*12</f>
        <v>6</v>
      </c>
      <c r="K1001" s="11">
        <v>120</v>
      </c>
      <c r="L1001" s="12">
        <v>0.15</v>
      </c>
      <c r="M1001" s="12">
        <v>18</v>
      </c>
      <c r="N1001" s="13" t="s">
        <v>49</v>
      </c>
      <c r="Q1001" s="9">
        <f>IF(Auction_Sales[[#This Row],[Payment Date]]=0,"",-1+WEEKNUM(Auction_Sales[[#This Row],[Payment Date]]))</f>
        <v>1</v>
      </c>
      <c r="R1001" s="9">
        <f>K1001-U1001</f>
        <v>0</v>
      </c>
      <c r="S1001" s="1" t="str">
        <f t="shared" si="340"/>
        <v>Miniature Roses</v>
      </c>
      <c r="T1001" s="9" t="str">
        <f t="shared" si="340"/>
        <v>70CM</v>
      </c>
      <c r="U1001" s="9">
        <v>120</v>
      </c>
      <c r="V1001" s="13">
        <f>58.8/120</f>
        <v>0.49</v>
      </c>
      <c r="W1001" s="13">
        <f t="shared" si="315"/>
        <v>58.8</v>
      </c>
      <c r="X1001" s="14">
        <f t="shared" si="338"/>
        <v>-4.6912470952749787</v>
      </c>
      <c r="Y1001" s="13">
        <f t="shared" si="320"/>
        <v>54.108752904725016</v>
      </c>
      <c r="Z1001" s="10">
        <v>45301</v>
      </c>
      <c r="AA1001" s="9">
        <f t="shared" si="321"/>
        <v>0</v>
      </c>
      <c r="AC1001" s="9" t="s">
        <v>88</v>
      </c>
      <c r="AD1001" s="14">
        <f t="shared" si="337"/>
        <v>17.799406779661016</v>
      </c>
      <c r="AF1001" s="14">
        <f t="shared" si="332"/>
        <v>2.4</v>
      </c>
      <c r="AH1001" s="14">
        <f t="shared" si="333"/>
        <v>20.199406779661015</v>
      </c>
      <c r="AI1001" s="13">
        <f t="shared" si="334"/>
        <v>33.909346125064005</v>
      </c>
      <c r="AK1001" s="9">
        <f t="shared" si="335"/>
        <v>120</v>
      </c>
    </row>
    <row r="1002" spans="1:37">
      <c r="A1002" s="9">
        <v>1</v>
      </c>
      <c r="B1002" s="9">
        <v>2023</v>
      </c>
      <c r="C1002" s="9" t="s">
        <v>46</v>
      </c>
      <c r="D1002" s="9" t="s">
        <v>47</v>
      </c>
      <c r="E1002" s="9" t="s">
        <v>47</v>
      </c>
      <c r="F1002" s="10">
        <v>45292</v>
      </c>
      <c r="G1002" s="9" t="s">
        <v>159</v>
      </c>
      <c r="H1002" s="9" t="s">
        <v>54</v>
      </c>
      <c r="J1002" s="11">
        <f t="shared" ref="J1002:J1004" si="343">K1002/240*12</f>
        <v>2</v>
      </c>
      <c r="K1002" s="11">
        <v>40</v>
      </c>
      <c r="L1002" s="12">
        <v>0.15</v>
      </c>
      <c r="M1002" s="12">
        <v>6</v>
      </c>
      <c r="N1002" s="13" t="s">
        <v>49</v>
      </c>
      <c r="Q1002" s="9">
        <f>IF(Auction_Sales[[#This Row],[Payment Date]]=0,"",-1+WEEKNUM(Auction_Sales[[#This Row],[Payment Date]]))</f>
        <v>1</v>
      </c>
      <c r="R1002" s="9">
        <f t="shared" si="317"/>
        <v>0</v>
      </c>
      <c r="S1002" s="1" t="str">
        <f t="shared" si="340"/>
        <v>Miniature Roses</v>
      </c>
      <c r="T1002" s="9" t="str">
        <f t="shared" si="340"/>
        <v>80CM</v>
      </c>
      <c r="U1002" s="9">
        <v>40</v>
      </c>
      <c r="V1002" s="13">
        <f>23.6/40</f>
        <v>0.59000000000000008</v>
      </c>
      <c r="W1002" s="13">
        <f t="shared" si="315"/>
        <v>23.6</v>
      </c>
      <c r="X1002" s="14">
        <f t="shared" si="338"/>
        <v>-1.5637490317583262</v>
      </c>
      <c r="Y1002" s="13">
        <f t="shared" si="320"/>
        <v>22.036250968241674</v>
      </c>
      <c r="Z1002" s="10">
        <v>45301</v>
      </c>
      <c r="AA1002" s="9">
        <f t="shared" si="321"/>
        <v>0</v>
      </c>
      <c r="AC1002" s="9" t="s">
        <v>88</v>
      </c>
      <c r="AD1002" s="14">
        <f t="shared" si="337"/>
        <v>5.9331355932203387</v>
      </c>
      <c r="AF1002" s="14">
        <f t="shared" si="332"/>
        <v>0.8</v>
      </c>
      <c r="AH1002" s="14">
        <f t="shared" si="333"/>
        <v>6.7331355932203385</v>
      </c>
      <c r="AI1002" s="13">
        <f t="shared" si="334"/>
        <v>15.303115375021335</v>
      </c>
      <c r="AK1002" s="9">
        <f t="shared" si="335"/>
        <v>40</v>
      </c>
    </row>
    <row r="1003" spans="1:37">
      <c r="A1003" s="9">
        <v>1</v>
      </c>
      <c r="B1003" s="9">
        <v>2023</v>
      </c>
      <c r="C1003" s="9" t="s">
        <v>46</v>
      </c>
      <c r="D1003" s="9" t="s">
        <v>47</v>
      </c>
      <c r="E1003" s="9" t="s">
        <v>47</v>
      </c>
      <c r="F1003" s="10">
        <v>45292</v>
      </c>
      <c r="G1003" s="9" t="s">
        <v>159</v>
      </c>
      <c r="H1003" s="9" t="s">
        <v>56</v>
      </c>
      <c r="J1003" s="11">
        <f t="shared" si="343"/>
        <v>2</v>
      </c>
      <c r="K1003" s="11">
        <v>40</v>
      </c>
      <c r="L1003" s="12">
        <v>0.15</v>
      </c>
      <c r="M1003" s="12">
        <v>6</v>
      </c>
      <c r="N1003" s="13" t="s">
        <v>49</v>
      </c>
      <c r="Q1003" s="9">
        <f>IF(Auction_Sales[[#This Row],[Payment Date]]=0,"",-1+WEEKNUM(Auction_Sales[[#This Row],[Payment Date]]))</f>
        <v>1</v>
      </c>
      <c r="R1003" s="9">
        <f>K1003-U1003</f>
        <v>0</v>
      </c>
      <c r="S1003" s="1" t="str">
        <f t="shared" si="340"/>
        <v>Miniature Roses</v>
      </c>
      <c r="T1003" s="9" t="str">
        <f t="shared" si="340"/>
        <v>90CM</v>
      </c>
      <c r="U1003" s="9">
        <v>40</v>
      </c>
      <c r="V1003" s="13">
        <f>31.2/40</f>
        <v>0.78</v>
      </c>
      <c r="W1003" s="13">
        <f t="shared" si="315"/>
        <v>31.200000000000003</v>
      </c>
      <c r="X1003" s="14">
        <f t="shared" si="338"/>
        <v>-1.5637490317583262</v>
      </c>
      <c r="Y1003" s="13">
        <f t="shared" si="320"/>
        <v>29.636250968241676</v>
      </c>
      <c r="Z1003" s="10">
        <v>45301</v>
      </c>
      <c r="AA1003" s="9">
        <f t="shared" si="321"/>
        <v>0</v>
      </c>
      <c r="AC1003" s="9" t="s">
        <v>88</v>
      </c>
      <c r="AD1003" s="14">
        <f t="shared" si="337"/>
        <v>5.9331355932203387</v>
      </c>
      <c r="AF1003" s="14">
        <f t="shared" si="332"/>
        <v>0.8</v>
      </c>
      <c r="AH1003" s="14">
        <f t="shared" si="333"/>
        <v>6.7331355932203385</v>
      </c>
      <c r="AI1003" s="13">
        <f t="shared" si="334"/>
        <v>22.903115375021336</v>
      </c>
      <c r="AK1003" s="9">
        <f t="shared" si="335"/>
        <v>40</v>
      </c>
    </row>
    <row r="1004" spans="1:37">
      <c r="A1004" s="9">
        <v>1</v>
      </c>
      <c r="B1004" s="9">
        <v>2023</v>
      </c>
      <c r="C1004" s="9" t="s">
        <v>46</v>
      </c>
      <c r="D1004" s="9" t="s">
        <v>47</v>
      </c>
      <c r="E1004" s="9" t="s">
        <v>47</v>
      </c>
      <c r="F1004" s="10">
        <v>45292</v>
      </c>
      <c r="G1004" s="9" t="s">
        <v>159</v>
      </c>
      <c r="H1004" s="9" t="s">
        <v>57</v>
      </c>
      <c r="J1004" s="11">
        <f t="shared" si="343"/>
        <v>2</v>
      </c>
      <c r="K1004" s="11">
        <v>40</v>
      </c>
      <c r="L1004" s="12">
        <v>0.15</v>
      </c>
      <c r="M1004" s="12">
        <v>6</v>
      </c>
      <c r="N1004" s="13" t="s">
        <v>49</v>
      </c>
      <c r="Q1004" s="9">
        <f>IF(Auction_Sales[[#This Row],[Payment Date]]=0,"",-1+WEEKNUM(Auction_Sales[[#This Row],[Payment Date]]))</f>
        <v>1</v>
      </c>
      <c r="R1004" s="9">
        <f t="shared" si="317"/>
        <v>10</v>
      </c>
      <c r="S1004" s="1" t="str">
        <f t="shared" si="340"/>
        <v>Miniature Roses</v>
      </c>
      <c r="T1004" s="9" t="str">
        <f t="shared" si="340"/>
        <v>100CM</v>
      </c>
      <c r="U1004" s="9">
        <v>30</v>
      </c>
      <c r="V1004" s="13">
        <f>23.1/30</f>
        <v>0.77</v>
      </c>
      <c r="W1004" s="13">
        <f t="shared" si="315"/>
        <v>23.1</v>
      </c>
      <c r="X1004" s="14">
        <f t="shared" si="338"/>
        <v>-1.1728117738187447</v>
      </c>
      <c r="Y1004" s="13">
        <f t="shared" si="320"/>
        <v>21.927188226181258</v>
      </c>
      <c r="Z1004" s="10">
        <v>45301</v>
      </c>
      <c r="AA1004" s="9">
        <f t="shared" si="321"/>
        <v>-10</v>
      </c>
      <c r="AC1004" s="9" t="s">
        <v>88</v>
      </c>
      <c r="AD1004" s="14">
        <f t="shared" si="337"/>
        <v>5.9331355932203387</v>
      </c>
      <c r="AF1004" s="14">
        <f t="shared" si="332"/>
        <v>0.6</v>
      </c>
      <c r="AH1004" s="14">
        <f t="shared" si="333"/>
        <v>6.5331355932203383</v>
      </c>
      <c r="AI1004" s="13">
        <f t="shared" si="334"/>
        <v>15.39405263296092</v>
      </c>
      <c r="AK1004" s="9">
        <f t="shared" si="335"/>
        <v>30</v>
      </c>
    </row>
    <row r="1005" spans="1:37">
      <c r="A1005" s="9">
        <v>1</v>
      </c>
      <c r="B1005" s="9">
        <v>2023</v>
      </c>
      <c r="C1005" s="9" t="s">
        <v>46</v>
      </c>
      <c r="D1005" s="9" t="s">
        <v>47</v>
      </c>
      <c r="E1005" s="9" t="s">
        <v>47</v>
      </c>
      <c r="F1005" s="10">
        <v>45295</v>
      </c>
      <c r="G1005" s="9" t="s">
        <v>155</v>
      </c>
      <c r="H1005" s="9" t="s">
        <v>52</v>
      </c>
      <c r="I1005" s="9">
        <v>13</v>
      </c>
      <c r="J1005" s="11">
        <f>12*I1005</f>
        <v>156</v>
      </c>
      <c r="K1005" s="9">
        <v>4160</v>
      </c>
      <c r="L1005" s="12">
        <v>0.15</v>
      </c>
      <c r="M1005" s="27">
        <v>624</v>
      </c>
      <c r="N1005" s="13" t="s">
        <v>49</v>
      </c>
      <c r="Q1005" s="9">
        <f>IF(Auction_Sales[[#This Row],[Payment Date]]=0,"",-1+WEEKNUM(Auction_Sales[[#This Row],[Payment Date]]))</f>
        <v>2</v>
      </c>
      <c r="R1005" s="9">
        <f t="shared" ref="R1005:R1043" si="344">K1005-U1005</f>
        <v>1840</v>
      </c>
      <c r="S1005" s="1" t="str">
        <f t="shared" ref="S1005:T1020" si="345">G1005</f>
        <v>Floribunda Roses</v>
      </c>
      <c r="T1005" s="9" t="str">
        <f t="shared" si="345"/>
        <v>70CM</v>
      </c>
      <c r="U1005" s="9">
        <f>1280+1040</f>
        <v>2320</v>
      </c>
      <c r="V1005" s="13">
        <f>(566.4+364.8)/2320</f>
        <v>0.4013793103448276</v>
      </c>
      <c r="W1005" s="13">
        <f t="shared" ref="W1005:W1043" si="346">U1005*V1005</f>
        <v>931.2</v>
      </c>
      <c r="X1005" s="14">
        <f>-(7792.8-7005.18)*U1005/(10560+5720+4200)</f>
        <v>-89.222578124999984</v>
      </c>
      <c r="Y1005" s="13">
        <f t="shared" ref="Y1005:Y1043" si="347">W1005+X1005</f>
        <v>841.97742187500012</v>
      </c>
      <c r="Z1005" s="10">
        <v>45308</v>
      </c>
      <c r="AA1005" s="9">
        <f t="shared" ref="AA1005:AA1043" si="348">U1005-K1005</f>
        <v>-1840</v>
      </c>
      <c r="AC1005" s="9" t="s">
        <v>89</v>
      </c>
      <c r="AD1005" s="14">
        <f>J1005/(64*12)*2305.07</f>
        <v>468.21734375000005</v>
      </c>
      <c r="AF1005" s="14">
        <f t="shared" ref="AF1005:AF1043" si="349">U1005*0.02</f>
        <v>46.4</v>
      </c>
      <c r="AH1005" s="14">
        <f t="shared" ref="AH1005:AH1010" si="350">SUM(AD1005:AG1005)</f>
        <v>514.61734375000003</v>
      </c>
      <c r="AI1005" s="13">
        <f t="shared" ref="AI1005:AI1043" si="351">Y1005-AH1005</f>
        <v>327.36007812500009</v>
      </c>
      <c r="AK1005" s="9">
        <f t="shared" ref="AK1005:AK1043" si="352">U1005</f>
        <v>2320</v>
      </c>
    </row>
    <row r="1006" spans="1:37">
      <c r="A1006" s="9">
        <v>1</v>
      </c>
      <c r="B1006" s="9">
        <v>2023</v>
      </c>
      <c r="C1006" s="9" t="s">
        <v>46</v>
      </c>
      <c r="D1006" s="9" t="s">
        <v>47</v>
      </c>
      <c r="E1006" s="9" t="s">
        <v>47</v>
      </c>
      <c r="F1006" s="10">
        <v>45295</v>
      </c>
      <c r="G1006" s="9" t="s">
        <v>155</v>
      </c>
      <c r="H1006" s="9" t="s">
        <v>54</v>
      </c>
      <c r="I1006" s="9">
        <v>8</v>
      </c>
      <c r="J1006" s="11">
        <f t="shared" ref="J1006:J1022" si="353">12*I1006</f>
        <v>96</v>
      </c>
      <c r="K1006" s="9">
        <v>2240</v>
      </c>
      <c r="L1006" s="12">
        <v>0.15</v>
      </c>
      <c r="M1006" s="27">
        <v>336</v>
      </c>
      <c r="N1006" s="13" t="s">
        <v>49</v>
      </c>
      <c r="Q1006" s="9">
        <f>IF(Auction_Sales[[#This Row],[Payment Date]]=0,"",-1+WEEKNUM(Auction_Sales[[#This Row],[Payment Date]]))</f>
        <v>2</v>
      </c>
      <c r="R1006" s="9">
        <f t="shared" si="344"/>
        <v>40</v>
      </c>
      <c r="S1006" s="1" t="str">
        <f t="shared" si="345"/>
        <v>Floribunda Roses</v>
      </c>
      <c r="T1006" s="9" t="str">
        <f t="shared" si="345"/>
        <v>80CM</v>
      </c>
      <c r="U1006" s="9">
        <f>1120+1080</f>
        <v>2200</v>
      </c>
      <c r="V1006" s="13">
        <f>(572.8+542)/2200</f>
        <v>0.50672727272727269</v>
      </c>
      <c r="W1006" s="13">
        <f t="shared" si="346"/>
        <v>1114.8</v>
      </c>
      <c r="X1006" s="14">
        <f t="shared" ref="X1006:X1043" si="354">-(7792.8-7005.18)*U1006/(10560+5720+4200)</f>
        <v>-84.607617187499983</v>
      </c>
      <c r="Y1006" s="13">
        <f t="shared" si="347"/>
        <v>1030.1923828125</v>
      </c>
      <c r="Z1006" s="10">
        <v>45308</v>
      </c>
      <c r="AA1006" s="9">
        <f t="shared" si="348"/>
        <v>-40</v>
      </c>
      <c r="AC1006" s="9" t="s">
        <v>89</v>
      </c>
      <c r="AD1006" s="14">
        <f t="shared" ref="AD1006:AD1043" si="355">J1006/(64*12)*2305.07</f>
        <v>288.13375000000002</v>
      </c>
      <c r="AF1006" s="14">
        <f t="shared" si="349"/>
        <v>44</v>
      </c>
      <c r="AH1006" s="14">
        <f t="shared" si="350"/>
        <v>332.13375000000002</v>
      </c>
      <c r="AI1006" s="13">
        <f t="shared" si="351"/>
        <v>698.05863281250004</v>
      </c>
      <c r="AK1006" s="9">
        <f t="shared" si="352"/>
        <v>2200</v>
      </c>
    </row>
    <row r="1007" spans="1:37">
      <c r="A1007" s="9">
        <v>1</v>
      </c>
      <c r="B1007" s="9">
        <v>2023</v>
      </c>
      <c r="C1007" s="9" t="s">
        <v>46</v>
      </c>
      <c r="D1007" s="9" t="s">
        <v>47</v>
      </c>
      <c r="E1007" s="9" t="s">
        <v>47</v>
      </c>
      <c r="F1007" s="10">
        <v>45295</v>
      </c>
      <c r="G1007" s="9" t="s">
        <v>155</v>
      </c>
      <c r="H1007" s="9" t="s">
        <v>56</v>
      </c>
      <c r="I1007" s="9">
        <v>5</v>
      </c>
      <c r="J1007" s="11">
        <f t="shared" si="353"/>
        <v>60</v>
      </c>
      <c r="K1007" s="9">
        <v>1200</v>
      </c>
      <c r="L1007" s="12">
        <v>0.15</v>
      </c>
      <c r="M1007" s="27">
        <v>180</v>
      </c>
      <c r="N1007" s="13" t="s">
        <v>49</v>
      </c>
      <c r="Q1007" s="9">
        <f>IF(Auction_Sales[[#This Row],[Payment Date]]=0,"",-1+WEEKNUM(Auction_Sales[[#This Row],[Payment Date]]))</f>
        <v>2</v>
      </c>
      <c r="R1007" s="9">
        <f>K1007-U1007</f>
        <v>-240</v>
      </c>
      <c r="S1007" s="1" t="str">
        <f t="shared" si="345"/>
        <v>Floribunda Roses</v>
      </c>
      <c r="T1007" s="9" t="str">
        <f t="shared" si="345"/>
        <v>90CM</v>
      </c>
      <c r="U1007" s="9">
        <v>1440</v>
      </c>
      <c r="V1007" s="13">
        <f>411.6/1440</f>
        <v>0.28583333333333333</v>
      </c>
      <c r="W1007" s="13">
        <f>U1007*V1007</f>
        <v>411.59999999999997</v>
      </c>
      <c r="X1007" s="14">
        <f t="shared" si="354"/>
        <v>-55.379531249999992</v>
      </c>
      <c r="Y1007" s="13">
        <f>W1007+X1007</f>
        <v>356.22046874999995</v>
      </c>
      <c r="Z1007" s="10">
        <v>45308</v>
      </c>
      <c r="AA1007" s="9">
        <f>U1007-K1007</f>
        <v>240</v>
      </c>
      <c r="AC1007" s="9" t="s">
        <v>89</v>
      </c>
      <c r="AD1007" s="14">
        <f t="shared" si="355"/>
        <v>180.08359375000001</v>
      </c>
      <c r="AF1007" s="14">
        <f t="shared" si="349"/>
        <v>28.8</v>
      </c>
      <c r="AH1007" s="14">
        <f>SUM(AD1007:AG1007)</f>
        <v>208.88359375000002</v>
      </c>
      <c r="AI1007" s="13">
        <f>Y1007-AH1007</f>
        <v>147.33687499999994</v>
      </c>
      <c r="AK1007" s="9">
        <f>U1007</f>
        <v>1440</v>
      </c>
    </row>
    <row r="1008" spans="1:37">
      <c r="A1008" s="9">
        <v>1</v>
      </c>
      <c r="B1008" s="9">
        <v>2023</v>
      </c>
      <c r="C1008" s="9" t="s">
        <v>46</v>
      </c>
      <c r="D1008" s="9" t="s">
        <v>47</v>
      </c>
      <c r="E1008" s="9" t="s">
        <v>47</v>
      </c>
      <c r="F1008" s="10">
        <v>45295</v>
      </c>
      <c r="G1008" s="9" t="s">
        <v>155</v>
      </c>
      <c r="H1008" s="9" t="s">
        <v>57</v>
      </c>
      <c r="I1008" s="9">
        <v>4</v>
      </c>
      <c r="J1008" s="11">
        <f t="shared" si="353"/>
        <v>48</v>
      </c>
      <c r="K1008" s="9">
        <v>800</v>
      </c>
      <c r="L1008" s="12">
        <v>0.15</v>
      </c>
      <c r="M1008" s="27">
        <v>120</v>
      </c>
      <c r="N1008" s="13" t="s">
        <v>49</v>
      </c>
      <c r="Q1008" s="9">
        <f>IF(Auction_Sales[[#This Row],[Payment Date]]=0,"",-1+WEEKNUM(Auction_Sales[[#This Row],[Payment Date]]))</f>
        <v>2</v>
      </c>
      <c r="R1008" s="9">
        <f>K1008-U1008</f>
        <v>-40</v>
      </c>
      <c r="S1008" s="1" t="str">
        <f t="shared" si="345"/>
        <v>Floribunda Roses</v>
      </c>
      <c r="T1008" s="9" t="str">
        <f t="shared" si="345"/>
        <v>100CM</v>
      </c>
      <c r="U1008" s="9">
        <v>840</v>
      </c>
      <c r="V1008" s="13">
        <f>299.6/840</f>
        <v>0.35666666666666669</v>
      </c>
      <c r="W1008" s="13">
        <f>U1008*V1008</f>
        <v>299.60000000000002</v>
      </c>
      <c r="X1008" s="14">
        <f t="shared" si="354"/>
        <v>-32.304726562499994</v>
      </c>
      <c r="Y1008" s="13">
        <f>W1008+X1008</f>
        <v>267.29527343750004</v>
      </c>
      <c r="Z1008" s="10">
        <v>45308</v>
      </c>
      <c r="AA1008" s="9">
        <f>U1008-K1008</f>
        <v>40</v>
      </c>
      <c r="AC1008" s="9" t="s">
        <v>89</v>
      </c>
      <c r="AD1008" s="14">
        <f t="shared" si="355"/>
        <v>144.06687500000001</v>
      </c>
      <c r="AF1008" s="14">
        <f t="shared" si="349"/>
        <v>16.8</v>
      </c>
      <c r="AH1008" s="14">
        <f>SUM(AD1008:AG1008)</f>
        <v>160.86687500000002</v>
      </c>
      <c r="AI1008" s="13">
        <f>Y1008-AH1008</f>
        <v>106.42839843750002</v>
      </c>
      <c r="AK1008" s="9">
        <f>U1008</f>
        <v>840</v>
      </c>
    </row>
    <row r="1009" spans="1:37">
      <c r="A1009" s="9">
        <v>1</v>
      </c>
      <c r="B1009" s="9">
        <v>2023</v>
      </c>
      <c r="C1009" s="9" t="s">
        <v>46</v>
      </c>
      <c r="D1009" s="9" t="s">
        <v>47</v>
      </c>
      <c r="E1009" s="9" t="s">
        <v>47</v>
      </c>
      <c r="F1009" s="10">
        <v>45295</v>
      </c>
      <c r="G1009" s="9" t="s">
        <v>155</v>
      </c>
      <c r="H1009" s="9" t="s">
        <v>60</v>
      </c>
      <c r="I1009" s="9">
        <v>5</v>
      </c>
      <c r="J1009" s="11">
        <f t="shared" si="353"/>
        <v>60</v>
      </c>
      <c r="K1009" s="9">
        <v>800</v>
      </c>
      <c r="L1009" s="12">
        <v>0.15</v>
      </c>
      <c r="M1009" s="27">
        <v>120</v>
      </c>
      <c r="N1009" s="13" t="s">
        <v>49</v>
      </c>
      <c r="Q1009" s="9">
        <f>IF(Auction_Sales[[#This Row],[Payment Date]]=0,"",-1+WEEKNUM(Auction_Sales[[#This Row],[Payment Date]]))</f>
        <v>2</v>
      </c>
      <c r="R1009" s="9">
        <f>K1009-U1009</f>
        <v>-120</v>
      </c>
      <c r="S1009" s="1" t="str">
        <f t="shared" si="345"/>
        <v>Floribunda Roses</v>
      </c>
      <c r="T1009" s="9" t="str">
        <f t="shared" si="345"/>
        <v>110CM</v>
      </c>
      <c r="U1009" s="9">
        <v>920</v>
      </c>
      <c r="V1009" s="13">
        <f>431.6/920</f>
        <v>0.46913043478260874</v>
      </c>
      <c r="W1009" s="13">
        <f>U1009*V1009</f>
        <v>431.6</v>
      </c>
      <c r="X1009" s="14">
        <f t="shared" si="354"/>
        <v>-35.381367187499997</v>
      </c>
      <c r="Y1009" s="13">
        <f>W1009+X1009</f>
        <v>396.2186328125</v>
      </c>
      <c r="Z1009" s="10">
        <v>45308</v>
      </c>
      <c r="AA1009" s="9">
        <f>U1009-K1009</f>
        <v>120</v>
      </c>
      <c r="AC1009" s="9" t="s">
        <v>89</v>
      </c>
      <c r="AD1009" s="14">
        <f t="shared" si="355"/>
        <v>180.08359375000001</v>
      </c>
      <c r="AF1009" s="14">
        <f t="shared" si="349"/>
        <v>18.400000000000002</v>
      </c>
      <c r="AH1009" s="14">
        <f>SUM(AD1009:AG1009)</f>
        <v>198.48359375000001</v>
      </c>
      <c r="AI1009" s="13">
        <f>Y1009-AH1009</f>
        <v>197.73503906249999</v>
      </c>
      <c r="AK1009" s="9">
        <f>U1009</f>
        <v>920</v>
      </c>
    </row>
    <row r="1010" spans="1:37">
      <c r="A1010" s="9">
        <v>1</v>
      </c>
      <c r="B1010" s="9">
        <v>2023</v>
      </c>
      <c r="C1010" s="9" t="s">
        <v>46</v>
      </c>
      <c r="D1010" s="9" t="s">
        <v>47</v>
      </c>
      <c r="E1010" s="9" t="s">
        <v>47</v>
      </c>
      <c r="F1010" s="10">
        <v>45295</v>
      </c>
      <c r="G1010" s="9" t="s">
        <v>153</v>
      </c>
      <c r="H1010" s="9" t="s">
        <v>48</v>
      </c>
      <c r="I1010" s="9">
        <v>3</v>
      </c>
      <c r="J1010" s="11">
        <f t="shared" si="353"/>
        <v>36</v>
      </c>
      <c r="K1010" s="9">
        <v>2160</v>
      </c>
      <c r="L1010" s="12">
        <v>0.15</v>
      </c>
      <c r="M1010" s="27">
        <v>324</v>
      </c>
      <c r="N1010" s="13" t="s">
        <v>49</v>
      </c>
      <c r="Q1010" s="9">
        <f>IF(Auction_Sales[[#This Row],[Payment Date]]=0,"",-1+WEEKNUM(Auction_Sales[[#This Row],[Payment Date]]))</f>
        <v>2</v>
      </c>
      <c r="R1010" s="9">
        <f t="shared" si="344"/>
        <v>80</v>
      </c>
      <c r="S1010" s="1" t="str">
        <f t="shared" si="345"/>
        <v>Grandiflora Roses</v>
      </c>
      <c r="T1010" s="9" t="str">
        <f t="shared" si="345"/>
        <v>60CM</v>
      </c>
      <c r="U1010" s="9">
        <f>1040+1040</f>
        <v>2080</v>
      </c>
      <c r="V1010" s="13">
        <f>(264+220.4)/2080</f>
        <v>0.23288461538461538</v>
      </c>
      <c r="W1010" s="13">
        <f t="shared" si="346"/>
        <v>484.4</v>
      </c>
      <c r="X1010" s="14">
        <f t="shared" si="354"/>
        <v>-79.992656249999996</v>
      </c>
      <c r="Y1010" s="13">
        <f t="shared" si="347"/>
        <v>404.40734375</v>
      </c>
      <c r="Z1010" s="10">
        <v>45308</v>
      </c>
      <c r="AA1010" s="9">
        <f t="shared" si="348"/>
        <v>-80</v>
      </c>
      <c r="AC1010" s="9" t="s">
        <v>89</v>
      </c>
      <c r="AD1010" s="14">
        <f t="shared" si="355"/>
        <v>108.05015625000001</v>
      </c>
      <c r="AF1010" s="14">
        <f t="shared" si="349"/>
        <v>41.6</v>
      </c>
      <c r="AH1010" s="14">
        <f t="shared" si="350"/>
        <v>149.65015625000001</v>
      </c>
      <c r="AI1010" s="13">
        <f t="shared" si="351"/>
        <v>254.75718749999999</v>
      </c>
      <c r="AK1010" s="9">
        <f t="shared" si="352"/>
        <v>2080</v>
      </c>
    </row>
    <row r="1011" spans="1:37">
      <c r="A1011" s="9">
        <v>1</v>
      </c>
      <c r="B1011" s="9">
        <v>2023</v>
      </c>
      <c r="C1011" s="9" t="s">
        <v>46</v>
      </c>
      <c r="D1011" s="9" t="s">
        <v>47</v>
      </c>
      <c r="E1011" s="9" t="s">
        <v>47</v>
      </c>
      <c r="F1011" s="10">
        <v>45295</v>
      </c>
      <c r="G1011" s="9" t="s">
        <v>153</v>
      </c>
      <c r="H1011" s="9" t="s">
        <v>57</v>
      </c>
      <c r="I1011" s="9">
        <v>1</v>
      </c>
      <c r="J1011" s="11">
        <f t="shared" si="353"/>
        <v>12</v>
      </c>
      <c r="K1011" s="9">
        <v>320</v>
      </c>
      <c r="L1011" s="12">
        <v>0.15</v>
      </c>
      <c r="M1011" s="27">
        <v>48</v>
      </c>
      <c r="N1011" s="13" t="s">
        <v>49</v>
      </c>
      <c r="Q1011" s="9">
        <f>IF(Auction_Sales[[#This Row],[Payment Date]]=0,"",-1+WEEKNUM(Auction_Sales[[#This Row],[Payment Date]]))</f>
        <v>2</v>
      </c>
      <c r="R1011" s="9">
        <f t="shared" si="344"/>
        <v>-320</v>
      </c>
      <c r="S1011" s="1" t="str">
        <f t="shared" si="345"/>
        <v>Grandiflora Roses</v>
      </c>
      <c r="T1011" s="9" t="str">
        <f t="shared" si="345"/>
        <v>100CM</v>
      </c>
      <c r="U1011" s="9">
        <v>640</v>
      </c>
      <c r="V1011" s="13">
        <f>244.8/640</f>
        <v>0.38250000000000001</v>
      </c>
      <c r="W1011" s="13">
        <f t="shared" si="346"/>
        <v>244.8</v>
      </c>
      <c r="X1011" s="14">
        <f t="shared" si="354"/>
        <v>-24.613124999999997</v>
      </c>
      <c r="Y1011" s="13">
        <f t="shared" si="347"/>
        <v>220.18687500000001</v>
      </c>
      <c r="Z1011" s="10">
        <v>45308</v>
      </c>
      <c r="AA1011" s="9">
        <f t="shared" si="348"/>
        <v>320</v>
      </c>
      <c r="AC1011" s="9" t="s">
        <v>89</v>
      </c>
      <c r="AD1011" s="14">
        <f t="shared" si="355"/>
        <v>36.016718750000003</v>
      </c>
      <c r="AF1011" s="14">
        <f t="shared" si="349"/>
        <v>12.8</v>
      </c>
      <c r="AH1011" s="14">
        <f t="shared" ref="AH1011:AH1032" si="356">SUM(AD1011:AG1011)</f>
        <v>48.816718750000007</v>
      </c>
      <c r="AI1011" s="13">
        <f t="shared" si="351"/>
        <v>171.37015625000001</v>
      </c>
      <c r="AK1011" s="9">
        <f t="shared" si="352"/>
        <v>640</v>
      </c>
    </row>
    <row r="1012" spans="1:37">
      <c r="A1012" s="9">
        <v>1</v>
      </c>
      <c r="B1012" s="9">
        <v>2023</v>
      </c>
      <c r="C1012" s="9" t="s">
        <v>46</v>
      </c>
      <c r="D1012" s="9" t="s">
        <v>47</v>
      </c>
      <c r="E1012" s="9" t="s">
        <v>47</v>
      </c>
      <c r="F1012" s="10">
        <v>45295</v>
      </c>
      <c r="G1012" s="9" t="s">
        <v>153</v>
      </c>
      <c r="H1012" s="9" t="s">
        <v>52</v>
      </c>
      <c r="I1012" s="9">
        <v>4</v>
      </c>
      <c r="J1012" s="11">
        <f t="shared" si="353"/>
        <v>48</v>
      </c>
      <c r="K1012" s="11">
        <v>2080</v>
      </c>
      <c r="L1012" s="12">
        <v>0.15</v>
      </c>
      <c r="M1012" s="12">
        <v>312</v>
      </c>
      <c r="N1012" s="13" t="s">
        <v>49</v>
      </c>
      <c r="Q1012" s="9">
        <f>IF(Auction_Sales[[#This Row],[Payment Date]]=0,"",-1+WEEKNUM(Auction_Sales[[#This Row],[Payment Date]]))</f>
        <v>2</v>
      </c>
      <c r="R1012" s="9">
        <f t="shared" si="344"/>
        <v>0</v>
      </c>
      <c r="S1012" s="1" t="str">
        <f t="shared" si="345"/>
        <v>Grandiflora Roses</v>
      </c>
      <c r="T1012" s="9" t="str">
        <f t="shared" si="345"/>
        <v>70CM</v>
      </c>
      <c r="U1012" s="9">
        <f>1040+1040</f>
        <v>2080</v>
      </c>
      <c r="V1012" s="13">
        <f>(364.8+337.6)/2080</f>
        <v>0.33769230769230774</v>
      </c>
      <c r="W1012" s="13">
        <f t="shared" si="346"/>
        <v>702.40000000000009</v>
      </c>
      <c r="X1012" s="14">
        <f t="shared" si="354"/>
        <v>-79.992656249999996</v>
      </c>
      <c r="Y1012" s="13">
        <f t="shared" si="347"/>
        <v>622.40734375000011</v>
      </c>
      <c r="Z1012" s="10">
        <v>45308</v>
      </c>
      <c r="AA1012" s="9">
        <f t="shared" si="348"/>
        <v>0</v>
      </c>
      <c r="AC1012" s="9" t="s">
        <v>89</v>
      </c>
      <c r="AD1012" s="14">
        <f t="shared" si="355"/>
        <v>144.06687500000001</v>
      </c>
      <c r="AF1012" s="14">
        <f t="shared" si="349"/>
        <v>41.6</v>
      </c>
      <c r="AH1012" s="14">
        <f t="shared" si="356"/>
        <v>185.666875</v>
      </c>
      <c r="AI1012" s="13">
        <f t="shared" si="351"/>
        <v>436.7404687500001</v>
      </c>
      <c r="AK1012" s="9">
        <f t="shared" si="352"/>
        <v>2080</v>
      </c>
    </row>
    <row r="1013" spans="1:37">
      <c r="A1013" s="9">
        <v>1</v>
      </c>
      <c r="B1013" s="9">
        <v>2023</v>
      </c>
      <c r="C1013" s="9" t="s">
        <v>46</v>
      </c>
      <c r="D1013" s="9" t="s">
        <v>47</v>
      </c>
      <c r="E1013" s="9" t="s">
        <v>47</v>
      </c>
      <c r="F1013" s="10">
        <v>45295</v>
      </c>
      <c r="G1013" s="9" t="s">
        <v>153</v>
      </c>
      <c r="H1013" s="9" t="s">
        <v>54</v>
      </c>
      <c r="I1013" s="9">
        <v>2</v>
      </c>
      <c r="J1013" s="11">
        <f t="shared" si="353"/>
        <v>24</v>
      </c>
      <c r="K1013" s="11">
        <v>960</v>
      </c>
      <c r="L1013" s="12">
        <v>0.15</v>
      </c>
      <c r="M1013" s="12">
        <v>144</v>
      </c>
      <c r="N1013" s="13" t="s">
        <v>49</v>
      </c>
      <c r="Q1013" s="9">
        <f>IF(Auction_Sales[[#This Row],[Payment Date]]=0,"",-1+WEEKNUM(Auction_Sales[[#This Row],[Payment Date]]))</f>
        <v>2</v>
      </c>
      <c r="R1013" s="9">
        <f t="shared" si="344"/>
        <v>0</v>
      </c>
      <c r="S1013" s="1" t="str">
        <f t="shared" si="345"/>
        <v>Grandiflora Roses</v>
      </c>
      <c r="T1013" s="9" t="str">
        <f t="shared" si="345"/>
        <v>80CM</v>
      </c>
      <c r="U1013" s="9">
        <v>960</v>
      </c>
      <c r="V1013" s="13">
        <f>310.4/960</f>
        <v>0.32333333333333331</v>
      </c>
      <c r="W1013" s="13">
        <f t="shared" si="346"/>
        <v>310.39999999999998</v>
      </c>
      <c r="X1013" s="14">
        <f t="shared" si="354"/>
        <v>-36.919687499999995</v>
      </c>
      <c r="Y1013" s="13">
        <f t="shared" si="347"/>
        <v>273.48031249999997</v>
      </c>
      <c r="Z1013" s="10">
        <v>45308</v>
      </c>
      <c r="AA1013" s="9">
        <f t="shared" si="348"/>
        <v>0</v>
      </c>
      <c r="AC1013" s="9" t="s">
        <v>89</v>
      </c>
      <c r="AD1013" s="14">
        <f t="shared" si="355"/>
        <v>72.033437500000005</v>
      </c>
      <c r="AF1013" s="14">
        <f t="shared" si="349"/>
        <v>19.2</v>
      </c>
      <c r="AH1013" s="14">
        <f t="shared" ref="AH1013:AH1016" si="357">SUM(AD1013:AG1013)</f>
        <v>91.233437500000008</v>
      </c>
      <c r="AI1013" s="13">
        <f t="shared" si="351"/>
        <v>182.24687499999996</v>
      </c>
      <c r="AK1013" s="9">
        <f t="shared" si="352"/>
        <v>960</v>
      </c>
    </row>
    <row r="1014" spans="1:37">
      <c r="A1014" s="9">
        <v>1</v>
      </c>
      <c r="B1014" s="9">
        <v>2023</v>
      </c>
      <c r="C1014" s="9" t="s">
        <v>46</v>
      </c>
      <c r="D1014" s="9" t="s">
        <v>47</v>
      </c>
      <c r="E1014" s="9" t="s">
        <v>47</v>
      </c>
      <c r="F1014" s="10">
        <v>45295</v>
      </c>
      <c r="G1014" s="9" t="s">
        <v>153</v>
      </c>
      <c r="H1014" s="9" t="s">
        <v>56</v>
      </c>
      <c r="I1014" s="9">
        <v>1</v>
      </c>
      <c r="J1014" s="11">
        <f t="shared" si="353"/>
        <v>12</v>
      </c>
      <c r="K1014" s="11">
        <v>440</v>
      </c>
      <c r="L1014" s="12">
        <v>0.15</v>
      </c>
      <c r="M1014" s="12">
        <v>66</v>
      </c>
      <c r="N1014" s="13" t="s">
        <v>49</v>
      </c>
      <c r="Q1014" s="9">
        <f>IF(Auction_Sales[[#This Row],[Payment Date]]=0,"",-1+WEEKNUM(Auction_Sales[[#This Row],[Payment Date]]))</f>
        <v>2</v>
      </c>
      <c r="R1014" s="9">
        <f t="shared" si="344"/>
        <v>-400</v>
      </c>
      <c r="S1014" s="1" t="str">
        <f t="shared" si="345"/>
        <v>Grandiflora Roses</v>
      </c>
      <c r="T1014" s="9" t="str">
        <f t="shared" si="345"/>
        <v>90CM</v>
      </c>
      <c r="U1014" s="9">
        <v>840</v>
      </c>
      <c r="V1014" s="13">
        <f>263.2/840</f>
        <v>0.3133333333333333</v>
      </c>
      <c r="W1014" s="13">
        <f t="shared" si="346"/>
        <v>263.2</v>
      </c>
      <c r="X1014" s="14">
        <f t="shared" si="354"/>
        <v>-32.304726562499994</v>
      </c>
      <c r="Y1014" s="13">
        <f t="shared" si="347"/>
        <v>230.89527343750001</v>
      </c>
      <c r="Z1014" s="10">
        <v>45308</v>
      </c>
      <c r="AA1014" s="9">
        <f t="shared" si="348"/>
        <v>400</v>
      </c>
      <c r="AC1014" s="9" t="s">
        <v>89</v>
      </c>
      <c r="AD1014" s="14">
        <f t="shared" si="355"/>
        <v>36.016718750000003</v>
      </c>
      <c r="AF1014" s="14">
        <f t="shared" si="349"/>
        <v>16.8</v>
      </c>
      <c r="AH1014" s="14">
        <f t="shared" si="357"/>
        <v>52.816718750000007</v>
      </c>
      <c r="AI1014" s="13">
        <f t="shared" si="351"/>
        <v>178.0785546875</v>
      </c>
      <c r="AK1014" s="9">
        <f t="shared" si="352"/>
        <v>840</v>
      </c>
    </row>
    <row r="1015" spans="1:37">
      <c r="A1015" s="9">
        <v>1</v>
      </c>
      <c r="B1015" s="9">
        <v>2023</v>
      </c>
      <c r="C1015" s="9" t="s">
        <v>46</v>
      </c>
      <c r="D1015" s="9" t="s">
        <v>47</v>
      </c>
      <c r="E1015" s="9" t="s">
        <v>47</v>
      </c>
      <c r="F1015" s="10">
        <v>45295</v>
      </c>
      <c r="G1015" s="9" t="s">
        <v>153</v>
      </c>
      <c r="H1015" s="9" t="s">
        <v>56</v>
      </c>
      <c r="I1015" s="9">
        <v>1</v>
      </c>
      <c r="J1015" s="11">
        <f t="shared" si="353"/>
        <v>12</v>
      </c>
      <c r="K1015" s="11">
        <v>360</v>
      </c>
      <c r="L1015" s="12">
        <v>0.15</v>
      </c>
      <c r="M1015" s="12">
        <v>54</v>
      </c>
      <c r="N1015" s="13" t="s">
        <v>49</v>
      </c>
      <c r="Q1015" s="9">
        <f>IF(Auction_Sales[[#This Row],[Payment Date]]=0,"",-1+WEEKNUM(Auction_Sales[[#This Row],[Payment Date]]))</f>
        <v>2</v>
      </c>
      <c r="R1015" s="9">
        <f t="shared" si="344"/>
        <v>360</v>
      </c>
      <c r="S1015" s="1" t="str">
        <f t="shared" si="345"/>
        <v>Grandiflora Roses</v>
      </c>
      <c r="T1015" s="9" t="str">
        <f t="shared" si="345"/>
        <v>90CM</v>
      </c>
      <c r="W1015" s="13">
        <f t="shared" si="346"/>
        <v>0</v>
      </c>
      <c r="X1015" s="14">
        <f t="shared" si="354"/>
        <v>0</v>
      </c>
      <c r="Y1015" s="13">
        <f t="shared" si="347"/>
        <v>0</v>
      </c>
      <c r="Z1015" s="10">
        <v>45308</v>
      </c>
      <c r="AA1015" s="9">
        <f t="shared" si="348"/>
        <v>-360</v>
      </c>
      <c r="AC1015" s="9" t="s">
        <v>89</v>
      </c>
      <c r="AD1015" s="14">
        <f t="shared" si="355"/>
        <v>36.016718750000003</v>
      </c>
      <c r="AF1015" s="14">
        <f t="shared" si="349"/>
        <v>0</v>
      </c>
      <c r="AH1015" s="14">
        <f t="shared" si="357"/>
        <v>36.016718750000003</v>
      </c>
      <c r="AI1015" s="13">
        <f t="shared" si="351"/>
        <v>-36.016718750000003</v>
      </c>
      <c r="AK1015" s="9">
        <f t="shared" si="352"/>
        <v>0</v>
      </c>
    </row>
    <row r="1016" spans="1:37">
      <c r="A1016" s="9">
        <v>1</v>
      </c>
      <c r="B1016" s="9">
        <v>2023</v>
      </c>
      <c r="C1016" s="9" t="s">
        <v>46</v>
      </c>
      <c r="D1016" s="9" t="s">
        <v>47</v>
      </c>
      <c r="E1016" s="9" t="s">
        <v>47</v>
      </c>
      <c r="F1016" s="10">
        <v>45295</v>
      </c>
      <c r="G1016" s="9" t="s">
        <v>153</v>
      </c>
      <c r="H1016" s="9" t="s">
        <v>57</v>
      </c>
      <c r="I1016" s="9">
        <v>1</v>
      </c>
      <c r="J1016" s="11">
        <f t="shared" si="353"/>
        <v>12</v>
      </c>
      <c r="K1016" s="11">
        <v>360</v>
      </c>
      <c r="L1016" s="12">
        <v>0.15</v>
      </c>
      <c r="M1016" s="27">
        <v>54</v>
      </c>
      <c r="N1016" s="13" t="s">
        <v>49</v>
      </c>
      <c r="Q1016" s="9">
        <f>IF(Auction_Sales[[#This Row],[Payment Date]]=0,"",-1+WEEKNUM(Auction_Sales[[#This Row],[Payment Date]]))</f>
        <v>2</v>
      </c>
      <c r="R1016" s="9">
        <f t="shared" si="344"/>
        <v>360</v>
      </c>
      <c r="S1016" s="1" t="str">
        <f t="shared" si="345"/>
        <v>Grandiflora Roses</v>
      </c>
      <c r="T1016" s="9" t="str">
        <f t="shared" si="345"/>
        <v>100CM</v>
      </c>
      <c r="W1016" s="13">
        <f t="shared" si="346"/>
        <v>0</v>
      </c>
      <c r="X1016" s="14">
        <f t="shared" si="354"/>
        <v>0</v>
      </c>
      <c r="Y1016" s="13">
        <f t="shared" si="347"/>
        <v>0</v>
      </c>
      <c r="Z1016" s="10">
        <v>45308</v>
      </c>
      <c r="AA1016" s="9">
        <f t="shared" si="348"/>
        <v>-360</v>
      </c>
      <c r="AC1016" s="9" t="s">
        <v>89</v>
      </c>
      <c r="AD1016" s="14">
        <f t="shared" si="355"/>
        <v>36.016718750000003</v>
      </c>
      <c r="AF1016" s="14">
        <f t="shared" si="349"/>
        <v>0</v>
      </c>
      <c r="AH1016" s="14">
        <f t="shared" si="357"/>
        <v>36.016718750000003</v>
      </c>
      <c r="AI1016" s="13">
        <f t="shared" si="351"/>
        <v>-36.016718750000003</v>
      </c>
      <c r="AK1016" s="9">
        <f t="shared" si="352"/>
        <v>0</v>
      </c>
    </row>
    <row r="1017" spans="1:37">
      <c r="A1017" s="9">
        <v>1</v>
      </c>
      <c r="B1017" s="9">
        <v>2023</v>
      </c>
      <c r="C1017" s="9" t="s">
        <v>46</v>
      </c>
      <c r="D1017" s="9" t="s">
        <v>47</v>
      </c>
      <c r="E1017" s="9" t="s">
        <v>47</v>
      </c>
      <c r="F1017" s="10">
        <v>45295</v>
      </c>
      <c r="G1017" s="9" t="s">
        <v>153</v>
      </c>
      <c r="H1017" s="9" t="s">
        <v>60</v>
      </c>
      <c r="I1017" s="9">
        <v>1</v>
      </c>
      <c r="J1017" s="11">
        <f t="shared" si="353"/>
        <v>12</v>
      </c>
      <c r="K1017" s="9">
        <v>240</v>
      </c>
      <c r="L1017" s="12">
        <v>0.15</v>
      </c>
      <c r="M1017" s="27">
        <v>36</v>
      </c>
      <c r="N1017" s="13" t="s">
        <v>49</v>
      </c>
      <c r="Q1017" s="9">
        <f>IF(Auction_Sales[[#This Row],[Payment Date]]=0,"",-1+WEEKNUM(Auction_Sales[[#This Row],[Payment Date]]))</f>
        <v>2</v>
      </c>
      <c r="R1017" s="9">
        <f t="shared" si="344"/>
        <v>0</v>
      </c>
      <c r="S1017" s="1" t="str">
        <f t="shared" si="345"/>
        <v>Grandiflora Roses</v>
      </c>
      <c r="T1017" s="9" t="str">
        <f t="shared" si="345"/>
        <v>110CM</v>
      </c>
      <c r="U1017" s="9">
        <v>240</v>
      </c>
      <c r="V1017" s="13">
        <f>153.6/240</f>
        <v>0.64</v>
      </c>
      <c r="W1017" s="13">
        <f t="shared" si="346"/>
        <v>153.6</v>
      </c>
      <c r="X1017" s="14">
        <f t="shared" si="354"/>
        <v>-9.2299218749999987</v>
      </c>
      <c r="Y1017" s="13">
        <f t="shared" si="347"/>
        <v>144.37007812499999</v>
      </c>
      <c r="Z1017" s="10">
        <v>45308</v>
      </c>
      <c r="AA1017" s="9">
        <f t="shared" si="348"/>
        <v>0</v>
      </c>
      <c r="AC1017" s="9" t="s">
        <v>89</v>
      </c>
      <c r="AD1017" s="14">
        <f t="shared" si="355"/>
        <v>36.016718750000003</v>
      </c>
      <c r="AF1017" s="14">
        <f t="shared" si="349"/>
        <v>4.8</v>
      </c>
      <c r="AH1017" s="14">
        <f t="shared" si="356"/>
        <v>40.81671875</v>
      </c>
      <c r="AI1017" s="13">
        <f t="shared" si="351"/>
        <v>103.55335937499999</v>
      </c>
      <c r="AK1017" s="9">
        <f t="shared" si="352"/>
        <v>240</v>
      </c>
    </row>
    <row r="1018" spans="1:37">
      <c r="A1018" s="9">
        <v>1</v>
      </c>
      <c r="B1018" s="9">
        <v>2023</v>
      </c>
      <c r="C1018" s="9" t="s">
        <v>46</v>
      </c>
      <c r="D1018" s="9" t="s">
        <v>47</v>
      </c>
      <c r="E1018" s="9" t="s">
        <v>47</v>
      </c>
      <c r="F1018" s="10">
        <v>45295</v>
      </c>
      <c r="G1018" s="9" t="s">
        <v>154</v>
      </c>
      <c r="H1018" s="9" t="s">
        <v>52</v>
      </c>
      <c r="I1018" s="9">
        <v>2</v>
      </c>
      <c r="J1018" s="11">
        <f t="shared" si="353"/>
        <v>24</v>
      </c>
      <c r="K1018" s="9">
        <v>640</v>
      </c>
      <c r="L1018" s="12">
        <v>0.15</v>
      </c>
      <c r="M1018" s="27">
        <v>96</v>
      </c>
      <c r="N1018" s="13" t="s">
        <v>49</v>
      </c>
      <c r="Q1018" s="9">
        <f>IF(Auction_Sales[[#This Row],[Payment Date]]=0,"",-1+WEEKNUM(Auction_Sales[[#This Row],[Payment Date]]))</f>
        <v>2</v>
      </c>
      <c r="R1018" s="9">
        <f t="shared" si="344"/>
        <v>0</v>
      </c>
      <c r="S1018" s="1" t="str">
        <f t="shared" si="345"/>
        <v>English Roses</v>
      </c>
      <c r="T1018" s="9" t="str">
        <f t="shared" si="345"/>
        <v>70CM</v>
      </c>
      <c r="U1018" s="9">
        <v>640</v>
      </c>
      <c r="V1018" s="15">
        <f>275.6/640</f>
        <v>0.43062500000000004</v>
      </c>
      <c r="W1018" s="13">
        <f t="shared" si="346"/>
        <v>275.60000000000002</v>
      </c>
      <c r="X1018" s="14">
        <f t="shared" si="354"/>
        <v>-24.613124999999997</v>
      </c>
      <c r="Y1018" s="13">
        <f t="shared" si="347"/>
        <v>250.98687500000003</v>
      </c>
      <c r="Z1018" s="10">
        <v>45308</v>
      </c>
      <c r="AA1018" s="9">
        <f t="shared" si="348"/>
        <v>0</v>
      </c>
      <c r="AC1018" s="9" t="s">
        <v>89</v>
      </c>
      <c r="AD1018" s="14">
        <f t="shared" si="355"/>
        <v>72.033437500000005</v>
      </c>
      <c r="AF1018" s="14">
        <f t="shared" si="349"/>
        <v>12.8</v>
      </c>
      <c r="AH1018" s="14">
        <f t="shared" si="356"/>
        <v>84.833437500000002</v>
      </c>
      <c r="AI1018" s="13">
        <f t="shared" si="351"/>
        <v>166.15343750000002</v>
      </c>
      <c r="AK1018" s="9">
        <f t="shared" si="352"/>
        <v>640</v>
      </c>
    </row>
    <row r="1019" spans="1:37">
      <c r="A1019" s="9">
        <v>1</v>
      </c>
      <c r="B1019" s="9">
        <v>2023</v>
      </c>
      <c r="C1019" s="9" t="s">
        <v>46</v>
      </c>
      <c r="D1019" s="9" t="s">
        <v>47</v>
      </c>
      <c r="E1019" s="9" t="s">
        <v>47</v>
      </c>
      <c r="F1019" s="10">
        <v>45295</v>
      </c>
      <c r="G1019" s="9" t="s">
        <v>154</v>
      </c>
      <c r="H1019" s="9" t="s">
        <v>54</v>
      </c>
      <c r="I1019" s="9">
        <v>1</v>
      </c>
      <c r="J1019" s="11">
        <f t="shared" si="353"/>
        <v>12</v>
      </c>
      <c r="K1019" s="9">
        <v>280</v>
      </c>
      <c r="L1019" s="12">
        <v>0.15</v>
      </c>
      <c r="M1019" s="27">
        <v>42</v>
      </c>
      <c r="N1019" s="13" t="s">
        <v>49</v>
      </c>
      <c r="Q1019" s="9">
        <f>IF(Auction_Sales[[#This Row],[Payment Date]]=0,"",-1+WEEKNUM(Auction_Sales[[#This Row],[Payment Date]]))</f>
        <v>2</v>
      </c>
      <c r="R1019" s="9">
        <f t="shared" si="344"/>
        <v>-320</v>
      </c>
      <c r="S1019" s="1" t="str">
        <f t="shared" si="345"/>
        <v>English Roses</v>
      </c>
      <c r="T1019" s="9" t="str">
        <f t="shared" si="345"/>
        <v>80CM</v>
      </c>
      <c r="U1019" s="9">
        <v>600</v>
      </c>
      <c r="V1019" s="13">
        <f>284.8/600</f>
        <v>0.47466666666666668</v>
      </c>
      <c r="W1019" s="13">
        <f t="shared" si="346"/>
        <v>284.8</v>
      </c>
      <c r="X1019" s="14">
        <f t="shared" si="354"/>
        <v>-23.074804687499999</v>
      </c>
      <c r="Y1019" s="13">
        <f t="shared" si="347"/>
        <v>261.72519531250003</v>
      </c>
      <c r="Z1019" s="10">
        <v>45308</v>
      </c>
      <c r="AA1019" s="9">
        <f t="shared" si="348"/>
        <v>320</v>
      </c>
      <c r="AC1019" s="9" t="s">
        <v>89</v>
      </c>
      <c r="AD1019" s="14">
        <f t="shared" si="355"/>
        <v>36.016718750000003</v>
      </c>
      <c r="AF1019" s="14">
        <f t="shared" si="349"/>
        <v>12</v>
      </c>
      <c r="AH1019" s="14">
        <f t="shared" si="356"/>
        <v>48.016718750000003</v>
      </c>
      <c r="AI1019" s="13">
        <f t="shared" si="351"/>
        <v>213.70847656250004</v>
      </c>
      <c r="AK1019" s="9">
        <f t="shared" si="352"/>
        <v>600</v>
      </c>
    </row>
    <row r="1020" spans="1:37">
      <c r="A1020" s="9">
        <v>1</v>
      </c>
      <c r="B1020" s="9">
        <v>2023</v>
      </c>
      <c r="C1020" s="9" t="s">
        <v>46</v>
      </c>
      <c r="D1020" s="9" t="s">
        <v>47</v>
      </c>
      <c r="E1020" s="9" t="s">
        <v>47</v>
      </c>
      <c r="F1020" s="10">
        <v>45295</v>
      </c>
      <c r="G1020" s="9" t="s">
        <v>154</v>
      </c>
      <c r="H1020" s="9" t="s">
        <v>56</v>
      </c>
      <c r="I1020" s="9">
        <v>1</v>
      </c>
      <c r="J1020" s="11">
        <f t="shared" si="353"/>
        <v>12</v>
      </c>
      <c r="K1020" s="9">
        <v>240</v>
      </c>
      <c r="L1020" s="12">
        <v>0.15</v>
      </c>
      <c r="M1020" s="27">
        <v>36</v>
      </c>
      <c r="N1020" s="13" t="s">
        <v>49</v>
      </c>
      <c r="Q1020" s="9">
        <f>IF(Auction_Sales[[#This Row],[Payment Date]]=0,"",-1+WEEKNUM(Auction_Sales[[#This Row],[Payment Date]]))</f>
        <v>2</v>
      </c>
      <c r="R1020" s="9">
        <f t="shared" si="344"/>
        <v>240</v>
      </c>
      <c r="S1020" s="1" t="str">
        <f t="shared" si="345"/>
        <v>English Roses</v>
      </c>
      <c r="T1020" s="9" t="str">
        <f t="shared" si="345"/>
        <v>90CM</v>
      </c>
      <c r="W1020" s="13">
        <f t="shared" si="346"/>
        <v>0</v>
      </c>
      <c r="X1020" s="14">
        <f t="shared" si="354"/>
        <v>0</v>
      </c>
      <c r="Y1020" s="13">
        <f t="shared" si="347"/>
        <v>0</v>
      </c>
      <c r="Z1020" s="10">
        <v>45308</v>
      </c>
      <c r="AA1020" s="9">
        <f t="shared" si="348"/>
        <v>-240</v>
      </c>
      <c r="AC1020" s="9" t="s">
        <v>89</v>
      </c>
      <c r="AD1020" s="14">
        <f t="shared" si="355"/>
        <v>36.016718750000003</v>
      </c>
      <c r="AF1020" s="14">
        <f t="shared" si="349"/>
        <v>0</v>
      </c>
      <c r="AH1020" s="14">
        <f t="shared" si="356"/>
        <v>36.016718750000003</v>
      </c>
      <c r="AI1020" s="13">
        <f t="shared" si="351"/>
        <v>-36.016718750000003</v>
      </c>
      <c r="AK1020" s="9">
        <f t="shared" si="352"/>
        <v>0</v>
      </c>
    </row>
    <row r="1021" spans="1:37">
      <c r="A1021" s="9">
        <v>1</v>
      </c>
      <c r="B1021" s="9">
        <v>2023</v>
      </c>
      <c r="C1021" s="9" t="s">
        <v>46</v>
      </c>
      <c r="D1021" s="9" t="s">
        <v>47</v>
      </c>
      <c r="E1021" s="9" t="s">
        <v>47</v>
      </c>
      <c r="F1021" s="10">
        <v>45295</v>
      </c>
      <c r="G1021" s="9" t="s">
        <v>154</v>
      </c>
      <c r="H1021" s="9" t="s">
        <v>56</v>
      </c>
      <c r="I1021" s="9">
        <v>1</v>
      </c>
      <c r="J1021" s="11">
        <f t="shared" si="353"/>
        <v>12</v>
      </c>
      <c r="K1021" s="9">
        <v>200</v>
      </c>
      <c r="L1021" s="12">
        <v>0.15</v>
      </c>
      <c r="M1021" s="27">
        <v>30</v>
      </c>
      <c r="N1021" s="13" t="s">
        <v>49</v>
      </c>
      <c r="Q1021" s="9">
        <f>IF(Auction_Sales[[#This Row],[Payment Date]]=0,"",-1+WEEKNUM(Auction_Sales[[#This Row],[Payment Date]]))</f>
        <v>2</v>
      </c>
      <c r="R1021" s="9">
        <f t="shared" si="344"/>
        <v>200</v>
      </c>
      <c r="S1021" s="1" t="str">
        <f t="shared" ref="S1021:T1042" si="358">G1021</f>
        <v>English Roses</v>
      </c>
      <c r="T1021" s="9" t="str">
        <f t="shared" si="358"/>
        <v>90CM</v>
      </c>
      <c r="W1021" s="13">
        <f t="shared" si="346"/>
        <v>0</v>
      </c>
      <c r="X1021" s="14">
        <f t="shared" si="354"/>
        <v>0</v>
      </c>
      <c r="Y1021" s="13">
        <f t="shared" si="347"/>
        <v>0</v>
      </c>
      <c r="Z1021" s="10">
        <v>45308</v>
      </c>
      <c r="AA1021" s="9">
        <f t="shared" si="348"/>
        <v>-200</v>
      </c>
      <c r="AC1021" s="9" t="s">
        <v>89</v>
      </c>
      <c r="AD1021" s="14">
        <f t="shared" si="355"/>
        <v>36.016718750000003</v>
      </c>
      <c r="AF1021" s="14">
        <f t="shared" si="349"/>
        <v>0</v>
      </c>
      <c r="AH1021" s="14">
        <f t="shared" si="356"/>
        <v>36.016718750000003</v>
      </c>
      <c r="AI1021" s="13">
        <f t="shared" si="351"/>
        <v>-36.016718750000003</v>
      </c>
      <c r="AK1021" s="9">
        <f t="shared" si="352"/>
        <v>0</v>
      </c>
    </row>
    <row r="1022" spans="1:37">
      <c r="A1022" s="9">
        <v>1</v>
      </c>
      <c r="B1022" s="9">
        <v>2023</v>
      </c>
      <c r="C1022" s="9" t="s">
        <v>46</v>
      </c>
      <c r="D1022" s="9" t="s">
        <v>47</v>
      </c>
      <c r="E1022" s="9" t="s">
        <v>47</v>
      </c>
      <c r="F1022" s="10">
        <v>45295</v>
      </c>
      <c r="G1022" s="9" t="s">
        <v>154</v>
      </c>
      <c r="H1022" s="9" t="s">
        <v>60</v>
      </c>
      <c r="I1022" s="9">
        <v>1</v>
      </c>
      <c r="J1022" s="11">
        <f t="shared" si="353"/>
        <v>12</v>
      </c>
      <c r="K1022" s="9">
        <v>160</v>
      </c>
      <c r="L1022" s="12">
        <v>0.15</v>
      </c>
      <c r="M1022" s="27">
        <v>24</v>
      </c>
      <c r="N1022" s="13" t="s">
        <v>49</v>
      </c>
      <c r="Q1022" s="9">
        <f>IF(Auction_Sales[[#This Row],[Payment Date]]=0,"",-1+WEEKNUM(Auction_Sales[[#This Row],[Payment Date]]))</f>
        <v>2</v>
      </c>
      <c r="R1022" s="9">
        <f t="shared" si="344"/>
        <v>160</v>
      </c>
      <c r="S1022" s="1" t="str">
        <f t="shared" si="358"/>
        <v>English Roses</v>
      </c>
      <c r="T1022" s="9" t="str">
        <f t="shared" si="358"/>
        <v>110CM</v>
      </c>
      <c r="W1022" s="13">
        <f t="shared" si="346"/>
        <v>0</v>
      </c>
      <c r="X1022" s="14">
        <f t="shared" si="354"/>
        <v>0</v>
      </c>
      <c r="Y1022" s="13">
        <f t="shared" si="347"/>
        <v>0</v>
      </c>
      <c r="Z1022" s="10">
        <v>45308</v>
      </c>
      <c r="AA1022" s="9">
        <f t="shared" si="348"/>
        <v>-160</v>
      </c>
      <c r="AC1022" s="9" t="s">
        <v>89</v>
      </c>
      <c r="AD1022" s="14">
        <f t="shared" si="355"/>
        <v>36.016718750000003</v>
      </c>
      <c r="AF1022" s="14">
        <f t="shared" si="349"/>
        <v>0</v>
      </c>
      <c r="AH1022" s="14">
        <f t="shared" si="356"/>
        <v>36.016718750000003</v>
      </c>
      <c r="AI1022" s="13">
        <f t="shared" si="351"/>
        <v>-36.016718750000003</v>
      </c>
      <c r="AK1022" s="9">
        <f t="shared" si="352"/>
        <v>0</v>
      </c>
    </row>
    <row r="1023" spans="1:37">
      <c r="A1023" s="9">
        <v>1</v>
      </c>
      <c r="B1023" s="9">
        <v>2023</v>
      </c>
      <c r="C1023" s="9" t="s">
        <v>46</v>
      </c>
      <c r="D1023" s="9" t="s">
        <v>47</v>
      </c>
      <c r="E1023" s="9" t="s">
        <v>47</v>
      </c>
      <c r="F1023" s="10">
        <v>45295</v>
      </c>
      <c r="G1023" s="9" t="s">
        <v>156</v>
      </c>
      <c r="H1023" s="9" t="s">
        <v>52</v>
      </c>
      <c r="I1023" s="9">
        <v>1</v>
      </c>
      <c r="J1023" s="11">
        <f>K1023/360*12</f>
        <v>9.3333333333333339</v>
      </c>
      <c r="K1023" s="9">
        <v>280</v>
      </c>
      <c r="L1023" s="12">
        <v>0.15</v>
      </c>
      <c r="M1023" s="27">
        <v>42</v>
      </c>
      <c r="N1023" s="13" t="s">
        <v>49</v>
      </c>
      <c r="Q1023" s="9">
        <f>IF(Auction_Sales[[#This Row],[Payment Date]]=0,"",-1+WEEKNUM(Auction_Sales[[#This Row],[Payment Date]]))</f>
        <v>2</v>
      </c>
      <c r="R1023" s="9">
        <f t="shared" si="344"/>
        <v>0</v>
      </c>
      <c r="S1023" s="1" t="str">
        <f t="shared" si="358"/>
        <v>Polyantha Roses</v>
      </c>
      <c r="T1023" s="9" t="str">
        <f t="shared" si="358"/>
        <v>70CM</v>
      </c>
      <c r="U1023" s="9">
        <v>280</v>
      </c>
      <c r="V1023" s="13">
        <f>195.2/280</f>
        <v>0.69714285714285706</v>
      </c>
      <c r="W1023" s="13">
        <f t="shared" si="346"/>
        <v>195.2</v>
      </c>
      <c r="X1023" s="14">
        <f t="shared" si="354"/>
        <v>-10.768242187499999</v>
      </c>
      <c r="Y1023" s="13">
        <f t="shared" si="347"/>
        <v>184.4317578125</v>
      </c>
      <c r="Z1023" s="10">
        <v>45308</v>
      </c>
      <c r="AA1023" s="9">
        <f t="shared" si="348"/>
        <v>0</v>
      </c>
      <c r="AC1023" s="9" t="s">
        <v>89</v>
      </c>
      <c r="AD1023" s="14">
        <f t="shared" si="355"/>
        <v>28.013003472222223</v>
      </c>
      <c r="AF1023" s="14">
        <f t="shared" si="349"/>
        <v>5.6000000000000005</v>
      </c>
      <c r="AH1023" s="14">
        <f t="shared" si="356"/>
        <v>33.613003472222225</v>
      </c>
      <c r="AI1023" s="13">
        <f t="shared" si="351"/>
        <v>150.81875434027776</v>
      </c>
      <c r="AK1023" s="9">
        <f t="shared" si="352"/>
        <v>280</v>
      </c>
    </row>
    <row r="1024" spans="1:37">
      <c r="A1024" s="9">
        <v>1</v>
      </c>
      <c r="B1024" s="9">
        <v>2023</v>
      </c>
      <c r="C1024" s="9" t="s">
        <v>46</v>
      </c>
      <c r="D1024" s="9" t="s">
        <v>47</v>
      </c>
      <c r="E1024" s="9" t="s">
        <v>47</v>
      </c>
      <c r="F1024" s="10">
        <v>45295</v>
      </c>
      <c r="G1024" s="9" t="s">
        <v>156</v>
      </c>
      <c r="H1024" s="9" t="s">
        <v>54</v>
      </c>
      <c r="J1024" s="11">
        <f>K1024/360*12</f>
        <v>2.6666666666666665</v>
      </c>
      <c r="K1024" s="9">
        <v>80</v>
      </c>
      <c r="L1024" s="12">
        <v>0.15</v>
      </c>
      <c r="M1024" s="27">
        <v>12</v>
      </c>
      <c r="N1024" s="13" t="s">
        <v>49</v>
      </c>
      <c r="Q1024" s="9">
        <f>IF(Auction_Sales[[#This Row],[Payment Date]]=0,"",-1+WEEKNUM(Auction_Sales[[#This Row],[Payment Date]]))</f>
        <v>2</v>
      </c>
      <c r="R1024" s="9">
        <f t="shared" si="344"/>
        <v>0</v>
      </c>
      <c r="S1024" s="1" t="str">
        <f t="shared" si="358"/>
        <v>Polyantha Roses</v>
      </c>
      <c r="T1024" s="9" t="str">
        <f t="shared" si="358"/>
        <v>80CM</v>
      </c>
      <c r="U1024" s="9">
        <v>80</v>
      </c>
      <c r="V1024" s="13">
        <f>66.4/80</f>
        <v>0.83000000000000007</v>
      </c>
      <c r="W1024" s="13">
        <f t="shared" si="346"/>
        <v>66.400000000000006</v>
      </c>
      <c r="X1024" s="14">
        <f t="shared" si="354"/>
        <v>-3.0766406249999996</v>
      </c>
      <c r="Y1024" s="13">
        <f t="shared" si="347"/>
        <v>63.32335937500001</v>
      </c>
      <c r="Z1024" s="10">
        <v>45308</v>
      </c>
      <c r="AA1024" s="9">
        <f t="shared" si="348"/>
        <v>0</v>
      </c>
      <c r="AC1024" s="9" t="s">
        <v>89</v>
      </c>
      <c r="AD1024" s="14">
        <f t="shared" si="355"/>
        <v>8.0037152777777774</v>
      </c>
      <c r="AF1024" s="14">
        <f t="shared" si="349"/>
        <v>1.6</v>
      </c>
      <c r="AH1024" s="14">
        <f t="shared" si="356"/>
        <v>9.603715277777777</v>
      </c>
      <c r="AI1024" s="13">
        <f t="shared" si="351"/>
        <v>53.719644097222229</v>
      </c>
      <c r="AK1024" s="9">
        <f t="shared" si="352"/>
        <v>80</v>
      </c>
    </row>
    <row r="1025" spans="1:37">
      <c r="A1025" s="9">
        <v>1</v>
      </c>
      <c r="B1025" s="9">
        <v>2023</v>
      </c>
      <c r="C1025" s="9" t="s">
        <v>46</v>
      </c>
      <c r="D1025" s="9" t="s">
        <v>47</v>
      </c>
      <c r="E1025" s="9" t="s">
        <v>47</v>
      </c>
      <c r="F1025" s="10">
        <v>45295</v>
      </c>
      <c r="G1025" s="9" t="s">
        <v>155</v>
      </c>
      <c r="H1025" s="9" t="s">
        <v>60</v>
      </c>
      <c r="I1025" s="9">
        <v>1</v>
      </c>
      <c r="J1025" s="11">
        <f>K1025/240*12</f>
        <v>2</v>
      </c>
      <c r="K1025" s="9">
        <v>40</v>
      </c>
      <c r="L1025" s="12">
        <v>0.15</v>
      </c>
      <c r="M1025" s="27">
        <v>6</v>
      </c>
      <c r="N1025" s="13" t="s">
        <v>49</v>
      </c>
      <c r="Q1025" s="9">
        <f>IF(Auction_Sales[[#This Row],[Payment Date]]=0,"",-1+WEEKNUM(Auction_Sales[[#This Row],[Payment Date]]))</f>
        <v>2</v>
      </c>
      <c r="R1025" s="9">
        <f t="shared" si="344"/>
        <v>40</v>
      </c>
      <c r="S1025" s="1" t="str">
        <f t="shared" si="358"/>
        <v>Floribunda Roses</v>
      </c>
      <c r="T1025" s="9" t="str">
        <f t="shared" si="358"/>
        <v>110CM</v>
      </c>
      <c r="W1025" s="13">
        <f t="shared" si="346"/>
        <v>0</v>
      </c>
      <c r="X1025" s="14">
        <f t="shared" si="354"/>
        <v>0</v>
      </c>
      <c r="Y1025" s="13">
        <f t="shared" si="347"/>
        <v>0</v>
      </c>
      <c r="Z1025" s="10">
        <v>45308</v>
      </c>
      <c r="AA1025" s="9">
        <f t="shared" si="348"/>
        <v>-40</v>
      </c>
      <c r="AC1025" s="9" t="s">
        <v>89</v>
      </c>
      <c r="AD1025" s="14">
        <f t="shared" si="355"/>
        <v>6.0027864583333335</v>
      </c>
      <c r="AF1025" s="14">
        <f t="shared" si="349"/>
        <v>0</v>
      </c>
      <c r="AH1025" s="14">
        <f t="shared" si="356"/>
        <v>6.0027864583333335</v>
      </c>
      <c r="AI1025" s="13">
        <f t="shared" si="351"/>
        <v>-6.0027864583333335</v>
      </c>
      <c r="AK1025" s="9">
        <f t="shared" si="352"/>
        <v>0</v>
      </c>
    </row>
    <row r="1026" spans="1:37">
      <c r="A1026" s="9">
        <v>1</v>
      </c>
      <c r="B1026" s="9">
        <v>2023</v>
      </c>
      <c r="C1026" s="9" t="s">
        <v>46</v>
      </c>
      <c r="D1026" s="9" t="s">
        <v>47</v>
      </c>
      <c r="E1026" s="9" t="s">
        <v>47</v>
      </c>
      <c r="F1026" s="10">
        <v>45295</v>
      </c>
      <c r="G1026" s="9" t="s">
        <v>155</v>
      </c>
      <c r="H1026" s="9" t="s">
        <v>56</v>
      </c>
      <c r="J1026" s="11">
        <f>K1026/240*12</f>
        <v>10</v>
      </c>
      <c r="K1026" s="9">
        <v>200</v>
      </c>
      <c r="L1026" s="12">
        <v>0.15</v>
      </c>
      <c r="M1026" s="27">
        <v>30</v>
      </c>
      <c r="N1026" s="13" t="s">
        <v>49</v>
      </c>
      <c r="Q1026" s="9">
        <f>IF(Auction_Sales[[#This Row],[Payment Date]]=0,"",-1+WEEKNUM(Auction_Sales[[#This Row],[Payment Date]]))</f>
        <v>2</v>
      </c>
      <c r="R1026" s="9">
        <f t="shared" si="344"/>
        <v>200</v>
      </c>
      <c r="S1026" s="1" t="str">
        <f t="shared" si="358"/>
        <v>Floribunda Roses</v>
      </c>
      <c r="T1026" s="9" t="str">
        <f t="shared" si="358"/>
        <v>90CM</v>
      </c>
      <c r="W1026" s="13">
        <f t="shared" si="346"/>
        <v>0</v>
      </c>
      <c r="X1026" s="14">
        <f t="shared" si="354"/>
        <v>0</v>
      </c>
      <c r="Y1026" s="13">
        <f t="shared" si="347"/>
        <v>0</v>
      </c>
      <c r="Z1026" s="10">
        <v>45308</v>
      </c>
      <c r="AA1026" s="9">
        <f t="shared" si="348"/>
        <v>-200</v>
      </c>
      <c r="AC1026" s="9" t="s">
        <v>89</v>
      </c>
      <c r="AD1026" s="14">
        <f t="shared" si="355"/>
        <v>30.01393229166667</v>
      </c>
      <c r="AF1026" s="14">
        <f t="shared" si="349"/>
        <v>0</v>
      </c>
      <c r="AH1026" s="14">
        <f t="shared" si="356"/>
        <v>30.01393229166667</v>
      </c>
      <c r="AI1026" s="13">
        <f t="shared" si="351"/>
        <v>-30.01393229166667</v>
      </c>
      <c r="AK1026" s="9">
        <f t="shared" si="352"/>
        <v>0</v>
      </c>
    </row>
    <row r="1027" spans="1:37">
      <c r="A1027" s="9">
        <v>1</v>
      </c>
      <c r="B1027" s="9">
        <v>2023</v>
      </c>
      <c r="C1027" s="9" t="s">
        <v>46</v>
      </c>
      <c r="D1027" s="9" t="s">
        <v>47</v>
      </c>
      <c r="E1027" s="9" t="s">
        <v>47</v>
      </c>
      <c r="F1027" s="10">
        <v>45295</v>
      </c>
      <c r="G1027" s="9" t="s">
        <v>153</v>
      </c>
      <c r="H1027" s="9" t="s">
        <v>48</v>
      </c>
      <c r="I1027" s="9">
        <v>1</v>
      </c>
      <c r="J1027" s="11">
        <f>K1027/800*12</f>
        <v>7.8000000000000007</v>
      </c>
      <c r="K1027" s="9">
        <v>520</v>
      </c>
      <c r="L1027" s="12">
        <v>0.15</v>
      </c>
      <c r="M1027" s="27">
        <v>78</v>
      </c>
      <c r="N1027" s="13" t="s">
        <v>49</v>
      </c>
      <c r="Q1027" s="9">
        <f>IF(Auction_Sales[[#This Row],[Payment Date]]=0,"",-1+WEEKNUM(Auction_Sales[[#This Row],[Payment Date]]))</f>
        <v>2</v>
      </c>
      <c r="R1027" s="9">
        <f t="shared" si="344"/>
        <v>-80</v>
      </c>
      <c r="S1027" s="1" t="str">
        <f t="shared" si="358"/>
        <v>Grandiflora Roses</v>
      </c>
      <c r="T1027" s="9" t="str">
        <f t="shared" si="358"/>
        <v>60CM</v>
      </c>
      <c r="U1027" s="9">
        <v>600</v>
      </c>
      <c r="V1027" s="13">
        <f>99.2/600</f>
        <v>0.16533333333333333</v>
      </c>
      <c r="W1027" s="13">
        <f t="shared" si="346"/>
        <v>99.2</v>
      </c>
      <c r="X1027" s="14">
        <f t="shared" si="354"/>
        <v>-23.074804687499999</v>
      </c>
      <c r="Y1027" s="13">
        <f t="shared" si="347"/>
        <v>76.125195312500011</v>
      </c>
      <c r="Z1027" s="10">
        <v>45308</v>
      </c>
      <c r="AA1027" s="9">
        <f t="shared" si="348"/>
        <v>80</v>
      </c>
      <c r="AC1027" s="9" t="s">
        <v>89</v>
      </c>
      <c r="AD1027" s="14">
        <f t="shared" si="355"/>
        <v>23.410867187500003</v>
      </c>
      <c r="AF1027" s="14">
        <f t="shared" si="349"/>
        <v>12</v>
      </c>
      <c r="AH1027" s="14">
        <f t="shared" si="356"/>
        <v>35.410867187500003</v>
      </c>
      <c r="AI1027" s="13">
        <f t="shared" si="351"/>
        <v>40.714328125000009</v>
      </c>
      <c r="AK1027" s="9">
        <f t="shared" si="352"/>
        <v>600</v>
      </c>
    </row>
    <row r="1028" spans="1:37">
      <c r="A1028" s="9">
        <v>1</v>
      </c>
      <c r="B1028" s="9">
        <v>2023</v>
      </c>
      <c r="C1028" s="9" t="s">
        <v>46</v>
      </c>
      <c r="D1028" s="9" t="s">
        <v>47</v>
      </c>
      <c r="E1028" s="9" t="s">
        <v>47</v>
      </c>
      <c r="F1028" s="10">
        <v>45295</v>
      </c>
      <c r="G1028" s="9" t="s">
        <v>157</v>
      </c>
      <c r="H1028" s="9" t="s">
        <v>52</v>
      </c>
      <c r="J1028" s="11">
        <f t="shared" ref="J1028:J1029" si="359">K1028/800*12</f>
        <v>3</v>
      </c>
      <c r="K1028" s="9">
        <v>200</v>
      </c>
      <c r="L1028" s="12">
        <v>0.15</v>
      </c>
      <c r="M1028" s="27">
        <v>30</v>
      </c>
      <c r="N1028" s="13" t="s">
        <v>49</v>
      </c>
      <c r="Q1028" s="9">
        <f>IF(Auction_Sales[[#This Row],[Payment Date]]=0,"",-1+WEEKNUM(Auction_Sales[[#This Row],[Payment Date]]))</f>
        <v>2</v>
      </c>
      <c r="R1028" s="9">
        <f t="shared" si="344"/>
        <v>0</v>
      </c>
      <c r="S1028" s="9" t="s">
        <v>157</v>
      </c>
      <c r="T1028" s="9" t="str">
        <f t="shared" si="358"/>
        <v>70CM</v>
      </c>
      <c r="U1028" s="9">
        <v>200</v>
      </c>
      <c r="V1028" s="13">
        <f>82.8/200</f>
        <v>0.41399999999999998</v>
      </c>
      <c r="W1028" s="13">
        <f t="shared" si="346"/>
        <v>82.8</v>
      </c>
      <c r="X1028" s="14">
        <f t="shared" si="354"/>
        <v>-7.6916015624999989</v>
      </c>
      <c r="Y1028" s="13">
        <f t="shared" si="347"/>
        <v>75.1083984375</v>
      </c>
      <c r="Z1028" s="10">
        <v>45308</v>
      </c>
      <c r="AA1028" s="9">
        <f t="shared" si="348"/>
        <v>0</v>
      </c>
      <c r="AC1028" s="9" t="s">
        <v>89</v>
      </c>
      <c r="AD1028" s="14">
        <f t="shared" si="355"/>
        <v>9.0041796875000006</v>
      </c>
      <c r="AF1028" s="14">
        <f t="shared" si="349"/>
        <v>4</v>
      </c>
      <c r="AH1028" s="14">
        <f t="shared" si="356"/>
        <v>13.004179687500001</v>
      </c>
      <c r="AI1028" s="13">
        <f t="shared" si="351"/>
        <v>62.104218750000001</v>
      </c>
      <c r="AK1028" s="9">
        <f t="shared" si="352"/>
        <v>200</v>
      </c>
    </row>
    <row r="1029" spans="1:37">
      <c r="A1029" s="9">
        <v>1</v>
      </c>
      <c r="B1029" s="9">
        <v>2023</v>
      </c>
      <c r="C1029" s="9" t="s">
        <v>46</v>
      </c>
      <c r="D1029" s="9" t="s">
        <v>47</v>
      </c>
      <c r="E1029" s="9" t="s">
        <v>47</v>
      </c>
      <c r="F1029" s="10">
        <v>45295</v>
      </c>
      <c r="G1029" s="9" t="s">
        <v>157</v>
      </c>
      <c r="H1029" s="9" t="s">
        <v>56</v>
      </c>
      <c r="J1029" s="11">
        <f t="shared" si="359"/>
        <v>1.2000000000000002</v>
      </c>
      <c r="K1029" s="9">
        <v>80</v>
      </c>
      <c r="L1029" s="12">
        <v>0.15</v>
      </c>
      <c r="M1029" s="27">
        <v>12</v>
      </c>
      <c r="N1029" s="13" t="s">
        <v>49</v>
      </c>
      <c r="Q1029" s="9">
        <f>IF(Auction_Sales[[#This Row],[Payment Date]]=0,"",-1+WEEKNUM(Auction_Sales[[#This Row],[Payment Date]]))</f>
        <v>2</v>
      </c>
      <c r="R1029" s="9">
        <f t="shared" si="344"/>
        <v>0</v>
      </c>
      <c r="S1029" s="9" t="s">
        <v>157</v>
      </c>
      <c r="T1029" s="9" t="str">
        <f t="shared" si="358"/>
        <v>90CM</v>
      </c>
      <c r="U1029" s="9">
        <v>80</v>
      </c>
      <c r="V1029" s="13">
        <f>42.4/80</f>
        <v>0.53</v>
      </c>
      <c r="W1029" s="13">
        <f t="shared" si="346"/>
        <v>42.400000000000006</v>
      </c>
      <c r="X1029" s="14">
        <f t="shared" si="354"/>
        <v>-3.0766406249999996</v>
      </c>
      <c r="Y1029" s="13">
        <f t="shared" si="347"/>
        <v>39.32335937500001</v>
      </c>
      <c r="Z1029" s="10">
        <v>45308</v>
      </c>
      <c r="AA1029" s="9">
        <f t="shared" si="348"/>
        <v>0</v>
      </c>
      <c r="AC1029" s="9" t="s">
        <v>89</v>
      </c>
      <c r="AD1029" s="14">
        <f t="shared" si="355"/>
        <v>3.601671875000001</v>
      </c>
      <c r="AF1029" s="14">
        <f t="shared" si="349"/>
        <v>1.6</v>
      </c>
      <c r="AH1029" s="14">
        <f t="shared" si="356"/>
        <v>5.2016718750000006</v>
      </c>
      <c r="AI1029" s="13">
        <f t="shared" si="351"/>
        <v>34.121687500000007</v>
      </c>
      <c r="AK1029" s="9">
        <f t="shared" si="352"/>
        <v>80</v>
      </c>
    </row>
    <row r="1030" spans="1:37">
      <c r="A1030" s="9">
        <v>1</v>
      </c>
      <c r="B1030" s="9">
        <v>2023</v>
      </c>
      <c r="C1030" s="9" t="s">
        <v>46</v>
      </c>
      <c r="D1030" s="9" t="s">
        <v>47</v>
      </c>
      <c r="E1030" s="9" t="s">
        <v>47</v>
      </c>
      <c r="F1030" s="10">
        <v>45295</v>
      </c>
      <c r="G1030" s="9" t="s">
        <v>155</v>
      </c>
      <c r="H1030" s="9" t="s">
        <v>52</v>
      </c>
      <c r="I1030" s="9">
        <v>1</v>
      </c>
      <c r="J1030" s="11">
        <f>K1030/440*12</f>
        <v>6.545454545454545</v>
      </c>
      <c r="K1030" s="9">
        <v>240</v>
      </c>
      <c r="L1030" s="12">
        <v>0.15</v>
      </c>
      <c r="M1030" s="27">
        <v>36</v>
      </c>
      <c r="N1030" s="13" t="s">
        <v>49</v>
      </c>
      <c r="Q1030" s="9">
        <f>IF(Auction_Sales[[#This Row],[Payment Date]]=0,"",-1+WEEKNUM(Auction_Sales[[#This Row],[Payment Date]]))</f>
        <v>2</v>
      </c>
      <c r="R1030" s="9">
        <f t="shared" si="344"/>
        <v>-1600</v>
      </c>
      <c r="S1030" s="1" t="str">
        <f t="shared" si="358"/>
        <v>Floribunda Roses</v>
      </c>
      <c r="T1030" s="9" t="str">
        <f t="shared" si="358"/>
        <v>70CM</v>
      </c>
      <c r="U1030" s="9">
        <v>1840</v>
      </c>
      <c r="V1030" s="13">
        <f>405.6/1840</f>
        <v>0.22043478260869567</v>
      </c>
      <c r="W1030" s="13">
        <f t="shared" si="346"/>
        <v>405.6</v>
      </c>
      <c r="X1030" s="14">
        <f t="shared" si="354"/>
        <v>-70.762734374999994</v>
      </c>
      <c r="Y1030" s="13">
        <f t="shared" si="347"/>
        <v>334.83726562500004</v>
      </c>
      <c r="Z1030" s="10">
        <v>45308</v>
      </c>
      <c r="AA1030" s="9">
        <f t="shared" si="348"/>
        <v>1600</v>
      </c>
      <c r="AC1030" s="9" t="s">
        <v>89</v>
      </c>
      <c r="AD1030" s="14">
        <f t="shared" si="355"/>
        <v>19.645482954545454</v>
      </c>
      <c r="AF1030" s="14">
        <f t="shared" si="349"/>
        <v>36.800000000000004</v>
      </c>
      <c r="AH1030" s="14">
        <f t="shared" si="356"/>
        <v>56.445482954545454</v>
      </c>
      <c r="AI1030" s="13">
        <f t="shared" si="351"/>
        <v>278.39178267045457</v>
      </c>
      <c r="AK1030" s="9">
        <f t="shared" si="352"/>
        <v>1840</v>
      </c>
    </row>
    <row r="1031" spans="1:37">
      <c r="A1031" s="9">
        <v>1</v>
      </c>
      <c r="B1031" s="9">
        <v>2023</v>
      </c>
      <c r="C1031" s="9" t="s">
        <v>46</v>
      </c>
      <c r="D1031" s="9" t="s">
        <v>47</v>
      </c>
      <c r="E1031" s="9" t="s">
        <v>47</v>
      </c>
      <c r="F1031" s="10">
        <v>45295</v>
      </c>
      <c r="G1031" s="9" t="s">
        <v>156</v>
      </c>
      <c r="H1031" s="9" t="s">
        <v>48</v>
      </c>
      <c r="J1031" s="11">
        <f>K1031/440*12</f>
        <v>5.4545454545454541</v>
      </c>
      <c r="K1031" s="9">
        <v>200</v>
      </c>
      <c r="L1031" s="12">
        <v>0.15</v>
      </c>
      <c r="M1031" s="27">
        <v>30</v>
      </c>
      <c r="N1031" s="13" t="s">
        <v>49</v>
      </c>
      <c r="Q1031" s="9">
        <f>IF(Auction_Sales[[#This Row],[Payment Date]]=0,"",-1+WEEKNUM(Auction_Sales[[#This Row],[Payment Date]]))</f>
        <v>2</v>
      </c>
      <c r="R1031" s="9">
        <f t="shared" si="344"/>
        <v>0</v>
      </c>
      <c r="S1031" s="1" t="str">
        <f t="shared" si="358"/>
        <v>Polyantha Roses</v>
      </c>
      <c r="T1031" s="9" t="str">
        <f t="shared" si="358"/>
        <v>60CM</v>
      </c>
      <c r="U1031" s="9">
        <v>200</v>
      </c>
      <c r="V1031" s="13">
        <f>86/200</f>
        <v>0.43</v>
      </c>
      <c r="W1031" s="13">
        <f t="shared" si="346"/>
        <v>86</v>
      </c>
      <c r="X1031" s="14">
        <f t="shared" si="354"/>
        <v>-7.6916015624999989</v>
      </c>
      <c r="Y1031" s="13">
        <f t="shared" si="347"/>
        <v>78.308398437500003</v>
      </c>
      <c r="Z1031" s="10">
        <v>45308</v>
      </c>
      <c r="AA1031" s="9">
        <f t="shared" si="348"/>
        <v>0</v>
      </c>
      <c r="AC1031" s="9" t="s">
        <v>89</v>
      </c>
      <c r="AD1031" s="14">
        <f t="shared" si="355"/>
        <v>16.371235795454545</v>
      </c>
      <c r="AF1031" s="14">
        <f t="shared" si="349"/>
        <v>4</v>
      </c>
      <c r="AH1031" s="14">
        <f t="shared" si="356"/>
        <v>20.371235795454545</v>
      </c>
      <c r="AI1031" s="13">
        <f t="shared" si="351"/>
        <v>57.937162642045458</v>
      </c>
      <c r="AK1031" s="9">
        <f t="shared" si="352"/>
        <v>200</v>
      </c>
    </row>
    <row r="1032" spans="1:37">
      <c r="A1032" s="9">
        <v>1</v>
      </c>
      <c r="B1032" s="9">
        <v>2023</v>
      </c>
      <c r="C1032" s="9" t="s">
        <v>46</v>
      </c>
      <c r="D1032" s="9" t="s">
        <v>47</v>
      </c>
      <c r="E1032" s="9" t="s">
        <v>47</v>
      </c>
      <c r="F1032" s="10">
        <v>45295</v>
      </c>
      <c r="G1032" s="9" t="s">
        <v>156</v>
      </c>
      <c r="H1032" s="9" t="s">
        <v>60</v>
      </c>
      <c r="I1032" s="9">
        <v>1</v>
      </c>
      <c r="J1032" s="11">
        <f>K1032/200*12</f>
        <v>9.6000000000000014</v>
      </c>
      <c r="K1032" s="9">
        <v>160</v>
      </c>
      <c r="L1032" s="12">
        <v>0.15</v>
      </c>
      <c r="M1032" s="27">
        <v>24</v>
      </c>
      <c r="N1032" s="13" t="s">
        <v>49</v>
      </c>
      <c r="Q1032" s="9">
        <f>IF(Auction_Sales[[#This Row],[Payment Date]]=0,"",-1+WEEKNUM(Auction_Sales[[#This Row],[Payment Date]]))</f>
        <v>2</v>
      </c>
      <c r="R1032" s="9">
        <f t="shared" si="344"/>
        <v>120</v>
      </c>
      <c r="S1032" s="1" t="str">
        <f t="shared" si="358"/>
        <v>Polyantha Roses</v>
      </c>
      <c r="T1032" s="9" t="str">
        <f t="shared" si="358"/>
        <v>110CM</v>
      </c>
      <c r="U1032" s="9">
        <v>40</v>
      </c>
      <c r="V1032" s="13">
        <f>50.8/40</f>
        <v>1.27</v>
      </c>
      <c r="W1032" s="13">
        <f t="shared" si="346"/>
        <v>50.8</v>
      </c>
      <c r="X1032" s="14">
        <f t="shared" si="354"/>
        <v>-1.5383203124999998</v>
      </c>
      <c r="Y1032" s="13">
        <f t="shared" si="347"/>
        <v>49.261679687499999</v>
      </c>
      <c r="Z1032" s="10">
        <v>45308</v>
      </c>
      <c r="AA1032" s="9">
        <f t="shared" si="348"/>
        <v>-120</v>
      </c>
      <c r="AC1032" s="9" t="s">
        <v>89</v>
      </c>
      <c r="AD1032" s="14">
        <f t="shared" si="355"/>
        <v>28.813375000000008</v>
      </c>
      <c r="AF1032" s="14">
        <f t="shared" si="349"/>
        <v>0.8</v>
      </c>
      <c r="AH1032" s="14">
        <f t="shared" si="356"/>
        <v>29.613375000000008</v>
      </c>
      <c r="AI1032" s="13">
        <f t="shared" si="351"/>
        <v>19.648304687499991</v>
      </c>
      <c r="AK1032" s="9">
        <f t="shared" si="352"/>
        <v>40</v>
      </c>
    </row>
    <row r="1033" spans="1:37">
      <c r="A1033" s="9">
        <v>1</v>
      </c>
      <c r="B1033" s="9">
        <v>2023</v>
      </c>
      <c r="C1033" s="9" t="s">
        <v>46</v>
      </c>
      <c r="D1033" s="9" t="s">
        <v>47</v>
      </c>
      <c r="E1033" s="9" t="s">
        <v>47</v>
      </c>
      <c r="F1033" s="10">
        <v>45295</v>
      </c>
      <c r="G1033" s="9" t="s">
        <v>154</v>
      </c>
      <c r="H1033" s="9" t="s">
        <v>60</v>
      </c>
      <c r="J1033" s="11">
        <f>K1033/200*12</f>
        <v>2.4000000000000004</v>
      </c>
      <c r="K1033" s="9">
        <v>40</v>
      </c>
      <c r="L1033" s="12">
        <v>0.15</v>
      </c>
      <c r="M1033" s="27">
        <v>6</v>
      </c>
      <c r="N1033" s="13" t="s">
        <v>49</v>
      </c>
      <c r="Q1033" s="9">
        <f>IF(Auction_Sales[[#This Row],[Payment Date]]=0,"",-1+WEEKNUM(Auction_Sales[[#This Row],[Payment Date]]))</f>
        <v>2</v>
      </c>
      <c r="R1033" s="9">
        <f t="shared" si="344"/>
        <v>40</v>
      </c>
      <c r="S1033" s="1" t="str">
        <f t="shared" si="358"/>
        <v>English Roses</v>
      </c>
      <c r="T1033" s="9" t="str">
        <f t="shared" si="358"/>
        <v>110CM</v>
      </c>
      <c r="W1033" s="13">
        <f t="shared" si="346"/>
        <v>0</v>
      </c>
      <c r="X1033" s="14">
        <f t="shared" si="354"/>
        <v>0</v>
      </c>
      <c r="Y1033" s="13">
        <f t="shared" si="347"/>
        <v>0</v>
      </c>
      <c r="Z1033" s="10">
        <v>45308</v>
      </c>
      <c r="AA1033" s="9">
        <f t="shared" si="348"/>
        <v>-40</v>
      </c>
      <c r="AC1033" s="9" t="s">
        <v>89</v>
      </c>
      <c r="AD1033" s="14">
        <f t="shared" si="355"/>
        <v>7.2033437500000019</v>
      </c>
      <c r="AF1033" s="14">
        <f t="shared" si="349"/>
        <v>0</v>
      </c>
      <c r="AH1033" s="14">
        <f t="shared" ref="AH1033:AH1042" si="360">SUM(AD1033:AG1033)</f>
        <v>7.2033437500000019</v>
      </c>
      <c r="AI1033" s="13">
        <f t="shared" si="351"/>
        <v>-7.2033437500000019</v>
      </c>
      <c r="AK1033" s="9">
        <f t="shared" si="352"/>
        <v>0</v>
      </c>
    </row>
    <row r="1034" spans="1:37">
      <c r="A1034" s="9">
        <v>1</v>
      </c>
      <c r="B1034" s="9">
        <v>2023</v>
      </c>
      <c r="C1034" s="9" t="s">
        <v>46</v>
      </c>
      <c r="D1034" s="9" t="s">
        <v>47</v>
      </c>
      <c r="E1034" s="9" t="s">
        <v>47</v>
      </c>
      <c r="F1034" s="10">
        <v>45295</v>
      </c>
      <c r="G1034" s="9" t="s">
        <v>154</v>
      </c>
      <c r="H1034" s="9" t="s">
        <v>60</v>
      </c>
      <c r="I1034" s="9">
        <v>1</v>
      </c>
      <c r="J1034" s="11">
        <f>K1034/160*12</f>
        <v>3</v>
      </c>
      <c r="K1034" s="9">
        <v>40</v>
      </c>
      <c r="L1034" s="12">
        <v>0.15</v>
      </c>
      <c r="M1034" s="27">
        <v>6</v>
      </c>
      <c r="N1034" s="13" t="s">
        <v>49</v>
      </c>
      <c r="Q1034" s="9">
        <f>IF(Auction_Sales[[#This Row],[Payment Date]]=0,"",-1+WEEKNUM(Auction_Sales[[#This Row],[Payment Date]]))</f>
        <v>2</v>
      </c>
      <c r="R1034" s="9">
        <f t="shared" si="344"/>
        <v>-160</v>
      </c>
      <c r="S1034" s="1" t="str">
        <f t="shared" si="358"/>
        <v>English Roses</v>
      </c>
      <c r="T1034" s="9" t="str">
        <f t="shared" si="358"/>
        <v>110CM</v>
      </c>
      <c r="U1034" s="9">
        <v>200</v>
      </c>
      <c r="V1034" s="13">
        <f>128.8/200</f>
        <v>0.64400000000000002</v>
      </c>
      <c r="W1034" s="13">
        <f t="shared" si="346"/>
        <v>128.80000000000001</v>
      </c>
      <c r="X1034" s="14">
        <f t="shared" si="354"/>
        <v>-7.6916015624999989</v>
      </c>
      <c r="Y1034" s="13">
        <f t="shared" si="347"/>
        <v>121.10839843750001</v>
      </c>
      <c r="Z1034" s="10">
        <v>45308</v>
      </c>
      <c r="AA1034" s="9">
        <f t="shared" si="348"/>
        <v>160</v>
      </c>
      <c r="AC1034" s="9" t="s">
        <v>89</v>
      </c>
      <c r="AD1034" s="14">
        <f t="shared" si="355"/>
        <v>9.0041796875000006</v>
      </c>
      <c r="AF1034" s="14">
        <f t="shared" si="349"/>
        <v>4</v>
      </c>
      <c r="AH1034" s="14">
        <f t="shared" si="360"/>
        <v>13.004179687500001</v>
      </c>
      <c r="AI1034" s="13">
        <f t="shared" si="351"/>
        <v>108.10421875000002</v>
      </c>
      <c r="AK1034" s="9">
        <f t="shared" si="352"/>
        <v>200</v>
      </c>
    </row>
    <row r="1035" spans="1:37">
      <c r="A1035" s="9">
        <v>1</v>
      </c>
      <c r="B1035" s="9">
        <v>2023</v>
      </c>
      <c r="C1035" s="9" t="s">
        <v>46</v>
      </c>
      <c r="D1035" s="9" t="s">
        <v>47</v>
      </c>
      <c r="E1035" s="9" t="s">
        <v>47</v>
      </c>
      <c r="F1035" s="10">
        <v>45295</v>
      </c>
      <c r="G1035" s="9" t="s">
        <v>155</v>
      </c>
      <c r="H1035" s="9" t="s">
        <v>60</v>
      </c>
      <c r="J1035" s="11">
        <f>K1035/160*12</f>
        <v>9</v>
      </c>
      <c r="K1035" s="9">
        <v>120</v>
      </c>
      <c r="L1035" s="12">
        <v>0.15</v>
      </c>
      <c r="M1035" s="27">
        <v>18</v>
      </c>
      <c r="N1035" s="13" t="s">
        <v>49</v>
      </c>
      <c r="Q1035" s="9">
        <f>IF(Auction_Sales[[#This Row],[Payment Date]]=0,"",-1+WEEKNUM(Auction_Sales[[#This Row],[Payment Date]]))</f>
        <v>2</v>
      </c>
      <c r="R1035" s="9">
        <f t="shared" si="344"/>
        <v>120</v>
      </c>
      <c r="S1035" s="1" t="str">
        <f t="shared" si="358"/>
        <v>Floribunda Roses</v>
      </c>
      <c r="T1035" s="9" t="str">
        <f t="shared" si="358"/>
        <v>110CM</v>
      </c>
      <c r="W1035" s="13">
        <f t="shared" si="346"/>
        <v>0</v>
      </c>
      <c r="X1035" s="14">
        <f t="shared" si="354"/>
        <v>0</v>
      </c>
      <c r="Y1035" s="13">
        <f t="shared" si="347"/>
        <v>0</v>
      </c>
      <c r="Z1035" s="10">
        <v>45308</v>
      </c>
      <c r="AA1035" s="9">
        <f t="shared" si="348"/>
        <v>-120</v>
      </c>
      <c r="AC1035" s="9" t="s">
        <v>89</v>
      </c>
      <c r="AD1035" s="14">
        <f t="shared" si="355"/>
        <v>27.012539062500004</v>
      </c>
      <c r="AF1035" s="14">
        <f t="shared" si="349"/>
        <v>0</v>
      </c>
      <c r="AH1035" s="14">
        <f t="shared" si="360"/>
        <v>27.012539062500004</v>
      </c>
      <c r="AI1035" s="13">
        <f t="shared" si="351"/>
        <v>-27.012539062500004</v>
      </c>
      <c r="AK1035" s="9">
        <f t="shared" si="352"/>
        <v>0</v>
      </c>
    </row>
    <row r="1036" spans="1:37">
      <c r="A1036" s="9">
        <v>1</v>
      </c>
      <c r="B1036" s="9">
        <v>2023</v>
      </c>
      <c r="C1036" s="9" t="s">
        <v>46</v>
      </c>
      <c r="D1036" s="9" t="s">
        <v>47</v>
      </c>
      <c r="E1036" s="9" t="s">
        <v>47</v>
      </c>
      <c r="F1036" s="10">
        <v>45295</v>
      </c>
      <c r="G1036" s="9" t="s">
        <v>155</v>
      </c>
      <c r="H1036" s="9" t="s">
        <v>56</v>
      </c>
      <c r="I1036" s="9">
        <v>1</v>
      </c>
      <c r="J1036" s="11">
        <f>K1036/200*12</f>
        <v>2.4000000000000004</v>
      </c>
      <c r="K1036" s="9">
        <v>40</v>
      </c>
      <c r="L1036" s="12">
        <v>0.15</v>
      </c>
      <c r="M1036" s="27">
        <v>6</v>
      </c>
      <c r="N1036" s="13" t="s">
        <v>49</v>
      </c>
      <c r="Q1036" s="9">
        <f>IF(Auction_Sales[[#This Row],[Payment Date]]=0,"",-1+WEEKNUM(Auction_Sales[[#This Row],[Payment Date]]))</f>
        <v>2</v>
      </c>
      <c r="R1036" s="9">
        <f t="shared" si="344"/>
        <v>40</v>
      </c>
      <c r="S1036" s="1" t="str">
        <f t="shared" si="358"/>
        <v>Floribunda Roses</v>
      </c>
      <c r="T1036" s="9" t="str">
        <f t="shared" si="358"/>
        <v>90CM</v>
      </c>
      <c r="W1036" s="13">
        <f t="shared" si="346"/>
        <v>0</v>
      </c>
      <c r="X1036" s="14">
        <f t="shared" si="354"/>
        <v>0</v>
      </c>
      <c r="Y1036" s="13">
        <f t="shared" si="347"/>
        <v>0</v>
      </c>
      <c r="Z1036" s="10">
        <v>45308</v>
      </c>
      <c r="AA1036" s="9">
        <f t="shared" si="348"/>
        <v>-40</v>
      </c>
      <c r="AC1036" s="9" t="s">
        <v>89</v>
      </c>
      <c r="AD1036" s="14">
        <f t="shared" si="355"/>
        <v>7.2033437500000019</v>
      </c>
      <c r="AF1036" s="14">
        <f t="shared" si="349"/>
        <v>0</v>
      </c>
      <c r="AH1036" s="14">
        <f t="shared" si="360"/>
        <v>7.2033437500000019</v>
      </c>
      <c r="AI1036" s="13">
        <f t="shared" si="351"/>
        <v>-7.2033437500000019</v>
      </c>
      <c r="AK1036" s="9">
        <f t="shared" si="352"/>
        <v>0</v>
      </c>
    </row>
    <row r="1037" spans="1:37">
      <c r="A1037" s="9">
        <v>1</v>
      </c>
      <c r="B1037" s="9">
        <v>2023</v>
      </c>
      <c r="C1037" s="9" t="s">
        <v>46</v>
      </c>
      <c r="D1037" s="9" t="s">
        <v>47</v>
      </c>
      <c r="E1037" s="9" t="s">
        <v>47</v>
      </c>
      <c r="F1037" s="10">
        <v>45295</v>
      </c>
      <c r="G1037" s="9" t="s">
        <v>156</v>
      </c>
      <c r="H1037" s="9" t="s">
        <v>56</v>
      </c>
      <c r="J1037" s="11">
        <f>K1037/200*12</f>
        <v>9.6000000000000014</v>
      </c>
      <c r="K1037" s="9">
        <v>160</v>
      </c>
      <c r="L1037" s="12">
        <v>0.15</v>
      </c>
      <c r="M1037" s="27">
        <v>24</v>
      </c>
      <c r="N1037" s="13" t="s">
        <v>49</v>
      </c>
      <c r="Q1037" s="9">
        <f>IF(Auction_Sales[[#This Row],[Payment Date]]=0,"",-1+WEEKNUM(Auction_Sales[[#This Row],[Payment Date]]))</f>
        <v>2</v>
      </c>
      <c r="R1037" s="9">
        <f t="shared" si="344"/>
        <v>0</v>
      </c>
      <c r="S1037" s="1" t="str">
        <f t="shared" si="358"/>
        <v>Polyantha Roses</v>
      </c>
      <c r="T1037" s="9" t="str">
        <f t="shared" si="358"/>
        <v>90CM</v>
      </c>
      <c r="U1037" s="9">
        <v>160</v>
      </c>
      <c r="V1037" s="13">
        <f>155.6/160</f>
        <v>0.97249999999999992</v>
      </c>
      <c r="W1037" s="13">
        <f t="shared" si="346"/>
        <v>155.6</v>
      </c>
      <c r="X1037" s="14">
        <f t="shared" si="354"/>
        <v>-6.1532812499999991</v>
      </c>
      <c r="Y1037" s="13">
        <f t="shared" si="347"/>
        <v>149.44671875</v>
      </c>
      <c r="Z1037" s="10">
        <v>45308</v>
      </c>
      <c r="AA1037" s="9">
        <f t="shared" si="348"/>
        <v>0</v>
      </c>
      <c r="AC1037" s="9" t="s">
        <v>89</v>
      </c>
      <c r="AD1037" s="14">
        <f t="shared" si="355"/>
        <v>28.813375000000008</v>
      </c>
      <c r="AF1037" s="14">
        <f t="shared" si="349"/>
        <v>3.2</v>
      </c>
      <c r="AH1037" s="14">
        <f t="shared" si="360"/>
        <v>32.013375000000011</v>
      </c>
      <c r="AI1037" s="13">
        <f t="shared" si="351"/>
        <v>117.43334374999999</v>
      </c>
      <c r="AK1037" s="9">
        <f t="shared" si="352"/>
        <v>160</v>
      </c>
    </row>
    <row r="1038" spans="1:37">
      <c r="A1038" s="9">
        <v>1</v>
      </c>
      <c r="B1038" s="9">
        <v>2023</v>
      </c>
      <c r="C1038" s="9" t="s">
        <v>46</v>
      </c>
      <c r="D1038" s="9" t="s">
        <v>47</v>
      </c>
      <c r="E1038" s="9" t="s">
        <v>47</v>
      </c>
      <c r="F1038" s="10">
        <v>45295</v>
      </c>
      <c r="G1038" s="9" t="s">
        <v>154</v>
      </c>
      <c r="H1038" s="9" t="s">
        <v>56</v>
      </c>
      <c r="I1038" s="9">
        <v>1</v>
      </c>
      <c r="J1038" s="11">
        <f>K1038/240*12</f>
        <v>8</v>
      </c>
      <c r="K1038" s="9">
        <v>160</v>
      </c>
      <c r="L1038" s="12">
        <v>0.15</v>
      </c>
      <c r="M1038" s="27">
        <v>24</v>
      </c>
      <c r="N1038" s="13" t="s">
        <v>49</v>
      </c>
      <c r="Q1038" s="9">
        <f>IF(Auction_Sales[[#This Row],[Payment Date]]=0,"",-1+WEEKNUM(Auction_Sales[[#This Row],[Payment Date]]))</f>
        <v>2</v>
      </c>
      <c r="R1038" s="9">
        <f t="shared" si="344"/>
        <v>-240</v>
      </c>
      <c r="S1038" s="1" t="str">
        <f t="shared" si="358"/>
        <v>English Roses</v>
      </c>
      <c r="T1038" s="9" t="str">
        <f t="shared" si="358"/>
        <v>90CM</v>
      </c>
      <c r="U1038" s="9">
        <v>400</v>
      </c>
      <c r="V1038" s="13">
        <f>118.8/400</f>
        <v>0.29699999999999999</v>
      </c>
      <c r="W1038" s="13">
        <f t="shared" si="346"/>
        <v>118.8</v>
      </c>
      <c r="X1038" s="14">
        <f t="shared" si="354"/>
        <v>-15.383203124999998</v>
      </c>
      <c r="Y1038" s="13">
        <f t="shared" si="347"/>
        <v>103.416796875</v>
      </c>
      <c r="Z1038" s="10">
        <v>45308</v>
      </c>
      <c r="AA1038" s="9">
        <f t="shared" si="348"/>
        <v>240</v>
      </c>
      <c r="AC1038" s="9" t="s">
        <v>89</v>
      </c>
      <c r="AD1038" s="14">
        <f t="shared" si="355"/>
        <v>24.011145833333334</v>
      </c>
      <c r="AF1038" s="14">
        <f t="shared" si="349"/>
        <v>8</v>
      </c>
      <c r="AH1038" s="14">
        <f t="shared" si="360"/>
        <v>32.01114583333333</v>
      </c>
      <c r="AI1038" s="13">
        <f t="shared" si="351"/>
        <v>71.405651041666673</v>
      </c>
      <c r="AK1038" s="9">
        <f t="shared" si="352"/>
        <v>400</v>
      </c>
    </row>
    <row r="1039" spans="1:37">
      <c r="A1039" s="9">
        <v>1</v>
      </c>
      <c r="B1039" s="9">
        <v>2023</v>
      </c>
      <c r="C1039" s="9" t="s">
        <v>46</v>
      </c>
      <c r="D1039" s="9" t="s">
        <v>47</v>
      </c>
      <c r="E1039" s="9" t="s">
        <v>47</v>
      </c>
      <c r="F1039" s="10">
        <v>45295</v>
      </c>
      <c r="G1039" s="9" t="s">
        <v>154</v>
      </c>
      <c r="H1039" s="9" t="s">
        <v>52</v>
      </c>
      <c r="J1039" s="11">
        <f>K1039/240*12</f>
        <v>4</v>
      </c>
      <c r="K1039" s="9">
        <v>80</v>
      </c>
      <c r="L1039" s="12">
        <v>0.15</v>
      </c>
      <c r="M1039" s="27">
        <v>12</v>
      </c>
      <c r="N1039" s="13" t="s">
        <v>49</v>
      </c>
      <c r="Q1039" s="9">
        <f>IF(Auction_Sales[[#This Row],[Payment Date]]=0,"",-1+WEEKNUM(Auction_Sales[[#This Row],[Payment Date]]))</f>
        <v>2</v>
      </c>
      <c r="R1039" s="9">
        <f t="shared" si="344"/>
        <v>0</v>
      </c>
      <c r="S1039" s="1" t="str">
        <f t="shared" si="358"/>
        <v>English Roses</v>
      </c>
      <c r="T1039" s="9" t="str">
        <f t="shared" si="358"/>
        <v>70CM</v>
      </c>
      <c r="U1039" s="9">
        <v>80</v>
      </c>
      <c r="V1039" s="13">
        <f>20/80</f>
        <v>0.25</v>
      </c>
      <c r="W1039" s="13">
        <f t="shared" si="346"/>
        <v>20</v>
      </c>
      <c r="X1039" s="14">
        <f t="shared" si="354"/>
        <v>-3.0766406249999996</v>
      </c>
      <c r="Y1039" s="13">
        <f t="shared" si="347"/>
        <v>16.923359375</v>
      </c>
      <c r="Z1039" s="10">
        <v>45308</v>
      </c>
      <c r="AA1039" s="9">
        <f t="shared" si="348"/>
        <v>0</v>
      </c>
      <c r="AC1039" s="9" t="s">
        <v>89</v>
      </c>
      <c r="AD1039" s="14">
        <f t="shared" si="355"/>
        <v>12.005572916666667</v>
      </c>
      <c r="AF1039" s="14">
        <f t="shared" si="349"/>
        <v>1.6</v>
      </c>
      <c r="AH1039" s="14">
        <f t="shared" si="360"/>
        <v>13.605572916666667</v>
      </c>
      <c r="AI1039" s="13">
        <f t="shared" si="351"/>
        <v>3.3177864583333339</v>
      </c>
      <c r="AK1039" s="9">
        <f t="shared" si="352"/>
        <v>80</v>
      </c>
    </row>
    <row r="1040" spans="1:37">
      <c r="A1040" s="9">
        <v>1</v>
      </c>
      <c r="B1040" s="9">
        <v>2023</v>
      </c>
      <c r="C1040" s="9" t="s">
        <v>46</v>
      </c>
      <c r="D1040" s="9" t="s">
        <v>47</v>
      </c>
      <c r="E1040" s="9" t="s">
        <v>47</v>
      </c>
      <c r="F1040" s="10">
        <v>45295</v>
      </c>
      <c r="G1040" s="9" t="s">
        <v>154</v>
      </c>
      <c r="H1040" s="9" t="s">
        <v>57</v>
      </c>
      <c r="I1040" s="9">
        <v>1</v>
      </c>
      <c r="J1040" s="11">
        <f>K1040/200*12</f>
        <v>4.8000000000000007</v>
      </c>
      <c r="K1040" s="9">
        <v>80</v>
      </c>
      <c r="L1040" s="12">
        <v>0.15</v>
      </c>
      <c r="M1040" s="27">
        <v>12</v>
      </c>
      <c r="N1040" s="13" t="s">
        <v>49</v>
      </c>
      <c r="Q1040" s="9">
        <f>IF(Auction_Sales[[#This Row],[Payment Date]]=0,"",-1+WEEKNUM(Auction_Sales[[#This Row],[Payment Date]]))</f>
        <v>2</v>
      </c>
      <c r="R1040" s="9">
        <f t="shared" si="344"/>
        <v>-160</v>
      </c>
      <c r="S1040" s="1" t="str">
        <f t="shared" si="358"/>
        <v>English Roses</v>
      </c>
      <c r="T1040" s="9" t="str">
        <f t="shared" si="358"/>
        <v>100CM</v>
      </c>
      <c r="U1040" s="9">
        <v>240</v>
      </c>
      <c r="V1040" s="13">
        <f>124.8/240</f>
        <v>0.52</v>
      </c>
      <c r="W1040" s="13">
        <f t="shared" si="346"/>
        <v>124.80000000000001</v>
      </c>
      <c r="X1040" s="14">
        <f t="shared" si="354"/>
        <v>-9.2299218749999987</v>
      </c>
      <c r="Y1040" s="13">
        <f t="shared" si="347"/>
        <v>115.57007812500001</v>
      </c>
      <c r="Z1040" s="10">
        <v>45308</v>
      </c>
      <c r="AA1040" s="9">
        <f t="shared" si="348"/>
        <v>160</v>
      </c>
      <c r="AC1040" s="9" t="s">
        <v>89</v>
      </c>
      <c r="AD1040" s="14">
        <f t="shared" si="355"/>
        <v>14.406687500000004</v>
      </c>
      <c r="AF1040" s="14">
        <f t="shared" si="349"/>
        <v>4.8</v>
      </c>
      <c r="AH1040" s="14">
        <f t="shared" si="360"/>
        <v>19.206687500000005</v>
      </c>
      <c r="AI1040" s="13">
        <f t="shared" si="351"/>
        <v>96.363390625000008</v>
      </c>
      <c r="AK1040" s="9">
        <f t="shared" si="352"/>
        <v>240</v>
      </c>
    </row>
    <row r="1041" spans="1:37">
      <c r="A1041" s="9">
        <v>1</v>
      </c>
      <c r="B1041" s="9">
        <v>2023</v>
      </c>
      <c r="C1041" s="9" t="s">
        <v>46</v>
      </c>
      <c r="D1041" s="9" t="s">
        <v>47</v>
      </c>
      <c r="E1041" s="9" t="s">
        <v>47</v>
      </c>
      <c r="F1041" s="10">
        <v>45295</v>
      </c>
      <c r="G1041" s="9" t="s">
        <v>159</v>
      </c>
      <c r="H1041" s="9" t="s">
        <v>56</v>
      </c>
      <c r="J1041" s="11">
        <f t="shared" ref="J1041:J1042" si="361">K1041/200*12</f>
        <v>2.4000000000000004</v>
      </c>
      <c r="K1041" s="11">
        <v>40</v>
      </c>
      <c r="L1041" s="12">
        <v>0.15</v>
      </c>
      <c r="M1041" s="12">
        <v>6</v>
      </c>
      <c r="N1041" s="13" t="s">
        <v>49</v>
      </c>
      <c r="Q1041" s="9">
        <f>IF(Auction_Sales[[#This Row],[Payment Date]]=0,"",-1+WEEKNUM(Auction_Sales[[#This Row],[Payment Date]]))</f>
        <v>2</v>
      </c>
      <c r="R1041" s="9">
        <f t="shared" si="344"/>
        <v>0</v>
      </c>
      <c r="S1041" s="1" t="str">
        <f t="shared" si="358"/>
        <v>Miniature Roses</v>
      </c>
      <c r="T1041" s="9" t="str">
        <f t="shared" si="358"/>
        <v>90CM</v>
      </c>
      <c r="U1041" s="9">
        <v>40</v>
      </c>
      <c r="V1041" s="13">
        <f>35.6/40</f>
        <v>0.89</v>
      </c>
      <c r="W1041" s="13">
        <f t="shared" si="346"/>
        <v>35.6</v>
      </c>
      <c r="X1041" s="14">
        <f t="shared" si="354"/>
        <v>-1.5383203124999998</v>
      </c>
      <c r="Y1041" s="13">
        <f t="shared" si="347"/>
        <v>34.061679687500003</v>
      </c>
      <c r="Z1041" s="10">
        <v>45308</v>
      </c>
      <c r="AA1041" s="9">
        <f t="shared" si="348"/>
        <v>0</v>
      </c>
      <c r="AC1041" s="9" t="s">
        <v>89</v>
      </c>
      <c r="AD1041" s="14">
        <f t="shared" si="355"/>
        <v>7.2033437500000019</v>
      </c>
      <c r="AF1041" s="14">
        <f t="shared" si="349"/>
        <v>0.8</v>
      </c>
      <c r="AH1041" s="14">
        <f t="shared" si="360"/>
        <v>8.0033437500000026</v>
      </c>
      <c r="AI1041" s="13">
        <f t="shared" si="351"/>
        <v>26.058335937500001</v>
      </c>
      <c r="AK1041" s="9">
        <f t="shared" si="352"/>
        <v>40</v>
      </c>
    </row>
    <row r="1042" spans="1:37">
      <c r="A1042" s="9">
        <v>1</v>
      </c>
      <c r="B1042" s="9">
        <v>2023</v>
      </c>
      <c r="C1042" s="9" t="s">
        <v>46</v>
      </c>
      <c r="D1042" s="9" t="s">
        <v>47</v>
      </c>
      <c r="E1042" s="9" t="s">
        <v>47</v>
      </c>
      <c r="F1042" s="10">
        <v>45295</v>
      </c>
      <c r="G1042" s="9" t="s">
        <v>159</v>
      </c>
      <c r="H1042" s="9" t="s">
        <v>52</v>
      </c>
      <c r="J1042" s="11">
        <f t="shared" si="361"/>
        <v>4.8000000000000007</v>
      </c>
      <c r="K1042" s="11">
        <v>80</v>
      </c>
      <c r="L1042" s="12">
        <v>0.15</v>
      </c>
      <c r="M1042" s="12">
        <v>12</v>
      </c>
      <c r="N1042" s="13" t="s">
        <v>49</v>
      </c>
      <c r="Q1042" s="9">
        <f>IF(Auction_Sales[[#This Row],[Payment Date]]=0,"",-1+WEEKNUM(Auction_Sales[[#This Row],[Payment Date]]))</f>
        <v>2</v>
      </c>
      <c r="R1042" s="9">
        <f t="shared" si="344"/>
        <v>0</v>
      </c>
      <c r="S1042" s="1" t="str">
        <f t="shared" si="358"/>
        <v>Miniature Roses</v>
      </c>
      <c r="T1042" s="9" t="str">
        <f t="shared" si="358"/>
        <v>70CM</v>
      </c>
      <c r="U1042" s="9">
        <v>80</v>
      </c>
      <c r="V1042" s="13">
        <f>70/80</f>
        <v>0.875</v>
      </c>
      <c r="W1042" s="13">
        <f t="shared" si="346"/>
        <v>70</v>
      </c>
      <c r="X1042" s="14">
        <f t="shared" si="354"/>
        <v>-3.0766406249999996</v>
      </c>
      <c r="Y1042" s="13">
        <f t="shared" si="347"/>
        <v>66.923359375000004</v>
      </c>
      <c r="Z1042" s="10">
        <v>45308</v>
      </c>
      <c r="AA1042" s="9">
        <f t="shared" si="348"/>
        <v>0</v>
      </c>
      <c r="AC1042" s="9" t="s">
        <v>89</v>
      </c>
      <c r="AD1042" s="14">
        <f t="shared" si="355"/>
        <v>14.406687500000004</v>
      </c>
      <c r="AF1042" s="14">
        <f t="shared" si="349"/>
        <v>1.6</v>
      </c>
      <c r="AH1042" s="14">
        <f t="shared" si="360"/>
        <v>16.006687500000005</v>
      </c>
      <c r="AI1042" s="13">
        <f t="shared" si="351"/>
        <v>50.916671874999999</v>
      </c>
      <c r="AK1042" s="9">
        <f t="shared" si="352"/>
        <v>80</v>
      </c>
    </row>
    <row r="1043" spans="1:37">
      <c r="F1043" s="10"/>
      <c r="G1043" s="9" t="s">
        <v>156</v>
      </c>
      <c r="H1043" s="9" t="s">
        <v>57</v>
      </c>
      <c r="K1043" s="11"/>
      <c r="L1043" s="12"/>
      <c r="M1043" s="12"/>
      <c r="N1043" s="13"/>
      <c r="Q1043" s="9">
        <f>IF(Auction_Sales[[#This Row],[Payment Date]]=0,"",-1+WEEKNUM(Auction_Sales[[#This Row],[Payment Date]]))</f>
        <v>2</v>
      </c>
      <c r="R1043" s="9">
        <f t="shared" si="344"/>
        <v>-160</v>
      </c>
      <c r="S1043" s="1" t="str">
        <f t="shared" ref="S1043:T1043" si="362">G1043</f>
        <v>Polyantha Roses</v>
      </c>
      <c r="T1043" s="9" t="str">
        <f t="shared" si="362"/>
        <v>100CM</v>
      </c>
      <c r="U1043" s="9">
        <v>160</v>
      </c>
      <c r="V1043" s="13">
        <f>202.8/160</f>
        <v>1.2675000000000001</v>
      </c>
      <c r="W1043" s="13">
        <f t="shared" si="346"/>
        <v>202.8</v>
      </c>
      <c r="X1043" s="14">
        <f t="shared" si="354"/>
        <v>-6.1532812499999991</v>
      </c>
      <c r="Y1043" s="13">
        <f t="shared" si="347"/>
        <v>196.64671875000002</v>
      </c>
      <c r="Z1043" s="10">
        <v>45308</v>
      </c>
      <c r="AA1043" s="9">
        <f t="shared" si="348"/>
        <v>160</v>
      </c>
      <c r="AC1043" s="9" t="s">
        <v>89</v>
      </c>
      <c r="AD1043" s="14">
        <f t="shared" si="355"/>
        <v>0</v>
      </c>
      <c r="AF1043" s="14">
        <f t="shared" si="349"/>
        <v>3.2</v>
      </c>
      <c r="AH1043" s="14">
        <f t="shared" ref="AH1043" si="363">SUM(AD1043:AG1043)</f>
        <v>3.2</v>
      </c>
      <c r="AI1043" s="13">
        <f t="shared" si="351"/>
        <v>193.44671875000003</v>
      </c>
      <c r="AK1043" s="9">
        <f t="shared" si="352"/>
        <v>160</v>
      </c>
    </row>
    <row r="1044" spans="1:37">
      <c r="A1044" s="9">
        <v>12</v>
      </c>
      <c r="B1044" s="9">
        <v>2024</v>
      </c>
      <c r="C1044" s="9" t="s">
        <v>46</v>
      </c>
      <c r="D1044" s="9" t="s">
        <v>47</v>
      </c>
      <c r="E1044" s="9" t="s">
        <v>47</v>
      </c>
      <c r="F1044" s="10">
        <v>45367</v>
      </c>
      <c r="G1044" s="9" t="s">
        <v>155</v>
      </c>
      <c r="H1044" s="9" t="s">
        <v>51</v>
      </c>
      <c r="I1044" s="9">
        <v>3</v>
      </c>
      <c r="J1044" s="9">
        <v>36</v>
      </c>
      <c r="K1044" s="9">
        <v>2280</v>
      </c>
      <c r="L1044" s="9">
        <v>0.38</v>
      </c>
      <c r="M1044" s="9">
        <v>866.4</v>
      </c>
      <c r="N1044" s="9" t="s">
        <v>49</v>
      </c>
      <c r="Q1044" s="9">
        <f>IF(Auction_Sales[[#This Row],[Payment Date]]=0,"",-1+WEEKNUM(Auction_Sales[[#This Row],[Payment Date]]))</f>
        <v>12</v>
      </c>
      <c r="R1044" s="9">
        <v>-360</v>
      </c>
      <c r="S1044" s="9" t="s">
        <v>155</v>
      </c>
      <c r="T1044" s="9" t="s">
        <v>51</v>
      </c>
      <c r="U1044" s="9">
        <v>2640</v>
      </c>
      <c r="V1044" s="13">
        <v>0.24181818181818182</v>
      </c>
      <c r="W1044" s="13">
        <v>638.4</v>
      </c>
      <c r="X1044" s="14">
        <v>-93.300171919770719</v>
      </c>
      <c r="Y1044" s="13">
        <v>545.09982808022926</v>
      </c>
      <c r="Z1044" s="10">
        <v>45378</v>
      </c>
      <c r="AA1044" s="9">
        <v>360</v>
      </c>
      <c r="AC1044" s="9">
        <v>433588</v>
      </c>
      <c r="AD1044" s="14">
        <v>122.52100000000002</v>
      </c>
      <c r="AF1044" s="14">
        <v>52.800000000000004</v>
      </c>
      <c r="AH1044" s="14">
        <v>175.32100000000003</v>
      </c>
      <c r="AI1044" s="13">
        <v>369.77882808022923</v>
      </c>
      <c r="AK1044" s="9">
        <v>2640</v>
      </c>
    </row>
    <row r="1045" spans="1:37">
      <c r="A1045" s="9">
        <v>12</v>
      </c>
      <c r="B1045" s="9">
        <v>2024</v>
      </c>
      <c r="C1045" s="9" t="s">
        <v>46</v>
      </c>
      <c r="D1045" s="9" t="s">
        <v>47</v>
      </c>
      <c r="E1045" s="9" t="s">
        <v>47</v>
      </c>
      <c r="F1045" s="10">
        <v>45367</v>
      </c>
      <c r="G1045" s="9" t="s">
        <v>155</v>
      </c>
      <c r="H1045" s="9" t="s">
        <v>48</v>
      </c>
      <c r="I1045" s="9">
        <v>5</v>
      </c>
      <c r="J1045" s="9">
        <v>60</v>
      </c>
      <c r="K1045" s="9">
        <v>2600</v>
      </c>
      <c r="L1045" s="9">
        <v>0.47</v>
      </c>
      <c r="M1045" s="9">
        <v>1222</v>
      </c>
      <c r="N1045" s="9" t="s">
        <v>49</v>
      </c>
      <c r="Q1045" s="9">
        <f>IF(Auction_Sales[[#This Row],[Payment Date]]=0,"",-1+WEEKNUM(Auction_Sales[[#This Row],[Payment Date]]))</f>
        <v>12</v>
      </c>
      <c r="R1045" s="9">
        <v>40</v>
      </c>
      <c r="S1045" s="9" t="s">
        <v>155</v>
      </c>
      <c r="T1045" s="9" t="s">
        <v>48</v>
      </c>
      <c r="U1045" s="9">
        <v>2560</v>
      </c>
      <c r="V1045" s="13">
        <v>0.38921875</v>
      </c>
      <c r="W1045" s="13">
        <v>996.4</v>
      </c>
      <c r="X1045" s="14">
        <v>-90.47289398280796</v>
      </c>
      <c r="Y1045" s="13">
        <v>905.92710601719205</v>
      </c>
      <c r="Z1045" s="10">
        <v>45378</v>
      </c>
      <c r="AA1045" s="9">
        <v>-40</v>
      </c>
      <c r="AC1045" s="9">
        <v>433588</v>
      </c>
      <c r="AD1045" s="14">
        <v>204.20166666666665</v>
      </c>
      <c r="AF1045" s="14">
        <v>51.2</v>
      </c>
      <c r="AH1045" s="14">
        <v>255.40166666666664</v>
      </c>
      <c r="AI1045" s="13">
        <v>650.5254393505254</v>
      </c>
      <c r="AK1045" s="9">
        <v>2560</v>
      </c>
    </row>
    <row r="1046" spans="1:37">
      <c r="A1046" s="9">
        <v>12</v>
      </c>
      <c r="B1046" s="9">
        <v>2024</v>
      </c>
      <c r="C1046" s="9" t="s">
        <v>46</v>
      </c>
      <c r="D1046" s="9" t="s">
        <v>47</v>
      </c>
      <c r="E1046" s="9" t="s">
        <v>47</v>
      </c>
      <c r="F1046" s="10">
        <v>45367</v>
      </c>
      <c r="G1046" s="9" t="s">
        <v>155</v>
      </c>
      <c r="H1046" s="9" t="s">
        <v>52</v>
      </c>
      <c r="I1046" s="9">
        <v>3</v>
      </c>
      <c r="J1046" s="9">
        <v>36</v>
      </c>
      <c r="K1046" s="9">
        <v>1200</v>
      </c>
      <c r="L1046" s="9">
        <v>0.52</v>
      </c>
      <c r="M1046" s="9">
        <v>624</v>
      </c>
      <c r="N1046" s="9" t="s">
        <v>49</v>
      </c>
      <c r="Q1046" s="9">
        <f>IF(Auction_Sales[[#This Row],[Payment Date]]=0,"",-1+WEEKNUM(Auction_Sales[[#This Row],[Payment Date]]))</f>
        <v>12</v>
      </c>
      <c r="R1046" s="9">
        <v>-320</v>
      </c>
      <c r="S1046" s="9" t="s">
        <v>155</v>
      </c>
      <c r="T1046" s="9" t="s">
        <v>52</v>
      </c>
      <c r="U1046" s="9">
        <v>1520</v>
      </c>
      <c r="V1046" s="13">
        <v>0.55763157894736848</v>
      </c>
      <c r="W1046" s="13">
        <v>847.60000000000014</v>
      </c>
      <c r="X1046" s="14">
        <v>-53.718280802292227</v>
      </c>
      <c r="Y1046" s="13">
        <v>793.88171919770787</v>
      </c>
      <c r="Z1046" s="10">
        <v>45378</v>
      </c>
      <c r="AA1046" s="9">
        <v>320</v>
      </c>
      <c r="AC1046" s="9">
        <v>433588</v>
      </c>
      <c r="AD1046" s="14">
        <v>122.52100000000002</v>
      </c>
      <c r="AF1046" s="14">
        <v>30.400000000000002</v>
      </c>
      <c r="AH1046" s="14">
        <v>152.92100000000002</v>
      </c>
      <c r="AI1046" s="13">
        <v>640.96071919770782</v>
      </c>
      <c r="AK1046" s="9">
        <v>1520</v>
      </c>
    </row>
    <row r="1047" spans="1:37">
      <c r="A1047" s="9">
        <v>12</v>
      </c>
      <c r="B1047" s="9">
        <v>2024</v>
      </c>
      <c r="C1047" s="9" t="s">
        <v>46</v>
      </c>
      <c r="D1047" s="9" t="s">
        <v>47</v>
      </c>
      <c r="E1047" s="9" t="s">
        <v>47</v>
      </c>
      <c r="F1047" s="10">
        <v>45367</v>
      </c>
      <c r="G1047" s="9" t="s">
        <v>155</v>
      </c>
      <c r="H1047" s="9" t="s">
        <v>52</v>
      </c>
      <c r="I1047" s="9">
        <v>1</v>
      </c>
      <c r="J1047" s="9">
        <v>12</v>
      </c>
      <c r="K1047" s="9">
        <v>320</v>
      </c>
      <c r="L1047" s="9">
        <v>0.52</v>
      </c>
      <c r="M1047" s="9">
        <v>166.4</v>
      </c>
      <c r="N1047" s="9" t="s">
        <v>49</v>
      </c>
      <c r="Q1047" s="9">
        <f>IF(Auction_Sales[[#This Row],[Payment Date]]=0,"",-1+WEEKNUM(Auction_Sales[[#This Row],[Payment Date]]))</f>
        <v>12</v>
      </c>
      <c r="R1047" s="9">
        <v>320</v>
      </c>
      <c r="S1047" s="9" t="s">
        <v>155</v>
      </c>
      <c r="T1047" s="9" t="s">
        <v>52</v>
      </c>
      <c r="W1047" s="13">
        <v>0</v>
      </c>
      <c r="X1047" s="14">
        <v>0</v>
      </c>
      <c r="Y1047" s="13">
        <v>0</v>
      </c>
      <c r="Z1047" s="10">
        <v>45378</v>
      </c>
      <c r="AA1047" s="9">
        <v>-320</v>
      </c>
      <c r="AC1047" s="9">
        <v>433588</v>
      </c>
      <c r="AD1047" s="14">
        <v>40.840333333333334</v>
      </c>
      <c r="AF1047" s="14">
        <v>0</v>
      </c>
      <c r="AH1047" s="14">
        <v>40.840333333333334</v>
      </c>
      <c r="AI1047" s="13">
        <v>-40.840333333333334</v>
      </c>
      <c r="AK1047" s="9">
        <v>0</v>
      </c>
    </row>
    <row r="1048" spans="1:37">
      <c r="A1048" s="9">
        <v>12</v>
      </c>
      <c r="B1048" s="9">
        <v>2024</v>
      </c>
      <c r="C1048" s="9" t="s">
        <v>46</v>
      </c>
      <c r="D1048" s="9" t="s">
        <v>47</v>
      </c>
      <c r="E1048" s="9" t="s">
        <v>47</v>
      </c>
      <c r="F1048" s="10">
        <v>45367</v>
      </c>
      <c r="G1048" s="9" t="s">
        <v>155</v>
      </c>
      <c r="H1048" s="9" t="s">
        <v>54</v>
      </c>
      <c r="I1048" s="9">
        <v>1</v>
      </c>
      <c r="J1048" s="9">
        <v>12</v>
      </c>
      <c r="K1048" s="9">
        <v>320</v>
      </c>
      <c r="L1048" s="9">
        <v>0.56999999999999995</v>
      </c>
      <c r="M1048" s="9">
        <v>182.4</v>
      </c>
      <c r="N1048" s="9" t="s">
        <v>49</v>
      </c>
      <c r="Q1048" s="9">
        <f>IF(Auction_Sales[[#This Row],[Payment Date]]=0,"",-1+WEEKNUM(Auction_Sales[[#This Row],[Payment Date]]))</f>
        <v>12</v>
      </c>
      <c r="R1048" s="9">
        <v>-40</v>
      </c>
      <c r="S1048" s="9" t="s">
        <v>155</v>
      </c>
      <c r="T1048" s="9" t="s">
        <v>54</v>
      </c>
      <c r="U1048" s="9">
        <v>360</v>
      </c>
      <c r="V1048" s="13">
        <v>0.3066666666666667</v>
      </c>
      <c r="W1048" s="13">
        <v>110.4</v>
      </c>
      <c r="X1048" s="14">
        <v>-12.722750716332371</v>
      </c>
      <c r="Y1048" s="13">
        <v>97.677249283667635</v>
      </c>
      <c r="Z1048" s="10">
        <v>45378</v>
      </c>
      <c r="AA1048" s="9">
        <v>40</v>
      </c>
      <c r="AC1048" s="9">
        <v>433588</v>
      </c>
      <c r="AD1048" s="14">
        <v>40.840333333333334</v>
      </c>
      <c r="AF1048" s="14">
        <v>7.2</v>
      </c>
      <c r="AH1048" s="14">
        <v>48.040333333333336</v>
      </c>
      <c r="AI1048" s="13">
        <v>49.636915950334298</v>
      </c>
      <c r="AK1048" s="9">
        <v>360</v>
      </c>
    </row>
    <row r="1049" spans="1:37">
      <c r="A1049" s="9">
        <v>12</v>
      </c>
      <c r="B1049" s="9">
        <v>2024</v>
      </c>
      <c r="C1049" s="9" t="s">
        <v>46</v>
      </c>
      <c r="D1049" s="9" t="s">
        <v>47</v>
      </c>
      <c r="E1049" s="9" t="s">
        <v>47</v>
      </c>
      <c r="F1049" s="10">
        <v>45367</v>
      </c>
      <c r="G1049" s="9" t="s">
        <v>155</v>
      </c>
      <c r="H1049" s="9" t="s">
        <v>56</v>
      </c>
      <c r="I1049" s="9">
        <v>1</v>
      </c>
      <c r="J1049" s="9">
        <v>12</v>
      </c>
      <c r="K1049" s="9">
        <v>240</v>
      </c>
      <c r="L1049" s="9">
        <v>0.75</v>
      </c>
      <c r="M1049" s="9">
        <v>180</v>
      </c>
      <c r="N1049" s="9" t="s">
        <v>49</v>
      </c>
      <c r="Q1049" s="9">
        <f>IF(Auction_Sales[[#This Row],[Payment Date]]=0,"",-1+WEEKNUM(Auction_Sales[[#This Row],[Payment Date]]))</f>
        <v>12</v>
      </c>
      <c r="R1049" s="9">
        <v>-80</v>
      </c>
      <c r="S1049" s="9" t="s">
        <v>155</v>
      </c>
      <c r="T1049" s="9" t="s">
        <v>56</v>
      </c>
      <c r="U1049" s="9">
        <v>320</v>
      </c>
      <c r="V1049" s="13">
        <v>0.57125000000000004</v>
      </c>
      <c r="W1049" s="13">
        <v>182.8</v>
      </c>
      <c r="X1049" s="14">
        <v>-11.309111747850995</v>
      </c>
      <c r="Y1049" s="13">
        <v>171.49088825214901</v>
      </c>
      <c r="Z1049" s="10">
        <v>45378</v>
      </c>
      <c r="AA1049" s="9">
        <v>80</v>
      </c>
      <c r="AC1049" s="9">
        <v>433588</v>
      </c>
      <c r="AD1049" s="14">
        <v>40.840333333333334</v>
      </c>
      <c r="AF1049" s="14">
        <v>6.4</v>
      </c>
      <c r="AH1049" s="14">
        <v>47.240333333333332</v>
      </c>
      <c r="AI1049" s="13">
        <v>124.25055491881568</v>
      </c>
      <c r="AK1049" s="9">
        <v>320</v>
      </c>
    </row>
    <row r="1050" spans="1:37">
      <c r="A1050" s="9">
        <v>12</v>
      </c>
      <c r="B1050" s="9">
        <v>2024</v>
      </c>
      <c r="C1050" s="9" t="s">
        <v>46</v>
      </c>
      <c r="D1050" s="9" t="s">
        <v>47</v>
      </c>
      <c r="E1050" s="9" t="s">
        <v>47</v>
      </c>
      <c r="F1050" s="10">
        <v>45367</v>
      </c>
      <c r="G1050" s="9" t="s">
        <v>155</v>
      </c>
      <c r="H1050" s="9" t="s">
        <v>57</v>
      </c>
      <c r="I1050" s="9">
        <v>1</v>
      </c>
      <c r="J1050" s="9">
        <v>12</v>
      </c>
      <c r="K1050" s="9">
        <v>200</v>
      </c>
      <c r="L1050" s="9">
        <v>0.94</v>
      </c>
      <c r="M1050" s="9">
        <v>188</v>
      </c>
      <c r="N1050" s="9" t="s">
        <v>49</v>
      </c>
      <c r="Q1050" s="9">
        <f>IF(Auction_Sales[[#This Row],[Payment Date]]=0,"",-1+WEEKNUM(Auction_Sales[[#This Row],[Payment Date]]))</f>
        <v>12</v>
      </c>
      <c r="R1050" s="9">
        <v>0</v>
      </c>
      <c r="S1050" s="9" t="s">
        <v>155</v>
      </c>
      <c r="T1050" s="9" t="s">
        <v>57</v>
      </c>
      <c r="U1050" s="9">
        <v>200</v>
      </c>
      <c r="V1050" s="13">
        <v>0.77200000000000002</v>
      </c>
      <c r="W1050" s="13">
        <v>154.4</v>
      </c>
      <c r="X1050" s="14">
        <v>-7.0681948424068723</v>
      </c>
      <c r="Y1050" s="13">
        <v>147.33180515759312</v>
      </c>
      <c r="Z1050" s="10">
        <v>45378</v>
      </c>
      <c r="AA1050" s="9">
        <v>0</v>
      </c>
      <c r="AC1050" s="9">
        <v>433588</v>
      </c>
      <c r="AD1050" s="14">
        <v>40.840333333333334</v>
      </c>
      <c r="AF1050" s="14">
        <v>4</v>
      </c>
      <c r="AH1050" s="14">
        <v>44.840333333333334</v>
      </c>
      <c r="AI1050" s="13">
        <v>102.49147182425979</v>
      </c>
      <c r="AK1050" s="9">
        <v>200</v>
      </c>
    </row>
    <row r="1051" spans="1:37">
      <c r="A1051" s="9">
        <v>12</v>
      </c>
      <c r="B1051" s="9">
        <v>2024</v>
      </c>
      <c r="C1051" s="9" t="s">
        <v>46</v>
      </c>
      <c r="D1051" s="9" t="s">
        <v>47</v>
      </c>
      <c r="E1051" s="9" t="s">
        <v>47</v>
      </c>
      <c r="F1051" s="10">
        <v>45367</v>
      </c>
      <c r="G1051" s="9" t="s">
        <v>154</v>
      </c>
      <c r="H1051" s="9" t="s">
        <v>51</v>
      </c>
      <c r="I1051" s="9">
        <v>1</v>
      </c>
      <c r="J1051" s="9">
        <v>12</v>
      </c>
      <c r="K1051" s="9">
        <v>600</v>
      </c>
      <c r="L1051" s="9">
        <v>0.38</v>
      </c>
      <c r="M1051" s="9">
        <v>228</v>
      </c>
      <c r="N1051" s="9" t="s">
        <v>49</v>
      </c>
      <c r="Q1051" s="9">
        <f>IF(Auction_Sales[[#This Row],[Payment Date]]=0,"",-1+WEEKNUM(Auction_Sales[[#This Row],[Payment Date]]))</f>
        <v>12</v>
      </c>
      <c r="R1051" s="9">
        <v>-120</v>
      </c>
      <c r="S1051" s="9" t="s">
        <v>154</v>
      </c>
      <c r="T1051" s="9" t="s">
        <v>51</v>
      </c>
      <c r="U1051" s="9">
        <v>720</v>
      </c>
      <c r="V1051" s="13">
        <v>0.24555555555555558</v>
      </c>
      <c r="W1051" s="13">
        <v>176.8</v>
      </c>
      <c r="X1051" s="14">
        <v>-25.445501432664742</v>
      </c>
      <c r="Y1051" s="13">
        <v>151.35449856733527</v>
      </c>
      <c r="Z1051" s="10">
        <v>45378</v>
      </c>
      <c r="AA1051" s="9">
        <v>120</v>
      </c>
      <c r="AC1051" s="9">
        <v>433588</v>
      </c>
      <c r="AD1051" s="14">
        <v>40.840333333333334</v>
      </c>
      <c r="AF1051" s="14">
        <v>14.4</v>
      </c>
      <c r="AH1051" s="14">
        <v>55.240333333333332</v>
      </c>
      <c r="AI1051" s="13">
        <v>96.114165234001945</v>
      </c>
      <c r="AK1051" s="9">
        <v>720</v>
      </c>
    </row>
    <row r="1052" spans="1:37">
      <c r="A1052" s="9">
        <v>12</v>
      </c>
      <c r="B1052" s="9">
        <v>2024</v>
      </c>
      <c r="C1052" s="9" t="s">
        <v>46</v>
      </c>
      <c r="D1052" s="9" t="s">
        <v>47</v>
      </c>
      <c r="E1052" s="9" t="s">
        <v>47</v>
      </c>
      <c r="F1052" s="10">
        <v>45367</v>
      </c>
      <c r="G1052" s="9" t="s">
        <v>154</v>
      </c>
      <c r="H1052" s="9" t="s">
        <v>48</v>
      </c>
      <c r="I1052" s="9">
        <v>1</v>
      </c>
      <c r="J1052" s="9">
        <v>12</v>
      </c>
      <c r="K1052" s="9">
        <v>480</v>
      </c>
      <c r="L1052" s="9">
        <v>0.47</v>
      </c>
      <c r="M1052" s="9">
        <v>225.6</v>
      </c>
      <c r="N1052" s="9" t="s">
        <v>49</v>
      </c>
      <c r="Q1052" s="9">
        <f>IF(Auction_Sales[[#This Row],[Payment Date]]=0,"",-1+WEEKNUM(Auction_Sales[[#This Row],[Payment Date]]))</f>
        <v>12</v>
      </c>
      <c r="R1052" s="9">
        <v>-160</v>
      </c>
      <c r="S1052" s="9" t="s">
        <v>154</v>
      </c>
      <c r="T1052" s="9" t="s">
        <v>48</v>
      </c>
      <c r="U1052" s="9">
        <v>640</v>
      </c>
      <c r="V1052" s="13">
        <v>0.44124999999999998</v>
      </c>
      <c r="W1052" s="13">
        <v>282.39999999999998</v>
      </c>
      <c r="X1052" s="14">
        <v>-22.61822349570199</v>
      </c>
      <c r="Y1052" s="13">
        <v>259.78177650429797</v>
      </c>
      <c r="Z1052" s="10">
        <v>45378</v>
      </c>
      <c r="AA1052" s="9">
        <v>160</v>
      </c>
      <c r="AC1052" s="9">
        <v>433588</v>
      </c>
      <c r="AD1052" s="14">
        <v>40.840333333333334</v>
      </c>
      <c r="AF1052" s="14">
        <v>12.8</v>
      </c>
      <c r="AH1052" s="14">
        <v>53.640333333333331</v>
      </c>
      <c r="AI1052" s="13">
        <v>206.14144317096464</v>
      </c>
      <c r="AK1052" s="9">
        <v>640</v>
      </c>
    </row>
    <row r="1053" spans="1:37">
      <c r="A1053" s="9">
        <v>12</v>
      </c>
      <c r="B1053" s="9">
        <v>2024</v>
      </c>
      <c r="C1053" s="9" t="s">
        <v>46</v>
      </c>
      <c r="D1053" s="9" t="s">
        <v>47</v>
      </c>
      <c r="E1053" s="9" t="s">
        <v>47</v>
      </c>
      <c r="F1053" s="10">
        <v>45367</v>
      </c>
      <c r="G1053" s="9" t="s">
        <v>154</v>
      </c>
      <c r="H1053" s="9" t="s">
        <v>52</v>
      </c>
      <c r="I1053" s="9">
        <v>1</v>
      </c>
      <c r="J1053" s="9">
        <v>12</v>
      </c>
      <c r="K1053" s="9">
        <v>400</v>
      </c>
      <c r="L1053" s="9">
        <v>0.52</v>
      </c>
      <c r="M1053" s="9">
        <v>208</v>
      </c>
      <c r="N1053" s="9" t="s">
        <v>49</v>
      </c>
      <c r="Q1053" s="9">
        <f>IF(Auction_Sales[[#This Row],[Payment Date]]=0,"",-1+WEEKNUM(Auction_Sales[[#This Row],[Payment Date]]))</f>
        <v>12</v>
      </c>
      <c r="R1053" s="9">
        <v>-240</v>
      </c>
      <c r="S1053" s="9" t="s">
        <v>154</v>
      </c>
      <c r="T1053" s="9" t="s">
        <v>52</v>
      </c>
      <c r="U1053" s="9">
        <v>640</v>
      </c>
      <c r="V1053" s="13">
        <v>0.64249999999999996</v>
      </c>
      <c r="W1053" s="13">
        <v>411.2</v>
      </c>
      <c r="X1053" s="14">
        <v>-22.61822349570199</v>
      </c>
      <c r="Y1053" s="13">
        <v>388.58177650429798</v>
      </c>
      <c r="Z1053" s="10">
        <v>45378</v>
      </c>
      <c r="AA1053" s="9">
        <v>240</v>
      </c>
      <c r="AC1053" s="9">
        <v>433588</v>
      </c>
      <c r="AD1053" s="14">
        <v>40.840333333333334</v>
      </c>
      <c r="AF1053" s="14">
        <v>12.8</v>
      </c>
      <c r="AH1053" s="14">
        <v>53.640333333333331</v>
      </c>
      <c r="AI1053" s="13">
        <v>334.94144317096465</v>
      </c>
      <c r="AK1053" s="9">
        <v>640</v>
      </c>
    </row>
    <row r="1054" spans="1:37">
      <c r="A1054" s="9">
        <v>12</v>
      </c>
      <c r="B1054" s="9">
        <v>2024</v>
      </c>
      <c r="C1054" s="9" t="s">
        <v>46</v>
      </c>
      <c r="D1054" s="9" t="s">
        <v>47</v>
      </c>
      <c r="E1054" s="9" t="s">
        <v>47</v>
      </c>
      <c r="F1054" s="10">
        <v>45367</v>
      </c>
      <c r="G1054" s="9" t="s">
        <v>154</v>
      </c>
      <c r="H1054" s="9" t="s">
        <v>52</v>
      </c>
      <c r="I1054" s="9">
        <v>1</v>
      </c>
      <c r="J1054" s="9">
        <v>12</v>
      </c>
      <c r="K1054" s="9">
        <v>320</v>
      </c>
      <c r="L1054" s="9">
        <v>0.52</v>
      </c>
      <c r="M1054" s="9">
        <v>166.4</v>
      </c>
      <c r="N1054" s="9" t="s">
        <v>49</v>
      </c>
      <c r="Q1054" s="9">
        <f>IF(Auction_Sales[[#This Row],[Payment Date]]=0,"",-1+WEEKNUM(Auction_Sales[[#This Row],[Payment Date]]))</f>
        <v>12</v>
      </c>
      <c r="R1054" s="9">
        <v>320</v>
      </c>
      <c r="S1054" s="9" t="s">
        <v>154</v>
      </c>
      <c r="T1054" s="9" t="s">
        <v>52</v>
      </c>
      <c r="W1054" s="13">
        <v>0</v>
      </c>
      <c r="X1054" s="14">
        <v>0</v>
      </c>
      <c r="Y1054" s="13">
        <v>0</v>
      </c>
      <c r="Z1054" s="10">
        <v>45378</v>
      </c>
      <c r="AA1054" s="9">
        <v>-320</v>
      </c>
      <c r="AC1054" s="9">
        <v>433588</v>
      </c>
      <c r="AD1054" s="14">
        <v>40.840333333333334</v>
      </c>
      <c r="AF1054" s="14">
        <v>0</v>
      </c>
      <c r="AH1054" s="14">
        <v>40.840333333333334</v>
      </c>
      <c r="AI1054" s="13">
        <v>-40.840333333333334</v>
      </c>
      <c r="AK1054" s="9">
        <v>0</v>
      </c>
    </row>
    <row r="1055" spans="1:37">
      <c r="A1055" s="9">
        <v>12</v>
      </c>
      <c r="B1055" s="9">
        <v>2024</v>
      </c>
      <c r="C1055" s="9" t="s">
        <v>46</v>
      </c>
      <c r="D1055" s="9" t="s">
        <v>47</v>
      </c>
      <c r="E1055" s="9" t="s">
        <v>47</v>
      </c>
      <c r="F1055" s="10">
        <v>45367</v>
      </c>
      <c r="G1055" s="9" t="s">
        <v>154</v>
      </c>
      <c r="H1055" s="9" t="s">
        <v>56</v>
      </c>
      <c r="I1055" s="9">
        <v>1</v>
      </c>
      <c r="J1055" s="9">
        <v>12</v>
      </c>
      <c r="K1055" s="9">
        <v>200</v>
      </c>
      <c r="L1055" s="9">
        <v>0.75</v>
      </c>
      <c r="M1055" s="9">
        <v>150</v>
      </c>
      <c r="N1055" s="9" t="s">
        <v>49</v>
      </c>
      <c r="Q1055" s="9">
        <f>IF(Auction_Sales[[#This Row],[Payment Date]]=0,"",-1+WEEKNUM(Auction_Sales[[#This Row],[Payment Date]]))</f>
        <v>12</v>
      </c>
      <c r="R1055" s="9">
        <v>-80</v>
      </c>
      <c r="S1055" s="9" t="s">
        <v>154</v>
      </c>
      <c r="T1055" s="9" t="s">
        <v>56</v>
      </c>
      <c r="U1055" s="9">
        <v>280</v>
      </c>
      <c r="V1055" s="13">
        <v>0.55857142857142861</v>
      </c>
      <c r="W1055" s="13">
        <v>156.4</v>
      </c>
      <c r="X1055" s="14">
        <v>-9.8954727793696211</v>
      </c>
      <c r="Y1055" s="13">
        <v>146.50452722063039</v>
      </c>
      <c r="Z1055" s="10">
        <v>45378</v>
      </c>
      <c r="AA1055" s="9">
        <v>80</v>
      </c>
      <c r="AC1055" s="9">
        <v>433588</v>
      </c>
      <c r="AD1055" s="14">
        <v>40.840333333333334</v>
      </c>
      <c r="AF1055" s="14">
        <v>5.6000000000000005</v>
      </c>
      <c r="AH1055" s="14">
        <v>46.440333333333335</v>
      </c>
      <c r="AI1055" s="13">
        <v>100.06419388729705</v>
      </c>
      <c r="AK1055" s="9">
        <v>280</v>
      </c>
    </row>
    <row r="1056" spans="1:37">
      <c r="A1056" s="9">
        <v>12</v>
      </c>
      <c r="B1056" s="9">
        <v>2024</v>
      </c>
      <c r="C1056" s="9" t="s">
        <v>46</v>
      </c>
      <c r="D1056" s="9" t="s">
        <v>47</v>
      </c>
      <c r="E1056" s="9" t="s">
        <v>47</v>
      </c>
      <c r="F1056" s="10">
        <v>45367</v>
      </c>
      <c r="G1056" s="9" t="s">
        <v>154</v>
      </c>
      <c r="H1056" s="9" t="s">
        <v>57</v>
      </c>
      <c r="I1056" s="9">
        <v>1</v>
      </c>
      <c r="J1056" s="9">
        <v>12</v>
      </c>
      <c r="K1056" s="9">
        <v>160</v>
      </c>
      <c r="L1056" s="9">
        <v>0.94</v>
      </c>
      <c r="M1056" s="9">
        <v>150.4</v>
      </c>
      <c r="N1056" s="9" t="s">
        <v>49</v>
      </c>
      <c r="Q1056" s="9">
        <f>IF(Auction_Sales[[#This Row],[Payment Date]]=0,"",-1+WEEKNUM(Auction_Sales[[#This Row],[Payment Date]]))</f>
        <v>12</v>
      </c>
      <c r="R1056" s="9">
        <v>-40</v>
      </c>
      <c r="S1056" s="9" t="s">
        <v>154</v>
      </c>
      <c r="T1056" s="9" t="s">
        <v>57</v>
      </c>
      <c r="U1056" s="9">
        <v>200</v>
      </c>
      <c r="V1056" s="13">
        <v>0.70599999999999996</v>
      </c>
      <c r="W1056" s="13">
        <v>141.19999999999999</v>
      </c>
      <c r="X1056" s="14">
        <v>-7.0681948424068723</v>
      </c>
      <c r="Y1056" s="13">
        <v>134.13180515759311</v>
      </c>
      <c r="Z1056" s="10">
        <v>45378</v>
      </c>
      <c r="AA1056" s="9">
        <v>40</v>
      </c>
      <c r="AC1056" s="9">
        <v>433588</v>
      </c>
      <c r="AD1056" s="14">
        <v>40.840333333333334</v>
      </c>
      <c r="AF1056" s="14">
        <v>4</v>
      </c>
      <c r="AH1056" s="14">
        <v>44.840333333333334</v>
      </c>
      <c r="AI1056" s="13">
        <v>89.291471824259773</v>
      </c>
      <c r="AK1056" s="9">
        <v>200</v>
      </c>
    </row>
    <row r="1057" spans="1:37">
      <c r="A1057" s="9">
        <v>12</v>
      </c>
      <c r="B1057" s="9">
        <v>2024</v>
      </c>
      <c r="C1057" s="9" t="s">
        <v>46</v>
      </c>
      <c r="D1057" s="9" t="s">
        <v>47</v>
      </c>
      <c r="E1057" s="9" t="s">
        <v>47</v>
      </c>
      <c r="F1057" s="10">
        <v>45367</v>
      </c>
      <c r="G1057" s="9" t="s">
        <v>153</v>
      </c>
      <c r="H1057" s="9" t="s">
        <v>51</v>
      </c>
      <c r="I1057" s="9">
        <v>1</v>
      </c>
      <c r="J1057" s="9">
        <v>12</v>
      </c>
      <c r="K1057" s="9">
        <v>1000</v>
      </c>
      <c r="L1057" s="9">
        <v>0.14000000000000001</v>
      </c>
      <c r="M1057" s="9">
        <v>140</v>
      </c>
      <c r="N1057" s="9" t="s">
        <v>49</v>
      </c>
      <c r="Q1057" s="9">
        <f>IF(Auction_Sales[[#This Row],[Payment Date]]=0,"",-1+WEEKNUM(Auction_Sales[[#This Row],[Payment Date]]))</f>
        <v>12</v>
      </c>
      <c r="R1057" s="9">
        <v>-40</v>
      </c>
      <c r="S1057" s="9" t="s">
        <v>153</v>
      </c>
      <c r="T1057" s="9" t="s">
        <v>51</v>
      </c>
      <c r="U1057" s="9">
        <v>1040</v>
      </c>
      <c r="V1057" s="13">
        <v>0.21269230769230768</v>
      </c>
      <c r="W1057" s="13">
        <v>221.2</v>
      </c>
      <c r="X1057" s="14">
        <v>-36.754613180515733</v>
      </c>
      <c r="Y1057" s="13">
        <v>184.44538681948427</v>
      </c>
      <c r="Z1057" s="10">
        <v>45378</v>
      </c>
      <c r="AA1057" s="9">
        <v>40</v>
      </c>
      <c r="AC1057" s="9">
        <v>433588</v>
      </c>
      <c r="AD1057" s="14">
        <v>40.840333333333334</v>
      </c>
      <c r="AF1057" s="14">
        <v>20.8</v>
      </c>
      <c r="AH1057" s="14">
        <v>61.640333333333331</v>
      </c>
      <c r="AI1057" s="13">
        <v>122.80505348615094</v>
      </c>
      <c r="AK1057" s="9">
        <v>1040</v>
      </c>
    </row>
    <row r="1058" spans="1:37">
      <c r="A1058" s="9">
        <v>12</v>
      </c>
      <c r="B1058" s="9">
        <v>2024</v>
      </c>
      <c r="C1058" s="9" t="s">
        <v>46</v>
      </c>
      <c r="D1058" s="9" t="s">
        <v>47</v>
      </c>
      <c r="E1058" s="9" t="s">
        <v>47</v>
      </c>
      <c r="F1058" s="10">
        <v>45367</v>
      </c>
      <c r="G1058" s="9" t="s">
        <v>153</v>
      </c>
      <c r="H1058" s="9" t="s">
        <v>48</v>
      </c>
      <c r="I1058" s="9">
        <v>1</v>
      </c>
      <c r="J1058" s="9">
        <v>12</v>
      </c>
      <c r="K1058" s="9">
        <v>720</v>
      </c>
      <c r="L1058" s="9">
        <v>0.24</v>
      </c>
      <c r="M1058" s="9">
        <v>172.8</v>
      </c>
      <c r="N1058" s="9" t="s">
        <v>49</v>
      </c>
      <c r="Q1058" s="9">
        <f>IF(Auction_Sales[[#This Row],[Payment Date]]=0,"",-1+WEEKNUM(Auction_Sales[[#This Row],[Payment Date]]))</f>
        <v>12</v>
      </c>
      <c r="R1058" s="9">
        <v>-80</v>
      </c>
      <c r="S1058" s="9" t="s">
        <v>153</v>
      </c>
      <c r="T1058" s="9" t="s">
        <v>48</v>
      </c>
      <c r="U1058" s="9">
        <v>800</v>
      </c>
      <c r="V1058" s="13">
        <v>0.28999999999999998</v>
      </c>
      <c r="W1058" s="13">
        <v>231.99999999999997</v>
      </c>
      <c r="X1058" s="14">
        <v>-28.272779369627489</v>
      </c>
      <c r="Y1058" s="13">
        <v>203.72722063037247</v>
      </c>
      <c r="Z1058" s="10">
        <v>45378</v>
      </c>
      <c r="AA1058" s="9">
        <v>80</v>
      </c>
      <c r="AC1058" s="9">
        <v>433588</v>
      </c>
      <c r="AD1058" s="14">
        <v>40.840333333333334</v>
      </c>
      <c r="AF1058" s="14">
        <v>16</v>
      </c>
      <c r="AH1058" s="14">
        <v>56.840333333333334</v>
      </c>
      <c r="AI1058" s="13">
        <v>146.88688729703915</v>
      </c>
      <c r="AK1058" s="9">
        <v>800</v>
      </c>
    </row>
    <row r="1059" spans="1:37">
      <c r="A1059" s="9">
        <v>12</v>
      </c>
      <c r="B1059" s="9">
        <v>2024</v>
      </c>
      <c r="C1059" s="9" t="s">
        <v>46</v>
      </c>
      <c r="D1059" s="9" t="s">
        <v>47</v>
      </c>
      <c r="E1059" s="9" t="s">
        <v>47</v>
      </c>
      <c r="F1059" s="10">
        <v>45367</v>
      </c>
      <c r="G1059" s="9" t="s">
        <v>153</v>
      </c>
      <c r="H1059" s="9" t="s">
        <v>52</v>
      </c>
      <c r="I1059" s="9">
        <v>1</v>
      </c>
      <c r="J1059" s="9">
        <v>12</v>
      </c>
      <c r="K1059" s="9">
        <v>440</v>
      </c>
      <c r="L1059" s="9">
        <v>0.28000000000000003</v>
      </c>
      <c r="M1059" s="9">
        <v>123.2</v>
      </c>
      <c r="N1059" s="9" t="s">
        <v>49</v>
      </c>
      <c r="Q1059" s="9">
        <f>IF(Auction_Sales[[#This Row],[Payment Date]]=0,"",-1+WEEKNUM(Auction_Sales[[#This Row],[Payment Date]]))</f>
        <v>12</v>
      </c>
      <c r="R1059" s="9">
        <v>-720</v>
      </c>
      <c r="S1059" s="9" t="s">
        <v>153</v>
      </c>
      <c r="T1059" s="9" t="s">
        <v>52</v>
      </c>
      <c r="U1059" s="9">
        <v>1160</v>
      </c>
      <c r="V1059" s="13">
        <v>0.39620689655172414</v>
      </c>
      <c r="W1059" s="13">
        <v>459.6</v>
      </c>
      <c r="X1059" s="14">
        <v>-40.995530085959857</v>
      </c>
      <c r="Y1059" s="13">
        <v>418.60446991404018</v>
      </c>
      <c r="Z1059" s="10">
        <v>45378</v>
      </c>
      <c r="AA1059" s="9">
        <v>720</v>
      </c>
      <c r="AC1059" s="9">
        <v>433588</v>
      </c>
      <c r="AD1059" s="14">
        <v>40.840333333333334</v>
      </c>
      <c r="AF1059" s="14">
        <v>23.2</v>
      </c>
      <c r="AH1059" s="14">
        <v>64.040333333333336</v>
      </c>
      <c r="AI1059" s="13">
        <v>354.56413658070687</v>
      </c>
      <c r="AK1059" s="9">
        <v>1160</v>
      </c>
    </row>
    <row r="1060" spans="1:37">
      <c r="A1060" s="9">
        <v>12</v>
      </c>
      <c r="B1060" s="9">
        <v>2024</v>
      </c>
      <c r="C1060" s="9" t="s">
        <v>46</v>
      </c>
      <c r="D1060" s="9" t="s">
        <v>47</v>
      </c>
      <c r="E1060" s="9" t="s">
        <v>47</v>
      </c>
      <c r="F1060" s="10">
        <v>45367</v>
      </c>
      <c r="G1060" s="9" t="s">
        <v>153</v>
      </c>
      <c r="H1060" s="9" t="s">
        <v>52</v>
      </c>
      <c r="I1060" s="9">
        <v>1</v>
      </c>
      <c r="J1060" s="9">
        <v>12</v>
      </c>
      <c r="K1060" s="9">
        <v>520</v>
      </c>
      <c r="L1060" s="9">
        <v>0.28000000000000003</v>
      </c>
      <c r="M1060" s="9">
        <v>145.6</v>
      </c>
      <c r="N1060" s="9" t="s">
        <v>49</v>
      </c>
      <c r="Q1060" s="9">
        <f>IF(Auction_Sales[[#This Row],[Payment Date]]=0,"",-1+WEEKNUM(Auction_Sales[[#This Row],[Payment Date]]))</f>
        <v>12</v>
      </c>
      <c r="R1060" s="9">
        <v>520</v>
      </c>
      <c r="S1060" s="9" t="s">
        <v>153</v>
      </c>
      <c r="T1060" s="9" t="s">
        <v>52</v>
      </c>
      <c r="W1060" s="13">
        <v>0</v>
      </c>
      <c r="X1060" s="14">
        <v>0</v>
      </c>
      <c r="Y1060" s="13">
        <v>0</v>
      </c>
      <c r="Z1060" s="10">
        <v>45378</v>
      </c>
      <c r="AA1060" s="9">
        <v>-520</v>
      </c>
      <c r="AC1060" s="9">
        <v>433588</v>
      </c>
      <c r="AD1060" s="14">
        <v>40.840333333333334</v>
      </c>
      <c r="AF1060" s="14">
        <v>0</v>
      </c>
      <c r="AH1060" s="14">
        <v>40.840333333333334</v>
      </c>
      <c r="AI1060" s="13">
        <v>-40.840333333333334</v>
      </c>
      <c r="AK1060" s="9">
        <v>0</v>
      </c>
    </row>
    <row r="1061" spans="1:37">
      <c r="A1061" s="9">
        <v>12</v>
      </c>
      <c r="B1061" s="9">
        <v>2024</v>
      </c>
      <c r="C1061" s="9" t="s">
        <v>46</v>
      </c>
      <c r="D1061" s="9" t="s">
        <v>47</v>
      </c>
      <c r="E1061" s="9" t="s">
        <v>47</v>
      </c>
      <c r="F1061" s="10">
        <v>45367</v>
      </c>
      <c r="G1061" s="9" t="s">
        <v>153</v>
      </c>
      <c r="H1061" s="9" t="s">
        <v>56</v>
      </c>
      <c r="I1061" s="9">
        <v>1</v>
      </c>
      <c r="J1061" s="9">
        <v>12</v>
      </c>
      <c r="K1061" s="9">
        <v>320</v>
      </c>
      <c r="L1061" s="9">
        <v>0.38</v>
      </c>
      <c r="M1061" s="9">
        <v>121.6</v>
      </c>
      <c r="N1061" s="9" t="s">
        <v>49</v>
      </c>
      <c r="Q1061" s="9">
        <f>IF(Auction_Sales[[#This Row],[Payment Date]]=0,"",-1+WEEKNUM(Auction_Sales[[#This Row],[Payment Date]]))</f>
        <v>12</v>
      </c>
      <c r="R1061" s="9">
        <v>0</v>
      </c>
      <c r="S1061" s="9" t="s">
        <v>153</v>
      </c>
      <c r="T1061" s="9" t="s">
        <v>56</v>
      </c>
      <c r="U1061" s="9">
        <v>320</v>
      </c>
      <c r="V1061" s="13">
        <v>0.57250000000000001</v>
      </c>
      <c r="W1061" s="13">
        <v>183.2</v>
      </c>
      <c r="X1061" s="14">
        <v>-11.309111747850995</v>
      </c>
      <c r="Y1061" s="13">
        <v>171.89088825214898</v>
      </c>
      <c r="Z1061" s="10">
        <v>45378</v>
      </c>
      <c r="AA1061" s="9">
        <v>0</v>
      </c>
      <c r="AC1061" s="9">
        <v>433588</v>
      </c>
      <c r="AD1061" s="14">
        <v>40.840333333333334</v>
      </c>
      <c r="AF1061" s="14">
        <v>6.4</v>
      </c>
      <c r="AH1061" s="14">
        <v>47.240333333333332</v>
      </c>
      <c r="AI1061" s="13">
        <v>124.65055491881566</v>
      </c>
      <c r="AK1061" s="9">
        <v>320</v>
      </c>
    </row>
    <row r="1062" spans="1:37">
      <c r="A1062" s="9">
        <v>12</v>
      </c>
      <c r="B1062" s="9">
        <v>2024</v>
      </c>
      <c r="C1062" s="9" t="s">
        <v>46</v>
      </c>
      <c r="D1062" s="9" t="s">
        <v>47</v>
      </c>
      <c r="E1062" s="9" t="s">
        <v>47</v>
      </c>
      <c r="F1062" s="10">
        <v>45367</v>
      </c>
      <c r="G1062" s="9" t="s">
        <v>154</v>
      </c>
      <c r="H1062" s="9" t="s">
        <v>48</v>
      </c>
      <c r="I1062" s="9">
        <v>1</v>
      </c>
      <c r="J1062" s="9">
        <v>7.5</v>
      </c>
      <c r="K1062" s="9">
        <v>200</v>
      </c>
      <c r="L1062" s="9">
        <v>0.47</v>
      </c>
      <c r="M1062" s="9">
        <v>94</v>
      </c>
      <c r="N1062" s="9" t="s">
        <v>49</v>
      </c>
      <c r="Q1062" s="9">
        <f>IF(Auction_Sales[[#This Row],[Payment Date]]=0,"",-1+WEEKNUM(Auction_Sales[[#This Row],[Payment Date]]))</f>
        <v>12</v>
      </c>
      <c r="R1062" s="9">
        <v>200</v>
      </c>
      <c r="S1062" s="9" t="s">
        <v>154</v>
      </c>
      <c r="T1062" s="9" t="s">
        <v>48</v>
      </c>
      <c r="W1062" s="13">
        <v>0</v>
      </c>
      <c r="X1062" s="14">
        <v>0</v>
      </c>
      <c r="Y1062" s="13">
        <v>0</v>
      </c>
      <c r="Z1062" s="10">
        <v>45378</v>
      </c>
      <c r="AA1062" s="9">
        <v>-200</v>
      </c>
      <c r="AC1062" s="9">
        <v>433588</v>
      </c>
      <c r="AD1062" s="14">
        <v>25.525208333333332</v>
      </c>
      <c r="AF1062" s="14">
        <v>0</v>
      </c>
      <c r="AH1062" s="14">
        <v>25.525208333333332</v>
      </c>
      <c r="AI1062" s="13">
        <v>-25.525208333333332</v>
      </c>
      <c r="AK1062" s="9">
        <v>0</v>
      </c>
    </row>
    <row r="1063" spans="1:37">
      <c r="A1063" s="9">
        <v>12</v>
      </c>
      <c r="B1063" s="9">
        <v>2024</v>
      </c>
      <c r="C1063" s="9" t="s">
        <v>46</v>
      </c>
      <c r="D1063" s="9" t="s">
        <v>47</v>
      </c>
      <c r="E1063" s="9" t="s">
        <v>47</v>
      </c>
      <c r="F1063" s="10">
        <v>45367</v>
      </c>
      <c r="G1063" s="9" t="s">
        <v>154</v>
      </c>
      <c r="H1063" s="9" t="s">
        <v>56</v>
      </c>
      <c r="J1063" s="9">
        <v>3</v>
      </c>
      <c r="K1063" s="9">
        <v>80</v>
      </c>
      <c r="L1063" s="9">
        <v>0.75</v>
      </c>
      <c r="M1063" s="9">
        <v>60</v>
      </c>
      <c r="N1063" s="9" t="s">
        <v>49</v>
      </c>
      <c r="Q1063" s="9">
        <f>IF(Auction_Sales[[#This Row],[Payment Date]]=0,"",-1+WEEKNUM(Auction_Sales[[#This Row],[Payment Date]]))</f>
        <v>12</v>
      </c>
      <c r="R1063" s="9">
        <v>80</v>
      </c>
      <c r="S1063" s="9" t="s">
        <v>154</v>
      </c>
      <c r="T1063" s="9" t="s">
        <v>56</v>
      </c>
      <c r="W1063" s="13">
        <v>0</v>
      </c>
      <c r="X1063" s="14">
        <v>0</v>
      </c>
      <c r="Y1063" s="13">
        <v>0</v>
      </c>
      <c r="Z1063" s="10">
        <v>45378</v>
      </c>
      <c r="AA1063" s="9">
        <v>-80</v>
      </c>
      <c r="AC1063" s="9">
        <v>433588</v>
      </c>
      <c r="AD1063" s="14">
        <v>10.210083333333333</v>
      </c>
      <c r="AF1063" s="14">
        <v>0</v>
      </c>
      <c r="AH1063" s="14">
        <v>10.210083333333333</v>
      </c>
      <c r="AI1063" s="13">
        <v>-10.210083333333333</v>
      </c>
      <c r="AK1063" s="9">
        <v>0</v>
      </c>
    </row>
    <row r="1064" spans="1:37">
      <c r="A1064" s="9">
        <v>12</v>
      </c>
      <c r="B1064" s="9">
        <v>2024</v>
      </c>
      <c r="C1064" s="9" t="s">
        <v>46</v>
      </c>
      <c r="D1064" s="9" t="s">
        <v>47</v>
      </c>
      <c r="E1064" s="9" t="s">
        <v>47</v>
      </c>
      <c r="F1064" s="10">
        <v>45367</v>
      </c>
      <c r="G1064" s="9" t="s">
        <v>154</v>
      </c>
      <c r="H1064" s="9" t="s">
        <v>57</v>
      </c>
      <c r="J1064" s="9">
        <v>1.5</v>
      </c>
      <c r="K1064" s="9">
        <v>40</v>
      </c>
      <c r="L1064" s="9">
        <v>0.94</v>
      </c>
      <c r="M1064" s="9">
        <v>37.6</v>
      </c>
      <c r="N1064" s="9" t="s">
        <v>49</v>
      </c>
      <c r="Q1064" s="9">
        <f>IF(Auction_Sales[[#This Row],[Payment Date]]=0,"",-1+WEEKNUM(Auction_Sales[[#This Row],[Payment Date]]))</f>
        <v>12</v>
      </c>
      <c r="R1064" s="9">
        <v>40</v>
      </c>
      <c r="S1064" s="9" t="s">
        <v>154</v>
      </c>
      <c r="T1064" s="9" t="s">
        <v>57</v>
      </c>
      <c r="W1064" s="13">
        <v>0</v>
      </c>
      <c r="X1064" s="14">
        <v>0</v>
      </c>
      <c r="Y1064" s="13">
        <v>0</v>
      </c>
      <c r="Z1064" s="10">
        <v>45378</v>
      </c>
      <c r="AA1064" s="9">
        <v>-40</v>
      </c>
      <c r="AC1064" s="9">
        <v>433588</v>
      </c>
      <c r="AD1064" s="14">
        <v>5.1050416666666667</v>
      </c>
      <c r="AF1064" s="14">
        <v>0</v>
      </c>
      <c r="AH1064" s="14">
        <v>5.1050416666666667</v>
      </c>
      <c r="AI1064" s="13">
        <v>-5.1050416666666667</v>
      </c>
      <c r="AK1064" s="9">
        <v>0</v>
      </c>
    </row>
    <row r="1065" spans="1:37">
      <c r="A1065" s="9">
        <v>12</v>
      </c>
      <c r="B1065" s="9">
        <v>2024</v>
      </c>
      <c r="C1065" s="9" t="s">
        <v>46</v>
      </c>
      <c r="D1065" s="9" t="s">
        <v>47</v>
      </c>
      <c r="E1065" s="9" t="s">
        <v>47</v>
      </c>
      <c r="F1065" s="10">
        <v>45367</v>
      </c>
      <c r="G1065" s="9" t="s">
        <v>153</v>
      </c>
      <c r="H1065" s="9" t="s">
        <v>48</v>
      </c>
      <c r="I1065" s="9">
        <v>1</v>
      </c>
      <c r="J1065" s="9">
        <v>3.2727272727272725</v>
      </c>
      <c r="K1065" s="9">
        <v>120</v>
      </c>
      <c r="L1065" s="9">
        <v>0.24</v>
      </c>
      <c r="M1065" s="9">
        <v>28.8</v>
      </c>
      <c r="N1065" s="9" t="s">
        <v>49</v>
      </c>
      <c r="Q1065" s="9">
        <f>IF(Auction_Sales[[#This Row],[Payment Date]]=0,"",-1+WEEKNUM(Auction_Sales[[#This Row],[Payment Date]]))</f>
        <v>12</v>
      </c>
      <c r="R1065" s="9">
        <v>120</v>
      </c>
      <c r="S1065" s="9" t="s">
        <v>153</v>
      </c>
      <c r="T1065" s="9" t="s">
        <v>48</v>
      </c>
      <c r="W1065" s="13">
        <v>0</v>
      </c>
      <c r="X1065" s="14">
        <v>0</v>
      </c>
      <c r="Y1065" s="13">
        <v>0</v>
      </c>
      <c r="Z1065" s="10">
        <v>45378</v>
      </c>
      <c r="AA1065" s="9">
        <v>-120</v>
      </c>
      <c r="AC1065" s="9">
        <v>433588</v>
      </c>
      <c r="AD1065" s="14">
        <v>11.138272727272726</v>
      </c>
      <c r="AF1065" s="14">
        <v>0</v>
      </c>
      <c r="AH1065" s="14">
        <v>11.138272727272726</v>
      </c>
      <c r="AI1065" s="13">
        <v>-11.138272727272726</v>
      </c>
      <c r="AK1065" s="9">
        <v>0</v>
      </c>
    </row>
    <row r="1066" spans="1:37">
      <c r="A1066" s="9">
        <v>12</v>
      </c>
      <c r="B1066" s="9">
        <v>2024</v>
      </c>
      <c r="C1066" s="9" t="s">
        <v>46</v>
      </c>
      <c r="D1066" s="9" t="s">
        <v>47</v>
      </c>
      <c r="E1066" s="9" t="s">
        <v>47</v>
      </c>
      <c r="F1066" s="10">
        <v>45367</v>
      </c>
      <c r="G1066" s="9" t="s">
        <v>153</v>
      </c>
      <c r="H1066" s="9" t="s">
        <v>52</v>
      </c>
      <c r="J1066" s="9">
        <v>5.4545454545454541</v>
      </c>
      <c r="K1066" s="9">
        <v>200</v>
      </c>
      <c r="L1066" s="9">
        <v>0.28000000000000003</v>
      </c>
      <c r="M1066" s="9">
        <v>56</v>
      </c>
      <c r="N1066" s="9" t="s">
        <v>49</v>
      </c>
      <c r="Q1066" s="9">
        <f>IF(Auction_Sales[[#This Row],[Payment Date]]=0,"",-1+WEEKNUM(Auction_Sales[[#This Row],[Payment Date]]))</f>
        <v>12</v>
      </c>
      <c r="R1066" s="9">
        <v>200</v>
      </c>
      <c r="S1066" s="9" t="s">
        <v>153</v>
      </c>
      <c r="T1066" s="9" t="s">
        <v>52</v>
      </c>
      <c r="W1066" s="13">
        <v>0</v>
      </c>
      <c r="X1066" s="14">
        <v>0</v>
      </c>
      <c r="Y1066" s="13">
        <v>0</v>
      </c>
      <c r="Z1066" s="10">
        <v>45378</v>
      </c>
      <c r="AA1066" s="9">
        <v>-200</v>
      </c>
      <c r="AC1066" s="9">
        <v>433588</v>
      </c>
      <c r="AD1066" s="14">
        <v>18.563787878787878</v>
      </c>
      <c r="AF1066" s="14">
        <v>0</v>
      </c>
      <c r="AH1066" s="14">
        <v>18.563787878787878</v>
      </c>
      <c r="AI1066" s="13">
        <v>-18.563787878787878</v>
      </c>
      <c r="AK1066" s="9">
        <v>0</v>
      </c>
    </row>
    <row r="1067" spans="1:37">
      <c r="A1067" s="9">
        <v>12</v>
      </c>
      <c r="B1067" s="9">
        <v>2024</v>
      </c>
      <c r="C1067" s="9" t="s">
        <v>46</v>
      </c>
      <c r="D1067" s="9" t="s">
        <v>47</v>
      </c>
      <c r="E1067" s="9" t="s">
        <v>47</v>
      </c>
      <c r="F1067" s="10">
        <v>45367</v>
      </c>
      <c r="G1067" s="9" t="s">
        <v>153</v>
      </c>
      <c r="H1067" s="9" t="s">
        <v>57</v>
      </c>
      <c r="J1067" s="9">
        <v>3.2727272727272725</v>
      </c>
      <c r="K1067" s="9">
        <v>120</v>
      </c>
      <c r="L1067" s="9">
        <v>0.47</v>
      </c>
      <c r="M1067" s="9">
        <v>56.4</v>
      </c>
      <c r="N1067" s="9" t="s">
        <v>49</v>
      </c>
      <c r="Q1067" s="9">
        <f>IF(Auction_Sales[[#This Row],[Payment Date]]=0,"",-1+WEEKNUM(Auction_Sales[[#This Row],[Payment Date]]))</f>
        <v>12</v>
      </c>
      <c r="R1067" s="9">
        <v>0</v>
      </c>
      <c r="S1067" s="9" t="s">
        <v>153</v>
      </c>
      <c r="T1067" s="9" t="s">
        <v>57</v>
      </c>
      <c r="U1067" s="9">
        <v>120</v>
      </c>
      <c r="V1067" s="13">
        <v>0.53999999999999992</v>
      </c>
      <c r="W1067" s="13">
        <v>64.8</v>
      </c>
      <c r="X1067" s="14">
        <v>-4.2409169054441236</v>
      </c>
      <c r="Y1067" s="13">
        <v>60.559083094555874</v>
      </c>
      <c r="Z1067" s="10">
        <v>45378</v>
      </c>
      <c r="AA1067" s="9">
        <v>0</v>
      </c>
      <c r="AC1067" s="9">
        <v>433588</v>
      </c>
      <c r="AD1067" s="14">
        <v>11.138272727272726</v>
      </c>
      <c r="AF1067" s="14">
        <v>2.4</v>
      </c>
      <c r="AH1067" s="14">
        <v>13.538272727272727</v>
      </c>
      <c r="AI1067" s="13">
        <v>47.020810367283147</v>
      </c>
      <c r="AK1067" s="9">
        <v>120</v>
      </c>
    </row>
    <row r="1068" spans="1:37">
      <c r="A1068" s="9">
        <v>12</v>
      </c>
      <c r="B1068" s="9">
        <v>2024</v>
      </c>
      <c r="C1068" s="9" t="s">
        <v>46</v>
      </c>
      <c r="D1068" s="9" t="s">
        <v>47</v>
      </c>
      <c r="E1068" s="9" t="s">
        <v>47</v>
      </c>
      <c r="F1068" s="10">
        <v>45367</v>
      </c>
      <c r="G1068" s="9" t="s">
        <v>156</v>
      </c>
      <c r="H1068" s="9" t="s">
        <v>51</v>
      </c>
      <c r="I1068" s="9">
        <v>1</v>
      </c>
      <c r="J1068" s="9">
        <v>2.1818181818181817</v>
      </c>
      <c r="K1068" s="9">
        <v>80</v>
      </c>
      <c r="L1068" s="9">
        <v>0.42</v>
      </c>
      <c r="M1068" s="9">
        <v>33.6</v>
      </c>
      <c r="N1068" s="9" t="s">
        <v>49</v>
      </c>
      <c r="Q1068" s="9">
        <f>IF(Auction_Sales[[#This Row],[Payment Date]]=0,"",-1+WEEKNUM(Auction_Sales[[#This Row],[Payment Date]]))</f>
        <v>12</v>
      </c>
      <c r="R1068" s="9">
        <v>0</v>
      </c>
      <c r="S1068" s="9" t="s">
        <v>156</v>
      </c>
      <c r="T1068" s="9" t="s">
        <v>51</v>
      </c>
      <c r="U1068" s="9">
        <v>80</v>
      </c>
      <c r="V1068" s="13">
        <v>0.22000000000000003</v>
      </c>
      <c r="W1068" s="13">
        <v>17.600000000000001</v>
      </c>
      <c r="X1068" s="14">
        <v>-2.8272779369627488</v>
      </c>
      <c r="Y1068" s="13">
        <v>14.772722063037254</v>
      </c>
      <c r="Z1068" s="10">
        <v>45378</v>
      </c>
      <c r="AA1068" s="9">
        <v>0</v>
      </c>
      <c r="AC1068" s="9">
        <v>433588</v>
      </c>
      <c r="AD1068" s="14">
        <v>7.4255151515151505</v>
      </c>
      <c r="AF1068" s="14">
        <v>1.6</v>
      </c>
      <c r="AH1068" s="14">
        <v>9.025515151515151</v>
      </c>
      <c r="AI1068" s="13">
        <v>5.7472069115221025</v>
      </c>
      <c r="AK1068" s="9">
        <v>80</v>
      </c>
    </row>
    <row r="1069" spans="1:37">
      <c r="A1069" s="9">
        <v>12</v>
      </c>
      <c r="B1069" s="9">
        <v>2024</v>
      </c>
      <c r="C1069" s="9" t="s">
        <v>46</v>
      </c>
      <c r="D1069" s="9" t="s">
        <v>47</v>
      </c>
      <c r="E1069" s="9" t="s">
        <v>47</v>
      </c>
      <c r="F1069" s="10">
        <v>45367</v>
      </c>
      <c r="G1069" s="9" t="s">
        <v>156</v>
      </c>
      <c r="H1069" s="9" t="s">
        <v>48</v>
      </c>
      <c r="J1069" s="9">
        <v>5.4545454545454541</v>
      </c>
      <c r="K1069" s="9">
        <v>200</v>
      </c>
      <c r="L1069" s="9">
        <v>0.52</v>
      </c>
      <c r="M1069" s="9">
        <v>104</v>
      </c>
      <c r="N1069" s="9" t="s">
        <v>49</v>
      </c>
      <c r="Q1069" s="9">
        <f>IF(Auction_Sales[[#This Row],[Payment Date]]=0,"",-1+WEEKNUM(Auction_Sales[[#This Row],[Payment Date]]))</f>
        <v>12</v>
      </c>
      <c r="R1069" s="9">
        <v>0</v>
      </c>
      <c r="S1069" s="9" t="s">
        <v>156</v>
      </c>
      <c r="T1069" s="9" t="s">
        <v>48</v>
      </c>
      <c r="U1069" s="9">
        <v>200</v>
      </c>
      <c r="V1069" s="13">
        <v>0.51</v>
      </c>
      <c r="W1069" s="13">
        <v>102</v>
      </c>
      <c r="X1069" s="14">
        <v>-7.0681948424068723</v>
      </c>
      <c r="Y1069" s="13">
        <v>94.931805157593132</v>
      </c>
      <c r="Z1069" s="10">
        <v>45378</v>
      </c>
      <c r="AA1069" s="9">
        <v>0</v>
      </c>
      <c r="AC1069" s="9">
        <v>433588</v>
      </c>
      <c r="AD1069" s="14">
        <v>18.563787878787878</v>
      </c>
      <c r="AF1069" s="14">
        <v>4</v>
      </c>
      <c r="AH1069" s="14">
        <v>22.563787878787878</v>
      </c>
      <c r="AI1069" s="13">
        <v>72.368017278805254</v>
      </c>
      <c r="AK1069" s="9">
        <v>200</v>
      </c>
    </row>
    <row r="1070" spans="1:37">
      <c r="A1070" s="9">
        <v>12</v>
      </c>
      <c r="B1070" s="9">
        <v>2024</v>
      </c>
      <c r="C1070" s="9" t="s">
        <v>46</v>
      </c>
      <c r="D1070" s="9" t="s">
        <v>47</v>
      </c>
      <c r="E1070" s="9" t="s">
        <v>47</v>
      </c>
      <c r="F1070" s="10">
        <v>45367</v>
      </c>
      <c r="G1070" s="9" t="s">
        <v>156</v>
      </c>
      <c r="H1070" s="9" t="s">
        <v>52</v>
      </c>
      <c r="J1070" s="9">
        <v>4.3636363636363633</v>
      </c>
      <c r="K1070" s="9">
        <v>160</v>
      </c>
      <c r="L1070" s="9">
        <v>0.61</v>
      </c>
      <c r="M1070" s="9">
        <v>97.6</v>
      </c>
      <c r="N1070" s="9" t="s">
        <v>49</v>
      </c>
      <c r="Q1070" s="9">
        <f>IF(Auction_Sales[[#This Row],[Payment Date]]=0,"",-1+WEEKNUM(Auction_Sales[[#This Row],[Payment Date]]))</f>
        <v>12</v>
      </c>
      <c r="R1070" s="9">
        <v>0</v>
      </c>
      <c r="S1070" s="9" t="s">
        <v>156</v>
      </c>
      <c r="T1070" s="9" t="s">
        <v>52</v>
      </c>
      <c r="U1070" s="9">
        <v>160</v>
      </c>
      <c r="V1070" s="13">
        <v>0.75</v>
      </c>
      <c r="W1070" s="13">
        <v>120</v>
      </c>
      <c r="X1070" s="14">
        <v>-5.6545558739254975</v>
      </c>
      <c r="Y1070" s="13">
        <v>114.3454441260745</v>
      </c>
      <c r="Z1070" s="10">
        <v>45378</v>
      </c>
      <c r="AA1070" s="9">
        <v>0</v>
      </c>
      <c r="AC1070" s="9">
        <v>433588</v>
      </c>
      <c r="AD1070" s="14">
        <v>14.851030303030301</v>
      </c>
      <c r="AF1070" s="14">
        <v>3.2</v>
      </c>
      <c r="AH1070" s="14">
        <v>18.051030303030302</v>
      </c>
      <c r="AI1070" s="13">
        <v>96.294413823044195</v>
      </c>
      <c r="AK1070" s="9">
        <v>160</v>
      </c>
    </row>
    <row r="1071" spans="1:37">
      <c r="A1071" s="9">
        <v>12</v>
      </c>
      <c r="B1071" s="9">
        <v>2024</v>
      </c>
      <c r="C1071" s="9" t="s">
        <v>46</v>
      </c>
      <c r="D1071" s="9" t="s">
        <v>47</v>
      </c>
      <c r="E1071" s="9" t="s">
        <v>47</v>
      </c>
      <c r="F1071" s="10">
        <v>45367</v>
      </c>
      <c r="G1071" s="9" t="s">
        <v>155</v>
      </c>
      <c r="H1071" s="9" t="s">
        <v>51</v>
      </c>
      <c r="I1071" s="9">
        <v>1</v>
      </c>
      <c r="J1071" s="9">
        <v>8.7272727272727266</v>
      </c>
      <c r="K1071" s="9">
        <v>320</v>
      </c>
      <c r="L1071" s="9">
        <v>0.38</v>
      </c>
      <c r="M1071" s="9">
        <v>121.6</v>
      </c>
      <c r="N1071" s="9" t="s">
        <v>49</v>
      </c>
      <c r="Q1071" s="9">
        <f>IF(Auction_Sales[[#This Row],[Payment Date]]=0,"",-1+WEEKNUM(Auction_Sales[[#This Row],[Payment Date]]))</f>
        <v>12</v>
      </c>
      <c r="R1071" s="9">
        <v>320</v>
      </c>
      <c r="S1071" s="9" t="s">
        <v>155</v>
      </c>
      <c r="T1071" s="9" t="s">
        <v>51</v>
      </c>
      <c r="W1071" s="13">
        <v>0</v>
      </c>
      <c r="X1071" s="14">
        <v>0</v>
      </c>
      <c r="Y1071" s="13">
        <v>0</v>
      </c>
      <c r="Z1071" s="10">
        <v>45378</v>
      </c>
      <c r="AA1071" s="9">
        <v>-320</v>
      </c>
      <c r="AC1071" s="9">
        <v>433588</v>
      </c>
      <c r="AD1071" s="14">
        <v>29.702060606060602</v>
      </c>
      <c r="AF1071" s="14">
        <v>0</v>
      </c>
      <c r="AH1071" s="14">
        <v>29.702060606060602</v>
      </c>
      <c r="AI1071" s="13">
        <v>-29.702060606060602</v>
      </c>
      <c r="AK1071" s="9">
        <v>0</v>
      </c>
    </row>
    <row r="1072" spans="1:37">
      <c r="A1072" s="9">
        <v>12</v>
      </c>
      <c r="B1072" s="9">
        <v>2024</v>
      </c>
      <c r="C1072" s="9" t="s">
        <v>46</v>
      </c>
      <c r="D1072" s="9" t="s">
        <v>47</v>
      </c>
      <c r="E1072" s="9" t="s">
        <v>47</v>
      </c>
      <c r="F1072" s="10">
        <v>45367</v>
      </c>
      <c r="G1072" s="9" t="s">
        <v>155</v>
      </c>
      <c r="H1072" s="9" t="s">
        <v>54</v>
      </c>
      <c r="J1072" s="9">
        <v>1.0909090909090908</v>
      </c>
      <c r="K1072" s="9">
        <v>40</v>
      </c>
      <c r="L1072" s="9">
        <v>0.56999999999999995</v>
      </c>
      <c r="M1072" s="9">
        <v>22.8</v>
      </c>
      <c r="N1072" s="9" t="s">
        <v>49</v>
      </c>
      <c r="Q1072" s="9">
        <f>IF(Auction_Sales[[#This Row],[Payment Date]]=0,"",-1+WEEKNUM(Auction_Sales[[#This Row],[Payment Date]]))</f>
        <v>12</v>
      </c>
      <c r="R1072" s="9">
        <v>40</v>
      </c>
      <c r="S1072" s="9" t="s">
        <v>155</v>
      </c>
      <c r="T1072" s="9" t="s">
        <v>54</v>
      </c>
      <c r="W1072" s="13">
        <v>0</v>
      </c>
      <c r="X1072" s="14">
        <v>0</v>
      </c>
      <c r="Y1072" s="13">
        <v>0</v>
      </c>
      <c r="Z1072" s="10">
        <v>45378</v>
      </c>
      <c r="AA1072" s="9">
        <v>-40</v>
      </c>
      <c r="AC1072" s="9">
        <v>433588</v>
      </c>
      <c r="AD1072" s="14">
        <v>3.7127575757575753</v>
      </c>
      <c r="AF1072" s="14">
        <v>0</v>
      </c>
      <c r="AH1072" s="14">
        <v>3.7127575757575753</v>
      </c>
      <c r="AI1072" s="13">
        <v>-3.7127575757575753</v>
      </c>
      <c r="AK1072" s="9">
        <v>0</v>
      </c>
    </row>
    <row r="1073" spans="1:37">
      <c r="A1073" s="9">
        <v>12</v>
      </c>
      <c r="B1073" s="9">
        <v>2024</v>
      </c>
      <c r="C1073" s="9" t="s">
        <v>46</v>
      </c>
      <c r="D1073" s="9" t="s">
        <v>47</v>
      </c>
      <c r="E1073" s="9" t="s">
        <v>47</v>
      </c>
      <c r="F1073" s="10">
        <v>45367</v>
      </c>
      <c r="G1073" s="9" t="s">
        <v>155</v>
      </c>
      <c r="H1073" s="9" t="s">
        <v>56</v>
      </c>
      <c r="J1073" s="9">
        <v>2.1818181818181817</v>
      </c>
      <c r="K1073" s="9">
        <v>80</v>
      </c>
      <c r="L1073" s="9">
        <v>0.75</v>
      </c>
      <c r="M1073" s="9">
        <v>60</v>
      </c>
      <c r="N1073" s="9" t="s">
        <v>49</v>
      </c>
      <c r="Q1073" s="9">
        <f>IF(Auction_Sales[[#This Row],[Payment Date]]=0,"",-1+WEEKNUM(Auction_Sales[[#This Row],[Payment Date]]))</f>
        <v>12</v>
      </c>
      <c r="R1073" s="9">
        <v>80</v>
      </c>
      <c r="S1073" s="9" t="s">
        <v>155</v>
      </c>
      <c r="T1073" s="9" t="s">
        <v>56</v>
      </c>
      <c r="W1073" s="13">
        <v>0</v>
      </c>
      <c r="X1073" s="14">
        <v>0</v>
      </c>
      <c r="Y1073" s="13">
        <v>0</v>
      </c>
      <c r="Z1073" s="10">
        <v>45378</v>
      </c>
      <c r="AA1073" s="9">
        <v>-80</v>
      </c>
      <c r="AC1073" s="9">
        <v>433588</v>
      </c>
      <c r="AD1073" s="14">
        <v>7.4255151515151505</v>
      </c>
      <c r="AF1073" s="14">
        <v>0</v>
      </c>
      <c r="AH1073" s="14">
        <v>7.4255151515151505</v>
      </c>
      <c r="AI1073" s="13">
        <v>-7.4255151515151505</v>
      </c>
      <c r="AK1073" s="9">
        <v>0</v>
      </c>
    </row>
    <row r="1074" spans="1:37">
      <c r="A1074" s="9">
        <v>12</v>
      </c>
      <c r="B1074" s="9">
        <v>2024</v>
      </c>
      <c r="C1074" s="9" t="s">
        <v>46</v>
      </c>
      <c r="D1074" s="9" t="s">
        <v>47</v>
      </c>
      <c r="E1074" s="9" t="s">
        <v>47</v>
      </c>
      <c r="F1074" s="10">
        <v>45369</v>
      </c>
      <c r="G1074" s="9" t="s">
        <v>153</v>
      </c>
      <c r="H1074" s="9" t="s">
        <v>48</v>
      </c>
      <c r="I1074" s="9">
        <v>1</v>
      </c>
      <c r="J1074" s="9">
        <v>12</v>
      </c>
      <c r="K1074" s="9">
        <v>720</v>
      </c>
      <c r="L1074" s="9">
        <v>0.24</v>
      </c>
      <c r="M1074" s="9">
        <v>172.8</v>
      </c>
      <c r="N1074" s="9" t="s">
        <v>49</v>
      </c>
      <c r="Q1074" s="9">
        <f>IF(Auction_Sales[[#This Row],[Payment Date]]=0,"",-1+WEEKNUM(Auction_Sales[[#This Row],[Payment Date]]))</f>
        <v>12</v>
      </c>
      <c r="R1074" s="9">
        <v>0</v>
      </c>
      <c r="S1074" s="9" t="s">
        <v>153</v>
      </c>
      <c r="T1074" s="9" t="s">
        <v>48</v>
      </c>
      <c r="U1074" s="9">
        <v>720</v>
      </c>
      <c r="V1074" s="13">
        <v>0.39555555555555555</v>
      </c>
      <c r="W1074" s="13">
        <v>284.8</v>
      </c>
      <c r="X1074" s="14">
        <v>-30.484384615384613</v>
      </c>
      <c r="Y1074" s="13">
        <v>254.3156153846154</v>
      </c>
      <c r="Z1074" s="10">
        <v>45378</v>
      </c>
      <c r="AA1074" s="9">
        <v>0</v>
      </c>
      <c r="AC1074" s="9" t="s">
        <v>90</v>
      </c>
      <c r="AD1074" s="14">
        <v>42.977600000000002</v>
      </c>
      <c r="AF1074" s="14">
        <v>14.4</v>
      </c>
      <c r="AH1074" s="14">
        <v>57.377600000000001</v>
      </c>
      <c r="AI1074" s="13">
        <v>196.9380153846154</v>
      </c>
      <c r="AK1074" s="9">
        <v>720</v>
      </c>
    </row>
    <row r="1075" spans="1:37">
      <c r="A1075" s="9">
        <v>12</v>
      </c>
      <c r="B1075" s="9">
        <v>2024</v>
      </c>
      <c r="C1075" s="9" t="s">
        <v>46</v>
      </c>
      <c r="D1075" s="9" t="s">
        <v>47</v>
      </c>
      <c r="E1075" s="9" t="s">
        <v>47</v>
      </c>
      <c r="F1075" s="10">
        <v>45369</v>
      </c>
      <c r="G1075" s="9" t="s">
        <v>153</v>
      </c>
      <c r="H1075" s="9" t="s">
        <v>52</v>
      </c>
      <c r="I1075" s="9">
        <v>1</v>
      </c>
      <c r="J1075" s="9">
        <v>12</v>
      </c>
      <c r="K1075" s="9">
        <v>520</v>
      </c>
      <c r="L1075" s="9">
        <v>0.28000000000000003</v>
      </c>
      <c r="M1075" s="9">
        <v>145.6</v>
      </c>
      <c r="N1075" s="9" t="s">
        <v>49</v>
      </c>
      <c r="Q1075" s="9">
        <f>IF(Auction_Sales[[#This Row],[Payment Date]]=0,"",-1+WEEKNUM(Auction_Sales[[#This Row],[Payment Date]]))</f>
        <v>12</v>
      </c>
      <c r="R1075" s="9">
        <v>-200</v>
      </c>
      <c r="S1075" s="9" t="s">
        <v>153</v>
      </c>
      <c r="T1075" s="9" t="s">
        <v>52</v>
      </c>
      <c r="U1075" s="9">
        <v>720</v>
      </c>
      <c r="V1075" s="13">
        <v>0.5444444444444444</v>
      </c>
      <c r="W1075" s="13">
        <v>391.99999999999994</v>
      </c>
      <c r="X1075" s="14">
        <v>-30.484384615384613</v>
      </c>
      <c r="Y1075" s="13">
        <v>361.51561538461533</v>
      </c>
      <c r="Z1075" s="10">
        <v>45378</v>
      </c>
      <c r="AA1075" s="9">
        <v>200</v>
      </c>
      <c r="AC1075" s="9" t="s">
        <v>90</v>
      </c>
      <c r="AD1075" s="14">
        <v>42.977600000000002</v>
      </c>
      <c r="AF1075" s="14">
        <v>14.4</v>
      </c>
      <c r="AH1075" s="14">
        <v>57.377600000000001</v>
      </c>
      <c r="AI1075" s="13">
        <v>304.1380153846153</v>
      </c>
      <c r="AK1075" s="9">
        <v>720</v>
      </c>
    </row>
    <row r="1076" spans="1:37">
      <c r="A1076" s="9">
        <v>12</v>
      </c>
      <c r="B1076" s="9">
        <v>2024</v>
      </c>
      <c r="C1076" s="9" t="s">
        <v>46</v>
      </c>
      <c r="D1076" s="9" t="s">
        <v>47</v>
      </c>
      <c r="E1076" s="9" t="s">
        <v>47</v>
      </c>
      <c r="F1076" s="10">
        <v>45369</v>
      </c>
      <c r="G1076" s="9" t="s">
        <v>153</v>
      </c>
      <c r="H1076" s="9" t="s">
        <v>54</v>
      </c>
      <c r="I1076" s="9">
        <v>1</v>
      </c>
      <c r="J1076" s="9">
        <v>12</v>
      </c>
      <c r="K1076" s="9">
        <v>480</v>
      </c>
      <c r="L1076" s="9">
        <v>0.33</v>
      </c>
      <c r="M1076" s="9">
        <v>158.4</v>
      </c>
      <c r="N1076" s="9" t="s">
        <v>49</v>
      </c>
      <c r="Q1076" s="9">
        <f>IF(Auction_Sales[[#This Row],[Payment Date]]=0,"",-1+WEEKNUM(Auction_Sales[[#This Row],[Payment Date]]))</f>
        <v>12</v>
      </c>
      <c r="R1076" s="9">
        <v>0</v>
      </c>
      <c r="S1076" s="9" t="s">
        <v>153</v>
      </c>
      <c r="T1076" s="9" t="s">
        <v>54</v>
      </c>
      <c r="U1076" s="9">
        <v>480</v>
      </c>
      <c r="V1076" s="13">
        <v>0.5691666666666666</v>
      </c>
      <c r="W1076" s="13">
        <v>273.2</v>
      </c>
      <c r="X1076" s="14">
        <v>-20.322923076923075</v>
      </c>
      <c r="Y1076" s="13">
        <v>252.87707692307691</v>
      </c>
      <c r="Z1076" s="10">
        <v>45378</v>
      </c>
      <c r="AA1076" s="9">
        <v>0</v>
      </c>
      <c r="AC1076" s="9" t="s">
        <v>90</v>
      </c>
      <c r="AD1076" s="14">
        <v>42.977600000000002</v>
      </c>
      <c r="AF1076" s="14">
        <v>9.6</v>
      </c>
      <c r="AH1076" s="14">
        <v>52.577600000000004</v>
      </c>
      <c r="AI1076" s="13">
        <v>200.2994769230769</v>
      </c>
      <c r="AK1076" s="9">
        <v>480</v>
      </c>
    </row>
    <row r="1077" spans="1:37">
      <c r="A1077" s="9">
        <v>12</v>
      </c>
      <c r="B1077" s="9">
        <v>2024</v>
      </c>
      <c r="C1077" s="9" t="s">
        <v>46</v>
      </c>
      <c r="D1077" s="9" t="s">
        <v>47</v>
      </c>
      <c r="E1077" s="9" t="s">
        <v>47</v>
      </c>
      <c r="F1077" s="10">
        <v>45369</v>
      </c>
      <c r="G1077" s="9" t="s">
        <v>153</v>
      </c>
      <c r="H1077" s="9" t="s">
        <v>56</v>
      </c>
      <c r="I1077" s="9">
        <v>1</v>
      </c>
      <c r="J1077" s="9">
        <v>12</v>
      </c>
      <c r="K1077" s="9">
        <v>320</v>
      </c>
      <c r="L1077" s="9">
        <v>0.38</v>
      </c>
      <c r="M1077" s="9">
        <v>121.6</v>
      </c>
      <c r="N1077" s="9" t="s">
        <v>49</v>
      </c>
      <c r="Q1077" s="9">
        <f>IF(Auction_Sales[[#This Row],[Payment Date]]=0,"",-1+WEEKNUM(Auction_Sales[[#This Row],[Payment Date]]))</f>
        <v>12</v>
      </c>
      <c r="R1077" s="9">
        <v>0</v>
      </c>
      <c r="S1077" s="9" t="s">
        <v>153</v>
      </c>
      <c r="T1077" s="9" t="s">
        <v>56</v>
      </c>
      <c r="U1077" s="9">
        <v>320</v>
      </c>
      <c r="V1077" s="13">
        <v>0.59625000000000006</v>
      </c>
      <c r="W1077" s="13">
        <v>190.8</v>
      </c>
      <c r="X1077" s="14">
        <v>-13.548615384615383</v>
      </c>
      <c r="Y1077" s="13">
        <v>177.25138461538464</v>
      </c>
      <c r="Z1077" s="10">
        <v>45378</v>
      </c>
      <c r="AA1077" s="9">
        <v>0</v>
      </c>
      <c r="AC1077" s="9" t="s">
        <v>90</v>
      </c>
      <c r="AD1077" s="14">
        <v>42.977600000000002</v>
      </c>
      <c r="AF1077" s="14">
        <v>6.4</v>
      </c>
      <c r="AH1077" s="14">
        <v>49.377600000000001</v>
      </c>
      <c r="AI1077" s="13">
        <v>127.87378461538464</v>
      </c>
      <c r="AK1077" s="9">
        <v>320</v>
      </c>
    </row>
    <row r="1078" spans="1:37">
      <c r="A1078" s="9">
        <v>12</v>
      </c>
      <c r="B1078" s="9">
        <v>2024</v>
      </c>
      <c r="C1078" s="9" t="s">
        <v>46</v>
      </c>
      <c r="D1078" s="9" t="s">
        <v>47</v>
      </c>
      <c r="E1078" s="9" t="s">
        <v>47</v>
      </c>
      <c r="F1078" s="10">
        <v>45369</v>
      </c>
      <c r="G1078" s="9" t="s">
        <v>154</v>
      </c>
      <c r="H1078" s="9" t="s">
        <v>48</v>
      </c>
      <c r="I1078" s="9">
        <v>1</v>
      </c>
      <c r="J1078" s="9">
        <v>12</v>
      </c>
      <c r="K1078" s="9">
        <v>480</v>
      </c>
      <c r="L1078" s="9">
        <v>0.47</v>
      </c>
      <c r="M1078" s="9">
        <v>225.6</v>
      </c>
      <c r="N1078" s="9" t="s">
        <v>49</v>
      </c>
      <c r="Q1078" s="9">
        <f>IF(Auction_Sales[[#This Row],[Payment Date]]=0,"",-1+WEEKNUM(Auction_Sales[[#This Row],[Payment Date]]))</f>
        <v>12</v>
      </c>
      <c r="R1078" s="9">
        <v>-280</v>
      </c>
      <c r="S1078" s="9" t="s">
        <v>154</v>
      </c>
      <c r="T1078" s="9" t="s">
        <v>48</v>
      </c>
      <c r="U1078" s="9">
        <v>760</v>
      </c>
      <c r="V1078" s="13">
        <v>0.46052631578947367</v>
      </c>
      <c r="W1078" s="13">
        <v>350</v>
      </c>
      <c r="X1078" s="14">
        <v>-32.177961538461531</v>
      </c>
      <c r="Y1078" s="13">
        <v>317.82203846153845</v>
      </c>
      <c r="Z1078" s="10">
        <v>45378</v>
      </c>
      <c r="AA1078" s="9">
        <v>280</v>
      </c>
      <c r="AC1078" s="9" t="s">
        <v>90</v>
      </c>
      <c r="AD1078" s="14">
        <v>42.977600000000002</v>
      </c>
      <c r="AF1078" s="14">
        <v>15.200000000000001</v>
      </c>
      <c r="AH1078" s="14">
        <v>58.177600000000005</v>
      </c>
      <c r="AI1078" s="13">
        <v>259.64443846153847</v>
      </c>
      <c r="AK1078" s="9">
        <v>760</v>
      </c>
    </row>
    <row r="1079" spans="1:37">
      <c r="A1079" s="9">
        <v>12</v>
      </c>
      <c r="B1079" s="9">
        <v>2024</v>
      </c>
      <c r="C1079" s="9" t="s">
        <v>46</v>
      </c>
      <c r="D1079" s="9" t="s">
        <v>47</v>
      </c>
      <c r="E1079" s="9" t="s">
        <v>47</v>
      </c>
      <c r="F1079" s="10">
        <v>45369</v>
      </c>
      <c r="G1079" s="9" t="s">
        <v>154</v>
      </c>
      <c r="H1079" s="9" t="s">
        <v>52</v>
      </c>
      <c r="I1079" s="9">
        <v>2</v>
      </c>
      <c r="J1079" s="9">
        <v>24</v>
      </c>
      <c r="K1079" s="9">
        <v>800</v>
      </c>
      <c r="L1079" s="9">
        <v>0.52</v>
      </c>
      <c r="M1079" s="9">
        <v>416</v>
      </c>
      <c r="N1079" s="9" t="s">
        <v>49</v>
      </c>
      <c r="Q1079" s="9">
        <f>IF(Auction_Sales[[#This Row],[Payment Date]]=0,"",-1+WEEKNUM(Auction_Sales[[#This Row],[Payment Date]]))</f>
        <v>12</v>
      </c>
      <c r="R1079" s="9">
        <v>0</v>
      </c>
      <c r="S1079" s="9" t="s">
        <v>154</v>
      </c>
      <c r="T1079" s="9" t="s">
        <v>52</v>
      </c>
      <c r="U1079" s="9">
        <v>800</v>
      </c>
      <c r="V1079" s="13">
        <v>0.71</v>
      </c>
      <c r="W1079" s="13">
        <v>568</v>
      </c>
      <c r="X1079" s="14">
        <v>-33.871538461538456</v>
      </c>
      <c r="Y1079" s="13">
        <v>534.12846153846158</v>
      </c>
      <c r="Z1079" s="10">
        <v>45378</v>
      </c>
      <c r="AA1079" s="9">
        <v>0</v>
      </c>
      <c r="AC1079" s="9" t="s">
        <v>90</v>
      </c>
      <c r="AD1079" s="14">
        <v>85.955200000000005</v>
      </c>
      <c r="AF1079" s="14">
        <v>16</v>
      </c>
      <c r="AH1079" s="14">
        <v>101.9552</v>
      </c>
      <c r="AI1079" s="13">
        <v>432.17326153846159</v>
      </c>
      <c r="AK1079" s="9">
        <v>800</v>
      </c>
    </row>
    <row r="1080" spans="1:37">
      <c r="A1080" s="9">
        <v>12</v>
      </c>
      <c r="B1080" s="9">
        <v>2024</v>
      </c>
      <c r="C1080" s="9" t="s">
        <v>46</v>
      </c>
      <c r="D1080" s="9" t="s">
        <v>47</v>
      </c>
      <c r="E1080" s="9" t="s">
        <v>47</v>
      </c>
      <c r="F1080" s="10">
        <v>45369</v>
      </c>
      <c r="G1080" s="9" t="s">
        <v>155</v>
      </c>
      <c r="H1080" s="9" t="s">
        <v>48</v>
      </c>
      <c r="I1080" s="9">
        <v>5</v>
      </c>
      <c r="J1080" s="9">
        <v>60</v>
      </c>
      <c r="K1080" s="9">
        <v>2600</v>
      </c>
      <c r="L1080" s="9">
        <v>0.47</v>
      </c>
      <c r="M1080" s="9">
        <v>1222</v>
      </c>
      <c r="N1080" s="9" t="s">
        <v>49</v>
      </c>
      <c r="Q1080" s="9">
        <f>IF(Auction_Sales[[#This Row],[Payment Date]]=0,"",-1+WEEKNUM(Auction_Sales[[#This Row],[Payment Date]]))</f>
        <v>12</v>
      </c>
      <c r="R1080" s="9">
        <v>-400</v>
      </c>
      <c r="S1080" s="9" t="s">
        <v>155</v>
      </c>
      <c r="T1080" s="9" t="s">
        <v>48</v>
      </c>
      <c r="U1080" s="9">
        <v>3000</v>
      </c>
      <c r="V1080" s="13">
        <v>0.40640000000000004</v>
      </c>
      <c r="W1080" s="13">
        <v>1219.2</v>
      </c>
      <c r="X1080" s="14">
        <v>-127.01826923076921</v>
      </c>
      <c r="Y1080" s="13">
        <v>1092.1817307692309</v>
      </c>
      <c r="Z1080" s="10">
        <v>45378</v>
      </c>
      <c r="AA1080" s="9">
        <v>400</v>
      </c>
      <c r="AC1080" s="9" t="s">
        <v>90</v>
      </c>
      <c r="AD1080" s="14">
        <v>214.88800000000003</v>
      </c>
      <c r="AF1080" s="14">
        <v>60</v>
      </c>
      <c r="AH1080" s="14">
        <v>274.88800000000003</v>
      </c>
      <c r="AI1080" s="13">
        <v>817.29373076923082</v>
      </c>
      <c r="AK1080" s="9">
        <v>3000</v>
      </c>
    </row>
    <row r="1081" spans="1:37">
      <c r="A1081" s="9">
        <v>12</v>
      </c>
      <c r="B1081" s="9">
        <v>2024</v>
      </c>
      <c r="C1081" s="9" t="s">
        <v>46</v>
      </c>
      <c r="D1081" s="9" t="s">
        <v>47</v>
      </c>
      <c r="E1081" s="9" t="s">
        <v>47</v>
      </c>
      <c r="F1081" s="10">
        <v>45369</v>
      </c>
      <c r="G1081" s="9" t="s">
        <v>155</v>
      </c>
      <c r="H1081" s="9" t="s">
        <v>52</v>
      </c>
      <c r="I1081" s="9">
        <v>3</v>
      </c>
      <c r="J1081" s="9">
        <v>36</v>
      </c>
      <c r="K1081" s="9">
        <v>1200</v>
      </c>
      <c r="L1081" s="9">
        <v>0.52</v>
      </c>
      <c r="M1081" s="9">
        <v>624</v>
      </c>
      <c r="N1081" s="9" t="s">
        <v>49</v>
      </c>
      <c r="Q1081" s="9">
        <f>IF(Auction_Sales[[#This Row],[Payment Date]]=0,"",-1+WEEKNUM(Auction_Sales[[#This Row],[Payment Date]]))</f>
        <v>12</v>
      </c>
      <c r="R1081" s="9">
        <v>0</v>
      </c>
      <c r="S1081" s="9" t="s">
        <v>155</v>
      </c>
      <c r="T1081" s="9" t="s">
        <v>52</v>
      </c>
      <c r="U1081" s="9">
        <v>1200</v>
      </c>
      <c r="V1081" s="13">
        <v>0.56000000000000005</v>
      </c>
      <c r="W1081" s="13">
        <v>672.00000000000011</v>
      </c>
      <c r="X1081" s="14">
        <v>-50.807307692307681</v>
      </c>
      <c r="Y1081" s="13">
        <v>621.19269230769248</v>
      </c>
      <c r="Z1081" s="10">
        <v>45378</v>
      </c>
      <c r="AA1081" s="9">
        <v>0</v>
      </c>
      <c r="AC1081" s="9" t="s">
        <v>90</v>
      </c>
      <c r="AD1081" s="14">
        <v>128.93280000000001</v>
      </c>
      <c r="AF1081" s="14">
        <v>24</v>
      </c>
      <c r="AH1081" s="14">
        <v>152.93280000000001</v>
      </c>
      <c r="AI1081" s="13">
        <v>468.25989230769244</v>
      </c>
      <c r="AK1081" s="9">
        <v>1200</v>
      </c>
    </row>
    <row r="1082" spans="1:37">
      <c r="A1082" s="9">
        <v>12</v>
      </c>
      <c r="B1082" s="9">
        <v>2024</v>
      </c>
      <c r="C1082" s="9" t="s">
        <v>46</v>
      </c>
      <c r="D1082" s="9" t="s">
        <v>47</v>
      </c>
      <c r="E1082" s="9" t="s">
        <v>47</v>
      </c>
      <c r="F1082" s="10">
        <v>45369</v>
      </c>
      <c r="G1082" s="9" t="s">
        <v>155</v>
      </c>
      <c r="H1082" s="9" t="s">
        <v>54</v>
      </c>
      <c r="I1082" s="9">
        <v>1</v>
      </c>
      <c r="J1082" s="9">
        <v>12</v>
      </c>
      <c r="K1082" s="9">
        <v>320</v>
      </c>
      <c r="L1082" s="9">
        <v>0.56999999999999995</v>
      </c>
      <c r="M1082" s="9">
        <v>182.4</v>
      </c>
      <c r="N1082" s="9" t="s">
        <v>49</v>
      </c>
      <c r="Q1082" s="9">
        <f>IF(Auction_Sales[[#This Row],[Payment Date]]=0,"",-1+WEEKNUM(Auction_Sales[[#This Row],[Payment Date]]))</f>
        <v>12</v>
      </c>
      <c r="R1082" s="9">
        <v>-120</v>
      </c>
      <c r="S1082" s="9" t="s">
        <v>155</v>
      </c>
      <c r="T1082" s="9" t="s">
        <v>54</v>
      </c>
      <c r="U1082" s="9">
        <v>440</v>
      </c>
      <c r="V1082" s="13">
        <v>0.47000000000000003</v>
      </c>
      <c r="W1082" s="13">
        <v>206.8</v>
      </c>
      <c r="X1082" s="14">
        <v>-18.62934615384615</v>
      </c>
      <c r="Y1082" s="13">
        <v>188.17065384615387</v>
      </c>
      <c r="Z1082" s="10">
        <v>45378</v>
      </c>
      <c r="AA1082" s="9">
        <v>120</v>
      </c>
      <c r="AC1082" s="9" t="s">
        <v>90</v>
      </c>
      <c r="AD1082" s="14">
        <v>42.977600000000002</v>
      </c>
      <c r="AF1082" s="14">
        <v>8.8000000000000007</v>
      </c>
      <c r="AH1082" s="14">
        <v>51.777600000000007</v>
      </c>
      <c r="AI1082" s="13">
        <v>136.39305384615386</v>
      </c>
      <c r="AK1082" s="9">
        <v>440</v>
      </c>
    </row>
    <row r="1083" spans="1:37">
      <c r="A1083" s="9">
        <v>12</v>
      </c>
      <c r="B1083" s="9">
        <v>2024</v>
      </c>
      <c r="C1083" s="9" t="s">
        <v>46</v>
      </c>
      <c r="D1083" s="9" t="s">
        <v>47</v>
      </c>
      <c r="E1083" s="9" t="s">
        <v>47</v>
      </c>
      <c r="F1083" s="10">
        <v>45369</v>
      </c>
      <c r="G1083" s="9" t="s">
        <v>155</v>
      </c>
      <c r="H1083" s="9" t="s">
        <v>56</v>
      </c>
      <c r="I1083" s="9">
        <v>2</v>
      </c>
      <c r="J1083" s="9">
        <v>24</v>
      </c>
      <c r="K1083" s="9">
        <v>480</v>
      </c>
      <c r="L1083" s="9">
        <v>0.75</v>
      </c>
      <c r="M1083" s="9">
        <v>360</v>
      </c>
      <c r="N1083" s="9" t="s">
        <v>49</v>
      </c>
      <c r="Q1083" s="9">
        <f>IF(Auction_Sales[[#This Row],[Payment Date]]=0,"",-1+WEEKNUM(Auction_Sales[[#This Row],[Payment Date]]))</f>
        <v>12</v>
      </c>
      <c r="R1083" s="9">
        <v>0</v>
      </c>
      <c r="S1083" s="9" t="s">
        <v>155</v>
      </c>
      <c r="T1083" s="9" t="s">
        <v>56</v>
      </c>
      <c r="U1083" s="9">
        <v>480</v>
      </c>
      <c r="V1083" s="13">
        <v>0.48166666666666663</v>
      </c>
      <c r="W1083" s="13">
        <v>231.2</v>
      </c>
      <c r="X1083" s="14">
        <v>-20.322923076923075</v>
      </c>
      <c r="Y1083" s="13">
        <v>210.87707692307691</v>
      </c>
      <c r="Z1083" s="10">
        <v>45378</v>
      </c>
      <c r="AA1083" s="9">
        <v>0</v>
      </c>
      <c r="AC1083" s="9" t="s">
        <v>90</v>
      </c>
      <c r="AD1083" s="14">
        <v>85.955200000000005</v>
      </c>
      <c r="AF1083" s="14">
        <v>9.6</v>
      </c>
      <c r="AH1083" s="14">
        <v>95.555199999999999</v>
      </c>
      <c r="AI1083" s="13">
        <v>115.32187692307691</v>
      </c>
      <c r="AK1083" s="9">
        <v>480</v>
      </c>
    </row>
    <row r="1084" spans="1:37">
      <c r="A1084" s="9">
        <v>12</v>
      </c>
      <c r="B1084" s="9">
        <v>2024</v>
      </c>
      <c r="C1084" s="9" t="s">
        <v>46</v>
      </c>
      <c r="D1084" s="9" t="s">
        <v>47</v>
      </c>
      <c r="E1084" s="9" t="s">
        <v>47</v>
      </c>
      <c r="F1084" s="10">
        <v>45369</v>
      </c>
      <c r="G1084" s="9" t="s">
        <v>155</v>
      </c>
      <c r="H1084" s="9" t="s">
        <v>57</v>
      </c>
      <c r="I1084" s="9">
        <v>1</v>
      </c>
      <c r="J1084" s="9">
        <v>12</v>
      </c>
      <c r="K1084" s="9">
        <v>160</v>
      </c>
      <c r="L1084" s="9">
        <v>0.94</v>
      </c>
      <c r="M1084" s="9">
        <v>150.4</v>
      </c>
      <c r="N1084" s="9" t="s">
        <v>49</v>
      </c>
      <c r="Q1084" s="9">
        <f>IF(Auction_Sales[[#This Row],[Payment Date]]=0,"",-1+WEEKNUM(Auction_Sales[[#This Row],[Payment Date]]))</f>
        <v>12</v>
      </c>
      <c r="R1084" s="9">
        <v>-160</v>
      </c>
      <c r="S1084" s="9" t="s">
        <v>155</v>
      </c>
      <c r="T1084" s="9" t="s">
        <v>57</v>
      </c>
      <c r="U1084" s="9">
        <v>320</v>
      </c>
      <c r="V1084" s="13">
        <v>0.63500000000000001</v>
      </c>
      <c r="W1084" s="13">
        <v>203.2</v>
      </c>
      <c r="X1084" s="14">
        <v>-13.548615384615383</v>
      </c>
      <c r="Y1084" s="13">
        <v>189.65138461538461</v>
      </c>
      <c r="Z1084" s="10">
        <v>45378</v>
      </c>
      <c r="AA1084" s="9">
        <v>160</v>
      </c>
      <c r="AC1084" s="9" t="s">
        <v>90</v>
      </c>
      <c r="AD1084" s="14">
        <v>42.977600000000002</v>
      </c>
      <c r="AF1084" s="14">
        <v>6.4</v>
      </c>
      <c r="AH1084" s="14">
        <v>49.377600000000001</v>
      </c>
      <c r="AI1084" s="13">
        <v>140.27378461538461</v>
      </c>
      <c r="AK1084" s="9">
        <v>320</v>
      </c>
    </row>
    <row r="1085" spans="1:37">
      <c r="A1085" s="9">
        <v>12</v>
      </c>
      <c r="B1085" s="9">
        <v>2024</v>
      </c>
      <c r="C1085" s="9" t="s">
        <v>46</v>
      </c>
      <c r="D1085" s="9" t="s">
        <v>47</v>
      </c>
      <c r="E1085" s="9" t="s">
        <v>47</v>
      </c>
      <c r="F1085" s="10">
        <v>45369</v>
      </c>
      <c r="G1085" s="9" t="s">
        <v>155</v>
      </c>
      <c r="H1085" s="9" t="s">
        <v>57</v>
      </c>
      <c r="I1085" s="9">
        <v>1</v>
      </c>
      <c r="J1085" s="9">
        <v>12</v>
      </c>
      <c r="K1085" s="9">
        <v>200</v>
      </c>
      <c r="L1085" s="9">
        <v>0.94</v>
      </c>
      <c r="M1085" s="9">
        <v>188</v>
      </c>
      <c r="N1085" s="9" t="s">
        <v>49</v>
      </c>
      <c r="Q1085" s="9">
        <f>IF(Auction_Sales[[#This Row],[Payment Date]]=0,"",-1+WEEKNUM(Auction_Sales[[#This Row],[Payment Date]]))</f>
        <v>12</v>
      </c>
      <c r="R1085" s="9">
        <v>200</v>
      </c>
      <c r="S1085" s="9" t="s">
        <v>155</v>
      </c>
      <c r="T1085" s="9" t="s">
        <v>57</v>
      </c>
      <c r="W1085" s="13">
        <v>0</v>
      </c>
      <c r="X1085" s="14">
        <v>0</v>
      </c>
      <c r="Y1085" s="13">
        <v>0</v>
      </c>
      <c r="Z1085" s="10">
        <v>45378</v>
      </c>
      <c r="AA1085" s="9">
        <v>-200</v>
      </c>
      <c r="AC1085" s="9" t="s">
        <v>90</v>
      </c>
      <c r="AD1085" s="14">
        <v>42.977600000000002</v>
      </c>
      <c r="AF1085" s="14">
        <v>0</v>
      </c>
      <c r="AH1085" s="14">
        <v>42.977600000000002</v>
      </c>
      <c r="AI1085" s="13">
        <v>-42.977600000000002</v>
      </c>
      <c r="AK1085" s="9">
        <v>0</v>
      </c>
    </row>
    <row r="1086" spans="1:37">
      <c r="A1086" s="9">
        <v>12</v>
      </c>
      <c r="B1086" s="9">
        <v>2024</v>
      </c>
      <c r="C1086" s="9" t="s">
        <v>46</v>
      </c>
      <c r="D1086" s="9" t="s">
        <v>47</v>
      </c>
      <c r="E1086" s="9" t="s">
        <v>47</v>
      </c>
      <c r="F1086" s="10">
        <v>45369</v>
      </c>
      <c r="G1086" s="9" t="s">
        <v>156</v>
      </c>
      <c r="H1086" s="9" t="s">
        <v>48</v>
      </c>
      <c r="I1086" s="9">
        <v>1</v>
      </c>
      <c r="J1086" s="9">
        <v>5</v>
      </c>
      <c r="K1086" s="9">
        <v>200</v>
      </c>
      <c r="L1086" s="9">
        <v>0.52</v>
      </c>
      <c r="M1086" s="9">
        <v>104</v>
      </c>
      <c r="N1086" s="9" t="s">
        <v>49</v>
      </c>
      <c r="Q1086" s="9">
        <f>IF(Auction_Sales[[#This Row],[Payment Date]]=0,"",-1+WEEKNUM(Auction_Sales[[#This Row],[Payment Date]]))</f>
        <v>12</v>
      </c>
      <c r="R1086" s="9">
        <v>0</v>
      </c>
      <c r="S1086" s="9" t="s">
        <v>156</v>
      </c>
      <c r="T1086" s="9" t="s">
        <v>48</v>
      </c>
      <c r="U1086" s="9">
        <v>200</v>
      </c>
      <c r="V1086" s="13">
        <v>0.72</v>
      </c>
      <c r="W1086" s="13">
        <v>144</v>
      </c>
      <c r="X1086" s="14">
        <v>-8.4678846153846141</v>
      </c>
      <c r="Y1086" s="13">
        <v>135.53211538461539</v>
      </c>
      <c r="Z1086" s="10">
        <v>45378</v>
      </c>
      <c r="AA1086" s="9">
        <v>0</v>
      </c>
      <c r="AC1086" s="9" t="s">
        <v>90</v>
      </c>
      <c r="AD1086" s="14">
        <v>17.907333333333334</v>
      </c>
      <c r="AF1086" s="14">
        <v>4</v>
      </c>
      <c r="AH1086" s="14">
        <v>21.907333333333334</v>
      </c>
      <c r="AI1086" s="13">
        <v>113.62478205128207</v>
      </c>
      <c r="AK1086" s="9">
        <v>200</v>
      </c>
    </row>
    <row r="1087" spans="1:37">
      <c r="A1087" s="9">
        <v>12</v>
      </c>
      <c r="B1087" s="9">
        <v>2024</v>
      </c>
      <c r="C1087" s="9" t="s">
        <v>46</v>
      </c>
      <c r="D1087" s="9" t="s">
        <v>47</v>
      </c>
      <c r="E1087" s="9" t="s">
        <v>47</v>
      </c>
      <c r="F1087" s="10">
        <v>45369</v>
      </c>
      <c r="G1087" s="9" t="s">
        <v>156</v>
      </c>
      <c r="H1087" s="9" t="s">
        <v>52</v>
      </c>
      <c r="J1087" s="9">
        <v>7</v>
      </c>
      <c r="K1087" s="9">
        <v>280</v>
      </c>
      <c r="L1087" s="9">
        <v>0.61</v>
      </c>
      <c r="M1087" s="9">
        <v>170.8</v>
      </c>
      <c r="N1087" s="9" t="s">
        <v>49</v>
      </c>
      <c r="Q1087" s="9">
        <f>IF(Auction_Sales[[#This Row],[Payment Date]]=0,"",-1+WEEKNUM(Auction_Sales[[#This Row],[Payment Date]]))</f>
        <v>12</v>
      </c>
      <c r="R1087" s="9">
        <v>0</v>
      </c>
      <c r="S1087" s="9" t="s">
        <v>156</v>
      </c>
      <c r="T1087" s="9" t="s">
        <v>52</v>
      </c>
      <c r="U1087" s="9">
        <v>280</v>
      </c>
      <c r="V1087" s="13">
        <v>0.78285714285714281</v>
      </c>
      <c r="W1087" s="13">
        <v>219.2</v>
      </c>
      <c r="X1087" s="14">
        <v>-11.855038461538459</v>
      </c>
      <c r="Y1087" s="13">
        <v>207.34496153846152</v>
      </c>
      <c r="Z1087" s="10">
        <v>45378</v>
      </c>
      <c r="AA1087" s="9">
        <v>0</v>
      </c>
      <c r="AC1087" s="9" t="s">
        <v>90</v>
      </c>
      <c r="AD1087" s="14">
        <v>25.070266666666669</v>
      </c>
      <c r="AF1087" s="14">
        <v>5.6000000000000005</v>
      </c>
      <c r="AH1087" s="14">
        <v>30.67026666666667</v>
      </c>
      <c r="AI1087" s="13">
        <v>176.67469487179486</v>
      </c>
      <c r="AK1087" s="9">
        <v>280</v>
      </c>
    </row>
    <row r="1088" spans="1:37">
      <c r="A1088" s="9">
        <v>12</v>
      </c>
      <c r="B1088" s="9">
        <v>2024</v>
      </c>
      <c r="C1088" s="9" t="s">
        <v>46</v>
      </c>
      <c r="D1088" s="9" t="s">
        <v>47</v>
      </c>
      <c r="E1088" s="9" t="s">
        <v>47</v>
      </c>
      <c r="F1088" s="10">
        <v>45369</v>
      </c>
      <c r="G1088" s="9" t="s">
        <v>153</v>
      </c>
      <c r="H1088" s="9" t="s">
        <v>52</v>
      </c>
      <c r="I1088" s="9">
        <v>1</v>
      </c>
      <c r="J1088" s="9">
        <v>6</v>
      </c>
      <c r="K1088" s="9">
        <v>200</v>
      </c>
      <c r="L1088" s="9">
        <v>0.28000000000000003</v>
      </c>
      <c r="M1088" s="9">
        <v>56</v>
      </c>
      <c r="N1088" s="9" t="s">
        <v>49</v>
      </c>
      <c r="Q1088" s="9">
        <f>IF(Auction_Sales[[#This Row],[Payment Date]]=0,"",-1+WEEKNUM(Auction_Sales[[#This Row],[Payment Date]]))</f>
        <v>12</v>
      </c>
      <c r="R1088" s="9">
        <v>200</v>
      </c>
      <c r="S1088" s="9" t="s">
        <v>153</v>
      </c>
      <c r="T1088" s="9" t="s">
        <v>52</v>
      </c>
      <c r="W1088" s="13">
        <v>0</v>
      </c>
      <c r="X1088" s="14">
        <v>0</v>
      </c>
      <c r="Y1088" s="13">
        <v>0</v>
      </c>
      <c r="Z1088" s="10">
        <v>45378</v>
      </c>
      <c r="AA1088" s="9">
        <v>-200</v>
      </c>
      <c r="AC1088" s="9" t="s">
        <v>90</v>
      </c>
      <c r="AD1088" s="14">
        <v>21.488800000000001</v>
      </c>
      <c r="AF1088" s="14">
        <v>0</v>
      </c>
      <c r="AH1088" s="14">
        <v>21.488800000000001</v>
      </c>
      <c r="AI1088" s="13">
        <v>-21.488800000000001</v>
      </c>
      <c r="AK1088" s="9">
        <v>0</v>
      </c>
    </row>
    <row r="1089" spans="1:37">
      <c r="A1089" s="9">
        <v>12</v>
      </c>
      <c r="B1089" s="9">
        <v>2024</v>
      </c>
      <c r="C1089" s="9" t="s">
        <v>46</v>
      </c>
      <c r="D1089" s="9" t="s">
        <v>47</v>
      </c>
      <c r="E1089" s="9" t="s">
        <v>47</v>
      </c>
      <c r="F1089" s="10">
        <v>45369</v>
      </c>
      <c r="G1089" s="9" t="s">
        <v>153</v>
      </c>
      <c r="H1089" s="9" t="s">
        <v>57</v>
      </c>
      <c r="J1089" s="9">
        <v>6</v>
      </c>
      <c r="K1089" s="9">
        <v>200</v>
      </c>
      <c r="L1089" s="9">
        <v>0.47</v>
      </c>
      <c r="M1089" s="9">
        <v>94</v>
      </c>
      <c r="N1089" s="9" t="s">
        <v>49</v>
      </c>
      <c r="Q1089" s="9">
        <f>IF(Auction_Sales[[#This Row],[Payment Date]]=0,"",-1+WEEKNUM(Auction_Sales[[#This Row],[Payment Date]]))</f>
        <v>12</v>
      </c>
      <c r="R1089" s="9">
        <v>0</v>
      </c>
      <c r="S1089" s="9" t="s">
        <v>153</v>
      </c>
      <c r="T1089" s="9" t="s">
        <v>57</v>
      </c>
      <c r="U1089" s="9">
        <v>200</v>
      </c>
      <c r="V1089" s="13">
        <v>0.69400000000000006</v>
      </c>
      <c r="W1089" s="13">
        <v>138.80000000000001</v>
      </c>
      <c r="X1089" s="14">
        <v>-8.4678846153846141</v>
      </c>
      <c r="Y1089" s="13">
        <v>130.33211538461541</v>
      </c>
      <c r="Z1089" s="10">
        <v>45378</v>
      </c>
      <c r="AA1089" s="9">
        <v>0</v>
      </c>
      <c r="AC1089" s="9" t="s">
        <v>90</v>
      </c>
      <c r="AD1089" s="14">
        <v>21.488800000000001</v>
      </c>
      <c r="AF1089" s="14">
        <v>4</v>
      </c>
      <c r="AH1089" s="14">
        <v>25.488800000000001</v>
      </c>
      <c r="AI1089" s="13">
        <v>104.84331538461541</v>
      </c>
      <c r="AK1089" s="9">
        <v>200</v>
      </c>
    </row>
    <row r="1090" spans="1:37">
      <c r="A1090" s="9">
        <v>12</v>
      </c>
      <c r="B1090" s="9">
        <v>2024</v>
      </c>
      <c r="C1090" s="9" t="s">
        <v>46</v>
      </c>
      <c r="D1090" s="9" t="s">
        <v>47</v>
      </c>
      <c r="E1090" s="9" t="s">
        <v>47</v>
      </c>
      <c r="F1090" s="10">
        <v>45369</v>
      </c>
      <c r="G1090" s="9" t="s">
        <v>155</v>
      </c>
      <c r="H1090" s="9" t="s">
        <v>48</v>
      </c>
      <c r="I1090" s="9">
        <v>1</v>
      </c>
      <c r="J1090" s="9">
        <v>10</v>
      </c>
      <c r="K1090" s="9">
        <v>400</v>
      </c>
      <c r="L1090" s="9">
        <v>0.47</v>
      </c>
      <c r="M1090" s="9">
        <v>188</v>
      </c>
      <c r="N1090" s="9" t="s">
        <v>49</v>
      </c>
      <c r="Q1090" s="9">
        <f>IF(Auction_Sales[[#This Row],[Payment Date]]=0,"",-1+WEEKNUM(Auction_Sales[[#This Row],[Payment Date]]))</f>
        <v>12</v>
      </c>
      <c r="R1090" s="9">
        <v>400</v>
      </c>
      <c r="S1090" s="9" t="s">
        <v>155</v>
      </c>
      <c r="T1090" s="9" t="s">
        <v>48</v>
      </c>
      <c r="W1090" s="13">
        <v>0</v>
      </c>
      <c r="X1090" s="14">
        <v>0</v>
      </c>
      <c r="Y1090" s="13">
        <v>0</v>
      </c>
      <c r="Z1090" s="10">
        <v>45378</v>
      </c>
      <c r="AA1090" s="9">
        <v>-400</v>
      </c>
      <c r="AC1090" s="9" t="s">
        <v>90</v>
      </c>
      <c r="AD1090" s="14">
        <v>35.814666666666668</v>
      </c>
      <c r="AF1090" s="14">
        <v>0</v>
      </c>
      <c r="AH1090" s="14">
        <v>35.814666666666668</v>
      </c>
      <c r="AI1090" s="13">
        <v>-35.814666666666668</v>
      </c>
      <c r="AK1090" s="9">
        <v>0</v>
      </c>
    </row>
    <row r="1091" spans="1:37">
      <c r="A1091" s="9">
        <v>12</v>
      </c>
      <c r="B1091" s="9">
        <v>2024</v>
      </c>
      <c r="C1091" s="9" t="s">
        <v>46</v>
      </c>
      <c r="D1091" s="9" t="s">
        <v>47</v>
      </c>
      <c r="E1091" s="9" t="s">
        <v>47</v>
      </c>
      <c r="F1091" s="10">
        <v>45369</v>
      </c>
      <c r="G1091" s="9" t="s">
        <v>155</v>
      </c>
      <c r="H1091" s="9" t="s">
        <v>54</v>
      </c>
      <c r="J1091" s="9">
        <v>2</v>
      </c>
      <c r="K1091" s="9">
        <v>80</v>
      </c>
      <c r="L1091" s="9">
        <v>0.56999999999999995</v>
      </c>
      <c r="M1091" s="9">
        <v>45.6</v>
      </c>
      <c r="N1091" s="9" t="s">
        <v>49</v>
      </c>
      <c r="Q1091" s="9">
        <f>IF(Auction_Sales[[#This Row],[Payment Date]]=0,"",-1+WEEKNUM(Auction_Sales[[#This Row],[Payment Date]]))</f>
        <v>12</v>
      </c>
      <c r="R1091" s="9">
        <v>80</v>
      </c>
      <c r="S1091" s="9" t="s">
        <v>155</v>
      </c>
      <c r="T1091" s="9" t="s">
        <v>54</v>
      </c>
      <c r="W1091" s="13">
        <v>0</v>
      </c>
      <c r="X1091" s="14">
        <v>0</v>
      </c>
      <c r="Y1091" s="13">
        <v>0</v>
      </c>
      <c r="Z1091" s="10">
        <v>45378</v>
      </c>
      <c r="AA1091" s="9">
        <v>-80</v>
      </c>
      <c r="AC1091" s="9" t="s">
        <v>90</v>
      </c>
      <c r="AD1091" s="14">
        <v>7.162933333333334</v>
      </c>
      <c r="AF1091" s="14">
        <v>0</v>
      </c>
      <c r="AH1091" s="14">
        <v>7.162933333333334</v>
      </c>
      <c r="AI1091" s="13">
        <v>-7.162933333333334</v>
      </c>
      <c r="AK1091" s="9">
        <v>0</v>
      </c>
    </row>
    <row r="1092" spans="1:37">
      <c r="A1092" s="9">
        <v>12</v>
      </c>
      <c r="B1092" s="9">
        <v>2024</v>
      </c>
      <c r="C1092" s="9" t="s">
        <v>46</v>
      </c>
      <c r="D1092" s="9" t="s">
        <v>47</v>
      </c>
      <c r="E1092" s="9" t="s">
        <v>47</v>
      </c>
      <c r="F1092" s="10">
        <v>45369</v>
      </c>
      <c r="G1092" s="9" t="s">
        <v>154</v>
      </c>
      <c r="H1092" s="9" t="s">
        <v>51</v>
      </c>
      <c r="I1092" s="9">
        <v>1</v>
      </c>
      <c r="J1092" s="9">
        <v>5</v>
      </c>
      <c r="K1092" s="9">
        <v>200</v>
      </c>
      <c r="L1092" s="9">
        <v>0.38</v>
      </c>
      <c r="M1092" s="9">
        <v>76</v>
      </c>
      <c r="N1092" s="9" t="s">
        <v>49</v>
      </c>
      <c r="Q1092" s="9">
        <f>IF(Auction_Sales[[#This Row],[Payment Date]]=0,"",-1+WEEKNUM(Auction_Sales[[#This Row],[Payment Date]]))</f>
        <v>12</v>
      </c>
      <c r="R1092" s="9">
        <v>0</v>
      </c>
      <c r="S1092" s="9" t="s">
        <v>154</v>
      </c>
      <c r="T1092" s="9" t="s">
        <v>51</v>
      </c>
      <c r="U1092" s="9">
        <v>200</v>
      </c>
      <c r="V1092" s="13">
        <v>0.36</v>
      </c>
      <c r="W1092" s="13">
        <v>72</v>
      </c>
      <c r="X1092" s="14">
        <v>-8.4678846153846141</v>
      </c>
      <c r="Y1092" s="13">
        <v>63.532115384615388</v>
      </c>
      <c r="Z1092" s="10">
        <v>45378</v>
      </c>
      <c r="AA1092" s="9">
        <v>0</v>
      </c>
      <c r="AC1092" s="9" t="s">
        <v>90</v>
      </c>
      <c r="AD1092" s="14">
        <v>17.907333333333334</v>
      </c>
      <c r="AF1092" s="14">
        <v>4</v>
      </c>
      <c r="AH1092" s="14">
        <v>21.907333333333334</v>
      </c>
      <c r="AI1092" s="13">
        <v>41.624782051282054</v>
      </c>
      <c r="AK1092" s="9">
        <v>200</v>
      </c>
    </row>
    <row r="1093" spans="1:37">
      <c r="A1093" s="9">
        <v>12</v>
      </c>
      <c r="B1093" s="9">
        <v>2024</v>
      </c>
      <c r="C1093" s="9" t="s">
        <v>46</v>
      </c>
      <c r="D1093" s="9" t="s">
        <v>47</v>
      </c>
      <c r="E1093" s="9" t="s">
        <v>47</v>
      </c>
      <c r="F1093" s="10">
        <v>45369</v>
      </c>
      <c r="G1093" s="9" t="s">
        <v>154</v>
      </c>
      <c r="H1093" s="9" t="s">
        <v>48</v>
      </c>
      <c r="J1093" s="9">
        <v>7</v>
      </c>
      <c r="K1093" s="9">
        <v>280</v>
      </c>
      <c r="L1093" s="9">
        <v>0.47</v>
      </c>
      <c r="M1093" s="9">
        <v>131.6</v>
      </c>
      <c r="N1093" s="9" t="s">
        <v>49</v>
      </c>
      <c r="Q1093" s="9">
        <f>IF(Auction_Sales[[#This Row],[Payment Date]]=0,"",-1+WEEKNUM(Auction_Sales[[#This Row],[Payment Date]]))</f>
        <v>12</v>
      </c>
      <c r="R1093" s="9">
        <v>280</v>
      </c>
      <c r="S1093" s="9" t="s">
        <v>154</v>
      </c>
      <c r="T1093" s="9" t="s">
        <v>48</v>
      </c>
      <c r="W1093" s="13">
        <v>0</v>
      </c>
      <c r="X1093" s="14">
        <v>0</v>
      </c>
      <c r="Y1093" s="13">
        <v>0</v>
      </c>
      <c r="Z1093" s="10">
        <v>45378</v>
      </c>
      <c r="AA1093" s="9">
        <v>-280</v>
      </c>
      <c r="AC1093" s="9" t="s">
        <v>90</v>
      </c>
      <c r="AD1093" s="14">
        <v>25.070266666666669</v>
      </c>
      <c r="AF1093" s="14">
        <v>0</v>
      </c>
      <c r="AH1093" s="14">
        <v>25.070266666666669</v>
      </c>
      <c r="AI1093" s="13">
        <v>-25.070266666666669</v>
      </c>
      <c r="AK1093" s="9">
        <v>0</v>
      </c>
    </row>
    <row r="1094" spans="1:37">
      <c r="A1094" s="9">
        <v>12</v>
      </c>
      <c r="B1094" s="9">
        <v>2024</v>
      </c>
      <c r="C1094" s="9" t="s">
        <v>46</v>
      </c>
      <c r="D1094" s="9" t="s">
        <v>47</v>
      </c>
      <c r="E1094" s="9" t="s">
        <v>47</v>
      </c>
      <c r="F1094" s="10">
        <v>45369</v>
      </c>
      <c r="G1094" s="9" t="s">
        <v>154</v>
      </c>
      <c r="H1094" s="9" t="s">
        <v>54</v>
      </c>
      <c r="I1094" s="9">
        <v>1</v>
      </c>
      <c r="J1094" s="9">
        <v>8.5714285714285712</v>
      </c>
      <c r="K1094" s="9">
        <v>200</v>
      </c>
      <c r="L1094" s="9">
        <v>0.56999999999999995</v>
      </c>
      <c r="M1094" s="9">
        <v>114</v>
      </c>
      <c r="N1094" s="9" t="s">
        <v>49</v>
      </c>
      <c r="Q1094" s="9">
        <f>IF(Auction_Sales[[#This Row],[Payment Date]]=0,"",-1+WEEKNUM(Auction_Sales[[#This Row],[Payment Date]]))</f>
        <v>12</v>
      </c>
      <c r="R1094" s="9">
        <v>0</v>
      </c>
      <c r="S1094" s="9" t="s">
        <v>154</v>
      </c>
      <c r="T1094" s="9" t="s">
        <v>54</v>
      </c>
      <c r="U1094" s="9">
        <v>200</v>
      </c>
      <c r="V1094" s="13">
        <v>0.5</v>
      </c>
      <c r="W1094" s="13">
        <v>100</v>
      </c>
      <c r="X1094" s="14">
        <v>-8.4678846153846141</v>
      </c>
      <c r="Y1094" s="13">
        <v>91.532115384615381</v>
      </c>
      <c r="Z1094" s="10">
        <v>45378</v>
      </c>
      <c r="AA1094" s="9">
        <v>0</v>
      </c>
      <c r="AC1094" s="9" t="s">
        <v>90</v>
      </c>
      <c r="AD1094" s="14">
        <v>30.698285714285714</v>
      </c>
      <c r="AF1094" s="14">
        <v>4</v>
      </c>
      <c r="AH1094" s="14">
        <v>34.698285714285717</v>
      </c>
      <c r="AI1094" s="13">
        <v>56.833829670329663</v>
      </c>
      <c r="AK1094" s="9">
        <v>200</v>
      </c>
    </row>
    <row r="1095" spans="1:37">
      <c r="A1095" s="9">
        <v>12</v>
      </c>
      <c r="B1095" s="9">
        <v>2024</v>
      </c>
      <c r="C1095" s="9" t="s">
        <v>46</v>
      </c>
      <c r="D1095" s="9" t="s">
        <v>47</v>
      </c>
      <c r="E1095" s="9" t="s">
        <v>47</v>
      </c>
      <c r="F1095" s="10">
        <v>45369</v>
      </c>
      <c r="G1095" s="9" t="s">
        <v>154</v>
      </c>
      <c r="H1095" s="9" t="s">
        <v>56</v>
      </c>
      <c r="J1095" s="9">
        <v>3.4285714285714284</v>
      </c>
      <c r="K1095" s="9">
        <v>80</v>
      </c>
      <c r="L1095" s="9">
        <v>0.75</v>
      </c>
      <c r="M1095" s="9">
        <v>60</v>
      </c>
      <c r="N1095" s="9" t="s">
        <v>49</v>
      </c>
      <c r="Q1095" s="9">
        <f>IF(Auction_Sales[[#This Row],[Payment Date]]=0,"",-1+WEEKNUM(Auction_Sales[[#This Row],[Payment Date]]))</f>
        <v>12</v>
      </c>
      <c r="R1095" s="9">
        <v>0</v>
      </c>
      <c r="S1095" s="9" t="s">
        <v>154</v>
      </c>
      <c r="T1095" s="9" t="s">
        <v>56</v>
      </c>
      <c r="U1095" s="9">
        <v>80</v>
      </c>
      <c r="V1095" s="13">
        <v>0.6</v>
      </c>
      <c r="W1095" s="13">
        <v>48</v>
      </c>
      <c r="X1095" s="14">
        <v>-3.3871538461538457</v>
      </c>
      <c r="Y1095" s="13">
        <v>44.612846153846156</v>
      </c>
      <c r="Z1095" s="10">
        <v>45378</v>
      </c>
      <c r="AA1095" s="9">
        <v>0</v>
      </c>
      <c r="AC1095" s="9" t="s">
        <v>90</v>
      </c>
      <c r="AD1095" s="14">
        <v>12.279314285714287</v>
      </c>
      <c r="AF1095" s="14">
        <v>1.6</v>
      </c>
      <c r="AH1095" s="14">
        <v>13.879314285714287</v>
      </c>
      <c r="AI1095" s="13">
        <v>30.73353186813187</v>
      </c>
      <c r="AK1095" s="9">
        <v>80</v>
      </c>
    </row>
    <row r="1096" spans="1:37">
      <c r="A1096" s="9">
        <v>12</v>
      </c>
      <c r="B1096" s="9">
        <v>2024</v>
      </c>
      <c r="C1096" s="9" t="s">
        <v>46</v>
      </c>
      <c r="D1096" s="9" t="s">
        <v>47</v>
      </c>
      <c r="E1096" s="9" t="s">
        <v>47</v>
      </c>
      <c r="F1096" s="10">
        <v>45370</v>
      </c>
      <c r="G1096" s="9" t="s">
        <v>154</v>
      </c>
      <c r="H1096" s="9" t="s">
        <v>52</v>
      </c>
      <c r="I1096" s="9">
        <v>1</v>
      </c>
      <c r="J1096" s="9">
        <v>12</v>
      </c>
      <c r="K1096" s="9">
        <v>360</v>
      </c>
      <c r="L1096" s="9">
        <v>0.52</v>
      </c>
      <c r="M1096" s="9">
        <v>187.2</v>
      </c>
      <c r="N1096" s="9" t="s">
        <v>49</v>
      </c>
      <c r="Q1096" s="9">
        <f>IF(Auction_Sales[[#This Row],[Payment Date]]=0,"",-1+WEEKNUM(Auction_Sales[[#This Row],[Payment Date]]))</f>
        <v>12</v>
      </c>
      <c r="R1096" s="9">
        <v>0</v>
      </c>
      <c r="S1096" s="9" t="s">
        <v>154</v>
      </c>
      <c r="T1096" s="9" t="s">
        <v>52</v>
      </c>
      <c r="U1096" s="9">
        <v>360</v>
      </c>
      <c r="V1096" s="13">
        <v>0.59</v>
      </c>
      <c r="W1096" s="13">
        <v>212.39999999999998</v>
      </c>
      <c r="X1096" s="14">
        <v>-16.430847457627113</v>
      </c>
      <c r="Y1096" s="13">
        <v>195.96915254237285</v>
      </c>
      <c r="Z1096" s="10">
        <v>45378</v>
      </c>
      <c r="AA1096" s="9">
        <v>0</v>
      </c>
      <c r="AC1096" s="9" t="s">
        <v>91</v>
      </c>
      <c r="AD1096" s="14">
        <v>43.31315789473684</v>
      </c>
      <c r="AF1096" s="14">
        <v>7.2</v>
      </c>
      <c r="AH1096" s="14">
        <v>50.513157894736842</v>
      </c>
      <c r="AI1096" s="13">
        <v>145.455994647636</v>
      </c>
      <c r="AK1096" s="9">
        <v>360</v>
      </c>
    </row>
    <row r="1097" spans="1:37">
      <c r="A1097" s="9">
        <v>12</v>
      </c>
      <c r="B1097" s="9">
        <v>2024</v>
      </c>
      <c r="C1097" s="9" t="s">
        <v>46</v>
      </c>
      <c r="D1097" s="9" t="s">
        <v>47</v>
      </c>
      <c r="E1097" s="9" t="s">
        <v>47</v>
      </c>
      <c r="F1097" s="10">
        <v>45370</v>
      </c>
      <c r="G1097" s="9" t="s">
        <v>154</v>
      </c>
      <c r="H1097" s="9" t="s">
        <v>54</v>
      </c>
      <c r="I1097" s="9">
        <v>1</v>
      </c>
      <c r="J1097" s="9">
        <v>12</v>
      </c>
      <c r="K1097" s="9">
        <v>280</v>
      </c>
      <c r="L1097" s="9">
        <v>0.56999999999999995</v>
      </c>
      <c r="M1097" s="9">
        <v>159.6</v>
      </c>
      <c r="N1097" s="9" t="s">
        <v>49</v>
      </c>
      <c r="Q1097" s="9">
        <f>IF(Auction_Sales[[#This Row],[Payment Date]]=0,"",-1+WEEKNUM(Auction_Sales[[#This Row],[Payment Date]]))</f>
        <v>12</v>
      </c>
      <c r="R1097" s="9">
        <v>0</v>
      </c>
      <c r="S1097" s="9" t="s">
        <v>154</v>
      </c>
      <c r="T1097" s="9" t="s">
        <v>54</v>
      </c>
      <c r="U1097" s="9">
        <v>280</v>
      </c>
      <c r="V1097" s="13">
        <v>0.65</v>
      </c>
      <c r="W1097" s="13">
        <v>182</v>
      </c>
      <c r="X1097" s="14">
        <v>-12.779548022598865</v>
      </c>
      <c r="Y1097" s="13">
        <v>169.22045197740113</v>
      </c>
      <c r="Z1097" s="10">
        <v>45378</v>
      </c>
      <c r="AA1097" s="9">
        <v>0</v>
      </c>
      <c r="AC1097" s="9" t="s">
        <v>91</v>
      </c>
      <c r="AD1097" s="14">
        <v>43.31315789473684</v>
      </c>
      <c r="AF1097" s="14">
        <v>5.6000000000000005</v>
      </c>
      <c r="AH1097" s="14">
        <v>48.913157894736841</v>
      </c>
      <c r="AI1097" s="13">
        <v>120.30729408266428</v>
      </c>
      <c r="AK1097" s="9">
        <v>280</v>
      </c>
    </row>
    <row r="1098" spans="1:37">
      <c r="A1098" s="9">
        <v>12</v>
      </c>
      <c r="B1098" s="9">
        <v>2024</v>
      </c>
      <c r="C1098" s="9" t="s">
        <v>46</v>
      </c>
      <c r="D1098" s="9" t="s">
        <v>47</v>
      </c>
      <c r="E1098" s="9" t="s">
        <v>47</v>
      </c>
      <c r="F1098" s="10">
        <v>45370</v>
      </c>
      <c r="G1098" s="9" t="s">
        <v>154</v>
      </c>
      <c r="H1098" s="9" t="s">
        <v>56</v>
      </c>
      <c r="I1098" s="9">
        <v>1</v>
      </c>
      <c r="J1098" s="9">
        <v>12</v>
      </c>
      <c r="K1098" s="9">
        <v>200</v>
      </c>
      <c r="L1098" s="9">
        <v>0.75</v>
      </c>
      <c r="M1098" s="9">
        <v>150</v>
      </c>
      <c r="N1098" s="9" t="s">
        <v>49</v>
      </c>
      <c r="Q1098" s="9">
        <f>IF(Auction_Sales[[#This Row],[Payment Date]]=0,"",-1+WEEKNUM(Auction_Sales[[#This Row],[Payment Date]]))</f>
        <v>12</v>
      </c>
      <c r="R1098" s="9">
        <v>0</v>
      </c>
      <c r="S1098" s="9" t="s">
        <v>154</v>
      </c>
      <c r="T1098" s="9" t="s">
        <v>56</v>
      </c>
      <c r="U1098" s="9">
        <v>200</v>
      </c>
      <c r="V1098" s="13">
        <v>0.192</v>
      </c>
      <c r="W1098" s="13">
        <v>38.4</v>
      </c>
      <c r="X1098" s="14">
        <v>-9.1282485875706172</v>
      </c>
      <c r="Y1098" s="13">
        <v>29.271751412429381</v>
      </c>
      <c r="Z1098" s="10">
        <v>45378</v>
      </c>
      <c r="AA1098" s="9">
        <v>0</v>
      </c>
      <c r="AC1098" s="9" t="s">
        <v>91</v>
      </c>
      <c r="AD1098" s="14">
        <v>43.31315789473684</v>
      </c>
      <c r="AF1098" s="14">
        <v>4</v>
      </c>
      <c r="AH1098" s="14">
        <v>47.31315789473684</v>
      </c>
      <c r="AI1098" s="13">
        <v>-18.041406482307458</v>
      </c>
      <c r="AK1098" s="9">
        <v>200</v>
      </c>
    </row>
    <row r="1099" spans="1:37">
      <c r="A1099" s="9">
        <v>12</v>
      </c>
      <c r="B1099" s="9">
        <v>2024</v>
      </c>
      <c r="C1099" s="9" t="s">
        <v>46</v>
      </c>
      <c r="D1099" s="9" t="s">
        <v>47</v>
      </c>
      <c r="E1099" s="9" t="s">
        <v>47</v>
      </c>
      <c r="F1099" s="10">
        <v>45370</v>
      </c>
      <c r="G1099" s="9" t="s">
        <v>154</v>
      </c>
      <c r="H1099" s="9" t="s">
        <v>57</v>
      </c>
      <c r="I1099" s="9">
        <v>1</v>
      </c>
      <c r="J1099" s="9">
        <v>12</v>
      </c>
      <c r="K1099" s="9">
        <v>160</v>
      </c>
      <c r="L1099" s="9">
        <v>0.94</v>
      </c>
      <c r="M1099" s="9">
        <v>150.4</v>
      </c>
      <c r="N1099" s="9" t="s">
        <v>49</v>
      </c>
      <c r="Q1099" s="9">
        <f>IF(Auction_Sales[[#This Row],[Payment Date]]=0,"",-1+WEEKNUM(Auction_Sales[[#This Row],[Payment Date]]))</f>
        <v>12</v>
      </c>
      <c r="R1099" s="9">
        <v>0</v>
      </c>
      <c r="S1099" s="9" t="s">
        <v>154</v>
      </c>
      <c r="T1099" s="9" t="s">
        <v>57</v>
      </c>
      <c r="U1099" s="9">
        <v>160</v>
      </c>
      <c r="V1099" s="13">
        <v>0.51</v>
      </c>
      <c r="W1099" s="13">
        <v>81.599999999999994</v>
      </c>
      <c r="X1099" s="14">
        <v>-7.3025988700564941</v>
      </c>
      <c r="Y1099" s="13">
        <v>74.297401129943495</v>
      </c>
      <c r="Z1099" s="10">
        <v>45378</v>
      </c>
      <c r="AA1099" s="9">
        <v>0</v>
      </c>
      <c r="AC1099" s="9" t="s">
        <v>91</v>
      </c>
      <c r="AD1099" s="14">
        <v>43.31315789473684</v>
      </c>
      <c r="AF1099" s="14">
        <v>3.2</v>
      </c>
      <c r="AH1099" s="14">
        <v>46.513157894736842</v>
      </c>
      <c r="AI1099" s="13">
        <v>27.784243235206652</v>
      </c>
      <c r="AK1099" s="9">
        <v>160</v>
      </c>
    </row>
    <row r="1100" spans="1:37">
      <c r="A1100" s="9">
        <v>12</v>
      </c>
      <c r="B1100" s="9">
        <v>2024</v>
      </c>
      <c r="C1100" s="9" t="s">
        <v>46</v>
      </c>
      <c r="D1100" s="9" t="s">
        <v>47</v>
      </c>
      <c r="E1100" s="9" t="s">
        <v>47</v>
      </c>
      <c r="F1100" s="10">
        <v>45370</v>
      </c>
      <c r="G1100" s="9" t="s">
        <v>155</v>
      </c>
      <c r="H1100" s="9" t="s">
        <v>48</v>
      </c>
      <c r="I1100" s="9">
        <v>2</v>
      </c>
      <c r="J1100" s="9">
        <v>24</v>
      </c>
      <c r="K1100" s="9">
        <v>1040</v>
      </c>
      <c r="L1100" s="9">
        <v>0.47</v>
      </c>
      <c r="M1100" s="9">
        <v>488.8</v>
      </c>
      <c r="N1100" s="9" t="s">
        <v>49</v>
      </c>
      <c r="Q1100" s="9">
        <f>IF(Auction_Sales[[#This Row],[Payment Date]]=0,"",-1+WEEKNUM(Auction_Sales[[#This Row],[Payment Date]]))</f>
        <v>12</v>
      </c>
      <c r="R1100" s="9">
        <v>-400</v>
      </c>
      <c r="S1100" s="9" t="s">
        <v>155</v>
      </c>
      <c r="T1100" s="9" t="s">
        <v>48</v>
      </c>
      <c r="U1100" s="9">
        <v>1440</v>
      </c>
      <c r="V1100" s="13">
        <v>0.41</v>
      </c>
      <c r="W1100" s="13">
        <v>590.4</v>
      </c>
      <c r="X1100" s="14">
        <v>-65.723389830508452</v>
      </c>
      <c r="Y1100" s="13">
        <v>524.67661016949148</v>
      </c>
      <c r="Z1100" s="10">
        <v>45378</v>
      </c>
      <c r="AA1100" s="9">
        <v>400</v>
      </c>
      <c r="AC1100" s="9" t="s">
        <v>91</v>
      </c>
      <c r="AD1100" s="14">
        <v>86.626315789473679</v>
      </c>
      <c r="AF1100" s="14">
        <v>28.8</v>
      </c>
      <c r="AH1100" s="14">
        <v>115.42631578947368</v>
      </c>
      <c r="AI1100" s="13">
        <v>409.25029438001781</v>
      </c>
      <c r="AK1100" s="9">
        <v>1440</v>
      </c>
    </row>
    <row r="1101" spans="1:37">
      <c r="A1101" s="9">
        <v>12</v>
      </c>
      <c r="B1101" s="9">
        <v>2024</v>
      </c>
      <c r="C1101" s="9" t="s">
        <v>46</v>
      </c>
      <c r="D1101" s="9" t="s">
        <v>47</v>
      </c>
      <c r="E1101" s="9" t="s">
        <v>47</v>
      </c>
      <c r="F1101" s="10">
        <v>45370</v>
      </c>
      <c r="G1101" s="9" t="s">
        <v>155</v>
      </c>
      <c r="H1101" s="9" t="s">
        <v>52</v>
      </c>
      <c r="I1101" s="9">
        <v>2</v>
      </c>
      <c r="J1101" s="9">
        <v>24</v>
      </c>
      <c r="K1101" s="9">
        <v>800</v>
      </c>
      <c r="L1101" s="9">
        <v>0.52</v>
      </c>
      <c r="M1101" s="9">
        <v>416</v>
      </c>
      <c r="N1101" s="9" t="s">
        <v>49</v>
      </c>
      <c r="Q1101" s="9">
        <f>IF(Auction_Sales[[#This Row],[Payment Date]]=0,"",-1+WEEKNUM(Auction_Sales[[#This Row],[Payment Date]]))</f>
        <v>12</v>
      </c>
      <c r="R1101" s="9">
        <v>0</v>
      </c>
      <c r="S1101" s="9" t="s">
        <v>155</v>
      </c>
      <c r="T1101" s="9" t="s">
        <v>52</v>
      </c>
      <c r="U1101" s="9">
        <v>800</v>
      </c>
      <c r="V1101" s="13">
        <v>0.46649999999999997</v>
      </c>
      <c r="W1101" s="13">
        <v>373.2</v>
      </c>
      <c r="X1101" s="14">
        <v>-36.512994350282469</v>
      </c>
      <c r="Y1101" s="13">
        <v>336.68700564971755</v>
      </c>
      <c r="Z1101" s="10">
        <v>45378</v>
      </c>
      <c r="AA1101" s="9">
        <v>0</v>
      </c>
      <c r="AC1101" s="9" t="s">
        <v>91</v>
      </c>
      <c r="AD1101" s="14">
        <v>86.626315789473679</v>
      </c>
      <c r="AF1101" s="14">
        <v>16</v>
      </c>
      <c r="AH1101" s="14">
        <v>102.62631578947368</v>
      </c>
      <c r="AI1101" s="13">
        <v>234.06068986024388</v>
      </c>
      <c r="AK1101" s="9">
        <v>800</v>
      </c>
    </row>
    <row r="1102" spans="1:37">
      <c r="A1102" s="9">
        <v>12</v>
      </c>
      <c r="B1102" s="9">
        <v>2024</v>
      </c>
      <c r="C1102" s="9" t="s">
        <v>46</v>
      </c>
      <c r="D1102" s="9" t="s">
        <v>47</v>
      </c>
      <c r="E1102" s="9" t="s">
        <v>47</v>
      </c>
      <c r="F1102" s="10">
        <v>45370</v>
      </c>
      <c r="G1102" s="9" t="s">
        <v>155</v>
      </c>
      <c r="H1102" s="9" t="s">
        <v>54</v>
      </c>
      <c r="I1102" s="9">
        <v>1</v>
      </c>
      <c r="J1102" s="9">
        <v>12</v>
      </c>
      <c r="K1102" s="9">
        <v>320</v>
      </c>
      <c r="L1102" s="9">
        <v>0.56999999999999995</v>
      </c>
      <c r="M1102" s="9">
        <v>182.4</v>
      </c>
      <c r="N1102" s="9" t="s">
        <v>49</v>
      </c>
      <c r="Q1102" s="9">
        <f>IF(Auction_Sales[[#This Row],[Payment Date]]=0,"",-1+WEEKNUM(Auction_Sales[[#This Row],[Payment Date]]))</f>
        <v>12</v>
      </c>
      <c r="R1102" s="9">
        <v>0</v>
      </c>
      <c r="S1102" s="9" t="s">
        <v>155</v>
      </c>
      <c r="T1102" s="9" t="s">
        <v>54</v>
      </c>
      <c r="U1102" s="9">
        <v>320</v>
      </c>
      <c r="V1102" s="13">
        <v>0.70750000000000002</v>
      </c>
      <c r="W1102" s="13">
        <v>226.4</v>
      </c>
      <c r="X1102" s="14">
        <v>-14.605197740112988</v>
      </c>
      <c r="Y1102" s="13">
        <v>211.79480225988701</v>
      </c>
      <c r="Z1102" s="10">
        <v>45378</v>
      </c>
      <c r="AA1102" s="9">
        <v>0</v>
      </c>
      <c r="AC1102" s="9" t="s">
        <v>91</v>
      </c>
      <c r="AD1102" s="14">
        <v>43.31315789473684</v>
      </c>
      <c r="AF1102" s="14">
        <v>6.4</v>
      </c>
      <c r="AH1102" s="14">
        <v>49.713157894736838</v>
      </c>
      <c r="AI1102" s="13">
        <v>162.08164436515017</v>
      </c>
      <c r="AK1102" s="9">
        <v>320</v>
      </c>
    </row>
    <row r="1103" spans="1:37">
      <c r="A1103" s="9">
        <v>12</v>
      </c>
      <c r="B1103" s="9">
        <v>2024</v>
      </c>
      <c r="C1103" s="9" t="s">
        <v>46</v>
      </c>
      <c r="D1103" s="9" t="s">
        <v>47</v>
      </c>
      <c r="E1103" s="9" t="s">
        <v>47</v>
      </c>
      <c r="F1103" s="10">
        <v>45370</v>
      </c>
      <c r="G1103" s="9" t="s">
        <v>155</v>
      </c>
      <c r="H1103" s="9" t="s">
        <v>57</v>
      </c>
      <c r="I1103" s="9">
        <v>2</v>
      </c>
      <c r="J1103" s="9">
        <v>24</v>
      </c>
      <c r="K1103" s="9">
        <v>400</v>
      </c>
      <c r="L1103" s="9">
        <v>0.94</v>
      </c>
      <c r="M1103" s="9">
        <v>376</v>
      </c>
      <c r="N1103" s="9" t="s">
        <v>49</v>
      </c>
      <c r="Q1103" s="9">
        <f>IF(Auction_Sales[[#This Row],[Payment Date]]=0,"",-1+WEEKNUM(Auction_Sales[[#This Row],[Payment Date]]))</f>
        <v>12</v>
      </c>
      <c r="R1103" s="9">
        <v>-40</v>
      </c>
      <c r="S1103" s="9" t="s">
        <v>155</v>
      </c>
      <c r="T1103" s="9" t="s">
        <v>57</v>
      </c>
      <c r="U1103" s="9">
        <v>440</v>
      </c>
      <c r="V1103" s="13">
        <v>0.5918181818181818</v>
      </c>
      <c r="W1103" s="13">
        <v>260.39999999999998</v>
      </c>
      <c r="X1103" s="14">
        <v>-20.082146892655359</v>
      </c>
      <c r="Y1103" s="13">
        <v>240.3178531073446</v>
      </c>
      <c r="Z1103" s="10">
        <v>45378</v>
      </c>
      <c r="AA1103" s="9">
        <v>40</v>
      </c>
      <c r="AC1103" s="9" t="s">
        <v>91</v>
      </c>
      <c r="AD1103" s="14">
        <v>86.626315789473679</v>
      </c>
      <c r="AF1103" s="14">
        <v>8.8000000000000007</v>
      </c>
      <c r="AH1103" s="14">
        <v>95.426315789473676</v>
      </c>
      <c r="AI1103" s="13">
        <v>144.89153731787093</v>
      </c>
      <c r="AK1103" s="9">
        <v>440</v>
      </c>
    </row>
    <row r="1104" spans="1:37">
      <c r="A1104" s="9">
        <v>12</v>
      </c>
      <c r="B1104" s="9">
        <v>2024</v>
      </c>
      <c r="C1104" s="9" t="s">
        <v>46</v>
      </c>
      <c r="D1104" s="9" t="s">
        <v>47</v>
      </c>
      <c r="E1104" s="9" t="s">
        <v>47</v>
      </c>
      <c r="F1104" s="10">
        <v>45370</v>
      </c>
      <c r="G1104" s="9" t="s">
        <v>156</v>
      </c>
      <c r="H1104" s="9" t="s">
        <v>57</v>
      </c>
      <c r="I1104" s="9">
        <v>1</v>
      </c>
      <c r="J1104" s="9">
        <v>12</v>
      </c>
      <c r="K1104" s="9">
        <v>200</v>
      </c>
      <c r="L1104" s="9">
        <v>1.04</v>
      </c>
      <c r="M1104" s="9">
        <v>208</v>
      </c>
      <c r="N1104" s="9" t="s">
        <v>49</v>
      </c>
      <c r="Q1104" s="9">
        <f>IF(Auction_Sales[[#This Row],[Payment Date]]=0,"",-1+WEEKNUM(Auction_Sales[[#This Row],[Payment Date]]))</f>
        <v>12</v>
      </c>
      <c r="R1104" s="9">
        <v>0</v>
      </c>
      <c r="S1104" s="9" t="s">
        <v>156</v>
      </c>
      <c r="T1104" s="9" t="s">
        <v>57</v>
      </c>
      <c r="U1104" s="9">
        <v>200</v>
      </c>
      <c r="V1104" s="13">
        <v>0.72400000000000009</v>
      </c>
      <c r="W1104" s="13">
        <v>144.80000000000001</v>
      </c>
      <c r="X1104" s="14">
        <v>-9.1282485875706172</v>
      </c>
      <c r="Y1104" s="13">
        <v>135.67175141242939</v>
      </c>
      <c r="Z1104" s="10">
        <v>45378</v>
      </c>
      <c r="AA1104" s="9">
        <v>0</v>
      </c>
      <c r="AC1104" s="9" t="s">
        <v>91</v>
      </c>
      <c r="AD1104" s="14">
        <v>43.31315789473684</v>
      </c>
      <c r="AF1104" s="14">
        <v>4</v>
      </c>
      <c r="AH1104" s="14">
        <v>47.31315789473684</v>
      </c>
      <c r="AI1104" s="13">
        <v>88.358593517692555</v>
      </c>
      <c r="AK1104" s="9">
        <v>200</v>
      </c>
    </row>
    <row r="1105" spans="1:37">
      <c r="A1105" s="9">
        <v>12</v>
      </c>
      <c r="B1105" s="9">
        <v>2024</v>
      </c>
      <c r="C1105" s="9" t="s">
        <v>46</v>
      </c>
      <c r="D1105" s="9" t="s">
        <v>47</v>
      </c>
      <c r="E1105" s="9" t="s">
        <v>47</v>
      </c>
      <c r="F1105" s="10">
        <v>45370</v>
      </c>
      <c r="G1105" s="9" t="s">
        <v>154</v>
      </c>
      <c r="H1105" s="9" t="s">
        <v>48</v>
      </c>
      <c r="I1105" s="9">
        <v>1</v>
      </c>
      <c r="J1105" s="9">
        <v>10.909090909090908</v>
      </c>
      <c r="K1105" s="9">
        <v>400</v>
      </c>
      <c r="L1105" s="9">
        <v>0.47</v>
      </c>
      <c r="M1105" s="9">
        <v>188</v>
      </c>
      <c r="N1105" s="9" t="s">
        <v>49</v>
      </c>
      <c r="Q1105" s="9">
        <f>IF(Auction_Sales[[#This Row],[Payment Date]]=0,"",-1+WEEKNUM(Auction_Sales[[#This Row],[Payment Date]]))</f>
        <v>12</v>
      </c>
      <c r="R1105" s="9">
        <v>0</v>
      </c>
      <c r="S1105" s="9" t="s">
        <v>154</v>
      </c>
      <c r="T1105" s="9" t="s">
        <v>48</v>
      </c>
      <c r="U1105" s="9">
        <v>400</v>
      </c>
      <c r="V1105" s="13">
        <v>0.34</v>
      </c>
      <c r="W1105" s="13">
        <v>136</v>
      </c>
      <c r="X1105" s="14">
        <v>-18.256497175141234</v>
      </c>
      <c r="Y1105" s="13">
        <v>117.74350282485877</v>
      </c>
      <c r="Z1105" s="10">
        <v>45378</v>
      </c>
      <c r="AA1105" s="9">
        <v>0</v>
      </c>
      <c r="AC1105" s="9" t="s">
        <v>91</v>
      </c>
      <c r="AD1105" s="14">
        <v>39.375598086124405</v>
      </c>
      <c r="AF1105" s="14">
        <v>8</v>
      </c>
      <c r="AH1105" s="14">
        <v>47.375598086124405</v>
      </c>
      <c r="AI1105" s="13">
        <v>70.367904738734353</v>
      </c>
      <c r="AK1105" s="9">
        <v>400</v>
      </c>
    </row>
    <row r="1106" spans="1:37">
      <c r="A1106" s="9">
        <v>12</v>
      </c>
      <c r="B1106" s="9">
        <v>2024</v>
      </c>
      <c r="C1106" s="9" t="s">
        <v>46</v>
      </c>
      <c r="D1106" s="9" t="s">
        <v>47</v>
      </c>
      <c r="E1106" s="9" t="s">
        <v>47</v>
      </c>
      <c r="F1106" s="10">
        <v>45370</v>
      </c>
      <c r="G1106" s="9" t="s">
        <v>154</v>
      </c>
      <c r="H1106" s="9" t="s">
        <v>51</v>
      </c>
      <c r="J1106" s="9">
        <v>1.0909090909090908</v>
      </c>
      <c r="K1106" s="9">
        <v>40</v>
      </c>
      <c r="L1106" s="9">
        <v>0.38</v>
      </c>
      <c r="M1106" s="9">
        <v>15.2</v>
      </c>
      <c r="N1106" s="9" t="s">
        <v>49</v>
      </c>
      <c r="Q1106" s="9">
        <f>IF(Auction_Sales[[#This Row],[Payment Date]]=0,"",-1+WEEKNUM(Auction_Sales[[#This Row],[Payment Date]]))</f>
        <v>12</v>
      </c>
      <c r="R1106" s="9">
        <v>0</v>
      </c>
      <c r="S1106" s="9" t="s">
        <v>154</v>
      </c>
      <c r="T1106" s="9" t="s">
        <v>51</v>
      </c>
      <c r="U1106" s="9">
        <v>40</v>
      </c>
      <c r="V1106" s="13">
        <v>0.2</v>
      </c>
      <c r="W1106" s="13">
        <v>8</v>
      </c>
      <c r="X1106" s="14">
        <v>-1.8256497175141235</v>
      </c>
      <c r="Y1106" s="13">
        <v>6.1743502824858769</v>
      </c>
      <c r="Z1106" s="10">
        <v>45378</v>
      </c>
      <c r="AA1106" s="9">
        <v>0</v>
      </c>
      <c r="AC1106" s="9" t="s">
        <v>91</v>
      </c>
      <c r="AD1106" s="14">
        <v>3.9375598086124404</v>
      </c>
      <c r="AF1106" s="14">
        <v>0.8</v>
      </c>
      <c r="AH1106" s="14">
        <v>4.7375598086124402</v>
      </c>
      <c r="AI1106" s="13">
        <v>1.4367904738734367</v>
      </c>
      <c r="AK1106" s="9">
        <v>40</v>
      </c>
    </row>
    <row r="1107" spans="1:37">
      <c r="A1107" s="9">
        <v>12</v>
      </c>
      <c r="B1107" s="9">
        <v>2024</v>
      </c>
      <c r="C1107" s="9" t="s">
        <v>46</v>
      </c>
      <c r="D1107" s="9" t="s">
        <v>47</v>
      </c>
      <c r="E1107" s="9" t="s">
        <v>47</v>
      </c>
      <c r="F1107" s="10">
        <v>45370</v>
      </c>
      <c r="G1107" s="9" t="s">
        <v>155</v>
      </c>
      <c r="H1107" s="9" t="s">
        <v>56</v>
      </c>
      <c r="I1107" s="9">
        <v>1</v>
      </c>
      <c r="J1107" s="9">
        <v>10</v>
      </c>
      <c r="K1107" s="9">
        <v>200</v>
      </c>
      <c r="L1107" s="9">
        <v>0.75</v>
      </c>
      <c r="M1107" s="9">
        <v>150</v>
      </c>
      <c r="N1107" s="9" t="s">
        <v>49</v>
      </c>
      <c r="Q1107" s="9">
        <f>IF(Auction_Sales[[#This Row],[Payment Date]]=0,"",-1+WEEKNUM(Auction_Sales[[#This Row],[Payment Date]]))</f>
        <v>12</v>
      </c>
      <c r="R1107" s="9">
        <v>0</v>
      </c>
      <c r="S1107" s="9" t="s">
        <v>155</v>
      </c>
      <c r="T1107" s="9" t="s">
        <v>56</v>
      </c>
      <c r="U1107" s="9">
        <v>200</v>
      </c>
      <c r="V1107" s="13">
        <v>0.52</v>
      </c>
      <c r="W1107" s="13">
        <v>104</v>
      </c>
      <c r="X1107" s="14">
        <v>-9.1282485875706172</v>
      </c>
      <c r="Y1107" s="13">
        <v>94.871751412429376</v>
      </c>
      <c r="Z1107" s="10">
        <v>45378</v>
      </c>
      <c r="AA1107" s="9">
        <v>0</v>
      </c>
      <c r="AC1107" s="9" t="s">
        <v>91</v>
      </c>
      <c r="AD1107" s="14">
        <v>36.094298245614034</v>
      </c>
      <c r="AF1107" s="14">
        <v>4</v>
      </c>
      <c r="AH1107" s="14">
        <v>40.094298245614034</v>
      </c>
      <c r="AI1107" s="13">
        <v>54.777453166815341</v>
      </c>
      <c r="AK1107" s="9">
        <v>200</v>
      </c>
    </row>
    <row r="1108" spans="1:37">
      <c r="A1108" s="9">
        <v>12</v>
      </c>
      <c r="B1108" s="9">
        <v>2024</v>
      </c>
      <c r="C1108" s="9" t="s">
        <v>46</v>
      </c>
      <c r="D1108" s="9" t="s">
        <v>47</v>
      </c>
      <c r="E1108" s="9" t="s">
        <v>47</v>
      </c>
      <c r="F1108" s="10">
        <v>45370</v>
      </c>
      <c r="G1108" s="9" t="s">
        <v>155</v>
      </c>
      <c r="H1108" s="9" t="s">
        <v>57</v>
      </c>
      <c r="J1108" s="9">
        <v>2</v>
      </c>
      <c r="K1108" s="9">
        <v>40</v>
      </c>
      <c r="L1108" s="9">
        <v>0.94</v>
      </c>
      <c r="M1108" s="9">
        <v>37.6</v>
      </c>
      <c r="N1108" s="9" t="s">
        <v>49</v>
      </c>
      <c r="Q1108" s="9">
        <f>IF(Auction_Sales[[#This Row],[Payment Date]]=0,"",-1+WEEKNUM(Auction_Sales[[#This Row],[Payment Date]]))</f>
        <v>12</v>
      </c>
      <c r="R1108" s="9">
        <v>40</v>
      </c>
      <c r="S1108" s="9" t="s">
        <v>155</v>
      </c>
      <c r="T1108" s="9" t="s">
        <v>57</v>
      </c>
      <c r="W1108" s="13">
        <v>0</v>
      </c>
      <c r="X1108" s="14">
        <v>0</v>
      </c>
      <c r="Y1108" s="13">
        <v>0</v>
      </c>
      <c r="Z1108" s="10">
        <v>45378</v>
      </c>
      <c r="AA1108" s="9">
        <v>-40</v>
      </c>
      <c r="AC1108" s="9" t="s">
        <v>91</v>
      </c>
      <c r="AD1108" s="14">
        <v>7.2188596491228072</v>
      </c>
      <c r="AF1108" s="14">
        <v>0</v>
      </c>
      <c r="AH1108" s="14">
        <v>7.2188596491228072</v>
      </c>
      <c r="AI1108" s="13">
        <v>-7.2188596491228072</v>
      </c>
      <c r="AK1108" s="9">
        <v>0</v>
      </c>
    </row>
    <row r="1109" spans="1:37">
      <c r="A1109" s="9">
        <v>12</v>
      </c>
      <c r="B1109" s="9">
        <v>2024</v>
      </c>
      <c r="C1109" s="9" t="s">
        <v>46</v>
      </c>
      <c r="D1109" s="9" t="s">
        <v>47</v>
      </c>
      <c r="E1109" s="9" t="s">
        <v>47</v>
      </c>
      <c r="F1109" s="10">
        <v>45370</v>
      </c>
      <c r="G1109" s="9" t="s">
        <v>155</v>
      </c>
      <c r="H1109" s="9" t="s">
        <v>48</v>
      </c>
      <c r="I1109" s="9">
        <v>1</v>
      </c>
      <c r="J1109" s="9">
        <v>7.5</v>
      </c>
      <c r="K1109" s="9">
        <v>400</v>
      </c>
      <c r="L1109" s="9">
        <v>0.47</v>
      </c>
      <c r="M1109" s="9">
        <v>188</v>
      </c>
      <c r="N1109" s="9" t="s">
        <v>49</v>
      </c>
      <c r="Q1109" s="9">
        <f>IF(Auction_Sales[[#This Row],[Payment Date]]=0,"",-1+WEEKNUM(Auction_Sales[[#This Row],[Payment Date]]))</f>
        <v>12</v>
      </c>
      <c r="R1109" s="9">
        <v>400</v>
      </c>
      <c r="S1109" s="9" t="s">
        <v>155</v>
      </c>
      <c r="T1109" s="9" t="s">
        <v>48</v>
      </c>
      <c r="W1109" s="13">
        <v>0</v>
      </c>
      <c r="X1109" s="14">
        <v>0</v>
      </c>
      <c r="Y1109" s="13">
        <v>0</v>
      </c>
      <c r="Z1109" s="10">
        <v>45378</v>
      </c>
      <c r="AA1109" s="9">
        <v>-400</v>
      </c>
      <c r="AC1109" s="9" t="s">
        <v>91</v>
      </c>
      <c r="AD1109" s="14">
        <v>27.070723684210527</v>
      </c>
      <c r="AF1109" s="14">
        <v>0</v>
      </c>
      <c r="AH1109" s="14">
        <v>27.070723684210527</v>
      </c>
      <c r="AI1109" s="13">
        <v>-27.070723684210527</v>
      </c>
      <c r="AK1109" s="9">
        <v>0</v>
      </c>
    </row>
    <row r="1110" spans="1:37">
      <c r="A1110" s="9">
        <v>12</v>
      </c>
      <c r="B1110" s="9">
        <v>2024</v>
      </c>
      <c r="C1110" s="9" t="s">
        <v>46</v>
      </c>
      <c r="D1110" s="9" t="s">
        <v>47</v>
      </c>
      <c r="E1110" s="9" t="s">
        <v>47</v>
      </c>
      <c r="F1110" s="10">
        <v>45370</v>
      </c>
      <c r="G1110" s="9" t="s">
        <v>155</v>
      </c>
      <c r="H1110" s="9" t="s">
        <v>51</v>
      </c>
      <c r="J1110" s="9">
        <v>4.5</v>
      </c>
      <c r="K1110" s="9">
        <v>240</v>
      </c>
      <c r="L1110" s="9">
        <v>0.38</v>
      </c>
      <c r="M1110" s="9">
        <v>91.2</v>
      </c>
      <c r="N1110" s="9" t="s">
        <v>49</v>
      </c>
      <c r="Q1110" s="9">
        <f>IF(Auction_Sales[[#This Row],[Payment Date]]=0,"",-1+WEEKNUM(Auction_Sales[[#This Row],[Payment Date]]))</f>
        <v>12</v>
      </c>
      <c r="R1110" s="9">
        <v>0</v>
      </c>
      <c r="S1110" s="9" t="s">
        <v>155</v>
      </c>
      <c r="T1110" s="9" t="s">
        <v>51</v>
      </c>
      <c r="U1110" s="9">
        <v>240</v>
      </c>
      <c r="V1110" s="13">
        <v>0.37666666666666671</v>
      </c>
      <c r="W1110" s="13">
        <v>90.4</v>
      </c>
      <c r="X1110" s="14">
        <v>-10.953898305084742</v>
      </c>
      <c r="Y1110" s="13">
        <v>79.446101694915257</v>
      </c>
      <c r="Z1110" s="10">
        <v>45378</v>
      </c>
      <c r="AA1110" s="9">
        <v>0</v>
      </c>
      <c r="AC1110" s="9" t="s">
        <v>91</v>
      </c>
      <c r="AD1110" s="14">
        <v>16.242434210526316</v>
      </c>
      <c r="AF1110" s="14">
        <v>4.8</v>
      </c>
      <c r="AH1110" s="14">
        <v>21.042434210526316</v>
      </c>
      <c r="AI1110" s="13">
        <v>58.40366748438894</v>
      </c>
      <c r="AK1110" s="9">
        <v>240</v>
      </c>
    </row>
    <row r="1111" spans="1:37">
      <c r="A1111" s="9">
        <v>12</v>
      </c>
      <c r="B1111" s="9">
        <v>2024</v>
      </c>
      <c r="C1111" s="9" t="s">
        <v>46</v>
      </c>
      <c r="D1111" s="9" t="s">
        <v>47</v>
      </c>
      <c r="E1111" s="9" t="s">
        <v>47</v>
      </c>
      <c r="F1111" s="10">
        <v>45370</v>
      </c>
      <c r="G1111" s="9" t="s">
        <v>153</v>
      </c>
      <c r="H1111" s="9" t="s">
        <v>52</v>
      </c>
      <c r="I1111" s="9">
        <v>1</v>
      </c>
      <c r="J1111" s="9">
        <v>3.5999999999999996</v>
      </c>
      <c r="K1111" s="9">
        <v>240</v>
      </c>
      <c r="L1111" s="9">
        <v>0.28000000000000003</v>
      </c>
      <c r="M1111" s="9">
        <v>67.2</v>
      </c>
      <c r="N1111" s="9" t="s">
        <v>49</v>
      </c>
      <c r="Q1111" s="9">
        <f>IF(Auction_Sales[[#This Row],[Payment Date]]=0,"",-1+WEEKNUM(Auction_Sales[[#This Row],[Payment Date]]))</f>
        <v>12</v>
      </c>
      <c r="R1111" s="9">
        <v>0</v>
      </c>
      <c r="S1111" s="9" t="s">
        <v>153</v>
      </c>
      <c r="T1111" s="9" t="s">
        <v>52</v>
      </c>
      <c r="U1111" s="9">
        <v>240</v>
      </c>
      <c r="V1111" s="13">
        <v>0.45</v>
      </c>
      <c r="W1111" s="13">
        <v>108</v>
      </c>
      <c r="X1111" s="14">
        <v>-10.953898305084742</v>
      </c>
      <c r="Y1111" s="13">
        <v>97.046101694915251</v>
      </c>
      <c r="Z1111" s="10">
        <v>45378</v>
      </c>
      <c r="AA1111" s="9">
        <v>0</v>
      </c>
      <c r="AC1111" s="9" t="s">
        <v>91</v>
      </c>
      <c r="AD1111" s="14">
        <v>12.99394736842105</v>
      </c>
      <c r="AF1111" s="14">
        <v>4.8</v>
      </c>
      <c r="AH1111" s="14">
        <v>17.793947368421051</v>
      </c>
      <c r="AI1111" s="13">
        <v>79.252154326494207</v>
      </c>
      <c r="AK1111" s="9">
        <v>240</v>
      </c>
    </row>
    <row r="1112" spans="1:37">
      <c r="A1112" s="9">
        <v>12</v>
      </c>
      <c r="B1112" s="9">
        <v>2024</v>
      </c>
      <c r="C1112" s="9" t="s">
        <v>46</v>
      </c>
      <c r="D1112" s="9" t="s">
        <v>47</v>
      </c>
      <c r="E1112" s="9" t="s">
        <v>47</v>
      </c>
      <c r="F1112" s="10">
        <v>45370</v>
      </c>
      <c r="G1112" s="9" t="s">
        <v>153</v>
      </c>
      <c r="H1112" s="9" t="s">
        <v>48</v>
      </c>
      <c r="J1112" s="9">
        <v>8.3999999999999986</v>
      </c>
      <c r="K1112" s="9">
        <v>560</v>
      </c>
      <c r="L1112" s="9">
        <v>0.24</v>
      </c>
      <c r="M1112" s="9">
        <v>134.4</v>
      </c>
      <c r="N1112" s="9" t="s">
        <v>49</v>
      </c>
      <c r="Q1112" s="9">
        <f>IF(Auction_Sales[[#This Row],[Payment Date]]=0,"",-1+WEEKNUM(Auction_Sales[[#This Row],[Payment Date]]))</f>
        <v>12</v>
      </c>
      <c r="R1112" s="9">
        <v>0</v>
      </c>
      <c r="S1112" s="9" t="s">
        <v>153</v>
      </c>
      <c r="T1112" s="9" t="s">
        <v>48</v>
      </c>
      <c r="U1112" s="9">
        <v>560</v>
      </c>
      <c r="V1112" s="13">
        <v>0.43</v>
      </c>
      <c r="W1112" s="13">
        <v>240.79999999999998</v>
      </c>
      <c r="X1112" s="14">
        <v>-25.55909604519773</v>
      </c>
      <c r="Y1112" s="13">
        <v>215.24090395480226</v>
      </c>
      <c r="Z1112" s="10">
        <v>45378</v>
      </c>
      <c r="AA1112" s="9">
        <v>0</v>
      </c>
      <c r="AC1112" s="9" t="s">
        <v>91</v>
      </c>
      <c r="AD1112" s="14">
        <v>30.319210526315789</v>
      </c>
      <c r="AF1112" s="14">
        <v>11.200000000000001</v>
      </c>
      <c r="AH1112" s="14">
        <v>41.519210526315788</v>
      </c>
      <c r="AI1112" s="13">
        <v>173.72169342848647</v>
      </c>
      <c r="AK1112" s="9">
        <v>560</v>
      </c>
    </row>
    <row r="1113" spans="1:37">
      <c r="A1113" s="9">
        <v>12</v>
      </c>
      <c r="B1113" s="9">
        <v>2024</v>
      </c>
      <c r="C1113" s="9" t="s">
        <v>46</v>
      </c>
      <c r="D1113" s="9" t="s">
        <v>47</v>
      </c>
      <c r="E1113" s="9" t="s">
        <v>47</v>
      </c>
      <c r="F1113" s="10">
        <v>45370</v>
      </c>
      <c r="G1113" s="9" t="s">
        <v>153</v>
      </c>
      <c r="H1113" s="9" t="s">
        <v>54</v>
      </c>
      <c r="I1113" s="9">
        <v>1</v>
      </c>
      <c r="J1113" s="9">
        <v>5</v>
      </c>
      <c r="K1113" s="9">
        <v>200</v>
      </c>
      <c r="L1113" s="9">
        <v>0.33</v>
      </c>
      <c r="M1113" s="9">
        <v>66</v>
      </c>
      <c r="N1113" s="9" t="s">
        <v>49</v>
      </c>
      <c r="Q1113" s="9">
        <f>IF(Auction_Sales[[#This Row],[Payment Date]]=0,"",-1+WEEKNUM(Auction_Sales[[#This Row],[Payment Date]]))</f>
        <v>12</v>
      </c>
      <c r="R1113" s="9">
        <v>0</v>
      </c>
      <c r="S1113" s="9" t="s">
        <v>153</v>
      </c>
      <c r="T1113" s="9" t="s">
        <v>54</v>
      </c>
      <c r="U1113" s="9">
        <v>200</v>
      </c>
      <c r="V1113" s="13">
        <v>0.51</v>
      </c>
      <c r="W1113" s="13">
        <v>102</v>
      </c>
      <c r="X1113" s="14">
        <v>-9.1282485875706172</v>
      </c>
      <c r="Y1113" s="13">
        <v>92.871751412429376</v>
      </c>
      <c r="Z1113" s="10">
        <v>45378</v>
      </c>
      <c r="AA1113" s="9">
        <v>0</v>
      </c>
      <c r="AC1113" s="9" t="s">
        <v>91</v>
      </c>
      <c r="AD1113" s="14">
        <v>18.047149122807017</v>
      </c>
      <c r="AF1113" s="14">
        <v>4</v>
      </c>
      <c r="AH1113" s="14">
        <v>22.047149122807017</v>
      </c>
      <c r="AI1113" s="13">
        <v>70.824602289622362</v>
      </c>
      <c r="AK1113" s="9">
        <v>200</v>
      </c>
    </row>
    <row r="1114" spans="1:37">
      <c r="A1114" s="9">
        <v>12</v>
      </c>
      <c r="B1114" s="9">
        <v>2024</v>
      </c>
      <c r="C1114" s="9" t="s">
        <v>46</v>
      </c>
      <c r="D1114" s="9" t="s">
        <v>47</v>
      </c>
      <c r="E1114" s="9" t="s">
        <v>47</v>
      </c>
      <c r="F1114" s="10">
        <v>45370</v>
      </c>
      <c r="G1114" s="9" t="s">
        <v>153</v>
      </c>
      <c r="H1114" s="9" t="s">
        <v>57</v>
      </c>
      <c r="J1114" s="9">
        <v>3</v>
      </c>
      <c r="K1114" s="9">
        <v>120</v>
      </c>
      <c r="L1114" s="9">
        <v>0.47</v>
      </c>
      <c r="M1114" s="9">
        <v>56.4</v>
      </c>
      <c r="N1114" s="9" t="s">
        <v>49</v>
      </c>
      <c r="Q1114" s="9">
        <f>IF(Auction_Sales[[#This Row],[Payment Date]]=0,"",-1+WEEKNUM(Auction_Sales[[#This Row],[Payment Date]]))</f>
        <v>12</v>
      </c>
      <c r="R1114" s="9">
        <v>0</v>
      </c>
      <c r="S1114" s="9" t="s">
        <v>153</v>
      </c>
      <c r="T1114" s="9" t="s">
        <v>57</v>
      </c>
      <c r="U1114" s="9">
        <v>120</v>
      </c>
      <c r="V1114" s="13">
        <v>0.72000000000000008</v>
      </c>
      <c r="W1114" s="13">
        <v>86.4</v>
      </c>
      <c r="X1114" s="14">
        <v>-5.476949152542371</v>
      </c>
      <c r="Y1114" s="13">
        <v>80.923050847457631</v>
      </c>
      <c r="Z1114" s="10">
        <v>45378</v>
      </c>
      <c r="AA1114" s="9">
        <v>0</v>
      </c>
      <c r="AC1114" s="9" t="s">
        <v>91</v>
      </c>
      <c r="AD1114" s="14">
        <v>10.82828947368421</v>
      </c>
      <c r="AF1114" s="14">
        <v>2.4</v>
      </c>
      <c r="AH1114" s="14">
        <v>13.22828947368421</v>
      </c>
      <c r="AI1114" s="13">
        <v>67.694761373773417</v>
      </c>
      <c r="AK1114" s="9">
        <v>120</v>
      </c>
    </row>
    <row r="1115" spans="1:37">
      <c r="A1115" s="9">
        <v>12</v>
      </c>
      <c r="B1115" s="9">
        <v>2024</v>
      </c>
      <c r="C1115" s="9" t="s">
        <v>46</v>
      </c>
      <c r="D1115" s="9" t="s">
        <v>47</v>
      </c>
      <c r="E1115" s="9" t="s">
        <v>47</v>
      </c>
      <c r="F1115" s="10">
        <v>45370</v>
      </c>
      <c r="G1115" s="9" t="s">
        <v>153</v>
      </c>
      <c r="H1115" s="9" t="s">
        <v>56</v>
      </c>
      <c r="J1115" s="9">
        <v>4</v>
      </c>
      <c r="K1115" s="9">
        <v>160</v>
      </c>
      <c r="L1115" s="9">
        <v>0.38</v>
      </c>
      <c r="M1115" s="9">
        <v>60.8</v>
      </c>
      <c r="N1115" s="9" t="s">
        <v>49</v>
      </c>
      <c r="Q1115" s="9">
        <f>IF(Auction_Sales[[#This Row],[Payment Date]]=0,"",-1+WEEKNUM(Auction_Sales[[#This Row],[Payment Date]]))</f>
        <v>12</v>
      </c>
      <c r="R1115" s="9">
        <v>0</v>
      </c>
      <c r="S1115" s="9" t="s">
        <v>153</v>
      </c>
      <c r="T1115" s="9" t="s">
        <v>56</v>
      </c>
      <c r="U1115" s="9">
        <v>160</v>
      </c>
      <c r="V1115" s="13">
        <v>0.57750000000000001</v>
      </c>
      <c r="W1115" s="13">
        <v>92.4</v>
      </c>
      <c r="X1115" s="14">
        <v>-7.3025988700564941</v>
      </c>
      <c r="Y1115" s="13">
        <v>85.097401129943506</v>
      </c>
      <c r="Z1115" s="10">
        <v>45378</v>
      </c>
      <c r="AA1115" s="9">
        <v>0</v>
      </c>
      <c r="AC1115" s="9" t="s">
        <v>91</v>
      </c>
      <c r="AD1115" s="14">
        <v>14.437719298245614</v>
      </c>
      <c r="AF1115" s="14">
        <v>3.2</v>
      </c>
      <c r="AH1115" s="14">
        <v>17.637719298245614</v>
      </c>
      <c r="AI1115" s="13">
        <v>67.459681831697893</v>
      </c>
      <c r="AK1115" s="9">
        <v>160</v>
      </c>
    </row>
    <row r="1116" spans="1:37">
      <c r="A1116" s="9">
        <v>12</v>
      </c>
      <c r="B1116" s="9">
        <v>2024</v>
      </c>
      <c r="C1116" s="9" t="s">
        <v>46</v>
      </c>
      <c r="D1116" s="9" t="s">
        <v>47</v>
      </c>
      <c r="E1116" s="9" t="s">
        <v>47</v>
      </c>
      <c r="F1116" s="10">
        <v>45370</v>
      </c>
      <c r="G1116" s="9" t="s">
        <v>156</v>
      </c>
      <c r="H1116" s="9" t="s">
        <v>54</v>
      </c>
      <c r="I1116" s="9">
        <v>1</v>
      </c>
      <c r="J1116" s="9">
        <v>3.4285714285714284</v>
      </c>
      <c r="K1116" s="9">
        <v>80</v>
      </c>
      <c r="L1116" s="9">
        <v>0.66</v>
      </c>
      <c r="M1116" s="9">
        <v>52.8</v>
      </c>
      <c r="N1116" s="9" t="s">
        <v>49</v>
      </c>
      <c r="Q1116" s="9">
        <f>IF(Auction_Sales[[#This Row],[Payment Date]]=0,"",-1+WEEKNUM(Auction_Sales[[#This Row],[Payment Date]]))</f>
        <v>12</v>
      </c>
      <c r="R1116" s="9">
        <v>0</v>
      </c>
      <c r="S1116" s="9" t="s">
        <v>156</v>
      </c>
      <c r="T1116" s="9" t="s">
        <v>54</v>
      </c>
      <c r="U1116" s="9">
        <v>80</v>
      </c>
      <c r="V1116" s="13">
        <v>0.65999999999999992</v>
      </c>
      <c r="W1116" s="13">
        <v>52.8</v>
      </c>
      <c r="X1116" s="14">
        <v>-3.6512994350282471</v>
      </c>
      <c r="Y1116" s="13">
        <v>49.148700564971747</v>
      </c>
      <c r="Z1116" s="10">
        <v>45378</v>
      </c>
      <c r="AA1116" s="9">
        <v>0</v>
      </c>
      <c r="AC1116" s="9" t="s">
        <v>91</v>
      </c>
      <c r="AD1116" s="14">
        <v>12.375187969924813</v>
      </c>
      <c r="AF1116" s="14">
        <v>1.6</v>
      </c>
      <c r="AH1116" s="14">
        <v>13.975187969924812</v>
      </c>
      <c r="AI1116" s="13">
        <v>35.173512595046937</v>
      </c>
      <c r="AK1116" s="9">
        <v>80</v>
      </c>
    </row>
    <row r="1117" spans="1:37">
      <c r="A1117" s="9">
        <v>12</v>
      </c>
      <c r="B1117" s="9">
        <v>2024</v>
      </c>
      <c r="C1117" s="9" t="s">
        <v>46</v>
      </c>
      <c r="D1117" s="9" t="s">
        <v>47</v>
      </c>
      <c r="E1117" s="9" t="s">
        <v>47</v>
      </c>
      <c r="F1117" s="10">
        <v>45370</v>
      </c>
      <c r="G1117" s="9" t="s">
        <v>156</v>
      </c>
      <c r="H1117" s="9" t="s">
        <v>52</v>
      </c>
      <c r="J1117" s="9">
        <v>5.1428571428571423</v>
      </c>
      <c r="K1117" s="9">
        <v>120</v>
      </c>
      <c r="L1117" s="9">
        <v>0.61</v>
      </c>
      <c r="M1117" s="9">
        <v>73.2</v>
      </c>
      <c r="N1117" s="9" t="s">
        <v>49</v>
      </c>
      <c r="Q1117" s="9">
        <f>IF(Auction_Sales[[#This Row],[Payment Date]]=0,"",-1+WEEKNUM(Auction_Sales[[#This Row],[Payment Date]]))</f>
        <v>12</v>
      </c>
      <c r="R1117" s="9">
        <v>0</v>
      </c>
      <c r="S1117" s="9" t="s">
        <v>156</v>
      </c>
      <c r="T1117" s="9" t="s">
        <v>52</v>
      </c>
      <c r="U1117" s="9">
        <v>120</v>
      </c>
      <c r="V1117" s="13">
        <v>0.56000000000000005</v>
      </c>
      <c r="W1117" s="13">
        <v>67.2</v>
      </c>
      <c r="X1117" s="14">
        <v>-5.476949152542371</v>
      </c>
      <c r="Y1117" s="13">
        <v>61.723050847457628</v>
      </c>
      <c r="Z1117" s="10">
        <v>45378</v>
      </c>
      <c r="AA1117" s="9">
        <v>0</v>
      </c>
      <c r="AC1117" s="9" t="s">
        <v>91</v>
      </c>
      <c r="AD1117" s="14">
        <v>18.562781954887217</v>
      </c>
      <c r="AF1117" s="14">
        <v>2.4</v>
      </c>
      <c r="AH1117" s="14">
        <v>20.962781954887216</v>
      </c>
      <c r="AI1117" s="13">
        <v>40.760268892570409</v>
      </c>
      <c r="AK1117" s="9">
        <v>120</v>
      </c>
    </row>
    <row r="1118" spans="1:37">
      <c r="A1118" s="9">
        <v>12</v>
      </c>
      <c r="B1118" s="9">
        <v>2024</v>
      </c>
      <c r="C1118" s="9" t="s">
        <v>46</v>
      </c>
      <c r="D1118" s="9" t="s">
        <v>47</v>
      </c>
      <c r="E1118" s="9" t="s">
        <v>47</v>
      </c>
      <c r="F1118" s="10">
        <v>45370</v>
      </c>
      <c r="G1118" s="9" t="s">
        <v>156</v>
      </c>
      <c r="H1118" s="9" t="s">
        <v>56</v>
      </c>
      <c r="J1118" s="9">
        <v>3.4285714285714284</v>
      </c>
      <c r="K1118" s="9">
        <v>80</v>
      </c>
      <c r="L1118" s="9">
        <v>0.85</v>
      </c>
      <c r="M1118" s="9">
        <v>68</v>
      </c>
      <c r="N1118" s="9" t="s">
        <v>49</v>
      </c>
      <c r="Q1118" s="9">
        <f>IF(Auction_Sales[[#This Row],[Payment Date]]=0,"",-1+WEEKNUM(Auction_Sales[[#This Row],[Payment Date]]))</f>
        <v>12</v>
      </c>
      <c r="R1118" s="9">
        <v>0</v>
      </c>
      <c r="S1118" s="9" t="s">
        <v>156</v>
      </c>
      <c r="T1118" s="9" t="s">
        <v>56</v>
      </c>
      <c r="U1118" s="9">
        <v>80</v>
      </c>
      <c r="V1118" s="13">
        <v>0.69000000000000006</v>
      </c>
      <c r="W1118" s="13">
        <v>55.2</v>
      </c>
      <c r="X1118" s="14">
        <v>-3.6512994350282471</v>
      </c>
      <c r="Y1118" s="13">
        <v>51.548700564971753</v>
      </c>
      <c r="Z1118" s="10">
        <v>45378</v>
      </c>
      <c r="AA1118" s="9">
        <v>0</v>
      </c>
      <c r="AC1118" s="9" t="s">
        <v>91</v>
      </c>
      <c r="AD1118" s="14">
        <v>12.375187969924813</v>
      </c>
      <c r="AF1118" s="14">
        <v>1.6</v>
      </c>
      <c r="AH1118" s="14">
        <v>13.975187969924812</v>
      </c>
      <c r="AI1118" s="13">
        <v>37.573512595046942</v>
      </c>
      <c r="AK1118" s="9">
        <v>80</v>
      </c>
    </row>
    <row r="1119" spans="1:37">
      <c r="A1119" s="9">
        <v>12</v>
      </c>
      <c r="B1119" s="9">
        <v>2024</v>
      </c>
      <c r="C1119" s="9" t="s">
        <v>46</v>
      </c>
      <c r="D1119" s="9" t="s">
        <v>47</v>
      </c>
      <c r="E1119" s="9" t="s">
        <v>47</v>
      </c>
      <c r="F1119" s="10">
        <v>45370</v>
      </c>
      <c r="G1119" s="9" t="s">
        <v>157</v>
      </c>
      <c r="H1119" s="9" t="s">
        <v>51</v>
      </c>
      <c r="I1119" s="9">
        <v>1</v>
      </c>
      <c r="J1119" s="9">
        <v>3.2727272727272725</v>
      </c>
      <c r="K1119" s="9">
        <v>120</v>
      </c>
      <c r="L1119" s="9">
        <v>0.14000000000000001</v>
      </c>
      <c r="M1119" s="9">
        <v>16.8</v>
      </c>
      <c r="N1119" s="9" t="s">
        <v>49</v>
      </c>
      <c r="Q1119" s="9">
        <f>IF(Auction_Sales[[#This Row],[Payment Date]]=0,"",-1+WEEKNUM(Auction_Sales[[#This Row],[Payment Date]]))</f>
        <v>12</v>
      </c>
      <c r="R1119" s="9">
        <v>0</v>
      </c>
      <c r="S1119" s="9" t="s">
        <v>157</v>
      </c>
      <c r="T1119" s="9" t="s">
        <v>51</v>
      </c>
      <c r="U1119" s="9">
        <v>120</v>
      </c>
      <c r="V1119" s="13">
        <v>0.11</v>
      </c>
      <c r="W1119" s="13">
        <v>13.2</v>
      </c>
      <c r="X1119" s="14">
        <v>-5.476949152542371</v>
      </c>
      <c r="Y1119" s="13">
        <v>7.7230508474576283</v>
      </c>
      <c r="Z1119" s="10">
        <v>45378</v>
      </c>
      <c r="AA1119" s="9">
        <v>0</v>
      </c>
      <c r="AC1119" s="9" t="s">
        <v>91</v>
      </c>
      <c r="AD1119" s="14">
        <v>11.81267942583732</v>
      </c>
      <c r="AF1119" s="14">
        <v>2.4</v>
      </c>
      <c r="AH1119" s="14">
        <v>14.212679425837321</v>
      </c>
      <c r="AI1119" s="13">
        <v>-6.4896285783796923</v>
      </c>
      <c r="AK1119" s="9">
        <v>120</v>
      </c>
    </row>
    <row r="1120" spans="1:37">
      <c r="A1120" s="9">
        <v>12</v>
      </c>
      <c r="B1120" s="9">
        <v>2024</v>
      </c>
      <c r="C1120" s="9" t="s">
        <v>46</v>
      </c>
      <c r="D1120" s="9" t="s">
        <v>47</v>
      </c>
      <c r="E1120" s="9" t="s">
        <v>47</v>
      </c>
      <c r="F1120" s="10">
        <v>45370</v>
      </c>
      <c r="G1120" s="9" t="s">
        <v>157</v>
      </c>
      <c r="H1120" s="9" t="s">
        <v>48</v>
      </c>
      <c r="J1120" s="9">
        <v>5.4545454545454541</v>
      </c>
      <c r="K1120" s="9">
        <v>200</v>
      </c>
      <c r="L1120" s="9">
        <v>0.24</v>
      </c>
      <c r="M1120" s="9">
        <v>48</v>
      </c>
      <c r="N1120" s="9" t="s">
        <v>49</v>
      </c>
      <c r="Q1120" s="9">
        <f>IF(Auction_Sales[[#This Row],[Payment Date]]=0,"",-1+WEEKNUM(Auction_Sales[[#This Row],[Payment Date]]))</f>
        <v>12</v>
      </c>
      <c r="R1120" s="9">
        <v>0</v>
      </c>
      <c r="S1120" s="9" t="s">
        <v>157</v>
      </c>
      <c r="T1120" s="9" t="s">
        <v>48</v>
      </c>
      <c r="U1120" s="9">
        <v>200</v>
      </c>
      <c r="V1120" s="13">
        <v>0.17</v>
      </c>
      <c r="W1120" s="13">
        <v>34</v>
      </c>
      <c r="X1120" s="14">
        <v>-9.1282485875706172</v>
      </c>
      <c r="Y1120" s="13">
        <v>24.871751412429383</v>
      </c>
      <c r="Z1120" s="10">
        <v>45378</v>
      </c>
      <c r="AA1120" s="9">
        <v>0</v>
      </c>
      <c r="AC1120" s="9" t="s">
        <v>91</v>
      </c>
      <c r="AD1120" s="14">
        <v>19.687799043062203</v>
      </c>
      <c r="AF1120" s="14">
        <v>4</v>
      </c>
      <c r="AH1120" s="14">
        <v>23.687799043062203</v>
      </c>
      <c r="AI1120" s="13">
        <v>1.1839523693671801</v>
      </c>
      <c r="AK1120" s="9">
        <v>200</v>
      </c>
    </row>
    <row r="1121" spans="1:37">
      <c r="A1121" s="9">
        <v>12</v>
      </c>
      <c r="B1121" s="9">
        <v>2024</v>
      </c>
      <c r="C1121" s="9" t="s">
        <v>46</v>
      </c>
      <c r="D1121" s="9" t="s">
        <v>47</v>
      </c>
      <c r="E1121" s="9" t="s">
        <v>47</v>
      </c>
      <c r="F1121" s="10">
        <v>45370</v>
      </c>
      <c r="G1121" s="9" t="s">
        <v>157</v>
      </c>
      <c r="H1121" s="9" t="s">
        <v>52</v>
      </c>
      <c r="J1121" s="9">
        <v>2.1818181818181817</v>
      </c>
      <c r="K1121" s="9">
        <v>80</v>
      </c>
      <c r="L1121" s="9">
        <v>0.28000000000000003</v>
      </c>
      <c r="M1121" s="9">
        <v>22.4</v>
      </c>
      <c r="N1121" s="9" t="s">
        <v>49</v>
      </c>
      <c r="Q1121" s="9">
        <f>IF(Auction_Sales[[#This Row],[Payment Date]]=0,"",-1+WEEKNUM(Auction_Sales[[#This Row],[Payment Date]]))</f>
        <v>12</v>
      </c>
      <c r="R1121" s="9">
        <v>0</v>
      </c>
      <c r="S1121" s="9" t="s">
        <v>157</v>
      </c>
      <c r="T1121" s="9" t="s">
        <v>52</v>
      </c>
      <c r="U1121" s="9">
        <v>80</v>
      </c>
      <c r="V1121" s="13">
        <v>0.26</v>
      </c>
      <c r="W1121" s="13">
        <v>20.8</v>
      </c>
      <c r="X1121" s="14">
        <v>-3.6512994350282471</v>
      </c>
      <c r="Y1121" s="13">
        <v>17.148700564971755</v>
      </c>
      <c r="Z1121" s="10">
        <v>45378</v>
      </c>
      <c r="AA1121" s="9">
        <v>0</v>
      </c>
      <c r="AC1121" s="9" t="s">
        <v>91</v>
      </c>
      <c r="AD1121" s="14">
        <v>7.8751196172248807</v>
      </c>
      <c r="AF1121" s="14"/>
      <c r="AH1121" s="14"/>
      <c r="AI1121" s="13">
        <v>17.148700564971755</v>
      </c>
    </row>
    <row r="1122" spans="1:37">
      <c r="A1122" s="9">
        <v>12</v>
      </c>
      <c r="B1122" s="9">
        <v>2024</v>
      </c>
      <c r="C1122" s="9" t="s">
        <v>46</v>
      </c>
      <c r="D1122" s="9" t="s">
        <v>47</v>
      </c>
      <c r="E1122" s="9" t="s">
        <v>47</v>
      </c>
      <c r="F1122" s="10">
        <v>45370</v>
      </c>
      <c r="G1122" s="9" t="s">
        <v>157</v>
      </c>
      <c r="H1122" s="9" t="s">
        <v>54</v>
      </c>
      <c r="J1122" s="9">
        <v>1.0909090909090908</v>
      </c>
      <c r="K1122" s="9">
        <v>40</v>
      </c>
      <c r="L1122" s="9">
        <v>0.33</v>
      </c>
      <c r="M1122" s="9">
        <v>13.2</v>
      </c>
      <c r="N1122" s="9" t="s">
        <v>49</v>
      </c>
      <c r="Q1122" s="9">
        <f>IF(Auction_Sales[[#This Row],[Payment Date]]=0,"",-1+WEEKNUM(Auction_Sales[[#This Row],[Payment Date]]))</f>
        <v>12</v>
      </c>
      <c r="R1122" s="9">
        <v>0</v>
      </c>
      <c r="S1122" s="9" t="s">
        <v>157</v>
      </c>
      <c r="T1122" s="9" t="s">
        <v>54</v>
      </c>
      <c r="U1122" s="9">
        <v>40</v>
      </c>
      <c r="V1122" s="13">
        <v>0.47000000000000003</v>
      </c>
      <c r="W1122" s="13">
        <v>18.8</v>
      </c>
      <c r="X1122" s="14">
        <v>-1.8256497175141235</v>
      </c>
      <c r="Y1122" s="13">
        <v>16.974350282485876</v>
      </c>
      <c r="Z1122" s="10">
        <v>45378</v>
      </c>
      <c r="AA1122" s="9">
        <v>0</v>
      </c>
      <c r="AC1122" s="9" t="s">
        <v>91</v>
      </c>
      <c r="AD1122" s="14">
        <v>3.9375598086124404</v>
      </c>
      <c r="AF1122" s="14"/>
      <c r="AH1122" s="14"/>
      <c r="AI1122" s="13">
        <v>16.974350282485876</v>
      </c>
    </row>
    <row r="1123" spans="1:37">
      <c r="A1123" s="9">
        <v>12</v>
      </c>
      <c r="B1123" s="9">
        <v>2024</v>
      </c>
      <c r="C1123" s="9" t="s">
        <v>46</v>
      </c>
      <c r="D1123" s="9" t="s">
        <v>47</v>
      </c>
      <c r="E1123" s="9" t="s">
        <v>47</v>
      </c>
      <c r="F1123" s="10">
        <v>45372</v>
      </c>
      <c r="G1123" s="9" t="s">
        <v>156</v>
      </c>
      <c r="H1123" s="9" t="s">
        <v>57</v>
      </c>
      <c r="I1123" s="9">
        <v>1</v>
      </c>
      <c r="J1123" s="9">
        <v>12</v>
      </c>
      <c r="K1123" s="9">
        <v>200</v>
      </c>
      <c r="L1123" s="9">
        <v>1.04</v>
      </c>
      <c r="M1123" s="9">
        <v>208</v>
      </c>
      <c r="N1123" s="9" t="s">
        <v>49</v>
      </c>
      <c r="Q1123" s="9">
        <f>IF(Auction_Sales[[#This Row],[Payment Date]]=0,"",-1+WEEKNUM(Auction_Sales[[#This Row],[Payment Date]]))</f>
        <v>13</v>
      </c>
      <c r="R1123" s="9">
        <v>0</v>
      </c>
      <c r="S1123" s="9" t="s">
        <v>156</v>
      </c>
      <c r="T1123" s="9" t="s">
        <v>57</v>
      </c>
      <c r="U1123" s="9">
        <v>200</v>
      </c>
      <c r="V1123" s="13">
        <v>1.048</v>
      </c>
      <c r="W1123" s="13">
        <v>209.60000000000002</v>
      </c>
      <c r="X1123" s="14">
        <v>-8.5360544217687089</v>
      </c>
      <c r="Y1123" s="13">
        <v>201.06394557823131</v>
      </c>
      <c r="Z1123" s="10">
        <v>45385</v>
      </c>
      <c r="AA1123" s="9">
        <v>0</v>
      </c>
      <c r="AC1123" s="9">
        <v>434214</v>
      </c>
      <c r="AD1123" s="14">
        <v>41.156451612903219</v>
      </c>
      <c r="AF1123" s="14">
        <v>4</v>
      </c>
      <c r="AH1123" s="14">
        <v>45.156451612903219</v>
      </c>
      <c r="AI1123" s="13">
        <v>155.90749396532809</v>
      </c>
      <c r="AK1123" s="9">
        <v>200</v>
      </c>
    </row>
    <row r="1124" spans="1:37">
      <c r="A1124" s="9">
        <v>12</v>
      </c>
      <c r="B1124" s="9">
        <v>2024</v>
      </c>
      <c r="C1124" s="9" t="s">
        <v>46</v>
      </c>
      <c r="D1124" s="9" t="s">
        <v>47</v>
      </c>
      <c r="E1124" s="9" t="s">
        <v>47</v>
      </c>
      <c r="F1124" s="10">
        <v>45372</v>
      </c>
      <c r="G1124" s="9" t="s">
        <v>153</v>
      </c>
      <c r="H1124" s="9" t="s">
        <v>48</v>
      </c>
      <c r="I1124" s="9">
        <v>1</v>
      </c>
      <c r="J1124" s="9">
        <v>12</v>
      </c>
      <c r="K1124" s="9">
        <v>720</v>
      </c>
      <c r="L1124" s="9">
        <v>0.24</v>
      </c>
      <c r="M1124" s="9">
        <v>172.8</v>
      </c>
      <c r="N1124" s="9" t="s">
        <v>49</v>
      </c>
      <c r="Q1124" s="9">
        <f>IF(Auction_Sales[[#This Row],[Payment Date]]=0,"",-1+WEEKNUM(Auction_Sales[[#This Row],[Payment Date]]))</f>
        <v>13</v>
      </c>
      <c r="R1124" s="9">
        <v>0</v>
      </c>
      <c r="S1124" s="9" t="s">
        <v>153</v>
      </c>
      <c r="T1124" s="9" t="s">
        <v>48</v>
      </c>
      <c r="U1124" s="9">
        <v>720</v>
      </c>
      <c r="V1124" s="13">
        <v>0.41</v>
      </c>
      <c r="W1124" s="13">
        <v>295.2</v>
      </c>
      <c r="X1124" s="14">
        <v>-30.729795918367348</v>
      </c>
      <c r="Y1124" s="13">
        <v>264.47020408163263</v>
      </c>
      <c r="Z1124" s="10">
        <v>45385</v>
      </c>
      <c r="AA1124" s="9">
        <v>0</v>
      </c>
      <c r="AC1124" s="9">
        <v>434214</v>
      </c>
      <c r="AD1124" s="14">
        <v>41.156451612903219</v>
      </c>
      <c r="AF1124" s="14">
        <v>14.4</v>
      </c>
      <c r="AH1124" s="14">
        <v>55.556451612903217</v>
      </c>
      <c r="AI1124" s="13">
        <v>208.9137524687294</v>
      </c>
      <c r="AK1124" s="9">
        <v>720</v>
      </c>
    </row>
    <row r="1125" spans="1:37">
      <c r="A1125" s="9">
        <v>12</v>
      </c>
      <c r="B1125" s="9">
        <v>2024</v>
      </c>
      <c r="C1125" s="9" t="s">
        <v>46</v>
      </c>
      <c r="D1125" s="9" t="s">
        <v>47</v>
      </c>
      <c r="E1125" s="9" t="s">
        <v>47</v>
      </c>
      <c r="F1125" s="10">
        <v>45372</v>
      </c>
      <c r="G1125" s="9" t="s">
        <v>153</v>
      </c>
      <c r="H1125" s="9" t="s">
        <v>52</v>
      </c>
      <c r="I1125" s="9">
        <v>1</v>
      </c>
      <c r="J1125" s="9">
        <v>12</v>
      </c>
      <c r="K1125" s="9">
        <v>520</v>
      </c>
      <c r="L1125" s="9">
        <v>0.28000000000000003</v>
      </c>
      <c r="M1125" s="9">
        <v>145.6</v>
      </c>
      <c r="N1125" s="9" t="s">
        <v>49</v>
      </c>
      <c r="Q1125" s="9">
        <f>IF(Auction_Sales[[#This Row],[Payment Date]]=0,"",-1+WEEKNUM(Auction_Sales[[#This Row],[Payment Date]]))</f>
        <v>13</v>
      </c>
      <c r="R1125" s="9">
        <v>0</v>
      </c>
      <c r="S1125" s="9" t="s">
        <v>153</v>
      </c>
      <c r="T1125" s="9" t="s">
        <v>52</v>
      </c>
      <c r="U1125" s="9">
        <v>520</v>
      </c>
      <c r="V1125" s="13">
        <v>0.47769230769230769</v>
      </c>
      <c r="W1125" s="13">
        <v>248.4</v>
      </c>
      <c r="X1125" s="14">
        <v>-22.193741496598641</v>
      </c>
      <c r="Y1125" s="13">
        <v>226.20625850340136</v>
      </c>
      <c r="Z1125" s="10">
        <v>45385</v>
      </c>
      <c r="AA1125" s="9">
        <v>0</v>
      </c>
      <c r="AC1125" s="9">
        <v>434214</v>
      </c>
      <c r="AD1125" s="14">
        <v>41.156451612903219</v>
      </c>
      <c r="AF1125" s="14">
        <v>10.4</v>
      </c>
      <c r="AH1125" s="14">
        <v>51.556451612903217</v>
      </c>
      <c r="AI1125" s="13">
        <v>174.64980689049816</v>
      </c>
      <c r="AK1125" s="9">
        <v>520</v>
      </c>
    </row>
    <row r="1126" spans="1:37">
      <c r="A1126" s="9">
        <v>12</v>
      </c>
      <c r="B1126" s="9">
        <v>2024</v>
      </c>
      <c r="C1126" s="9" t="s">
        <v>46</v>
      </c>
      <c r="D1126" s="9" t="s">
        <v>47</v>
      </c>
      <c r="E1126" s="9" t="s">
        <v>47</v>
      </c>
      <c r="F1126" s="10">
        <v>45372</v>
      </c>
      <c r="G1126" s="9" t="s">
        <v>153</v>
      </c>
      <c r="H1126" s="9" t="s">
        <v>54</v>
      </c>
      <c r="I1126" s="9">
        <v>1</v>
      </c>
      <c r="J1126" s="9">
        <v>12</v>
      </c>
      <c r="K1126" s="9">
        <v>440</v>
      </c>
      <c r="L1126" s="9">
        <v>0.33</v>
      </c>
      <c r="M1126" s="9">
        <v>145.19999999999999</v>
      </c>
      <c r="N1126" s="9" t="s">
        <v>49</v>
      </c>
      <c r="Q1126" s="9">
        <f>IF(Auction_Sales[[#This Row],[Payment Date]]=0,"",-1+WEEKNUM(Auction_Sales[[#This Row],[Payment Date]]))</f>
        <v>13</v>
      </c>
      <c r="R1126" s="9">
        <v>0</v>
      </c>
      <c r="S1126" s="9" t="s">
        <v>153</v>
      </c>
      <c r="T1126" s="9" t="s">
        <v>54</v>
      </c>
      <c r="U1126" s="9">
        <v>440</v>
      </c>
      <c r="V1126" s="13">
        <v>0.51727272727272722</v>
      </c>
      <c r="W1126" s="13">
        <v>227.59999999999997</v>
      </c>
      <c r="X1126" s="14">
        <v>-18.77931972789116</v>
      </c>
      <c r="Y1126" s="13">
        <v>208.8206802721088</v>
      </c>
      <c r="Z1126" s="10">
        <v>45385</v>
      </c>
      <c r="AA1126" s="9">
        <v>0</v>
      </c>
      <c r="AC1126" s="9">
        <v>434214</v>
      </c>
      <c r="AD1126" s="14">
        <v>41.156451612903219</v>
      </c>
      <c r="AF1126" s="14">
        <v>8.8000000000000007</v>
      </c>
      <c r="AH1126" s="14">
        <v>49.956451612903223</v>
      </c>
      <c r="AI1126" s="13">
        <v>158.86422865920559</v>
      </c>
      <c r="AK1126" s="9">
        <v>440</v>
      </c>
    </row>
    <row r="1127" spans="1:37">
      <c r="A1127" s="9">
        <v>12</v>
      </c>
      <c r="B1127" s="9">
        <v>2024</v>
      </c>
      <c r="C1127" s="9" t="s">
        <v>46</v>
      </c>
      <c r="D1127" s="9" t="s">
        <v>47</v>
      </c>
      <c r="E1127" s="9" t="s">
        <v>47</v>
      </c>
      <c r="F1127" s="10">
        <v>45372</v>
      </c>
      <c r="G1127" s="9" t="s">
        <v>153</v>
      </c>
      <c r="H1127" s="9" t="s">
        <v>56</v>
      </c>
      <c r="I1127" s="9">
        <v>1</v>
      </c>
      <c r="J1127" s="9">
        <v>12</v>
      </c>
      <c r="K1127" s="9">
        <v>400</v>
      </c>
      <c r="L1127" s="9">
        <v>0.38</v>
      </c>
      <c r="M1127" s="9">
        <v>152</v>
      </c>
      <c r="N1127" s="9" t="s">
        <v>49</v>
      </c>
      <c r="Q1127" s="9">
        <f>IF(Auction_Sales[[#This Row],[Payment Date]]=0,"",-1+WEEKNUM(Auction_Sales[[#This Row],[Payment Date]]))</f>
        <v>13</v>
      </c>
      <c r="R1127" s="9">
        <v>0</v>
      </c>
      <c r="S1127" s="9" t="s">
        <v>153</v>
      </c>
      <c r="T1127" s="9" t="s">
        <v>56</v>
      </c>
      <c r="U1127" s="9">
        <v>400</v>
      </c>
      <c r="V1127" s="13">
        <v>0.63600000000000001</v>
      </c>
      <c r="W1127" s="13">
        <v>254.4</v>
      </c>
      <c r="X1127" s="14">
        <v>-17.072108843537418</v>
      </c>
      <c r="Y1127" s="13">
        <v>237.32789115646258</v>
      </c>
      <c r="Z1127" s="10">
        <v>45385</v>
      </c>
      <c r="AA1127" s="9">
        <v>0</v>
      </c>
      <c r="AC1127" s="9">
        <v>434214</v>
      </c>
      <c r="AD1127" s="14">
        <v>41.156451612903219</v>
      </c>
      <c r="AF1127" s="14">
        <v>8</v>
      </c>
      <c r="AH1127" s="14">
        <v>49.156451612903219</v>
      </c>
      <c r="AI1127" s="13">
        <v>188.17143954355936</v>
      </c>
      <c r="AK1127" s="9">
        <v>400</v>
      </c>
    </row>
    <row r="1128" spans="1:37">
      <c r="A1128" s="9">
        <v>12</v>
      </c>
      <c r="B1128" s="9">
        <v>2024</v>
      </c>
      <c r="C1128" s="9" t="s">
        <v>46</v>
      </c>
      <c r="D1128" s="9" t="s">
        <v>47</v>
      </c>
      <c r="E1128" s="9" t="s">
        <v>47</v>
      </c>
      <c r="F1128" s="10">
        <v>45372</v>
      </c>
      <c r="G1128" s="9" t="s">
        <v>154</v>
      </c>
      <c r="H1128" s="9" t="s">
        <v>48</v>
      </c>
      <c r="I1128" s="9">
        <v>1</v>
      </c>
      <c r="J1128" s="9">
        <v>12</v>
      </c>
      <c r="K1128" s="9">
        <v>480</v>
      </c>
      <c r="L1128" s="9">
        <v>0.47</v>
      </c>
      <c r="M1128" s="9">
        <v>225.6</v>
      </c>
      <c r="N1128" s="9" t="s">
        <v>49</v>
      </c>
      <c r="Q1128" s="9">
        <f>IF(Auction_Sales[[#This Row],[Payment Date]]=0,"",-1+WEEKNUM(Auction_Sales[[#This Row],[Payment Date]]))</f>
        <v>13</v>
      </c>
      <c r="R1128" s="9">
        <v>-160</v>
      </c>
      <c r="S1128" s="9" t="s">
        <v>154</v>
      </c>
      <c r="T1128" s="9" t="s">
        <v>48</v>
      </c>
      <c r="U1128" s="9">
        <v>640</v>
      </c>
      <c r="V1128" s="13">
        <v>0.330625</v>
      </c>
      <c r="W1128" s="13">
        <v>211.6</v>
      </c>
      <c r="X1128" s="14">
        <v>-27.315374149659867</v>
      </c>
      <c r="Y1128" s="13">
        <v>184.28462585034012</v>
      </c>
      <c r="Z1128" s="10">
        <v>45385</v>
      </c>
      <c r="AA1128" s="9">
        <v>160</v>
      </c>
      <c r="AC1128" s="9">
        <v>434214</v>
      </c>
      <c r="AD1128" s="14">
        <v>41.156451612903219</v>
      </c>
      <c r="AF1128" s="14">
        <v>12.8</v>
      </c>
      <c r="AH1128" s="14">
        <v>53.956451612903223</v>
      </c>
      <c r="AI1128" s="13">
        <v>130.32817423743688</v>
      </c>
      <c r="AK1128" s="9">
        <v>640</v>
      </c>
    </row>
    <row r="1129" spans="1:37">
      <c r="A1129" s="9">
        <v>12</v>
      </c>
      <c r="B1129" s="9">
        <v>2024</v>
      </c>
      <c r="C1129" s="9" t="s">
        <v>46</v>
      </c>
      <c r="D1129" s="9" t="s">
        <v>47</v>
      </c>
      <c r="E1129" s="9" t="s">
        <v>47</v>
      </c>
      <c r="F1129" s="10">
        <v>45372</v>
      </c>
      <c r="G1129" s="9" t="s">
        <v>154</v>
      </c>
      <c r="H1129" s="9" t="s">
        <v>52</v>
      </c>
      <c r="I1129" s="9">
        <v>1</v>
      </c>
      <c r="J1129" s="9">
        <v>12</v>
      </c>
      <c r="K1129" s="9">
        <v>400</v>
      </c>
      <c r="L1129" s="9">
        <v>0.52</v>
      </c>
      <c r="M1129" s="9">
        <v>208</v>
      </c>
      <c r="N1129" s="9" t="s">
        <v>49</v>
      </c>
      <c r="Q1129" s="9">
        <f>IF(Auction_Sales[[#This Row],[Payment Date]]=0,"",-1+WEEKNUM(Auction_Sales[[#This Row],[Payment Date]]))</f>
        <v>13</v>
      </c>
      <c r="R1129" s="9">
        <v>400</v>
      </c>
      <c r="S1129" s="9" t="s">
        <v>154</v>
      </c>
      <c r="T1129" s="9" t="s">
        <v>52</v>
      </c>
      <c r="W1129" s="13">
        <v>0</v>
      </c>
      <c r="X1129" s="14">
        <v>0</v>
      </c>
      <c r="Y1129" s="13">
        <v>0</v>
      </c>
      <c r="Z1129" s="10">
        <v>45385</v>
      </c>
      <c r="AA1129" s="9">
        <v>-400</v>
      </c>
      <c r="AC1129" s="9">
        <v>434214</v>
      </c>
      <c r="AD1129" s="14">
        <v>41.156451612903219</v>
      </c>
      <c r="AF1129" s="14">
        <v>0</v>
      </c>
      <c r="AH1129" s="14">
        <v>41.156451612903219</v>
      </c>
      <c r="AI1129" s="13">
        <v>-41.156451612903219</v>
      </c>
      <c r="AK1129" s="9">
        <v>0</v>
      </c>
    </row>
    <row r="1130" spans="1:37">
      <c r="A1130" s="9">
        <v>12</v>
      </c>
      <c r="B1130" s="9">
        <v>2024</v>
      </c>
      <c r="C1130" s="9" t="s">
        <v>46</v>
      </c>
      <c r="D1130" s="9" t="s">
        <v>47</v>
      </c>
      <c r="E1130" s="9" t="s">
        <v>47</v>
      </c>
      <c r="F1130" s="10">
        <v>45372</v>
      </c>
      <c r="G1130" s="9" t="s">
        <v>154</v>
      </c>
      <c r="H1130" s="9" t="s">
        <v>54</v>
      </c>
      <c r="I1130" s="9">
        <v>1</v>
      </c>
      <c r="J1130" s="9">
        <v>12</v>
      </c>
      <c r="K1130" s="9">
        <v>320</v>
      </c>
      <c r="L1130" s="9">
        <v>0.56999999999999995</v>
      </c>
      <c r="M1130" s="9">
        <v>182.4</v>
      </c>
      <c r="N1130" s="9" t="s">
        <v>49</v>
      </c>
      <c r="Q1130" s="9">
        <f>IF(Auction_Sales[[#This Row],[Payment Date]]=0,"",-1+WEEKNUM(Auction_Sales[[#This Row],[Payment Date]]))</f>
        <v>13</v>
      </c>
      <c r="R1130" s="9">
        <v>320</v>
      </c>
      <c r="S1130" s="9" t="s">
        <v>154</v>
      </c>
      <c r="T1130" s="9" t="s">
        <v>54</v>
      </c>
      <c r="W1130" s="13">
        <v>0</v>
      </c>
      <c r="X1130" s="14">
        <v>0</v>
      </c>
      <c r="Y1130" s="13">
        <v>0</v>
      </c>
      <c r="Z1130" s="10">
        <v>45385</v>
      </c>
      <c r="AA1130" s="9">
        <v>-320</v>
      </c>
      <c r="AC1130" s="9">
        <v>434214</v>
      </c>
      <c r="AD1130" s="14">
        <v>41.156451612903219</v>
      </c>
      <c r="AF1130" s="14">
        <v>0</v>
      </c>
      <c r="AH1130" s="14">
        <v>41.156451612903219</v>
      </c>
      <c r="AI1130" s="13">
        <v>-41.156451612903219</v>
      </c>
      <c r="AK1130" s="9">
        <v>0</v>
      </c>
    </row>
    <row r="1131" spans="1:37">
      <c r="A1131" s="9">
        <v>12</v>
      </c>
      <c r="B1131" s="9">
        <v>2024</v>
      </c>
      <c r="C1131" s="9" t="s">
        <v>46</v>
      </c>
      <c r="D1131" s="9" t="s">
        <v>47</v>
      </c>
      <c r="E1131" s="9" t="s">
        <v>47</v>
      </c>
      <c r="F1131" s="10">
        <v>45372</v>
      </c>
      <c r="G1131" s="9" t="s">
        <v>154</v>
      </c>
      <c r="H1131" s="9" t="s">
        <v>56</v>
      </c>
      <c r="I1131" s="9">
        <v>1</v>
      </c>
      <c r="J1131" s="9">
        <v>12</v>
      </c>
      <c r="K1131" s="9">
        <v>240</v>
      </c>
      <c r="L1131" s="9">
        <v>0.75</v>
      </c>
      <c r="M1131" s="9">
        <v>180</v>
      </c>
      <c r="N1131" s="9" t="s">
        <v>49</v>
      </c>
      <c r="Q1131" s="9">
        <f>IF(Auction_Sales[[#This Row],[Payment Date]]=0,"",-1+WEEKNUM(Auction_Sales[[#This Row],[Payment Date]]))</f>
        <v>13</v>
      </c>
      <c r="R1131" s="9">
        <v>-120</v>
      </c>
      <c r="S1131" s="9" t="s">
        <v>154</v>
      </c>
      <c r="T1131" s="9" t="s">
        <v>56</v>
      </c>
      <c r="U1131" s="9">
        <v>360</v>
      </c>
      <c r="V1131" s="13">
        <v>0.69777777777777772</v>
      </c>
      <c r="W1131" s="13">
        <v>251.2</v>
      </c>
      <c r="X1131" s="14">
        <v>-15.364897959183674</v>
      </c>
      <c r="Y1131" s="13">
        <v>235.83510204081631</v>
      </c>
      <c r="Z1131" s="10">
        <v>45385</v>
      </c>
      <c r="AA1131" s="9">
        <v>120</v>
      </c>
      <c r="AC1131" s="9">
        <v>434214</v>
      </c>
      <c r="AD1131" s="14">
        <v>41.156451612903219</v>
      </c>
      <c r="AF1131" s="14">
        <v>7.2</v>
      </c>
      <c r="AH1131" s="14">
        <v>48.356451612903221</v>
      </c>
      <c r="AI1131" s="13">
        <v>187.4786504279131</v>
      </c>
      <c r="AK1131" s="9">
        <v>360</v>
      </c>
    </row>
    <row r="1132" spans="1:37">
      <c r="A1132" s="9">
        <v>12</v>
      </c>
      <c r="B1132" s="9">
        <v>2024</v>
      </c>
      <c r="C1132" s="9" t="s">
        <v>46</v>
      </c>
      <c r="D1132" s="9" t="s">
        <v>47</v>
      </c>
      <c r="E1132" s="9" t="s">
        <v>47</v>
      </c>
      <c r="F1132" s="10">
        <v>45372</v>
      </c>
      <c r="G1132" s="9" t="s">
        <v>154</v>
      </c>
      <c r="H1132" s="9" t="s">
        <v>57</v>
      </c>
      <c r="I1132" s="9">
        <v>1</v>
      </c>
      <c r="J1132" s="9">
        <v>12</v>
      </c>
      <c r="K1132" s="9">
        <v>200</v>
      </c>
      <c r="L1132" s="9">
        <v>0.94</v>
      </c>
      <c r="M1132" s="9">
        <v>188</v>
      </c>
      <c r="N1132" s="9" t="s">
        <v>49</v>
      </c>
      <c r="Q1132" s="9">
        <f>IF(Auction_Sales[[#This Row],[Payment Date]]=0,"",-1+WEEKNUM(Auction_Sales[[#This Row],[Payment Date]]))</f>
        <v>13</v>
      </c>
      <c r="R1132" s="9">
        <v>-120</v>
      </c>
      <c r="S1132" s="9" t="s">
        <v>154</v>
      </c>
      <c r="T1132" s="9" t="s">
        <v>57</v>
      </c>
      <c r="U1132" s="9">
        <v>320</v>
      </c>
      <c r="V1132" s="13">
        <v>0.74</v>
      </c>
      <c r="W1132" s="13">
        <v>236.8</v>
      </c>
      <c r="X1132" s="14">
        <v>-13.657687074829933</v>
      </c>
      <c r="Y1132" s="13">
        <v>223.14231292517007</v>
      </c>
      <c r="Z1132" s="10">
        <v>45385</v>
      </c>
      <c r="AA1132" s="9">
        <v>120</v>
      </c>
      <c r="AC1132" s="9">
        <v>434214</v>
      </c>
      <c r="AD1132" s="14">
        <v>41.156451612903219</v>
      </c>
      <c r="AF1132" s="14">
        <v>6.4</v>
      </c>
      <c r="AH1132" s="14">
        <v>47.556451612903217</v>
      </c>
      <c r="AI1132" s="13">
        <v>175.58586131226684</v>
      </c>
      <c r="AK1132" s="9">
        <v>320</v>
      </c>
    </row>
    <row r="1133" spans="1:37">
      <c r="A1133" s="9">
        <v>12</v>
      </c>
      <c r="B1133" s="9">
        <v>2024</v>
      </c>
      <c r="C1133" s="9" t="s">
        <v>46</v>
      </c>
      <c r="D1133" s="9" t="s">
        <v>47</v>
      </c>
      <c r="E1133" s="9" t="s">
        <v>47</v>
      </c>
      <c r="F1133" s="10">
        <v>45372</v>
      </c>
      <c r="G1133" s="9" t="s">
        <v>155</v>
      </c>
      <c r="H1133" s="9" t="s">
        <v>48</v>
      </c>
      <c r="I1133" s="9">
        <v>3</v>
      </c>
      <c r="J1133" s="9">
        <v>36</v>
      </c>
      <c r="K1133" s="9">
        <v>1560</v>
      </c>
      <c r="L1133" s="9">
        <v>0.47</v>
      </c>
      <c r="M1133" s="9">
        <v>733.2</v>
      </c>
      <c r="N1133" s="9" t="s">
        <v>49</v>
      </c>
      <c r="Q1133" s="9">
        <f>IF(Auction_Sales[[#This Row],[Payment Date]]=0,"",-1+WEEKNUM(Auction_Sales[[#This Row],[Payment Date]]))</f>
        <v>13</v>
      </c>
      <c r="R1133" s="9">
        <v>1560</v>
      </c>
      <c r="S1133" s="9" t="s">
        <v>155</v>
      </c>
      <c r="T1133" s="9" t="s">
        <v>48</v>
      </c>
      <c r="W1133" s="13">
        <v>0</v>
      </c>
      <c r="X1133" s="14">
        <v>0</v>
      </c>
      <c r="Y1133" s="13">
        <v>0</v>
      </c>
      <c r="Z1133" s="10">
        <v>45385</v>
      </c>
      <c r="AA1133" s="9">
        <v>-1560</v>
      </c>
      <c r="AC1133" s="9">
        <v>434214</v>
      </c>
      <c r="AD1133" s="14">
        <v>123.46935483870966</v>
      </c>
      <c r="AF1133" s="14">
        <v>0</v>
      </c>
      <c r="AH1133" s="14">
        <v>123.46935483870966</v>
      </c>
      <c r="AI1133" s="13">
        <v>-123.46935483870966</v>
      </c>
      <c r="AK1133" s="9">
        <v>0</v>
      </c>
    </row>
    <row r="1134" spans="1:37">
      <c r="A1134" s="9">
        <v>12</v>
      </c>
      <c r="B1134" s="9">
        <v>2024</v>
      </c>
      <c r="C1134" s="9" t="s">
        <v>46</v>
      </c>
      <c r="D1134" s="9" t="s">
        <v>47</v>
      </c>
      <c r="E1134" s="9" t="s">
        <v>47</v>
      </c>
      <c r="F1134" s="10">
        <v>45372</v>
      </c>
      <c r="G1134" s="9" t="s">
        <v>155</v>
      </c>
      <c r="H1134" s="9" t="s">
        <v>52</v>
      </c>
      <c r="I1134" s="9">
        <v>3</v>
      </c>
      <c r="J1134" s="9">
        <v>36</v>
      </c>
      <c r="K1134" s="9">
        <v>1200</v>
      </c>
      <c r="L1134" s="9">
        <v>0.52</v>
      </c>
      <c r="M1134" s="9">
        <v>624</v>
      </c>
      <c r="N1134" s="9" t="s">
        <v>49</v>
      </c>
      <c r="Q1134" s="9">
        <f>IF(Auction_Sales[[#This Row],[Payment Date]]=0,"",-1+WEEKNUM(Auction_Sales[[#This Row],[Payment Date]]))</f>
        <v>13</v>
      </c>
      <c r="R1134" s="9">
        <v>-120</v>
      </c>
      <c r="S1134" s="9" t="s">
        <v>155</v>
      </c>
      <c r="T1134" s="9" t="s">
        <v>52</v>
      </c>
      <c r="U1134" s="9">
        <v>1320</v>
      </c>
      <c r="V1134" s="13">
        <v>0.58393939393939387</v>
      </c>
      <c r="W1134" s="13">
        <v>770.8</v>
      </c>
      <c r="X1134" s="14">
        <v>-56.337959183673483</v>
      </c>
      <c r="Y1134" s="13">
        <v>714.46204081632652</v>
      </c>
      <c r="Z1134" s="10">
        <v>45385</v>
      </c>
      <c r="AA1134" s="9">
        <v>120</v>
      </c>
      <c r="AC1134" s="9">
        <v>434214</v>
      </c>
      <c r="AD1134" s="14">
        <v>123.46935483870966</v>
      </c>
      <c r="AF1134" s="14">
        <v>26.400000000000002</v>
      </c>
      <c r="AH1134" s="14">
        <v>149.86935483870965</v>
      </c>
      <c r="AI1134" s="13">
        <v>564.59268597761684</v>
      </c>
      <c r="AK1134" s="9">
        <v>1320</v>
      </c>
    </row>
    <row r="1135" spans="1:37">
      <c r="A1135" s="9">
        <v>12</v>
      </c>
      <c r="B1135" s="9">
        <v>2024</v>
      </c>
      <c r="C1135" s="9" t="s">
        <v>46</v>
      </c>
      <c r="D1135" s="9" t="s">
        <v>47</v>
      </c>
      <c r="E1135" s="9" t="s">
        <v>47</v>
      </c>
      <c r="F1135" s="10">
        <v>45372</v>
      </c>
      <c r="G1135" s="9" t="s">
        <v>155</v>
      </c>
      <c r="H1135" s="9" t="s">
        <v>54</v>
      </c>
      <c r="I1135" s="9">
        <v>3</v>
      </c>
      <c r="J1135" s="9">
        <v>36</v>
      </c>
      <c r="K1135" s="9">
        <v>960</v>
      </c>
      <c r="L1135" s="9">
        <v>0.56999999999999995</v>
      </c>
      <c r="M1135" s="9">
        <v>547.20000000000005</v>
      </c>
      <c r="N1135" s="9" t="s">
        <v>49</v>
      </c>
      <c r="Q1135" s="9">
        <f>IF(Auction_Sales[[#This Row],[Payment Date]]=0,"",-1+WEEKNUM(Auction_Sales[[#This Row],[Payment Date]]))</f>
        <v>13</v>
      </c>
      <c r="R1135" s="9">
        <v>-120</v>
      </c>
      <c r="S1135" s="9" t="s">
        <v>155</v>
      </c>
      <c r="T1135" s="9" t="s">
        <v>54</v>
      </c>
      <c r="U1135" s="9">
        <v>1080</v>
      </c>
      <c r="V1135" s="13">
        <v>0.66296296296296298</v>
      </c>
      <c r="W1135" s="13">
        <v>716</v>
      </c>
      <c r="X1135" s="14">
        <v>-46.09469387755103</v>
      </c>
      <c r="Y1135" s="13">
        <v>669.90530612244902</v>
      </c>
      <c r="Z1135" s="10">
        <v>45385</v>
      </c>
      <c r="AA1135" s="9">
        <v>120</v>
      </c>
      <c r="AC1135" s="9">
        <v>434214</v>
      </c>
      <c r="AD1135" s="14">
        <v>123.46935483870966</v>
      </c>
      <c r="AF1135" s="14">
        <v>21.6</v>
      </c>
      <c r="AH1135" s="14">
        <v>145.06935483870967</v>
      </c>
      <c r="AI1135" s="13">
        <v>524.8359512837394</v>
      </c>
      <c r="AK1135" s="9">
        <v>1080</v>
      </c>
    </row>
    <row r="1136" spans="1:37">
      <c r="A1136" s="9">
        <v>12</v>
      </c>
      <c r="B1136" s="9">
        <v>2024</v>
      </c>
      <c r="C1136" s="9" t="s">
        <v>46</v>
      </c>
      <c r="D1136" s="9" t="s">
        <v>47</v>
      </c>
      <c r="E1136" s="9" t="s">
        <v>47</v>
      </c>
      <c r="F1136" s="10">
        <v>45372</v>
      </c>
      <c r="G1136" s="9" t="s">
        <v>155</v>
      </c>
      <c r="H1136" s="9" t="s">
        <v>56</v>
      </c>
      <c r="I1136" s="9">
        <v>3</v>
      </c>
      <c r="J1136" s="9">
        <v>36</v>
      </c>
      <c r="K1136" s="9">
        <v>720</v>
      </c>
      <c r="L1136" s="9">
        <v>0.75</v>
      </c>
      <c r="M1136" s="9">
        <v>540</v>
      </c>
      <c r="N1136" s="9" t="s">
        <v>49</v>
      </c>
      <c r="Q1136" s="9">
        <f>IF(Auction_Sales[[#This Row],[Payment Date]]=0,"",-1+WEEKNUM(Auction_Sales[[#This Row],[Payment Date]]))</f>
        <v>13</v>
      </c>
      <c r="R1136" s="9">
        <v>160</v>
      </c>
      <c r="S1136" s="9" t="s">
        <v>155</v>
      </c>
      <c r="T1136" s="9" t="s">
        <v>56</v>
      </c>
      <c r="U1136" s="9">
        <v>560</v>
      </c>
      <c r="V1136" s="13">
        <v>0.69928571428571429</v>
      </c>
      <c r="W1136" s="13">
        <v>391.6</v>
      </c>
      <c r="X1136" s="14">
        <v>-23.900952380952386</v>
      </c>
      <c r="Y1136" s="13">
        <v>367.69904761904763</v>
      </c>
      <c r="Z1136" s="10">
        <v>45385</v>
      </c>
      <c r="AA1136" s="9">
        <v>-160</v>
      </c>
      <c r="AC1136" s="9">
        <v>434214</v>
      </c>
      <c r="AD1136" s="14">
        <v>123.46935483870966</v>
      </c>
      <c r="AF1136" s="14">
        <v>11.200000000000001</v>
      </c>
      <c r="AH1136" s="14">
        <v>134.66935483870967</v>
      </c>
      <c r="AI1136" s="13">
        <v>233.02969278033797</v>
      </c>
      <c r="AK1136" s="9">
        <v>560</v>
      </c>
    </row>
    <row r="1137" spans="1:37">
      <c r="A1137" s="9">
        <v>12</v>
      </c>
      <c r="B1137" s="9">
        <v>2024</v>
      </c>
      <c r="C1137" s="9" t="s">
        <v>46</v>
      </c>
      <c r="D1137" s="9" t="s">
        <v>47</v>
      </c>
      <c r="E1137" s="9" t="s">
        <v>47</v>
      </c>
      <c r="F1137" s="10">
        <v>45372</v>
      </c>
      <c r="G1137" s="9" t="s">
        <v>155</v>
      </c>
      <c r="H1137" s="9" t="s">
        <v>57</v>
      </c>
      <c r="I1137" s="9">
        <v>1</v>
      </c>
      <c r="J1137" s="9">
        <v>12</v>
      </c>
      <c r="K1137" s="9">
        <v>200</v>
      </c>
      <c r="L1137" s="9">
        <v>0.94</v>
      </c>
      <c r="M1137" s="9">
        <v>188</v>
      </c>
      <c r="N1137" s="9" t="s">
        <v>49</v>
      </c>
      <c r="Q1137" s="9">
        <f>IF(Auction_Sales[[#This Row],[Payment Date]]=0,"",-1+WEEKNUM(Auction_Sales[[#This Row],[Payment Date]]))</f>
        <v>13</v>
      </c>
      <c r="R1137" s="9">
        <v>-320</v>
      </c>
      <c r="S1137" s="9" t="s">
        <v>155</v>
      </c>
      <c r="T1137" s="9" t="s">
        <v>57</v>
      </c>
      <c r="U1137" s="9">
        <v>520</v>
      </c>
      <c r="V1137" s="13">
        <v>0.74230769230769234</v>
      </c>
      <c r="W1137" s="13">
        <v>386</v>
      </c>
      <c r="X1137" s="14">
        <v>-22.193741496598641</v>
      </c>
      <c r="Y1137" s="13">
        <v>363.80625850340135</v>
      </c>
      <c r="Z1137" s="10">
        <v>45385</v>
      </c>
      <c r="AA1137" s="9">
        <v>320</v>
      </c>
      <c r="AC1137" s="9">
        <v>434214</v>
      </c>
      <c r="AD1137" s="14">
        <v>41.156451612903219</v>
      </c>
      <c r="AF1137" s="14">
        <v>10.4</v>
      </c>
      <c r="AH1137" s="14">
        <v>51.556451612903217</v>
      </c>
      <c r="AI1137" s="13">
        <v>312.24980689049812</v>
      </c>
      <c r="AK1137" s="9">
        <v>520</v>
      </c>
    </row>
    <row r="1138" spans="1:37">
      <c r="A1138" s="9">
        <v>12</v>
      </c>
      <c r="B1138" s="9">
        <v>2024</v>
      </c>
      <c r="C1138" s="9" t="s">
        <v>46</v>
      </c>
      <c r="D1138" s="9" t="s">
        <v>47</v>
      </c>
      <c r="E1138" s="9" t="s">
        <v>47</v>
      </c>
      <c r="F1138" s="10">
        <v>45372</v>
      </c>
      <c r="G1138" s="9" t="s">
        <v>158</v>
      </c>
      <c r="H1138" s="9" t="s">
        <v>48</v>
      </c>
      <c r="I1138" s="9">
        <v>1</v>
      </c>
      <c r="J1138" s="9">
        <v>12</v>
      </c>
      <c r="K1138" s="9">
        <v>600</v>
      </c>
      <c r="L1138" s="9">
        <v>0.14000000000000001</v>
      </c>
      <c r="M1138" s="9">
        <v>84</v>
      </c>
      <c r="N1138" s="9" t="s">
        <v>49</v>
      </c>
      <c r="Q1138" s="9">
        <f>IF(Auction_Sales[[#This Row],[Payment Date]]=0,"",-1+WEEKNUM(Auction_Sales[[#This Row],[Payment Date]]))</f>
        <v>13</v>
      </c>
      <c r="R1138" s="9">
        <v>0</v>
      </c>
      <c r="S1138" s="9" t="s">
        <v>158</v>
      </c>
      <c r="T1138" s="9" t="s">
        <v>48</v>
      </c>
      <c r="U1138" s="9">
        <v>600</v>
      </c>
      <c r="V1138" s="13">
        <v>0.1</v>
      </c>
      <c r="W1138" s="13">
        <v>60</v>
      </c>
      <c r="X1138" s="14">
        <v>-25.608163265306128</v>
      </c>
      <c r="Y1138" s="13">
        <v>34.391836734693868</v>
      </c>
      <c r="Z1138" s="10">
        <v>45385</v>
      </c>
      <c r="AA1138" s="9">
        <v>0</v>
      </c>
      <c r="AC1138" s="9">
        <v>434214</v>
      </c>
      <c r="AD1138" s="14">
        <v>41.156451612903219</v>
      </c>
      <c r="AF1138" s="14">
        <v>12</v>
      </c>
      <c r="AH1138" s="14">
        <v>53.156451612903219</v>
      </c>
      <c r="AI1138" s="13">
        <v>-18.76461487820935</v>
      </c>
      <c r="AK1138" s="9">
        <v>600</v>
      </c>
    </row>
    <row r="1139" spans="1:37">
      <c r="A1139" s="9">
        <v>12</v>
      </c>
      <c r="B1139" s="9">
        <v>2024</v>
      </c>
      <c r="C1139" s="9" t="s">
        <v>46</v>
      </c>
      <c r="D1139" s="9" t="s">
        <v>47</v>
      </c>
      <c r="E1139" s="9" t="s">
        <v>47</v>
      </c>
      <c r="F1139" s="10">
        <v>45372</v>
      </c>
      <c r="G1139" s="9" t="s">
        <v>158</v>
      </c>
      <c r="H1139" s="9" t="s">
        <v>52</v>
      </c>
      <c r="I1139" s="9">
        <v>2</v>
      </c>
      <c r="J1139" s="9">
        <v>24</v>
      </c>
      <c r="K1139" s="9">
        <v>1040</v>
      </c>
      <c r="L1139" s="9">
        <v>0.17</v>
      </c>
      <c r="M1139" s="9">
        <v>176.8</v>
      </c>
      <c r="N1139" s="9" t="s">
        <v>49</v>
      </c>
      <c r="Q1139" s="9">
        <f>IF(Auction_Sales[[#This Row],[Payment Date]]=0,"",-1+WEEKNUM(Auction_Sales[[#This Row],[Payment Date]]))</f>
        <v>13</v>
      </c>
      <c r="R1139" s="9">
        <v>-400</v>
      </c>
      <c r="S1139" s="9" t="s">
        <v>158</v>
      </c>
      <c r="T1139" s="9" t="s">
        <v>52</v>
      </c>
      <c r="U1139" s="9">
        <v>1440</v>
      </c>
      <c r="V1139" s="13">
        <v>6.9999999999999993E-2</v>
      </c>
      <c r="W1139" s="13">
        <v>100.79999999999998</v>
      </c>
      <c r="X1139" s="14">
        <v>-61.459591836734695</v>
      </c>
      <c r="Y1139" s="13">
        <v>39.340408163265288</v>
      </c>
      <c r="Z1139" s="10">
        <v>45385</v>
      </c>
      <c r="AA1139" s="9">
        <v>400</v>
      </c>
      <c r="AC1139" s="9">
        <v>434214</v>
      </c>
      <c r="AD1139" s="14">
        <v>82.312903225806437</v>
      </c>
      <c r="AF1139" s="14">
        <v>28.8</v>
      </c>
      <c r="AH1139" s="14">
        <v>111.11290322580643</v>
      </c>
      <c r="AI1139" s="13">
        <v>-71.77249506254114</v>
      </c>
      <c r="AK1139" s="9">
        <v>1440</v>
      </c>
    </row>
    <row r="1140" spans="1:37">
      <c r="A1140" s="9">
        <v>12</v>
      </c>
      <c r="B1140" s="9">
        <v>2024</v>
      </c>
      <c r="C1140" s="9" t="s">
        <v>46</v>
      </c>
      <c r="D1140" s="9" t="s">
        <v>47</v>
      </c>
      <c r="E1140" s="9" t="s">
        <v>47</v>
      </c>
      <c r="F1140" s="10">
        <v>45372</v>
      </c>
      <c r="G1140" s="9" t="s">
        <v>158</v>
      </c>
      <c r="H1140" s="9" t="s">
        <v>52</v>
      </c>
      <c r="I1140" s="9">
        <v>1</v>
      </c>
      <c r="J1140" s="9">
        <v>12</v>
      </c>
      <c r="K1140" s="9">
        <v>400</v>
      </c>
      <c r="L1140" s="9">
        <v>0.17</v>
      </c>
      <c r="M1140" s="9">
        <v>68</v>
      </c>
      <c r="N1140" s="9" t="s">
        <v>49</v>
      </c>
      <c r="Q1140" s="9">
        <f>IF(Auction_Sales[[#This Row],[Payment Date]]=0,"",-1+WEEKNUM(Auction_Sales[[#This Row],[Payment Date]]))</f>
        <v>13</v>
      </c>
      <c r="R1140" s="9">
        <v>400</v>
      </c>
      <c r="S1140" s="9" t="s">
        <v>158</v>
      </c>
      <c r="T1140" s="9" t="s">
        <v>52</v>
      </c>
      <c r="W1140" s="13">
        <v>0</v>
      </c>
      <c r="X1140" s="14">
        <v>0</v>
      </c>
      <c r="Y1140" s="13">
        <v>0</v>
      </c>
      <c r="Z1140" s="10">
        <v>45385</v>
      </c>
      <c r="AA1140" s="9">
        <v>-400</v>
      </c>
      <c r="AC1140" s="9">
        <v>434214</v>
      </c>
      <c r="AD1140" s="14">
        <v>41.156451612903219</v>
      </c>
      <c r="AF1140" s="14">
        <v>0</v>
      </c>
      <c r="AH1140" s="14">
        <v>41.156451612903219</v>
      </c>
      <c r="AI1140" s="13">
        <v>-41.156451612903219</v>
      </c>
      <c r="AK1140" s="9">
        <v>0</v>
      </c>
    </row>
    <row r="1141" spans="1:37">
      <c r="A1141" s="9">
        <v>12</v>
      </c>
      <c r="B1141" s="9">
        <v>2024</v>
      </c>
      <c r="C1141" s="9" t="s">
        <v>46</v>
      </c>
      <c r="D1141" s="9" t="s">
        <v>47</v>
      </c>
      <c r="E1141" s="9" t="s">
        <v>47</v>
      </c>
      <c r="F1141" s="10">
        <v>45372</v>
      </c>
      <c r="G1141" s="9" t="s">
        <v>154</v>
      </c>
      <c r="H1141" s="9" t="s">
        <v>51</v>
      </c>
      <c r="I1141" s="9">
        <v>1</v>
      </c>
      <c r="J1141" s="9">
        <v>4</v>
      </c>
      <c r="K1141" s="9">
        <v>160</v>
      </c>
      <c r="L1141" s="9">
        <v>0.38</v>
      </c>
      <c r="M1141" s="9">
        <v>60.8</v>
      </c>
      <c r="N1141" s="9" t="s">
        <v>49</v>
      </c>
      <c r="Q1141" s="9">
        <f>IF(Auction_Sales[[#This Row],[Payment Date]]=0,"",-1+WEEKNUM(Auction_Sales[[#This Row],[Payment Date]]))</f>
        <v>13</v>
      </c>
      <c r="R1141" s="9">
        <v>0</v>
      </c>
      <c r="S1141" s="9" t="s">
        <v>154</v>
      </c>
      <c r="T1141" s="9" t="s">
        <v>51</v>
      </c>
      <c r="U1141" s="9">
        <v>160</v>
      </c>
      <c r="V1141" s="13">
        <v>0.22999999999999998</v>
      </c>
      <c r="W1141" s="13">
        <v>36.799999999999997</v>
      </c>
      <c r="X1141" s="14">
        <v>-6.8288435374149667</v>
      </c>
      <c r="Y1141" s="13">
        <v>29.971156462585029</v>
      </c>
      <c r="Z1141" s="10">
        <v>45385</v>
      </c>
      <c r="AA1141" s="9">
        <v>0</v>
      </c>
      <c r="AC1141" s="9">
        <v>434214</v>
      </c>
      <c r="AD1141" s="14">
        <v>13.718817204301075</v>
      </c>
      <c r="AF1141" s="14">
        <v>3.2</v>
      </c>
      <c r="AH1141" s="14">
        <v>16.918817204301074</v>
      </c>
      <c r="AI1141" s="13">
        <v>13.052339258283954</v>
      </c>
      <c r="AK1141" s="9">
        <v>160</v>
      </c>
    </row>
    <row r="1142" spans="1:37">
      <c r="A1142" s="9">
        <v>12</v>
      </c>
      <c r="B1142" s="9">
        <v>2024</v>
      </c>
      <c r="C1142" s="9" t="s">
        <v>46</v>
      </c>
      <c r="D1142" s="9" t="s">
        <v>47</v>
      </c>
      <c r="E1142" s="9" t="s">
        <v>47</v>
      </c>
      <c r="F1142" s="10">
        <v>45372</v>
      </c>
      <c r="G1142" s="9" t="s">
        <v>154</v>
      </c>
      <c r="H1142" s="9" t="s">
        <v>48</v>
      </c>
      <c r="J1142" s="9">
        <v>4</v>
      </c>
      <c r="K1142" s="9">
        <v>160</v>
      </c>
      <c r="L1142" s="9">
        <v>0.47</v>
      </c>
      <c r="M1142" s="9">
        <v>75.2</v>
      </c>
      <c r="N1142" s="9" t="s">
        <v>49</v>
      </c>
      <c r="Q1142" s="9">
        <f>IF(Auction_Sales[[#This Row],[Payment Date]]=0,"",-1+WEEKNUM(Auction_Sales[[#This Row],[Payment Date]]))</f>
        <v>13</v>
      </c>
      <c r="R1142" s="9">
        <v>160</v>
      </c>
      <c r="S1142" s="9" t="s">
        <v>154</v>
      </c>
      <c r="T1142" s="9" t="s">
        <v>48</v>
      </c>
      <c r="W1142" s="13">
        <v>0</v>
      </c>
      <c r="X1142" s="14">
        <v>0</v>
      </c>
      <c r="Y1142" s="13">
        <v>0</v>
      </c>
      <c r="Z1142" s="10">
        <v>45385</v>
      </c>
      <c r="AA1142" s="9">
        <v>-160</v>
      </c>
      <c r="AC1142" s="9">
        <v>434214</v>
      </c>
      <c r="AD1142" s="14">
        <v>13.718817204301075</v>
      </c>
      <c r="AF1142" s="14">
        <v>0</v>
      </c>
      <c r="AH1142" s="14">
        <v>13.718817204301075</v>
      </c>
      <c r="AI1142" s="13">
        <v>-13.718817204301075</v>
      </c>
      <c r="AK1142" s="9">
        <v>0</v>
      </c>
    </row>
    <row r="1143" spans="1:37">
      <c r="A1143" s="9">
        <v>12</v>
      </c>
      <c r="B1143" s="9">
        <v>2024</v>
      </c>
      <c r="C1143" s="9" t="s">
        <v>46</v>
      </c>
      <c r="D1143" s="9" t="s">
        <v>47</v>
      </c>
      <c r="E1143" s="9" t="s">
        <v>47</v>
      </c>
      <c r="F1143" s="10">
        <v>45372</v>
      </c>
      <c r="G1143" s="9" t="s">
        <v>154</v>
      </c>
      <c r="H1143" s="9" t="s">
        <v>52</v>
      </c>
      <c r="J1143" s="9">
        <v>1</v>
      </c>
      <c r="K1143" s="9">
        <v>40</v>
      </c>
      <c r="L1143" s="9">
        <v>0.52</v>
      </c>
      <c r="M1143" s="9">
        <v>20.8</v>
      </c>
      <c r="N1143" s="9" t="s">
        <v>49</v>
      </c>
      <c r="Q1143" s="9">
        <f>IF(Auction_Sales[[#This Row],[Payment Date]]=0,"",-1+WEEKNUM(Auction_Sales[[#This Row],[Payment Date]]))</f>
        <v>13</v>
      </c>
      <c r="R1143" s="9">
        <v>-400</v>
      </c>
      <c r="S1143" s="9" t="s">
        <v>154</v>
      </c>
      <c r="T1143" s="9" t="s">
        <v>52</v>
      </c>
      <c r="U1143" s="9">
        <v>440</v>
      </c>
      <c r="V1143" s="13">
        <v>0.56818181818181823</v>
      </c>
      <c r="W1143" s="13">
        <v>250.00000000000003</v>
      </c>
      <c r="X1143" s="14">
        <v>-18.77931972789116</v>
      </c>
      <c r="Y1143" s="13">
        <v>231.22068027210886</v>
      </c>
      <c r="Z1143" s="10">
        <v>45385</v>
      </c>
      <c r="AA1143" s="9">
        <v>400</v>
      </c>
      <c r="AC1143" s="9">
        <v>434214</v>
      </c>
      <c r="AD1143" s="14">
        <v>3.4297043010752688</v>
      </c>
      <c r="AF1143" s="14">
        <v>8.8000000000000007</v>
      </c>
      <c r="AH1143" s="14">
        <v>12.22970430107527</v>
      </c>
      <c r="AI1143" s="13">
        <v>218.99097597103361</v>
      </c>
      <c r="AK1143" s="9">
        <v>440</v>
      </c>
    </row>
    <row r="1144" spans="1:37">
      <c r="A1144" s="9">
        <v>12</v>
      </c>
      <c r="B1144" s="9">
        <v>2024</v>
      </c>
      <c r="C1144" s="9" t="s">
        <v>46</v>
      </c>
      <c r="D1144" s="9" t="s">
        <v>47</v>
      </c>
      <c r="E1144" s="9" t="s">
        <v>47</v>
      </c>
      <c r="F1144" s="10">
        <v>45372</v>
      </c>
      <c r="G1144" s="9" t="s">
        <v>154</v>
      </c>
      <c r="H1144" s="9" t="s">
        <v>54</v>
      </c>
      <c r="J1144" s="9">
        <v>3</v>
      </c>
      <c r="K1144" s="9">
        <v>120</v>
      </c>
      <c r="L1144" s="9">
        <v>0.56999999999999995</v>
      </c>
      <c r="M1144" s="9">
        <v>68.400000000000006</v>
      </c>
      <c r="N1144" s="9" t="s">
        <v>49</v>
      </c>
      <c r="Q1144" s="9">
        <f>IF(Auction_Sales[[#This Row],[Payment Date]]=0,"",-1+WEEKNUM(Auction_Sales[[#This Row],[Payment Date]]))</f>
        <v>13</v>
      </c>
      <c r="R1144" s="9">
        <v>-320</v>
      </c>
      <c r="S1144" s="9" t="s">
        <v>154</v>
      </c>
      <c r="T1144" s="9" t="s">
        <v>54</v>
      </c>
      <c r="U1144" s="9">
        <v>440</v>
      </c>
      <c r="V1144" s="13">
        <v>0.64909090909090916</v>
      </c>
      <c r="W1144" s="13">
        <v>285.60000000000002</v>
      </c>
      <c r="X1144" s="14">
        <v>-18.77931972789116</v>
      </c>
      <c r="Y1144" s="13">
        <v>266.82068027210886</v>
      </c>
      <c r="Z1144" s="10">
        <v>45385</v>
      </c>
      <c r="AA1144" s="9">
        <v>320</v>
      </c>
      <c r="AC1144" s="9">
        <v>434214</v>
      </c>
      <c r="AD1144" s="14">
        <v>10.289112903225805</v>
      </c>
      <c r="AF1144" s="14">
        <v>8.8000000000000007</v>
      </c>
      <c r="AH1144" s="14">
        <v>19.089112903225804</v>
      </c>
      <c r="AI1144" s="13">
        <v>247.73156736888305</v>
      </c>
      <c r="AK1144" s="9">
        <v>440</v>
      </c>
    </row>
    <row r="1145" spans="1:37">
      <c r="A1145" s="9">
        <v>12</v>
      </c>
      <c r="B1145" s="9">
        <v>2024</v>
      </c>
      <c r="C1145" s="9" t="s">
        <v>46</v>
      </c>
      <c r="D1145" s="9" t="s">
        <v>47</v>
      </c>
      <c r="E1145" s="9" t="s">
        <v>47</v>
      </c>
      <c r="F1145" s="10">
        <v>45372</v>
      </c>
      <c r="G1145" s="9" t="s">
        <v>155</v>
      </c>
      <c r="H1145" s="9" t="s">
        <v>56</v>
      </c>
      <c r="I1145" s="9">
        <v>1</v>
      </c>
      <c r="J1145" s="9">
        <v>2.4000000000000004</v>
      </c>
      <c r="K1145" s="9">
        <v>40</v>
      </c>
      <c r="L1145" s="9">
        <v>0.75</v>
      </c>
      <c r="M1145" s="9">
        <v>30</v>
      </c>
      <c r="N1145" s="9" t="s">
        <v>49</v>
      </c>
      <c r="Q1145" s="9">
        <f>IF(Auction_Sales[[#This Row],[Payment Date]]=0,"",-1+WEEKNUM(Auction_Sales[[#This Row],[Payment Date]]))</f>
        <v>13</v>
      </c>
      <c r="R1145" s="9">
        <v>40</v>
      </c>
      <c r="S1145" s="9" t="s">
        <v>155</v>
      </c>
      <c r="T1145" s="9" t="s">
        <v>56</v>
      </c>
      <c r="W1145" s="13">
        <v>0</v>
      </c>
      <c r="X1145" s="14">
        <v>0</v>
      </c>
      <c r="Y1145" s="13">
        <v>0</v>
      </c>
      <c r="Z1145" s="10">
        <v>45385</v>
      </c>
      <c r="AA1145" s="9">
        <v>-40</v>
      </c>
      <c r="AC1145" s="9">
        <v>434214</v>
      </c>
      <c r="AD1145" s="14">
        <v>8.2312903225806462</v>
      </c>
      <c r="AF1145" s="14">
        <v>0</v>
      </c>
      <c r="AH1145" s="14">
        <v>8.2312903225806462</v>
      </c>
      <c r="AI1145" s="13">
        <v>-8.2312903225806462</v>
      </c>
      <c r="AK1145" s="9">
        <v>0</v>
      </c>
    </row>
    <row r="1146" spans="1:37">
      <c r="A1146" s="9">
        <v>12</v>
      </c>
      <c r="B1146" s="9">
        <v>2024</v>
      </c>
      <c r="C1146" s="9" t="s">
        <v>46</v>
      </c>
      <c r="D1146" s="9" t="s">
        <v>47</v>
      </c>
      <c r="E1146" s="9" t="s">
        <v>47</v>
      </c>
      <c r="F1146" s="10">
        <v>45372</v>
      </c>
      <c r="G1146" s="9" t="s">
        <v>155</v>
      </c>
      <c r="H1146" s="9" t="s">
        <v>57</v>
      </c>
      <c r="J1146" s="9">
        <v>9.6000000000000014</v>
      </c>
      <c r="K1146" s="9">
        <v>160</v>
      </c>
      <c r="L1146" s="9">
        <v>0.94</v>
      </c>
      <c r="M1146" s="9">
        <v>150.4</v>
      </c>
      <c r="N1146" s="9" t="s">
        <v>49</v>
      </c>
      <c r="Q1146" s="9">
        <f>IF(Auction_Sales[[#This Row],[Payment Date]]=0,"",-1+WEEKNUM(Auction_Sales[[#This Row],[Payment Date]]))</f>
        <v>13</v>
      </c>
      <c r="R1146" s="9">
        <v>160</v>
      </c>
      <c r="S1146" s="9" t="s">
        <v>155</v>
      </c>
      <c r="T1146" s="9" t="s">
        <v>57</v>
      </c>
      <c r="W1146" s="13">
        <v>0</v>
      </c>
      <c r="X1146" s="14">
        <v>0</v>
      </c>
      <c r="Y1146" s="13">
        <v>0</v>
      </c>
      <c r="Z1146" s="10">
        <v>45385</v>
      </c>
      <c r="AA1146" s="9">
        <v>-160</v>
      </c>
      <c r="AC1146" s="9">
        <v>434214</v>
      </c>
      <c r="AD1146" s="14">
        <v>32.925161290322585</v>
      </c>
      <c r="AF1146" s="14">
        <v>0</v>
      </c>
      <c r="AH1146" s="14">
        <v>32.925161290322585</v>
      </c>
      <c r="AI1146" s="13">
        <v>-32.925161290322585</v>
      </c>
      <c r="AK1146" s="9">
        <v>0</v>
      </c>
    </row>
    <row r="1147" spans="1:37">
      <c r="A1147" s="9">
        <v>12</v>
      </c>
      <c r="B1147" s="9">
        <v>2024</v>
      </c>
      <c r="C1147" s="9" t="s">
        <v>46</v>
      </c>
      <c r="D1147" s="9" t="s">
        <v>47</v>
      </c>
      <c r="E1147" s="9" t="s">
        <v>47</v>
      </c>
      <c r="F1147" s="10">
        <v>45372</v>
      </c>
      <c r="G1147" s="9" t="s">
        <v>154</v>
      </c>
      <c r="H1147" s="9" t="s">
        <v>56</v>
      </c>
      <c r="I1147" s="9">
        <v>1</v>
      </c>
      <c r="J1147" s="9">
        <v>6</v>
      </c>
      <c r="K1147" s="9">
        <v>120</v>
      </c>
      <c r="L1147" s="9">
        <v>0.75</v>
      </c>
      <c r="M1147" s="9">
        <v>90</v>
      </c>
      <c r="N1147" s="9" t="s">
        <v>49</v>
      </c>
      <c r="Q1147" s="9">
        <f>IF(Auction_Sales[[#This Row],[Payment Date]]=0,"",-1+WEEKNUM(Auction_Sales[[#This Row],[Payment Date]]))</f>
        <v>13</v>
      </c>
      <c r="R1147" s="9">
        <v>120</v>
      </c>
      <c r="S1147" s="9" t="s">
        <v>154</v>
      </c>
      <c r="T1147" s="9" t="s">
        <v>56</v>
      </c>
      <c r="W1147" s="13">
        <v>0</v>
      </c>
      <c r="X1147" s="14">
        <v>0</v>
      </c>
      <c r="Y1147" s="13">
        <v>0</v>
      </c>
      <c r="Z1147" s="10">
        <v>45385</v>
      </c>
      <c r="AA1147" s="9">
        <v>-120</v>
      </c>
      <c r="AC1147" s="9">
        <v>434214</v>
      </c>
      <c r="AD1147" s="14">
        <v>20.578225806451609</v>
      </c>
      <c r="AF1147" s="14">
        <v>0</v>
      </c>
      <c r="AH1147" s="14">
        <v>20.578225806451609</v>
      </c>
      <c r="AI1147" s="13">
        <v>-20.578225806451609</v>
      </c>
      <c r="AK1147" s="9">
        <v>0</v>
      </c>
    </row>
    <row r="1148" spans="1:37">
      <c r="A1148" s="9">
        <v>12</v>
      </c>
      <c r="B1148" s="9">
        <v>2024</v>
      </c>
      <c r="C1148" s="9" t="s">
        <v>46</v>
      </c>
      <c r="D1148" s="9" t="s">
        <v>47</v>
      </c>
      <c r="E1148" s="9" t="s">
        <v>47</v>
      </c>
      <c r="F1148" s="10">
        <v>45372</v>
      </c>
      <c r="G1148" s="9" t="s">
        <v>154</v>
      </c>
      <c r="H1148" s="9" t="s">
        <v>57</v>
      </c>
      <c r="J1148" s="9">
        <v>6</v>
      </c>
      <c r="K1148" s="9">
        <v>120</v>
      </c>
      <c r="L1148" s="9">
        <v>0.94</v>
      </c>
      <c r="M1148" s="9">
        <v>112.8</v>
      </c>
      <c r="N1148" s="9" t="s">
        <v>49</v>
      </c>
      <c r="Q1148" s="9">
        <f>IF(Auction_Sales[[#This Row],[Payment Date]]=0,"",-1+WEEKNUM(Auction_Sales[[#This Row],[Payment Date]]))</f>
        <v>13</v>
      </c>
      <c r="R1148" s="9">
        <v>120</v>
      </c>
      <c r="S1148" s="9" t="s">
        <v>154</v>
      </c>
      <c r="T1148" s="9" t="s">
        <v>57</v>
      </c>
      <c r="W1148" s="13">
        <v>0</v>
      </c>
      <c r="X1148" s="14">
        <v>0</v>
      </c>
      <c r="Y1148" s="13">
        <v>0</v>
      </c>
      <c r="Z1148" s="10">
        <v>45385</v>
      </c>
      <c r="AA1148" s="9">
        <v>-120</v>
      </c>
      <c r="AC1148" s="9">
        <v>434214</v>
      </c>
      <c r="AD1148" s="14">
        <v>20.578225806451609</v>
      </c>
      <c r="AF1148" s="14">
        <v>0</v>
      </c>
      <c r="AH1148" s="14">
        <v>20.578225806451609</v>
      </c>
      <c r="AI1148" s="13">
        <v>-20.578225806451609</v>
      </c>
      <c r="AK1148" s="9">
        <v>0</v>
      </c>
    </row>
    <row r="1149" spans="1:37">
      <c r="A1149" s="9">
        <v>12</v>
      </c>
      <c r="B1149" s="9">
        <v>2024</v>
      </c>
      <c r="C1149" s="9" t="s">
        <v>46</v>
      </c>
      <c r="D1149" s="9" t="s">
        <v>47</v>
      </c>
      <c r="E1149" s="9" t="s">
        <v>47</v>
      </c>
      <c r="F1149" s="10">
        <v>45372</v>
      </c>
      <c r="G1149" s="9" t="s">
        <v>155</v>
      </c>
      <c r="H1149" s="9" t="s">
        <v>48</v>
      </c>
      <c r="I1149" s="9">
        <v>1</v>
      </c>
      <c r="J1149" s="9">
        <v>1.7142857142857142</v>
      </c>
      <c r="K1149" s="9">
        <v>40</v>
      </c>
      <c r="L1149" s="9">
        <v>0.47</v>
      </c>
      <c r="M1149" s="9">
        <v>18.8</v>
      </c>
      <c r="N1149" s="9" t="s">
        <v>49</v>
      </c>
      <c r="Q1149" s="9">
        <f>IF(Auction_Sales[[#This Row],[Payment Date]]=0,"",-1+WEEKNUM(Auction_Sales[[#This Row],[Payment Date]]))</f>
        <v>13</v>
      </c>
      <c r="R1149" s="9">
        <v>-1560</v>
      </c>
      <c r="S1149" s="9" t="s">
        <v>155</v>
      </c>
      <c r="T1149" s="9" t="s">
        <v>48</v>
      </c>
      <c r="U1149" s="9">
        <v>1600</v>
      </c>
      <c r="V1149" s="13">
        <v>0.41125</v>
      </c>
      <c r="W1149" s="13">
        <v>658</v>
      </c>
      <c r="X1149" s="14">
        <v>-68.288435374149671</v>
      </c>
      <c r="Y1149" s="13">
        <v>589.71156462585031</v>
      </c>
      <c r="Z1149" s="10">
        <v>45385</v>
      </c>
      <c r="AA1149" s="9">
        <v>1560</v>
      </c>
      <c r="AC1149" s="9">
        <v>434214</v>
      </c>
      <c r="AD1149" s="14">
        <v>5.879493087557603</v>
      </c>
      <c r="AF1149" s="14">
        <v>32</v>
      </c>
      <c r="AH1149" s="14">
        <v>37.879493087557606</v>
      </c>
      <c r="AI1149" s="13">
        <v>551.83207153829267</v>
      </c>
      <c r="AK1149" s="9">
        <v>1600</v>
      </c>
    </row>
    <row r="1150" spans="1:37">
      <c r="A1150" s="9">
        <v>12</v>
      </c>
      <c r="B1150" s="9">
        <v>2024</v>
      </c>
      <c r="C1150" s="9" t="s">
        <v>46</v>
      </c>
      <c r="D1150" s="9" t="s">
        <v>47</v>
      </c>
      <c r="E1150" s="9" t="s">
        <v>47</v>
      </c>
      <c r="F1150" s="10">
        <v>45372</v>
      </c>
      <c r="G1150" s="9" t="s">
        <v>155</v>
      </c>
      <c r="H1150" s="9" t="s">
        <v>52</v>
      </c>
      <c r="J1150" s="9">
        <v>5.1428571428571423</v>
      </c>
      <c r="K1150" s="9">
        <v>120</v>
      </c>
      <c r="L1150" s="9">
        <v>0.52</v>
      </c>
      <c r="M1150" s="9">
        <v>62.4</v>
      </c>
      <c r="N1150" s="9" t="s">
        <v>49</v>
      </c>
      <c r="Q1150" s="9">
        <f>IF(Auction_Sales[[#This Row],[Payment Date]]=0,"",-1+WEEKNUM(Auction_Sales[[#This Row],[Payment Date]]))</f>
        <v>13</v>
      </c>
      <c r="R1150" s="9">
        <v>120</v>
      </c>
      <c r="S1150" s="9" t="s">
        <v>155</v>
      </c>
      <c r="T1150" s="9" t="s">
        <v>52</v>
      </c>
      <c r="W1150" s="13">
        <v>0</v>
      </c>
      <c r="X1150" s="14">
        <v>0</v>
      </c>
      <c r="Y1150" s="13">
        <v>0</v>
      </c>
      <c r="Z1150" s="10">
        <v>45385</v>
      </c>
      <c r="AA1150" s="9">
        <v>-120</v>
      </c>
      <c r="AC1150" s="9">
        <v>434214</v>
      </c>
      <c r="AD1150" s="14">
        <v>17.63847926267281</v>
      </c>
      <c r="AF1150" s="14">
        <v>0</v>
      </c>
      <c r="AH1150" s="14">
        <v>17.63847926267281</v>
      </c>
      <c r="AI1150" s="13">
        <v>-17.63847926267281</v>
      </c>
      <c r="AK1150" s="9">
        <v>0</v>
      </c>
    </row>
    <row r="1151" spans="1:37">
      <c r="F1151" s="10"/>
      <c r="G1151" s="9" t="s">
        <v>155</v>
      </c>
      <c r="H1151" s="9" t="s">
        <v>54</v>
      </c>
      <c r="J1151" s="9">
        <v>5.1428571428571423</v>
      </c>
      <c r="K1151" s="9">
        <v>120</v>
      </c>
      <c r="L1151" s="9">
        <v>0.56999999999999995</v>
      </c>
      <c r="M1151" s="9">
        <v>68.400000000000006</v>
      </c>
      <c r="N1151" s="9" t="s">
        <v>49</v>
      </c>
      <c r="Q1151" s="9">
        <f>IF(Auction_Sales[[#This Row],[Payment Date]]=0,"",-1+WEEKNUM(Auction_Sales[[#This Row],[Payment Date]]))</f>
        <v>13</v>
      </c>
      <c r="R1151" s="9">
        <v>120</v>
      </c>
      <c r="S1151" s="9" t="s">
        <v>155</v>
      </c>
      <c r="T1151" s="9" t="s">
        <v>54</v>
      </c>
      <c r="W1151" s="13">
        <v>0</v>
      </c>
      <c r="X1151" s="14">
        <v>0</v>
      </c>
      <c r="Y1151" s="13">
        <v>0</v>
      </c>
      <c r="Z1151" s="10">
        <v>45385</v>
      </c>
      <c r="AA1151" s="9">
        <v>-120</v>
      </c>
      <c r="AC1151" s="9">
        <v>434214</v>
      </c>
      <c r="AD1151" s="14">
        <v>17.63847926267281</v>
      </c>
      <c r="AF1151" s="14">
        <v>0</v>
      </c>
      <c r="AH1151" s="14">
        <v>17.63847926267281</v>
      </c>
      <c r="AI1151" s="13">
        <v>-17.63847926267281</v>
      </c>
      <c r="AK1151" s="9">
        <v>0</v>
      </c>
    </row>
    <row r="1152" spans="1:37">
      <c r="A1152" s="9">
        <v>13</v>
      </c>
      <c r="B1152" s="9">
        <v>2024</v>
      </c>
      <c r="C1152" s="9" t="s">
        <v>46</v>
      </c>
      <c r="D1152" s="9" t="s">
        <v>47</v>
      </c>
      <c r="E1152" s="9" t="s">
        <v>47</v>
      </c>
      <c r="F1152" s="10">
        <v>45374</v>
      </c>
      <c r="G1152" s="9" t="s">
        <v>153</v>
      </c>
      <c r="H1152" s="9" t="s">
        <v>48</v>
      </c>
      <c r="I1152" s="9">
        <v>1</v>
      </c>
      <c r="J1152" s="9">
        <v>12</v>
      </c>
      <c r="K1152" s="9">
        <v>720</v>
      </c>
      <c r="L1152" s="9">
        <v>0.24</v>
      </c>
      <c r="M1152" s="9">
        <v>172.8</v>
      </c>
      <c r="N1152" s="9" t="s">
        <v>49</v>
      </c>
      <c r="Q1152" s="9">
        <f>IF(Auction_Sales[[#This Row],[Payment Date]]=0,"",-1+WEEKNUM(Auction_Sales[[#This Row],[Payment Date]]))</f>
        <v>13</v>
      </c>
      <c r="R1152" s="9">
        <v>-120</v>
      </c>
      <c r="S1152" s="9" t="s">
        <v>153</v>
      </c>
      <c r="T1152" s="9" t="s">
        <v>48</v>
      </c>
      <c r="U1152" s="9">
        <v>840</v>
      </c>
      <c r="V1152" s="13">
        <v>0.41761904761904761</v>
      </c>
      <c r="W1152" s="13">
        <v>350.8</v>
      </c>
      <c r="X1152" s="14">
        <v>-36.162682926829262</v>
      </c>
      <c r="Y1152" s="13">
        <v>314.63731707317072</v>
      </c>
      <c r="Z1152" s="10">
        <v>45385</v>
      </c>
      <c r="AA1152" s="9">
        <v>120</v>
      </c>
      <c r="AC1152" s="9" t="s">
        <v>92</v>
      </c>
      <c r="AD1152" s="14">
        <v>47.916363636363641</v>
      </c>
      <c r="AF1152" s="14">
        <v>16.8</v>
      </c>
      <c r="AH1152" s="14">
        <v>64.716363636363639</v>
      </c>
      <c r="AI1152" s="13">
        <v>249.92095343680708</v>
      </c>
      <c r="AK1152" s="9">
        <v>840</v>
      </c>
    </row>
    <row r="1153" spans="1:37">
      <c r="A1153" s="9">
        <v>13</v>
      </c>
      <c r="B1153" s="9">
        <v>2024</v>
      </c>
      <c r="C1153" s="9" t="s">
        <v>46</v>
      </c>
      <c r="D1153" s="9" t="s">
        <v>47</v>
      </c>
      <c r="E1153" s="9" t="s">
        <v>47</v>
      </c>
      <c r="F1153" s="10">
        <v>45374</v>
      </c>
      <c r="G1153" s="9" t="s">
        <v>155</v>
      </c>
      <c r="H1153" s="9" t="s">
        <v>48</v>
      </c>
      <c r="I1153" s="9">
        <v>3</v>
      </c>
      <c r="J1153" s="9">
        <v>36</v>
      </c>
      <c r="K1153" s="9">
        <v>1560</v>
      </c>
      <c r="L1153" s="9">
        <v>0.47</v>
      </c>
      <c r="M1153" s="9">
        <v>733.2</v>
      </c>
      <c r="N1153" s="9" t="s">
        <v>49</v>
      </c>
      <c r="Q1153" s="9">
        <f>IF(Auction_Sales[[#This Row],[Payment Date]]=0,"",-1+WEEKNUM(Auction_Sales[[#This Row],[Payment Date]]))</f>
        <v>13</v>
      </c>
      <c r="R1153" s="9">
        <v>0</v>
      </c>
      <c r="S1153" s="9" t="s">
        <v>155</v>
      </c>
      <c r="T1153" s="9" t="s">
        <v>48</v>
      </c>
      <c r="U1153" s="9">
        <v>1560</v>
      </c>
      <c r="V1153" s="13">
        <v>0.31589743589743591</v>
      </c>
      <c r="W1153" s="13">
        <v>492.8</v>
      </c>
      <c r="X1153" s="14">
        <v>-67.15926829268291</v>
      </c>
      <c r="Y1153" s="13">
        <v>425.64073170731712</v>
      </c>
      <c r="Z1153" s="10">
        <v>45385</v>
      </c>
      <c r="AA1153" s="9">
        <v>0</v>
      </c>
      <c r="AC1153" s="9" t="s">
        <v>92</v>
      </c>
      <c r="AD1153" s="14">
        <v>143.74909090909091</v>
      </c>
      <c r="AF1153" s="14">
        <v>31.2</v>
      </c>
      <c r="AH1153" s="14">
        <v>174.9490909090909</v>
      </c>
      <c r="AI1153" s="13">
        <v>250.69164079822622</v>
      </c>
      <c r="AK1153" s="9">
        <v>1560</v>
      </c>
    </row>
    <row r="1154" spans="1:37">
      <c r="A1154" s="9">
        <v>13</v>
      </c>
      <c r="B1154" s="9">
        <v>2024</v>
      </c>
      <c r="C1154" s="9" t="s">
        <v>46</v>
      </c>
      <c r="D1154" s="9" t="s">
        <v>47</v>
      </c>
      <c r="E1154" s="9" t="s">
        <v>47</v>
      </c>
      <c r="F1154" s="10">
        <v>45374</v>
      </c>
      <c r="G1154" s="9" t="s">
        <v>155</v>
      </c>
      <c r="H1154" s="9" t="s">
        <v>52</v>
      </c>
      <c r="I1154" s="9">
        <v>2</v>
      </c>
      <c r="J1154" s="9">
        <v>24</v>
      </c>
      <c r="K1154" s="9">
        <v>800</v>
      </c>
      <c r="L1154" s="9">
        <v>0.52</v>
      </c>
      <c r="M1154" s="9">
        <v>416</v>
      </c>
      <c r="N1154" s="9" t="s">
        <v>49</v>
      </c>
      <c r="Q1154" s="9">
        <f>IF(Auction_Sales[[#This Row],[Payment Date]]=0,"",-1+WEEKNUM(Auction_Sales[[#This Row],[Payment Date]]))</f>
        <v>13</v>
      </c>
      <c r="R1154" s="9">
        <v>0</v>
      </c>
      <c r="S1154" s="9" t="s">
        <v>155</v>
      </c>
      <c r="T1154" s="9" t="s">
        <v>52</v>
      </c>
      <c r="U1154" s="9">
        <v>800</v>
      </c>
      <c r="V1154" s="13">
        <v>0.47299999999999998</v>
      </c>
      <c r="W1154" s="13">
        <v>378.4</v>
      </c>
      <c r="X1154" s="14">
        <v>-34.440650406504055</v>
      </c>
      <c r="Y1154" s="13">
        <v>343.95934959349592</v>
      </c>
      <c r="Z1154" s="10">
        <v>45385</v>
      </c>
      <c r="AA1154" s="9">
        <v>0</v>
      </c>
      <c r="AC1154" s="9" t="s">
        <v>92</v>
      </c>
      <c r="AD1154" s="14">
        <v>95.832727272727283</v>
      </c>
      <c r="AF1154" s="14">
        <v>16</v>
      </c>
      <c r="AH1154" s="14">
        <v>111.83272727272728</v>
      </c>
      <c r="AI1154" s="13">
        <v>232.12662232076863</v>
      </c>
      <c r="AK1154" s="9">
        <v>800</v>
      </c>
    </row>
    <row r="1155" spans="1:37">
      <c r="A1155" s="9">
        <v>13</v>
      </c>
      <c r="B1155" s="9">
        <v>2024</v>
      </c>
      <c r="C1155" s="9" t="s">
        <v>46</v>
      </c>
      <c r="D1155" s="9" t="s">
        <v>47</v>
      </c>
      <c r="E1155" s="9" t="s">
        <v>47</v>
      </c>
      <c r="F1155" s="10">
        <v>45374</v>
      </c>
      <c r="G1155" s="9" t="s">
        <v>155</v>
      </c>
      <c r="H1155" s="9" t="s">
        <v>57</v>
      </c>
      <c r="I1155" s="9">
        <v>1</v>
      </c>
      <c r="J1155" s="9">
        <v>12</v>
      </c>
      <c r="K1155" s="9">
        <v>200</v>
      </c>
      <c r="L1155" s="9">
        <v>0.94</v>
      </c>
      <c r="M1155" s="9">
        <v>188</v>
      </c>
      <c r="N1155" s="9" t="s">
        <v>49</v>
      </c>
      <c r="Q1155" s="9">
        <f>IF(Auction_Sales[[#This Row],[Payment Date]]=0,"",-1+WEEKNUM(Auction_Sales[[#This Row],[Payment Date]]))</f>
        <v>13</v>
      </c>
      <c r="R1155" s="9">
        <v>0</v>
      </c>
      <c r="S1155" s="9" t="s">
        <v>155</v>
      </c>
      <c r="T1155" s="9" t="s">
        <v>57</v>
      </c>
      <c r="U1155" s="9">
        <v>200</v>
      </c>
      <c r="V1155" s="13">
        <v>0.40200000000000002</v>
      </c>
      <c r="W1155" s="13">
        <v>80.400000000000006</v>
      </c>
      <c r="X1155" s="14">
        <v>-8.6101626016260138</v>
      </c>
      <c r="Y1155" s="13">
        <v>71.78983739837399</v>
      </c>
      <c r="Z1155" s="10">
        <v>45385</v>
      </c>
      <c r="AA1155" s="9">
        <v>0</v>
      </c>
      <c r="AC1155" s="9" t="s">
        <v>92</v>
      </c>
      <c r="AD1155" s="14">
        <v>47.916363636363641</v>
      </c>
      <c r="AF1155" s="14">
        <v>4</v>
      </c>
      <c r="AH1155" s="14">
        <v>51.916363636363641</v>
      </c>
      <c r="AI1155" s="13">
        <v>19.873473762010349</v>
      </c>
      <c r="AK1155" s="9">
        <v>200</v>
      </c>
    </row>
    <row r="1156" spans="1:37">
      <c r="A1156" s="9">
        <v>13</v>
      </c>
      <c r="B1156" s="9">
        <v>2024</v>
      </c>
      <c r="C1156" s="9" t="s">
        <v>46</v>
      </c>
      <c r="D1156" s="9" t="s">
        <v>47</v>
      </c>
      <c r="E1156" s="9" t="s">
        <v>47</v>
      </c>
      <c r="F1156" s="10">
        <v>45374</v>
      </c>
      <c r="G1156" s="9" t="s">
        <v>155</v>
      </c>
      <c r="H1156" s="9" t="s">
        <v>54</v>
      </c>
      <c r="I1156" s="9">
        <v>1</v>
      </c>
      <c r="J1156" s="9">
        <v>6.666666666666667</v>
      </c>
      <c r="K1156" s="9">
        <v>200</v>
      </c>
      <c r="L1156" s="9">
        <v>0.56999999999999995</v>
      </c>
      <c r="M1156" s="9">
        <v>114</v>
      </c>
      <c r="N1156" s="9" t="s">
        <v>49</v>
      </c>
      <c r="Q1156" s="9">
        <f>IF(Auction_Sales[[#This Row],[Payment Date]]=0,"",-1+WEEKNUM(Auction_Sales[[#This Row],[Payment Date]]))</f>
        <v>13</v>
      </c>
      <c r="R1156" s="9">
        <v>0</v>
      </c>
      <c r="S1156" s="9" t="s">
        <v>155</v>
      </c>
      <c r="T1156" s="9" t="s">
        <v>54</v>
      </c>
      <c r="U1156" s="9">
        <v>200</v>
      </c>
      <c r="V1156" s="13">
        <v>0.68</v>
      </c>
      <c r="W1156" s="13">
        <v>136</v>
      </c>
      <c r="X1156" s="14">
        <v>-8.6101626016260138</v>
      </c>
      <c r="Y1156" s="13">
        <v>127.38983739837398</v>
      </c>
      <c r="Z1156" s="10">
        <v>45385</v>
      </c>
      <c r="AA1156" s="9">
        <v>0</v>
      </c>
      <c r="AC1156" s="9" t="s">
        <v>92</v>
      </c>
      <c r="AD1156" s="14">
        <v>26.620202020202022</v>
      </c>
      <c r="AF1156" s="14">
        <v>4</v>
      </c>
      <c r="AH1156" s="14">
        <v>30.620202020202022</v>
      </c>
      <c r="AI1156" s="13">
        <v>96.769635378171955</v>
      </c>
      <c r="AK1156" s="9">
        <v>200</v>
      </c>
    </row>
    <row r="1157" spans="1:37">
      <c r="A1157" s="9">
        <v>13</v>
      </c>
      <c r="B1157" s="9">
        <v>2024</v>
      </c>
      <c r="C1157" s="9" t="s">
        <v>46</v>
      </c>
      <c r="D1157" s="9" t="s">
        <v>47</v>
      </c>
      <c r="E1157" s="9" t="s">
        <v>47</v>
      </c>
      <c r="F1157" s="10">
        <v>45374</v>
      </c>
      <c r="G1157" s="9" t="s">
        <v>155</v>
      </c>
      <c r="H1157" s="9" t="s">
        <v>56</v>
      </c>
      <c r="J1157" s="9">
        <v>5.333333333333333</v>
      </c>
      <c r="K1157" s="9">
        <v>160</v>
      </c>
      <c r="L1157" s="9">
        <v>0.75</v>
      </c>
      <c r="M1157" s="9">
        <v>120</v>
      </c>
      <c r="N1157" s="9" t="s">
        <v>49</v>
      </c>
      <c r="Q1157" s="9">
        <f>IF(Auction_Sales[[#This Row],[Payment Date]]=0,"",-1+WEEKNUM(Auction_Sales[[#This Row],[Payment Date]]))</f>
        <v>13</v>
      </c>
      <c r="R1157" s="9">
        <v>0</v>
      </c>
      <c r="S1157" s="9" t="s">
        <v>155</v>
      </c>
      <c r="T1157" s="9" t="s">
        <v>56</v>
      </c>
      <c r="U1157" s="9">
        <v>160</v>
      </c>
      <c r="V1157" s="13">
        <v>0.46500000000000002</v>
      </c>
      <c r="W1157" s="13">
        <v>74.400000000000006</v>
      </c>
      <c r="X1157" s="14">
        <v>-6.8881300813008108</v>
      </c>
      <c r="Y1157" s="13">
        <v>67.51186991869919</v>
      </c>
      <c r="Z1157" s="10">
        <v>45385</v>
      </c>
      <c r="AA1157" s="9">
        <v>0</v>
      </c>
      <c r="AC1157" s="9" t="s">
        <v>92</v>
      </c>
      <c r="AD1157" s="14">
        <v>21.296161616161616</v>
      </c>
      <c r="AF1157" s="14">
        <v>3.2</v>
      </c>
      <c r="AH1157" s="14">
        <v>24.496161616161615</v>
      </c>
      <c r="AI1157" s="13">
        <v>43.015708302537575</v>
      </c>
      <c r="AK1157" s="9">
        <v>160</v>
      </c>
    </row>
    <row r="1158" spans="1:37">
      <c r="A1158" s="9">
        <v>13</v>
      </c>
      <c r="B1158" s="9">
        <v>2024</v>
      </c>
      <c r="C1158" s="9" t="s">
        <v>46</v>
      </c>
      <c r="D1158" s="9" t="s">
        <v>47</v>
      </c>
      <c r="E1158" s="9" t="s">
        <v>47</v>
      </c>
      <c r="F1158" s="10">
        <v>45374</v>
      </c>
      <c r="G1158" s="9" t="s">
        <v>154</v>
      </c>
      <c r="H1158" s="9" t="s">
        <v>48</v>
      </c>
      <c r="I1158" s="9">
        <v>1</v>
      </c>
      <c r="J1158" s="9">
        <v>6</v>
      </c>
      <c r="K1158" s="9">
        <v>160</v>
      </c>
      <c r="L1158" s="9">
        <v>0.47</v>
      </c>
      <c r="M1158" s="9">
        <v>75.2</v>
      </c>
      <c r="N1158" s="9" t="s">
        <v>49</v>
      </c>
      <c r="Q1158" s="9">
        <f>IF(Auction_Sales[[#This Row],[Payment Date]]=0,"",-1+WEEKNUM(Auction_Sales[[#This Row],[Payment Date]]))</f>
        <v>13</v>
      </c>
      <c r="R1158" s="9">
        <v>0</v>
      </c>
      <c r="S1158" s="9" t="s">
        <v>154</v>
      </c>
      <c r="T1158" s="9" t="s">
        <v>48</v>
      </c>
      <c r="U1158" s="9">
        <v>160</v>
      </c>
      <c r="V1158" s="13">
        <v>0.47750000000000004</v>
      </c>
      <c r="W1158" s="13">
        <v>76.400000000000006</v>
      </c>
      <c r="X1158" s="14">
        <v>-6.8881300813008108</v>
      </c>
      <c r="Y1158" s="13">
        <v>69.51186991869919</v>
      </c>
      <c r="Z1158" s="10">
        <v>45385</v>
      </c>
      <c r="AA1158" s="9">
        <v>0</v>
      </c>
      <c r="AC1158" s="9" t="s">
        <v>92</v>
      </c>
      <c r="AD1158" s="14">
        <v>23.958181818181821</v>
      </c>
      <c r="AF1158" s="14">
        <v>3.2</v>
      </c>
      <c r="AH1158" s="14">
        <v>27.15818181818182</v>
      </c>
      <c r="AI1158" s="13">
        <v>42.353688100517374</v>
      </c>
      <c r="AK1158" s="9">
        <v>160</v>
      </c>
    </row>
    <row r="1159" spans="1:37">
      <c r="A1159" s="9">
        <v>13</v>
      </c>
      <c r="B1159" s="9">
        <v>2024</v>
      </c>
      <c r="C1159" s="9" t="s">
        <v>46</v>
      </c>
      <c r="D1159" s="9" t="s">
        <v>47</v>
      </c>
      <c r="E1159" s="9" t="s">
        <v>47</v>
      </c>
      <c r="F1159" s="10">
        <v>45374</v>
      </c>
      <c r="G1159" s="9" t="s">
        <v>154</v>
      </c>
      <c r="H1159" s="9" t="s">
        <v>56</v>
      </c>
      <c r="J1159" s="9">
        <v>1.5</v>
      </c>
      <c r="K1159" s="9">
        <v>40</v>
      </c>
      <c r="L1159" s="9">
        <v>0.75</v>
      </c>
      <c r="M1159" s="9">
        <v>30</v>
      </c>
      <c r="N1159" s="9" t="s">
        <v>49</v>
      </c>
      <c r="Q1159" s="9">
        <f>IF(Auction_Sales[[#This Row],[Payment Date]]=0,"",-1+WEEKNUM(Auction_Sales[[#This Row],[Payment Date]]))</f>
        <v>13</v>
      </c>
      <c r="R1159" s="9">
        <v>0</v>
      </c>
      <c r="S1159" s="9" t="s">
        <v>154</v>
      </c>
      <c r="T1159" s="9" t="s">
        <v>56</v>
      </c>
      <c r="U1159" s="9">
        <v>40</v>
      </c>
      <c r="V1159" s="13">
        <v>0.54</v>
      </c>
      <c r="W1159" s="13">
        <v>21.6</v>
      </c>
      <c r="X1159" s="14">
        <v>-1.7220325203252027</v>
      </c>
      <c r="Y1159" s="13">
        <v>19.877967479674798</v>
      </c>
      <c r="Z1159" s="10">
        <v>45385</v>
      </c>
      <c r="AA1159" s="9">
        <v>0</v>
      </c>
      <c r="AC1159" s="9" t="s">
        <v>92</v>
      </c>
      <c r="AD1159" s="14">
        <v>5.9895454545454552</v>
      </c>
      <c r="AF1159" s="14">
        <v>0.8</v>
      </c>
      <c r="AH1159" s="14">
        <v>6.789545454545455</v>
      </c>
      <c r="AI1159" s="13">
        <v>13.088422025129343</v>
      </c>
      <c r="AK1159" s="9">
        <v>40</v>
      </c>
    </row>
    <row r="1160" spans="1:37">
      <c r="A1160" s="9">
        <v>13</v>
      </c>
      <c r="B1160" s="9">
        <v>2024</v>
      </c>
      <c r="C1160" s="9" t="s">
        <v>46</v>
      </c>
      <c r="D1160" s="9" t="s">
        <v>47</v>
      </c>
      <c r="E1160" s="9" t="s">
        <v>47</v>
      </c>
      <c r="F1160" s="10">
        <v>45374</v>
      </c>
      <c r="G1160" s="9" t="s">
        <v>154</v>
      </c>
      <c r="H1160" s="9" t="s">
        <v>57</v>
      </c>
      <c r="J1160" s="9">
        <v>4.5</v>
      </c>
      <c r="K1160" s="9">
        <v>120</v>
      </c>
      <c r="L1160" s="9">
        <v>0.94</v>
      </c>
      <c r="M1160" s="9">
        <v>112.8</v>
      </c>
      <c r="N1160" s="9" t="s">
        <v>49</v>
      </c>
      <c r="Q1160" s="9">
        <f>IF(Auction_Sales[[#This Row],[Payment Date]]=0,"",-1+WEEKNUM(Auction_Sales[[#This Row],[Payment Date]]))</f>
        <v>13</v>
      </c>
      <c r="R1160" s="9">
        <v>0</v>
      </c>
      <c r="S1160" s="9" t="s">
        <v>154</v>
      </c>
      <c r="T1160" s="9" t="s">
        <v>57</v>
      </c>
      <c r="U1160" s="9">
        <v>120</v>
      </c>
      <c r="V1160" s="13">
        <v>0.59</v>
      </c>
      <c r="W1160" s="13">
        <v>70.8</v>
      </c>
      <c r="X1160" s="14">
        <v>-5.1660975609756088</v>
      </c>
      <c r="Y1160" s="13">
        <v>65.633902439024382</v>
      </c>
      <c r="Z1160" s="10">
        <v>45385</v>
      </c>
      <c r="AA1160" s="9">
        <v>0</v>
      </c>
      <c r="AC1160" s="9" t="s">
        <v>92</v>
      </c>
      <c r="AD1160" s="14">
        <v>17.968636363636364</v>
      </c>
      <c r="AF1160" s="14">
        <v>2.4</v>
      </c>
      <c r="AH1160" s="14">
        <v>20.368636363636362</v>
      </c>
      <c r="AI1160" s="13">
        <v>45.26526607538802</v>
      </c>
      <c r="AK1160" s="9">
        <v>120</v>
      </c>
    </row>
    <row r="1161" spans="1:37">
      <c r="A1161" s="9">
        <v>13</v>
      </c>
      <c r="B1161" s="9">
        <v>2024</v>
      </c>
      <c r="C1161" s="9" t="s">
        <v>46</v>
      </c>
      <c r="D1161" s="9" t="s">
        <v>47</v>
      </c>
      <c r="E1161" s="9" t="s">
        <v>47</v>
      </c>
      <c r="F1161" s="10">
        <v>45374</v>
      </c>
      <c r="G1161" s="9" t="s">
        <v>153</v>
      </c>
      <c r="H1161" s="9" t="s">
        <v>54</v>
      </c>
      <c r="I1161" s="9">
        <v>1</v>
      </c>
      <c r="J1161" s="9">
        <v>7.1999999999999993</v>
      </c>
      <c r="K1161" s="9">
        <v>240</v>
      </c>
      <c r="L1161" s="9">
        <v>0.33</v>
      </c>
      <c r="M1161" s="9">
        <v>79.2</v>
      </c>
      <c r="N1161" s="9" t="s">
        <v>49</v>
      </c>
      <c r="Q1161" s="9">
        <f>IF(Auction_Sales[[#This Row],[Payment Date]]=0,"",-1+WEEKNUM(Auction_Sales[[#This Row],[Payment Date]]))</f>
        <v>13</v>
      </c>
      <c r="R1161" s="9">
        <v>-40</v>
      </c>
      <c r="S1161" s="9" t="s">
        <v>153</v>
      </c>
      <c r="T1161" s="9" t="s">
        <v>54</v>
      </c>
      <c r="U1161" s="9">
        <v>280</v>
      </c>
      <c r="V1161" s="13">
        <v>0.17</v>
      </c>
      <c r="W1161" s="13">
        <v>47.6</v>
      </c>
      <c r="X1161" s="14">
        <v>-12.05422764227642</v>
      </c>
      <c r="Y1161" s="13">
        <v>35.545772357723578</v>
      </c>
      <c r="Z1161" s="10">
        <v>45385</v>
      </c>
      <c r="AA1161" s="9">
        <v>40</v>
      </c>
      <c r="AC1161" s="9" t="s">
        <v>92</v>
      </c>
      <c r="AD1161" s="14">
        <v>28.749818181818181</v>
      </c>
      <c r="AF1161" s="14">
        <v>5.6000000000000005</v>
      </c>
      <c r="AH1161" s="14">
        <v>34.349818181818179</v>
      </c>
      <c r="AI1161" s="13">
        <v>1.1959541759053991</v>
      </c>
      <c r="AK1161" s="9">
        <v>280</v>
      </c>
    </row>
    <row r="1162" spans="1:37">
      <c r="A1162" s="9">
        <v>13</v>
      </c>
      <c r="B1162" s="9">
        <v>2024</v>
      </c>
      <c r="C1162" s="9" t="s">
        <v>46</v>
      </c>
      <c r="D1162" s="9" t="s">
        <v>47</v>
      </c>
      <c r="E1162" s="9" t="s">
        <v>47</v>
      </c>
      <c r="F1162" s="10">
        <v>45374</v>
      </c>
      <c r="G1162" s="9" t="s">
        <v>153</v>
      </c>
      <c r="H1162" s="9" t="s">
        <v>56</v>
      </c>
      <c r="J1162" s="9">
        <v>4.8000000000000007</v>
      </c>
      <c r="K1162" s="9">
        <v>160</v>
      </c>
      <c r="L1162" s="9">
        <v>0.38</v>
      </c>
      <c r="M1162" s="9">
        <v>60.8</v>
      </c>
      <c r="N1162" s="9" t="s">
        <v>49</v>
      </c>
      <c r="Q1162" s="9">
        <f>IF(Auction_Sales[[#This Row],[Payment Date]]=0,"",-1+WEEKNUM(Auction_Sales[[#This Row],[Payment Date]]))</f>
        <v>13</v>
      </c>
      <c r="R1162" s="9">
        <v>0</v>
      </c>
      <c r="S1162" s="9" t="s">
        <v>153</v>
      </c>
      <c r="T1162" s="9" t="s">
        <v>56</v>
      </c>
      <c r="U1162" s="9">
        <v>160</v>
      </c>
      <c r="V1162" s="13">
        <v>0.20499999999999999</v>
      </c>
      <c r="W1162" s="13">
        <v>32.799999999999997</v>
      </c>
      <c r="X1162" s="14">
        <v>-6.8881300813008108</v>
      </c>
      <c r="Y1162" s="13">
        <v>25.911869918699185</v>
      </c>
      <c r="Z1162" s="10">
        <v>45385</v>
      </c>
      <c r="AA1162" s="9">
        <v>0</v>
      </c>
      <c r="AC1162" s="9" t="s">
        <v>92</v>
      </c>
      <c r="AD1162" s="14">
        <v>19.16654545454546</v>
      </c>
      <c r="AF1162" s="14">
        <v>3.2</v>
      </c>
      <c r="AH1162" s="14">
        <v>22.366545454545459</v>
      </c>
      <c r="AI1162" s="13">
        <v>3.545324464153726</v>
      </c>
      <c r="AK1162" s="9">
        <v>160</v>
      </c>
    </row>
    <row r="1163" spans="1:37">
      <c r="A1163" s="9">
        <v>13</v>
      </c>
      <c r="B1163" s="9">
        <v>2024</v>
      </c>
      <c r="C1163" s="9" t="s">
        <v>46</v>
      </c>
      <c r="D1163" s="9" t="s">
        <v>47</v>
      </c>
      <c r="E1163" s="9" t="s">
        <v>47</v>
      </c>
      <c r="F1163" s="10">
        <v>45374</v>
      </c>
      <c r="G1163" s="9" t="s">
        <v>153</v>
      </c>
      <c r="H1163" s="9" t="s">
        <v>48</v>
      </c>
      <c r="I1163" s="9">
        <v>1</v>
      </c>
      <c r="J1163" s="9">
        <v>2.7692307692307692</v>
      </c>
      <c r="K1163" s="9">
        <v>120</v>
      </c>
      <c r="L1163" s="9">
        <v>0.24</v>
      </c>
      <c r="M1163" s="9">
        <v>28.8</v>
      </c>
      <c r="N1163" s="9" t="s">
        <v>49</v>
      </c>
      <c r="Q1163" s="9">
        <f>IF(Auction_Sales[[#This Row],[Payment Date]]=0,"",-1+WEEKNUM(Auction_Sales[[#This Row],[Payment Date]]))</f>
        <v>13</v>
      </c>
      <c r="R1163" s="9">
        <v>120</v>
      </c>
      <c r="S1163" s="9" t="s">
        <v>153</v>
      </c>
      <c r="T1163" s="9" t="s">
        <v>48</v>
      </c>
      <c r="W1163" s="13">
        <v>0</v>
      </c>
      <c r="X1163" s="14">
        <v>0</v>
      </c>
      <c r="Y1163" s="13">
        <v>0</v>
      </c>
      <c r="Z1163" s="10">
        <v>45385</v>
      </c>
      <c r="AA1163" s="9">
        <v>-120</v>
      </c>
      <c r="AC1163" s="9" t="s">
        <v>92</v>
      </c>
      <c r="AD1163" s="14">
        <v>11.057622377622378</v>
      </c>
      <c r="AF1163" s="14">
        <v>0</v>
      </c>
      <c r="AH1163" s="14">
        <v>11.057622377622378</v>
      </c>
      <c r="AI1163" s="13">
        <v>-11.057622377622378</v>
      </c>
      <c r="AK1163" s="9">
        <v>0</v>
      </c>
    </row>
    <row r="1164" spans="1:37">
      <c r="A1164" s="9">
        <v>13</v>
      </c>
      <c r="B1164" s="9">
        <v>2024</v>
      </c>
      <c r="C1164" s="9" t="s">
        <v>46</v>
      </c>
      <c r="D1164" s="9" t="s">
        <v>47</v>
      </c>
      <c r="E1164" s="9" t="s">
        <v>47</v>
      </c>
      <c r="F1164" s="10">
        <v>45374</v>
      </c>
      <c r="G1164" s="9" t="s">
        <v>153</v>
      </c>
      <c r="H1164" s="9" t="s">
        <v>52</v>
      </c>
      <c r="J1164" s="9">
        <v>8.3076923076923066</v>
      </c>
      <c r="K1164" s="9">
        <v>360</v>
      </c>
      <c r="L1164" s="9">
        <v>0.28000000000000003</v>
      </c>
      <c r="M1164" s="9">
        <v>100.8</v>
      </c>
      <c r="N1164" s="9" t="s">
        <v>49</v>
      </c>
      <c r="Q1164" s="9">
        <f>IF(Auction_Sales[[#This Row],[Payment Date]]=0,"",-1+WEEKNUM(Auction_Sales[[#This Row],[Payment Date]]))</f>
        <v>13</v>
      </c>
      <c r="R1164" s="9">
        <v>0</v>
      </c>
      <c r="S1164" s="9" t="s">
        <v>153</v>
      </c>
      <c r="T1164" s="9" t="s">
        <v>52</v>
      </c>
      <c r="U1164" s="9">
        <v>360</v>
      </c>
      <c r="V1164" s="13">
        <v>0.50555555555555554</v>
      </c>
      <c r="W1164" s="13">
        <v>182</v>
      </c>
      <c r="X1164" s="14">
        <v>-15.498292682926824</v>
      </c>
      <c r="Y1164" s="13">
        <v>166.50170731707317</v>
      </c>
      <c r="Z1164" s="10">
        <v>45385</v>
      </c>
      <c r="AA1164" s="9">
        <v>0</v>
      </c>
      <c r="AC1164" s="9" t="s">
        <v>92</v>
      </c>
      <c r="AD1164" s="14">
        <v>33.172867132867133</v>
      </c>
      <c r="AF1164" s="14">
        <v>7.2</v>
      </c>
      <c r="AH1164" s="14">
        <v>40.372867132867135</v>
      </c>
      <c r="AI1164" s="13">
        <v>126.12884018420604</v>
      </c>
      <c r="AK1164" s="9">
        <v>360</v>
      </c>
    </row>
    <row r="1165" spans="1:37">
      <c r="A1165" s="9">
        <v>13</v>
      </c>
      <c r="B1165" s="9">
        <v>2024</v>
      </c>
      <c r="C1165" s="9" t="s">
        <v>46</v>
      </c>
      <c r="D1165" s="9" t="s">
        <v>47</v>
      </c>
      <c r="E1165" s="9" t="s">
        <v>47</v>
      </c>
      <c r="F1165" s="10">
        <v>45374</v>
      </c>
      <c r="G1165" s="9" t="s">
        <v>153</v>
      </c>
      <c r="H1165" s="9" t="s">
        <v>57</v>
      </c>
      <c r="J1165" s="9">
        <v>0.92307692307692313</v>
      </c>
      <c r="K1165" s="9">
        <v>40</v>
      </c>
      <c r="L1165" s="9">
        <v>0.47</v>
      </c>
      <c r="M1165" s="9">
        <v>18.8</v>
      </c>
      <c r="N1165" s="9" t="s">
        <v>49</v>
      </c>
      <c r="Q1165" s="9">
        <f>IF(Auction_Sales[[#This Row],[Payment Date]]=0,"",-1+WEEKNUM(Auction_Sales[[#This Row],[Payment Date]]))</f>
        <v>13</v>
      </c>
      <c r="R1165" s="9">
        <v>0</v>
      </c>
      <c r="S1165" s="9" t="s">
        <v>153</v>
      </c>
      <c r="T1165" s="9" t="s">
        <v>57</v>
      </c>
      <c r="U1165" s="9">
        <v>40</v>
      </c>
      <c r="V1165" s="13">
        <v>0.32999999999999996</v>
      </c>
      <c r="W1165" s="13">
        <v>13.2</v>
      </c>
      <c r="X1165" s="14">
        <v>-1.7220325203252027</v>
      </c>
      <c r="Y1165" s="13">
        <v>11.477967479674797</v>
      </c>
      <c r="Z1165" s="10">
        <v>45385</v>
      </c>
      <c r="AA1165" s="9">
        <v>0</v>
      </c>
      <c r="AC1165" s="9" t="s">
        <v>92</v>
      </c>
      <c r="AD1165" s="14">
        <v>3.6858741258741263</v>
      </c>
      <c r="AF1165" s="14">
        <v>0.8</v>
      </c>
      <c r="AH1165" s="14">
        <v>4.4858741258741262</v>
      </c>
      <c r="AI1165" s="13">
        <v>6.9920933538006711</v>
      </c>
      <c r="AK1165" s="9">
        <v>40</v>
      </c>
    </row>
    <row r="1166" spans="1:37">
      <c r="A1166" s="9">
        <v>13</v>
      </c>
      <c r="B1166" s="9">
        <v>2024</v>
      </c>
      <c r="C1166" s="9" t="s">
        <v>46</v>
      </c>
      <c r="D1166" s="9" t="s">
        <v>47</v>
      </c>
      <c r="E1166" s="9" t="s">
        <v>47</v>
      </c>
      <c r="F1166" s="10">
        <v>45374</v>
      </c>
      <c r="G1166" s="9" t="s">
        <v>153</v>
      </c>
      <c r="H1166" s="9" t="s">
        <v>56</v>
      </c>
      <c r="N1166" s="9" t="s">
        <v>49</v>
      </c>
      <c r="Q1166" s="9">
        <f>IF(Auction_Sales[[#This Row],[Payment Date]]=0,"",-1+WEEKNUM(Auction_Sales[[#This Row],[Payment Date]]))</f>
        <v>13</v>
      </c>
      <c r="R1166" s="9">
        <v>0</v>
      </c>
      <c r="S1166" s="9" t="s">
        <v>153</v>
      </c>
      <c r="T1166" s="9" t="s">
        <v>56</v>
      </c>
      <c r="W1166" s="13">
        <v>-106</v>
      </c>
      <c r="X1166" s="14">
        <v>0</v>
      </c>
      <c r="Y1166" s="13">
        <v>-106</v>
      </c>
      <c r="Z1166" s="10">
        <v>45385</v>
      </c>
      <c r="AA1166" s="9">
        <v>0</v>
      </c>
      <c r="AC1166" s="9" t="s">
        <v>92</v>
      </c>
      <c r="AD1166" s="14">
        <v>0</v>
      </c>
      <c r="AF1166" s="14">
        <v>0</v>
      </c>
      <c r="AH1166" s="14">
        <v>0</v>
      </c>
      <c r="AI1166" s="13">
        <v>-106</v>
      </c>
      <c r="AK1166" s="9">
        <v>0</v>
      </c>
    </row>
    <row r="1167" spans="1:37">
      <c r="A1167" s="9">
        <v>13</v>
      </c>
      <c r="B1167" s="9">
        <v>2024</v>
      </c>
      <c r="C1167" s="9" t="s">
        <v>46</v>
      </c>
      <c r="D1167" s="9" t="s">
        <v>47</v>
      </c>
      <c r="E1167" s="9" t="s">
        <v>47</v>
      </c>
      <c r="F1167" s="10">
        <v>45376</v>
      </c>
      <c r="G1167" s="9" t="s">
        <v>153</v>
      </c>
      <c r="H1167" s="9" t="s">
        <v>48</v>
      </c>
      <c r="I1167" s="9">
        <v>1</v>
      </c>
      <c r="J1167" s="9">
        <v>12</v>
      </c>
      <c r="K1167" s="9">
        <v>720</v>
      </c>
      <c r="L1167" s="9">
        <v>0.24</v>
      </c>
      <c r="M1167" s="9">
        <v>172.8</v>
      </c>
      <c r="N1167" s="9" t="s">
        <v>49</v>
      </c>
      <c r="Q1167" s="9">
        <f>IF(Auction_Sales[[#This Row],[Payment Date]]=0,"",-1+WEEKNUM(Auction_Sales[[#This Row],[Payment Date]]))</f>
        <v>13</v>
      </c>
      <c r="R1167" s="9">
        <v>-320</v>
      </c>
      <c r="S1167" s="9" t="s">
        <v>153</v>
      </c>
      <c r="T1167" s="9" t="s">
        <v>48</v>
      </c>
      <c r="U1167" s="9">
        <v>1040</v>
      </c>
      <c r="V1167" s="13">
        <v>0.15884615384615383</v>
      </c>
      <c r="W1167" s="13">
        <v>165.2</v>
      </c>
      <c r="X1167" s="14">
        <v>-39.171768953068586</v>
      </c>
      <c r="Y1167" s="13">
        <v>126.02823104693141</v>
      </c>
      <c r="Z1167" s="10">
        <v>45385</v>
      </c>
      <c r="AA1167" s="9">
        <v>320</v>
      </c>
      <c r="AC1167" s="9" t="s">
        <v>93</v>
      </c>
      <c r="AD1167" s="14">
        <v>42.936923076923073</v>
      </c>
      <c r="AF1167" s="14">
        <v>20.8</v>
      </c>
      <c r="AH1167" s="14">
        <v>63.736923076923077</v>
      </c>
      <c r="AI1167" s="13">
        <v>62.291307970008333</v>
      </c>
      <c r="AK1167" s="9">
        <v>1040</v>
      </c>
    </row>
    <row r="1168" spans="1:37">
      <c r="A1168" s="9">
        <v>13</v>
      </c>
      <c r="B1168" s="9">
        <v>2024</v>
      </c>
      <c r="C1168" s="9" t="s">
        <v>46</v>
      </c>
      <c r="D1168" s="9" t="s">
        <v>47</v>
      </c>
      <c r="E1168" s="9" t="s">
        <v>47</v>
      </c>
      <c r="F1168" s="10">
        <v>45376</v>
      </c>
      <c r="G1168" s="9" t="s">
        <v>153</v>
      </c>
      <c r="H1168" s="9" t="s">
        <v>52</v>
      </c>
      <c r="I1168" s="9">
        <v>1</v>
      </c>
      <c r="J1168" s="9">
        <v>12</v>
      </c>
      <c r="K1168" s="9">
        <v>520</v>
      </c>
      <c r="L1168" s="9">
        <v>0.28000000000000003</v>
      </c>
      <c r="M1168" s="9">
        <v>145.6</v>
      </c>
      <c r="N1168" s="9" t="s">
        <v>49</v>
      </c>
      <c r="Q1168" s="9">
        <f>IF(Auction_Sales[[#This Row],[Payment Date]]=0,"",-1+WEEKNUM(Auction_Sales[[#This Row],[Payment Date]]))</f>
        <v>13</v>
      </c>
      <c r="R1168" s="9">
        <v>-120</v>
      </c>
      <c r="S1168" s="9" t="s">
        <v>153</v>
      </c>
      <c r="T1168" s="9" t="s">
        <v>52</v>
      </c>
      <c r="U1168" s="9">
        <v>640</v>
      </c>
      <c r="V1168" s="13">
        <v>0.24</v>
      </c>
      <c r="W1168" s="13">
        <v>153.6</v>
      </c>
      <c r="X1168" s="14">
        <v>-24.10570397111913</v>
      </c>
      <c r="Y1168" s="13">
        <v>129.49429602888085</v>
      </c>
      <c r="Z1168" s="10">
        <v>45385</v>
      </c>
      <c r="AA1168" s="9">
        <v>120</v>
      </c>
      <c r="AC1168" s="9" t="s">
        <v>93</v>
      </c>
      <c r="AD1168" s="14">
        <v>42.936923076923073</v>
      </c>
      <c r="AF1168" s="14">
        <v>12.8</v>
      </c>
      <c r="AH1168" s="14">
        <v>55.736923076923077</v>
      </c>
      <c r="AI1168" s="13">
        <v>73.757372951957777</v>
      </c>
      <c r="AK1168" s="9">
        <v>640</v>
      </c>
    </row>
    <row r="1169" spans="1:37">
      <c r="A1169" s="9">
        <v>13</v>
      </c>
      <c r="B1169" s="9">
        <v>2024</v>
      </c>
      <c r="C1169" s="9" t="s">
        <v>46</v>
      </c>
      <c r="D1169" s="9" t="s">
        <v>47</v>
      </c>
      <c r="E1169" s="9" t="s">
        <v>47</v>
      </c>
      <c r="F1169" s="10">
        <v>45376</v>
      </c>
      <c r="G1169" s="9" t="s">
        <v>153</v>
      </c>
      <c r="H1169" s="9" t="s">
        <v>54</v>
      </c>
      <c r="I1169" s="9">
        <v>1</v>
      </c>
      <c r="J1169" s="9">
        <v>12</v>
      </c>
      <c r="K1169" s="9">
        <v>400</v>
      </c>
      <c r="L1169" s="9">
        <v>0.33</v>
      </c>
      <c r="M1169" s="9">
        <v>132</v>
      </c>
      <c r="N1169" s="9" t="s">
        <v>49</v>
      </c>
      <c r="Q1169" s="9">
        <f>IF(Auction_Sales[[#This Row],[Payment Date]]=0,"",-1+WEEKNUM(Auction_Sales[[#This Row],[Payment Date]]))</f>
        <v>13</v>
      </c>
      <c r="R1169" s="9">
        <v>-240</v>
      </c>
      <c r="S1169" s="9" t="s">
        <v>153</v>
      </c>
      <c r="T1169" s="9" t="s">
        <v>54</v>
      </c>
      <c r="U1169" s="9">
        <v>640</v>
      </c>
      <c r="V1169" s="13">
        <v>0.30437500000000001</v>
      </c>
      <c r="W1169" s="13">
        <v>194.8</v>
      </c>
      <c r="X1169" s="14">
        <v>-24.10570397111913</v>
      </c>
      <c r="Y1169" s="13">
        <v>170.69429602888087</v>
      </c>
      <c r="Z1169" s="10">
        <v>45385</v>
      </c>
      <c r="AA1169" s="9">
        <v>240</v>
      </c>
      <c r="AC1169" s="9" t="s">
        <v>93</v>
      </c>
      <c r="AD1169" s="14">
        <v>42.936923076923073</v>
      </c>
      <c r="AF1169" s="14">
        <v>12.8</v>
      </c>
      <c r="AH1169" s="14">
        <v>55.736923076923077</v>
      </c>
      <c r="AI1169" s="13">
        <v>114.95737295195779</v>
      </c>
      <c r="AK1169" s="9">
        <v>640</v>
      </c>
    </row>
    <row r="1170" spans="1:37">
      <c r="A1170" s="9">
        <v>13</v>
      </c>
      <c r="B1170" s="9">
        <v>2024</v>
      </c>
      <c r="C1170" s="9" t="s">
        <v>46</v>
      </c>
      <c r="D1170" s="9" t="s">
        <v>47</v>
      </c>
      <c r="E1170" s="9" t="s">
        <v>47</v>
      </c>
      <c r="F1170" s="10">
        <v>45376</v>
      </c>
      <c r="G1170" s="9" t="s">
        <v>153</v>
      </c>
      <c r="H1170" s="9" t="s">
        <v>56</v>
      </c>
      <c r="I1170" s="9">
        <v>1</v>
      </c>
      <c r="J1170" s="9">
        <v>12</v>
      </c>
      <c r="K1170" s="9">
        <v>360</v>
      </c>
      <c r="L1170" s="9">
        <v>0.38</v>
      </c>
      <c r="M1170" s="9">
        <v>136.80000000000001</v>
      </c>
      <c r="N1170" s="9" t="s">
        <v>49</v>
      </c>
      <c r="Q1170" s="9">
        <f>IF(Auction_Sales[[#This Row],[Payment Date]]=0,"",-1+WEEKNUM(Auction_Sales[[#This Row],[Payment Date]]))</f>
        <v>13</v>
      </c>
      <c r="R1170" s="9">
        <v>-120</v>
      </c>
      <c r="S1170" s="9" t="s">
        <v>153</v>
      </c>
      <c r="T1170" s="9" t="s">
        <v>56</v>
      </c>
      <c r="U1170" s="9">
        <v>480</v>
      </c>
      <c r="V1170" s="13">
        <v>0.46333333333333332</v>
      </c>
      <c r="W1170" s="13">
        <v>222.4</v>
      </c>
      <c r="X1170" s="14">
        <v>-18.079277978339348</v>
      </c>
      <c r="Y1170" s="13">
        <v>204.32072202166066</v>
      </c>
      <c r="Z1170" s="10">
        <v>45385</v>
      </c>
      <c r="AA1170" s="9">
        <v>120</v>
      </c>
      <c r="AC1170" s="9" t="s">
        <v>93</v>
      </c>
      <c r="AD1170" s="14">
        <v>42.936923076923073</v>
      </c>
      <c r="AF1170" s="14">
        <v>9.6</v>
      </c>
      <c r="AH1170" s="14">
        <v>52.536923076923074</v>
      </c>
      <c r="AI1170" s="13">
        <v>151.78379894473758</v>
      </c>
      <c r="AK1170" s="9">
        <v>480</v>
      </c>
    </row>
    <row r="1171" spans="1:37">
      <c r="A1171" s="9">
        <v>13</v>
      </c>
      <c r="B1171" s="9">
        <v>2024</v>
      </c>
      <c r="C1171" s="9" t="s">
        <v>46</v>
      </c>
      <c r="D1171" s="9" t="s">
        <v>47</v>
      </c>
      <c r="E1171" s="9" t="s">
        <v>47</v>
      </c>
      <c r="F1171" s="10">
        <v>45376</v>
      </c>
      <c r="G1171" s="9" t="s">
        <v>153</v>
      </c>
      <c r="H1171" s="9" t="s">
        <v>57</v>
      </c>
      <c r="I1171" s="9">
        <v>1</v>
      </c>
      <c r="J1171" s="9">
        <v>12</v>
      </c>
      <c r="K1171" s="9">
        <v>320</v>
      </c>
      <c r="L1171" s="9">
        <v>0.47</v>
      </c>
      <c r="M1171" s="9">
        <v>150.4</v>
      </c>
      <c r="N1171" s="9" t="s">
        <v>49</v>
      </c>
      <c r="Q1171" s="9">
        <f>IF(Auction_Sales[[#This Row],[Payment Date]]=0,"",-1+WEEKNUM(Auction_Sales[[#This Row],[Payment Date]]))</f>
        <v>13</v>
      </c>
      <c r="R1171" s="9">
        <v>320</v>
      </c>
      <c r="S1171" s="9" t="s">
        <v>153</v>
      </c>
      <c r="T1171" s="9" t="s">
        <v>57</v>
      </c>
      <c r="W1171" s="13">
        <v>0</v>
      </c>
      <c r="X1171" s="14">
        <v>0</v>
      </c>
      <c r="Y1171" s="13">
        <v>0</v>
      </c>
      <c r="Z1171" s="10">
        <v>45385</v>
      </c>
      <c r="AA1171" s="9">
        <v>-320</v>
      </c>
      <c r="AC1171" s="9" t="s">
        <v>93</v>
      </c>
      <c r="AD1171" s="14">
        <v>42.936923076923073</v>
      </c>
      <c r="AF1171" s="14">
        <v>0</v>
      </c>
      <c r="AH1171" s="14">
        <v>42.936923076923073</v>
      </c>
      <c r="AI1171" s="13">
        <v>-42.936923076923073</v>
      </c>
      <c r="AK1171" s="9">
        <v>0</v>
      </c>
    </row>
    <row r="1172" spans="1:37">
      <c r="A1172" s="9">
        <v>13</v>
      </c>
      <c r="B1172" s="9">
        <v>2024</v>
      </c>
      <c r="C1172" s="9" t="s">
        <v>46</v>
      </c>
      <c r="D1172" s="9" t="s">
        <v>47</v>
      </c>
      <c r="E1172" s="9" t="s">
        <v>47</v>
      </c>
      <c r="F1172" s="10">
        <v>45376</v>
      </c>
      <c r="G1172" s="9" t="s">
        <v>156</v>
      </c>
      <c r="H1172" s="9" t="s">
        <v>48</v>
      </c>
      <c r="I1172" s="9">
        <v>1</v>
      </c>
      <c r="J1172" s="9">
        <v>12</v>
      </c>
      <c r="K1172" s="9">
        <v>560</v>
      </c>
      <c r="L1172" s="9">
        <v>0.52</v>
      </c>
      <c r="M1172" s="9">
        <v>291.2</v>
      </c>
      <c r="N1172" s="9" t="s">
        <v>49</v>
      </c>
      <c r="Q1172" s="9">
        <f>IF(Auction_Sales[[#This Row],[Payment Date]]=0,"",-1+WEEKNUM(Auction_Sales[[#This Row],[Payment Date]]))</f>
        <v>13</v>
      </c>
      <c r="R1172" s="9">
        <v>0</v>
      </c>
      <c r="S1172" s="9" t="s">
        <v>156</v>
      </c>
      <c r="T1172" s="9" t="s">
        <v>48</v>
      </c>
      <c r="U1172" s="9">
        <v>560</v>
      </c>
      <c r="V1172" s="13">
        <v>0.34</v>
      </c>
      <c r="W1172" s="13">
        <v>190.4</v>
      </c>
      <c r="X1172" s="14">
        <v>-21.092490974729238</v>
      </c>
      <c r="Y1172" s="13">
        <v>169.30750902527078</v>
      </c>
      <c r="Z1172" s="10">
        <v>45385</v>
      </c>
      <c r="AA1172" s="9">
        <v>0</v>
      </c>
      <c r="AC1172" s="9" t="s">
        <v>93</v>
      </c>
      <c r="AD1172" s="14">
        <v>42.936923076923073</v>
      </c>
      <c r="AF1172" s="14">
        <v>11.200000000000001</v>
      </c>
      <c r="AH1172" s="14">
        <v>54.136923076923075</v>
      </c>
      <c r="AI1172" s="13">
        <v>115.17058594834771</v>
      </c>
      <c r="AK1172" s="9">
        <v>560</v>
      </c>
    </row>
    <row r="1173" spans="1:37">
      <c r="A1173" s="9">
        <v>13</v>
      </c>
      <c r="B1173" s="9">
        <v>2024</v>
      </c>
      <c r="C1173" s="9" t="s">
        <v>46</v>
      </c>
      <c r="D1173" s="9" t="s">
        <v>47</v>
      </c>
      <c r="E1173" s="9" t="s">
        <v>47</v>
      </c>
      <c r="F1173" s="10">
        <v>45376</v>
      </c>
      <c r="G1173" s="9" t="s">
        <v>154</v>
      </c>
      <c r="H1173" s="9" t="s">
        <v>48</v>
      </c>
      <c r="I1173" s="9">
        <v>1</v>
      </c>
      <c r="J1173" s="9">
        <v>12</v>
      </c>
      <c r="K1173" s="9">
        <v>440</v>
      </c>
      <c r="L1173" s="9">
        <v>0.47</v>
      </c>
      <c r="M1173" s="9">
        <v>206.8</v>
      </c>
      <c r="N1173" s="9" t="s">
        <v>49</v>
      </c>
      <c r="Q1173" s="9">
        <f>IF(Auction_Sales[[#This Row],[Payment Date]]=0,"",-1+WEEKNUM(Auction_Sales[[#This Row],[Payment Date]]))</f>
        <v>13</v>
      </c>
      <c r="R1173" s="9">
        <v>440</v>
      </c>
      <c r="S1173" s="9" t="s">
        <v>154</v>
      </c>
      <c r="T1173" s="9" t="s">
        <v>48</v>
      </c>
      <c r="W1173" s="13">
        <v>0</v>
      </c>
      <c r="X1173" s="14">
        <v>0</v>
      </c>
      <c r="Y1173" s="13">
        <v>0</v>
      </c>
      <c r="Z1173" s="10">
        <v>45385</v>
      </c>
      <c r="AA1173" s="9">
        <v>-440</v>
      </c>
      <c r="AC1173" s="9" t="s">
        <v>93</v>
      </c>
      <c r="AD1173" s="14">
        <v>42.936923076923073</v>
      </c>
      <c r="AF1173" s="14">
        <v>0</v>
      </c>
      <c r="AH1173" s="14">
        <v>42.936923076923073</v>
      </c>
      <c r="AI1173" s="13">
        <v>-42.936923076923073</v>
      </c>
      <c r="AK1173" s="9">
        <v>0</v>
      </c>
    </row>
    <row r="1174" spans="1:37">
      <c r="A1174" s="9">
        <v>13</v>
      </c>
      <c r="B1174" s="9">
        <v>2024</v>
      </c>
      <c r="C1174" s="9" t="s">
        <v>46</v>
      </c>
      <c r="D1174" s="9" t="s">
        <v>47</v>
      </c>
      <c r="E1174" s="9" t="s">
        <v>47</v>
      </c>
      <c r="F1174" s="10">
        <v>45376</v>
      </c>
      <c r="G1174" s="9" t="s">
        <v>154</v>
      </c>
      <c r="H1174" s="9" t="s">
        <v>48</v>
      </c>
      <c r="I1174" s="9">
        <v>1</v>
      </c>
      <c r="J1174" s="9">
        <v>12</v>
      </c>
      <c r="K1174" s="9">
        <v>480</v>
      </c>
      <c r="L1174" s="9">
        <v>0.47</v>
      </c>
      <c r="M1174" s="9">
        <v>225.6</v>
      </c>
      <c r="N1174" s="9" t="s">
        <v>49</v>
      </c>
      <c r="Q1174" s="9">
        <f>IF(Auction_Sales[[#This Row],[Payment Date]]=0,"",-1+WEEKNUM(Auction_Sales[[#This Row],[Payment Date]]))</f>
        <v>13</v>
      </c>
      <c r="R1174" s="9">
        <v>-440</v>
      </c>
      <c r="S1174" s="9" t="s">
        <v>154</v>
      </c>
      <c r="T1174" s="9" t="s">
        <v>48</v>
      </c>
      <c r="U1174" s="9">
        <v>920</v>
      </c>
      <c r="V1174" s="13">
        <v>0.48304347826086952</v>
      </c>
      <c r="W1174" s="13">
        <v>444.4</v>
      </c>
      <c r="X1174" s="14">
        <v>-34.651949458483749</v>
      </c>
      <c r="Y1174" s="13">
        <v>409.74805054151625</v>
      </c>
      <c r="Z1174" s="10">
        <v>45385</v>
      </c>
      <c r="AA1174" s="9">
        <v>440</v>
      </c>
      <c r="AC1174" s="9" t="s">
        <v>93</v>
      </c>
      <c r="AD1174" s="14">
        <v>42.936923076923073</v>
      </c>
      <c r="AF1174" s="14">
        <v>18.400000000000002</v>
      </c>
      <c r="AH1174" s="14">
        <v>61.336923076923071</v>
      </c>
      <c r="AI1174" s="13">
        <v>348.41112746459316</v>
      </c>
      <c r="AK1174" s="9">
        <v>920</v>
      </c>
    </row>
    <row r="1175" spans="1:37">
      <c r="A1175" s="9">
        <v>13</v>
      </c>
      <c r="B1175" s="9">
        <v>2024</v>
      </c>
      <c r="C1175" s="9" t="s">
        <v>46</v>
      </c>
      <c r="D1175" s="9" t="s">
        <v>47</v>
      </c>
      <c r="E1175" s="9" t="s">
        <v>47</v>
      </c>
      <c r="F1175" s="10">
        <v>45376</v>
      </c>
      <c r="G1175" s="9" t="s">
        <v>154</v>
      </c>
      <c r="H1175" s="9" t="s">
        <v>56</v>
      </c>
      <c r="I1175" s="9">
        <v>1</v>
      </c>
      <c r="J1175" s="9">
        <v>12</v>
      </c>
      <c r="K1175" s="9">
        <v>240</v>
      </c>
      <c r="L1175" s="9">
        <v>0.75</v>
      </c>
      <c r="M1175" s="9">
        <v>180</v>
      </c>
      <c r="N1175" s="9" t="s">
        <v>49</v>
      </c>
      <c r="Q1175" s="9">
        <f>IF(Auction_Sales[[#This Row],[Payment Date]]=0,"",-1+WEEKNUM(Auction_Sales[[#This Row],[Payment Date]]))</f>
        <v>13</v>
      </c>
      <c r="R1175" s="9">
        <v>-120</v>
      </c>
      <c r="S1175" s="9" t="s">
        <v>154</v>
      </c>
      <c r="T1175" s="9" t="s">
        <v>56</v>
      </c>
      <c r="U1175" s="9">
        <v>360</v>
      </c>
      <c r="V1175" s="13">
        <v>0.68555555555555558</v>
      </c>
      <c r="W1175" s="13">
        <v>246.8</v>
      </c>
      <c r="X1175" s="14">
        <v>-13.559458483754511</v>
      </c>
      <c r="Y1175" s="13">
        <v>233.24054151624551</v>
      </c>
      <c r="Z1175" s="10">
        <v>45385</v>
      </c>
      <c r="AA1175" s="9">
        <v>120</v>
      </c>
      <c r="AC1175" s="9" t="s">
        <v>93</v>
      </c>
      <c r="AD1175" s="14">
        <v>42.936923076923073</v>
      </c>
      <c r="AF1175" s="14">
        <v>7.2</v>
      </c>
      <c r="AH1175" s="14">
        <v>50.136923076923075</v>
      </c>
      <c r="AI1175" s="13">
        <v>183.10361843932245</v>
      </c>
      <c r="AK1175" s="9">
        <v>360</v>
      </c>
    </row>
    <row r="1176" spans="1:37">
      <c r="A1176" s="9">
        <v>13</v>
      </c>
      <c r="B1176" s="9">
        <v>2024</v>
      </c>
      <c r="C1176" s="9" t="s">
        <v>46</v>
      </c>
      <c r="D1176" s="9" t="s">
        <v>47</v>
      </c>
      <c r="E1176" s="9" t="s">
        <v>47</v>
      </c>
      <c r="F1176" s="10">
        <v>45376</v>
      </c>
      <c r="G1176" s="9" t="s">
        <v>154</v>
      </c>
      <c r="H1176" s="9" t="s">
        <v>57</v>
      </c>
      <c r="I1176" s="9">
        <v>1</v>
      </c>
      <c r="J1176" s="9">
        <v>12</v>
      </c>
      <c r="K1176" s="9">
        <v>200</v>
      </c>
      <c r="L1176" s="9">
        <v>0.94</v>
      </c>
      <c r="M1176" s="9">
        <v>188</v>
      </c>
      <c r="N1176" s="9" t="s">
        <v>49</v>
      </c>
      <c r="Q1176" s="9">
        <f>IF(Auction_Sales[[#This Row],[Payment Date]]=0,"",-1+WEEKNUM(Auction_Sales[[#This Row],[Payment Date]]))</f>
        <v>13</v>
      </c>
      <c r="R1176" s="9">
        <v>0</v>
      </c>
      <c r="S1176" s="9" t="s">
        <v>154</v>
      </c>
      <c r="T1176" s="9" t="s">
        <v>57</v>
      </c>
      <c r="U1176" s="9">
        <v>200</v>
      </c>
      <c r="V1176" s="13">
        <v>0.66</v>
      </c>
      <c r="W1176" s="13">
        <v>132</v>
      </c>
      <c r="X1176" s="14">
        <v>-7.5330324909747279</v>
      </c>
      <c r="Y1176" s="13">
        <v>124.46696750902527</v>
      </c>
      <c r="Z1176" s="10">
        <v>45385</v>
      </c>
      <c r="AA1176" s="9">
        <v>0</v>
      </c>
      <c r="AC1176" s="9" t="s">
        <v>93</v>
      </c>
      <c r="AD1176" s="14">
        <v>42.936923076923073</v>
      </c>
      <c r="AF1176" s="14">
        <v>4</v>
      </c>
      <c r="AH1176" s="14">
        <v>46.936923076923073</v>
      </c>
      <c r="AI1176" s="13">
        <v>77.530044432102187</v>
      </c>
      <c r="AK1176" s="9">
        <v>200</v>
      </c>
    </row>
    <row r="1177" spans="1:37">
      <c r="A1177" s="9">
        <v>13</v>
      </c>
      <c r="B1177" s="9">
        <v>2024</v>
      </c>
      <c r="C1177" s="9" t="s">
        <v>46</v>
      </c>
      <c r="D1177" s="9" t="s">
        <v>47</v>
      </c>
      <c r="E1177" s="9" t="s">
        <v>47</v>
      </c>
      <c r="F1177" s="10">
        <v>45376</v>
      </c>
      <c r="G1177" s="9" t="s">
        <v>155</v>
      </c>
      <c r="H1177" s="9" t="s">
        <v>51</v>
      </c>
      <c r="I1177" s="9">
        <v>1</v>
      </c>
      <c r="J1177" s="9">
        <v>12</v>
      </c>
      <c r="K1177" s="9">
        <v>760</v>
      </c>
      <c r="L1177" s="9">
        <v>0.38</v>
      </c>
      <c r="M1177" s="9">
        <v>288.8</v>
      </c>
      <c r="N1177" s="9" t="s">
        <v>49</v>
      </c>
      <c r="Q1177" s="9">
        <f>IF(Auction_Sales[[#This Row],[Payment Date]]=0,"",-1+WEEKNUM(Auction_Sales[[#This Row],[Payment Date]]))</f>
        <v>13</v>
      </c>
      <c r="R1177" s="9">
        <v>760</v>
      </c>
      <c r="S1177" s="9" t="s">
        <v>155</v>
      </c>
      <c r="T1177" s="9" t="s">
        <v>51</v>
      </c>
      <c r="W1177" s="13">
        <v>0</v>
      </c>
      <c r="X1177" s="14">
        <v>0</v>
      </c>
      <c r="Y1177" s="13">
        <v>0</v>
      </c>
      <c r="Z1177" s="10">
        <v>45385</v>
      </c>
      <c r="AA1177" s="9">
        <v>-760</v>
      </c>
      <c r="AC1177" s="9" t="s">
        <v>93</v>
      </c>
      <c r="AD1177" s="14">
        <v>42.936923076923073</v>
      </c>
      <c r="AF1177" s="14">
        <v>0</v>
      </c>
      <c r="AH1177" s="14">
        <v>42.936923076923073</v>
      </c>
      <c r="AI1177" s="13">
        <v>-42.936923076923073</v>
      </c>
      <c r="AK1177" s="9">
        <v>0</v>
      </c>
    </row>
    <row r="1178" spans="1:37">
      <c r="A1178" s="9">
        <v>13</v>
      </c>
      <c r="B1178" s="9">
        <v>2024</v>
      </c>
      <c r="C1178" s="9" t="s">
        <v>46</v>
      </c>
      <c r="D1178" s="9" t="s">
        <v>47</v>
      </c>
      <c r="E1178" s="9" t="s">
        <v>47</v>
      </c>
      <c r="F1178" s="10">
        <v>45376</v>
      </c>
      <c r="G1178" s="9" t="s">
        <v>155</v>
      </c>
      <c r="H1178" s="9" t="s">
        <v>51</v>
      </c>
      <c r="I1178" s="9">
        <v>1</v>
      </c>
      <c r="J1178" s="9">
        <v>12</v>
      </c>
      <c r="K1178" s="9">
        <v>640</v>
      </c>
      <c r="L1178" s="9">
        <v>0.38</v>
      </c>
      <c r="M1178" s="9">
        <v>243.2</v>
      </c>
      <c r="N1178" s="9" t="s">
        <v>49</v>
      </c>
      <c r="Q1178" s="9">
        <f>IF(Auction_Sales[[#This Row],[Payment Date]]=0,"",-1+WEEKNUM(Auction_Sales[[#This Row],[Payment Date]]))</f>
        <v>13</v>
      </c>
      <c r="R1178" s="9">
        <v>-760</v>
      </c>
      <c r="S1178" s="9" t="s">
        <v>155</v>
      </c>
      <c r="T1178" s="9" t="s">
        <v>51</v>
      </c>
      <c r="U1178" s="9">
        <v>1400</v>
      </c>
      <c r="V1178" s="13">
        <v>0.22828571428571431</v>
      </c>
      <c r="W1178" s="13">
        <v>319.60000000000002</v>
      </c>
      <c r="X1178" s="14">
        <v>-52.731227436823097</v>
      </c>
      <c r="Y1178" s="13">
        <v>266.86877256317695</v>
      </c>
      <c r="Z1178" s="10">
        <v>45385</v>
      </c>
      <c r="AA1178" s="9">
        <v>760</v>
      </c>
      <c r="AC1178" s="9" t="s">
        <v>93</v>
      </c>
      <c r="AD1178" s="14">
        <v>42.936923076923073</v>
      </c>
      <c r="AF1178" s="14">
        <v>28</v>
      </c>
      <c r="AH1178" s="14">
        <v>70.93692307692308</v>
      </c>
      <c r="AI1178" s="13">
        <v>195.93184948625387</v>
      </c>
      <c r="AK1178" s="9">
        <v>1400</v>
      </c>
    </row>
    <row r="1179" spans="1:37">
      <c r="A1179" s="9">
        <v>13</v>
      </c>
      <c r="B1179" s="9">
        <v>2024</v>
      </c>
      <c r="C1179" s="9" t="s">
        <v>46</v>
      </c>
      <c r="D1179" s="9" t="s">
        <v>47</v>
      </c>
      <c r="E1179" s="9" t="s">
        <v>47</v>
      </c>
      <c r="F1179" s="10">
        <v>45376</v>
      </c>
      <c r="G1179" s="9" t="s">
        <v>155</v>
      </c>
      <c r="H1179" s="9" t="s">
        <v>48</v>
      </c>
      <c r="I1179" s="9">
        <v>3</v>
      </c>
      <c r="J1179" s="9">
        <v>36</v>
      </c>
      <c r="K1179" s="9">
        <v>1560</v>
      </c>
      <c r="L1179" s="9">
        <v>0.47</v>
      </c>
      <c r="M1179" s="9">
        <v>733.2</v>
      </c>
      <c r="N1179" s="9" t="s">
        <v>49</v>
      </c>
      <c r="Q1179" s="9">
        <f>IF(Auction_Sales[[#This Row],[Payment Date]]=0,"",-1+WEEKNUM(Auction_Sales[[#This Row],[Payment Date]]))</f>
        <v>13</v>
      </c>
      <c r="R1179" s="9">
        <v>-160</v>
      </c>
      <c r="S1179" s="9" t="s">
        <v>155</v>
      </c>
      <c r="T1179" s="9" t="s">
        <v>48</v>
      </c>
      <c r="U1179" s="9">
        <v>1720</v>
      </c>
      <c r="V1179" s="13">
        <v>0.36534883720930234</v>
      </c>
      <c r="W1179" s="13">
        <v>628.4</v>
      </c>
      <c r="X1179" s="14">
        <v>-64.784079422382661</v>
      </c>
      <c r="Y1179" s="13">
        <v>563.61592057761732</v>
      </c>
      <c r="Z1179" s="10">
        <v>45385</v>
      </c>
      <c r="AA1179" s="9">
        <v>160</v>
      </c>
      <c r="AC1179" s="9" t="s">
        <v>93</v>
      </c>
      <c r="AD1179" s="14">
        <v>128.81076923076924</v>
      </c>
      <c r="AF1179" s="14">
        <v>34.4</v>
      </c>
      <c r="AH1179" s="14">
        <v>163.21076923076924</v>
      </c>
      <c r="AI1179" s="13">
        <v>400.40515134684807</v>
      </c>
      <c r="AK1179" s="9">
        <v>1720</v>
      </c>
    </row>
    <row r="1180" spans="1:37">
      <c r="A1180" s="9">
        <v>13</v>
      </c>
      <c r="B1180" s="9">
        <v>2024</v>
      </c>
      <c r="C1180" s="9" t="s">
        <v>46</v>
      </c>
      <c r="D1180" s="9" t="s">
        <v>47</v>
      </c>
      <c r="E1180" s="9" t="s">
        <v>47</v>
      </c>
      <c r="F1180" s="10">
        <v>45376</v>
      </c>
      <c r="G1180" s="9" t="s">
        <v>155</v>
      </c>
      <c r="H1180" s="9" t="s">
        <v>52</v>
      </c>
      <c r="I1180" s="9">
        <v>1</v>
      </c>
      <c r="J1180" s="9">
        <v>12</v>
      </c>
      <c r="K1180" s="9">
        <v>400</v>
      </c>
      <c r="L1180" s="9">
        <v>0.52</v>
      </c>
      <c r="M1180" s="9">
        <v>208</v>
      </c>
      <c r="N1180" s="9" t="s">
        <v>49</v>
      </c>
      <c r="Q1180" s="9">
        <f>IF(Auction_Sales[[#This Row],[Payment Date]]=0,"",-1+WEEKNUM(Auction_Sales[[#This Row],[Payment Date]]))</f>
        <v>13</v>
      </c>
      <c r="R1180" s="9">
        <v>400</v>
      </c>
      <c r="S1180" s="9" t="s">
        <v>155</v>
      </c>
      <c r="T1180" s="9" t="s">
        <v>52</v>
      </c>
      <c r="W1180" s="13">
        <v>0</v>
      </c>
      <c r="X1180" s="14">
        <v>0</v>
      </c>
      <c r="Y1180" s="13">
        <v>0</v>
      </c>
      <c r="Z1180" s="10">
        <v>45385</v>
      </c>
      <c r="AA1180" s="9">
        <v>-400</v>
      </c>
      <c r="AC1180" s="9" t="s">
        <v>93</v>
      </c>
      <c r="AD1180" s="14">
        <v>42.936923076923073</v>
      </c>
      <c r="AF1180" s="14">
        <v>0</v>
      </c>
      <c r="AH1180" s="14">
        <v>42.936923076923073</v>
      </c>
      <c r="AI1180" s="13">
        <v>-42.936923076923073</v>
      </c>
      <c r="AK1180" s="9">
        <v>0</v>
      </c>
    </row>
    <row r="1181" spans="1:37">
      <c r="A1181" s="9">
        <v>13</v>
      </c>
      <c r="B1181" s="9">
        <v>2024</v>
      </c>
      <c r="C1181" s="9" t="s">
        <v>46</v>
      </c>
      <c r="D1181" s="9" t="s">
        <v>47</v>
      </c>
      <c r="E1181" s="9" t="s">
        <v>47</v>
      </c>
      <c r="F1181" s="10">
        <v>45376</v>
      </c>
      <c r="G1181" s="9" t="s">
        <v>155</v>
      </c>
      <c r="H1181" s="9" t="s">
        <v>56</v>
      </c>
      <c r="I1181" s="9">
        <v>1</v>
      </c>
      <c r="J1181" s="9">
        <v>12</v>
      </c>
      <c r="K1181" s="9">
        <v>200</v>
      </c>
      <c r="L1181" s="9">
        <v>0.75</v>
      </c>
      <c r="M1181" s="9">
        <v>150</v>
      </c>
      <c r="N1181" s="9" t="s">
        <v>49</v>
      </c>
      <c r="Q1181" s="9">
        <f>IF(Auction_Sales[[#This Row],[Payment Date]]=0,"",-1+WEEKNUM(Auction_Sales[[#This Row],[Payment Date]]))</f>
        <v>13</v>
      </c>
      <c r="R1181" s="9">
        <v>200</v>
      </c>
      <c r="S1181" s="9" t="s">
        <v>155</v>
      </c>
      <c r="T1181" s="9" t="s">
        <v>56</v>
      </c>
      <c r="W1181" s="13">
        <v>0</v>
      </c>
      <c r="X1181" s="14">
        <v>0</v>
      </c>
      <c r="Y1181" s="13">
        <v>0</v>
      </c>
      <c r="Z1181" s="10">
        <v>45385</v>
      </c>
      <c r="AA1181" s="9">
        <v>-200</v>
      </c>
      <c r="AC1181" s="9" t="s">
        <v>93</v>
      </c>
      <c r="AD1181" s="14">
        <v>42.936923076923073</v>
      </c>
      <c r="AF1181" s="14">
        <v>0</v>
      </c>
      <c r="AH1181" s="14">
        <v>42.936923076923073</v>
      </c>
      <c r="AI1181" s="13">
        <v>-42.936923076923073</v>
      </c>
      <c r="AK1181" s="9">
        <v>0</v>
      </c>
    </row>
    <row r="1182" spans="1:37">
      <c r="A1182" s="9">
        <v>13</v>
      </c>
      <c r="B1182" s="9">
        <v>2024</v>
      </c>
      <c r="C1182" s="9" t="s">
        <v>46</v>
      </c>
      <c r="D1182" s="9" t="s">
        <v>47</v>
      </c>
      <c r="E1182" s="9" t="s">
        <v>47</v>
      </c>
      <c r="F1182" s="10">
        <v>45376</v>
      </c>
      <c r="G1182" s="9" t="s">
        <v>155</v>
      </c>
      <c r="H1182" s="9" t="s">
        <v>56</v>
      </c>
      <c r="I1182" s="9">
        <v>1</v>
      </c>
      <c r="J1182" s="9">
        <v>12</v>
      </c>
      <c r="K1182" s="9">
        <v>240</v>
      </c>
      <c r="L1182" s="9">
        <v>0.75</v>
      </c>
      <c r="M1182" s="9">
        <v>180</v>
      </c>
      <c r="N1182" s="9" t="s">
        <v>49</v>
      </c>
      <c r="Q1182" s="9">
        <f>IF(Auction_Sales[[#This Row],[Payment Date]]=0,"",-1+WEEKNUM(Auction_Sales[[#This Row],[Payment Date]]))</f>
        <v>13</v>
      </c>
      <c r="R1182" s="9">
        <v>-200</v>
      </c>
      <c r="S1182" s="9" t="s">
        <v>155</v>
      </c>
      <c r="T1182" s="9" t="s">
        <v>56</v>
      </c>
      <c r="U1182" s="9">
        <v>440</v>
      </c>
      <c r="V1182" s="13">
        <v>0.69272727272727275</v>
      </c>
      <c r="W1182" s="13">
        <v>304.8</v>
      </c>
      <c r="X1182" s="14">
        <v>-16.5726714801444</v>
      </c>
      <c r="Y1182" s="13">
        <v>288.22732851985563</v>
      </c>
      <c r="Z1182" s="10">
        <v>45385</v>
      </c>
      <c r="AA1182" s="9">
        <v>200</v>
      </c>
      <c r="AC1182" s="9" t="s">
        <v>93</v>
      </c>
      <c r="AD1182" s="14">
        <v>42.936923076923073</v>
      </c>
      <c r="AF1182" s="14">
        <v>8.8000000000000007</v>
      </c>
      <c r="AH1182" s="14">
        <v>51.736923076923077</v>
      </c>
      <c r="AI1182" s="13">
        <v>236.49040544293257</v>
      </c>
      <c r="AK1182" s="9">
        <v>440</v>
      </c>
    </row>
    <row r="1183" spans="1:37">
      <c r="A1183" s="9">
        <v>13</v>
      </c>
      <c r="B1183" s="9">
        <v>2024</v>
      </c>
      <c r="C1183" s="9" t="s">
        <v>46</v>
      </c>
      <c r="D1183" s="9" t="s">
        <v>47</v>
      </c>
      <c r="E1183" s="9" t="s">
        <v>47</v>
      </c>
      <c r="F1183" s="10">
        <v>45376</v>
      </c>
      <c r="G1183" s="9" t="s">
        <v>155</v>
      </c>
      <c r="H1183" s="9" t="s">
        <v>57</v>
      </c>
      <c r="I1183" s="9">
        <v>2</v>
      </c>
      <c r="J1183" s="9">
        <v>24</v>
      </c>
      <c r="K1183" s="9">
        <v>400</v>
      </c>
      <c r="L1183" s="9">
        <v>0.94</v>
      </c>
      <c r="M1183" s="9">
        <v>376</v>
      </c>
      <c r="N1183" s="9" t="s">
        <v>49</v>
      </c>
      <c r="Q1183" s="9">
        <f>IF(Auction_Sales[[#This Row],[Payment Date]]=0,"",-1+WEEKNUM(Auction_Sales[[#This Row],[Payment Date]]))</f>
        <v>13</v>
      </c>
      <c r="R1183" s="9">
        <v>-80</v>
      </c>
      <c r="S1183" s="9" t="s">
        <v>155</v>
      </c>
      <c r="T1183" s="9" t="s">
        <v>57</v>
      </c>
      <c r="U1183" s="9">
        <v>480</v>
      </c>
      <c r="V1183" s="13">
        <v>0.77250000000000008</v>
      </c>
      <c r="W1183" s="13">
        <v>370.8</v>
      </c>
      <c r="X1183" s="14">
        <v>-18.079277978339348</v>
      </c>
      <c r="Y1183" s="13">
        <v>352.72072202166066</v>
      </c>
      <c r="Z1183" s="10">
        <v>45385</v>
      </c>
      <c r="AA1183" s="9">
        <v>80</v>
      </c>
      <c r="AC1183" s="9" t="s">
        <v>93</v>
      </c>
      <c r="AD1183" s="14">
        <v>85.873846153846145</v>
      </c>
      <c r="AF1183" s="14">
        <v>9.6</v>
      </c>
      <c r="AH1183" s="14">
        <v>95.473846153846139</v>
      </c>
      <c r="AI1183" s="13">
        <v>257.24687586781454</v>
      </c>
      <c r="AK1183" s="9">
        <v>480</v>
      </c>
    </row>
    <row r="1184" spans="1:37">
      <c r="A1184" s="9">
        <v>13</v>
      </c>
      <c r="B1184" s="9">
        <v>2024</v>
      </c>
      <c r="C1184" s="9" t="s">
        <v>46</v>
      </c>
      <c r="D1184" s="9" t="s">
        <v>47</v>
      </c>
      <c r="E1184" s="9" t="s">
        <v>47</v>
      </c>
      <c r="F1184" s="10">
        <v>45376</v>
      </c>
      <c r="G1184" s="9" t="s">
        <v>154</v>
      </c>
      <c r="H1184" s="9" t="s">
        <v>54</v>
      </c>
      <c r="I1184" s="9">
        <v>1</v>
      </c>
      <c r="J1184" s="9">
        <v>4.8000000000000007</v>
      </c>
      <c r="K1184" s="9">
        <v>160</v>
      </c>
      <c r="L1184" s="9">
        <v>0.56999999999999995</v>
      </c>
      <c r="M1184" s="9">
        <v>91.2</v>
      </c>
      <c r="N1184" s="9" t="s">
        <v>49</v>
      </c>
      <c r="Q1184" s="9">
        <f>IF(Auction_Sales[[#This Row],[Payment Date]]=0,"",-1+WEEKNUM(Auction_Sales[[#This Row],[Payment Date]]))</f>
        <v>13</v>
      </c>
      <c r="R1184" s="9">
        <v>40</v>
      </c>
      <c r="S1184" s="9" t="s">
        <v>154</v>
      </c>
      <c r="T1184" s="9" t="s">
        <v>54</v>
      </c>
      <c r="U1184" s="9">
        <v>120</v>
      </c>
      <c r="V1184" s="13">
        <v>0.94</v>
      </c>
      <c r="W1184" s="13">
        <v>112.8</v>
      </c>
      <c r="X1184" s="14">
        <v>-4.5198194945848371</v>
      </c>
      <c r="Y1184" s="13">
        <v>108.28018050541516</v>
      </c>
      <c r="Z1184" s="10">
        <v>45385</v>
      </c>
      <c r="AA1184" s="9">
        <v>-40</v>
      </c>
      <c r="AC1184" s="9" t="s">
        <v>93</v>
      </c>
      <c r="AD1184" s="14">
        <v>17.174769230769233</v>
      </c>
      <c r="AF1184" s="14">
        <v>2.4</v>
      </c>
      <c r="AH1184" s="14">
        <v>19.574769230769231</v>
      </c>
      <c r="AI1184" s="13">
        <v>88.705411274645925</v>
      </c>
      <c r="AK1184" s="9">
        <v>120</v>
      </c>
    </row>
    <row r="1185" spans="1:37">
      <c r="A1185" s="9">
        <v>13</v>
      </c>
      <c r="B1185" s="9">
        <v>2024</v>
      </c>
      <c r="C1185" s="9" t="s">
        <v>46</v>
      </c>
      <c r="D1185" s="9" t="s">
        <v>47</v>
      </c>
      <c r="E1185" s="9" t="s">
        <v>47</v>
      </c>
      <c r="F1185" s="10">
        <v>45376</v>
      </c>
      <c r="G1185" s="9" t="s">
        <v>154</v>
      </c>
      <c r="H1185" s="9" t="s">
        <v>52</v>
      </c>
      <c r="J1185" s="9">
        <v>7.1999999999999993</v>
      </c>
      <c r="K1185" s="9">
        <v>240</v>
      </c>
      <c r="L1185" s="9">
        <v>0.52</v>
      </c>
      <c r="M1185" s="9">
        <v>124.8</v>
      </c>
      <c r="N1185" s="9" t="s">
        <v>49</v>
      </c>
      <c r="Q1185" s="9">
        <f>IF(Auction_Sales[[#This Row],[Payment Date]]=0,"",-1+WEEKNUM(Auction_Sales[[#This Row],[Payment Date]]))</f>
        <v>13</v>
      </c>
      <c r="R1185" s="9">
        <v>0</v>
      </c>
      <c r="S1185" s="9" t="s">
        <v>154</v>
      </c>
      <c r="T1185" s="9" t="s">
        <v>52</v>
      </c>
      <c r="U1185" s="9">
        <v>240</v>
      </c>
      <c r="V1185" s="13">
        <v>0.73166666666666669</v>
      </c>
      <c r="W1185" s="13">
        <v>175.6</v>
      </c>
      <c r="X1185" s="14">
        <v>-9.0396389891696742</v>
      </c>
      <c r="Y1185" s="13">
        <v>166.56036101083032</v>
      </c>
      <c r="Z1185" s="10">
        <v>45385</v>
      </c>
      <c r="AA1185" s="9">
        <v>0</v>
      </c>
      <c r="AC1185" s="9" t="s">
        <v>93</v>
      </c>
      <c r="AD1185" s="14">
        <v>25.76215384615384</v>
      </c>
      <c r="AF1185" s="14">
        <v>4.8</v>
      </c>
      <c r="AH1185" s="14">
        <v>30.562153846153841</v>
      </c>
      <c r="AI1185" s="13">
        <v>135.99820716467647</v>
      </c>
      <c r="AK1185" s="9">
        <v>240</v>
      </c>
    </row>
    <row r="1186" spans="1:37">
      <c r="A1186" s="9">
        <v>13</v>
      </c>
      <c r="B1186" s="9">
        <v>2024</v>
      </c>
      <c r="C1186" s="9" t="s">
        <v>46</v>
      </c>
      <c r="D1186" s="9" t="s">
        <v>47</v>
      </c>
      <c r="E1186" s="9" t="s">
        <v>47</v>
      </c>
      <c r="F1186" s="10">
        <v>45376</v>
      </c>
      <c r="G1186" s="9" t="s">
        <v>155</v>
      </c>
      <c r="H1186" s="9" t="s">
        <v>52</v>
      </c>
      <c r="I1186" s="9">
        <v>1</v>
      </c>
      <c r="J1186" s="9">
        <v>9</v>
      </c>
      <c r="K1186" s="9">
        <v>240</v>
      </c>
      <c r="L1186" s="9">
        <v>0.52</v>
      </c>
      <c r="M1186" s="9">
        <v>124.8</v>
      </c>
      <c r="N1186" s="9" t="s">
        <v>49</v>
      </c>
      <c r="Q1186" s="9">
        <f>IF(Auction_Sales[[#This Row],[Payment Date]]=0,"",-1+WEEKNUM(Auction_Sales[[#This Row],[Payment Date]]))</f>
        <v>13</v>
      </c>
      <c r="R1186" s="9">
        <v>-400</v>
      </c>
      <c r="S1186" s="9" t="s">
        <v>155</v>
      </c>
      <c r="T1186" s="9" t="s">
        <v>52</v>
      </c>
      <c r="U1186" s="9">
        <v>640</v>
      </c>
      <c r="V1186" s="13">
        <v>0.66562500000000002</v>
      </c>
      <c r="W1186" s="13">
        <v>426</v>
      </c>
      <c r="X1186" s="14">
        <v>-24.10570397111913</v>
      </c>
      <c r="Y1186" s="13">
        <v>401.89429602888089</v>
      </c>
      <c r="Z1186" s="10">
        <v>45385</v>
      </c>
      <c r="AA1186" s="9">
        <v>400</v>
      </c>
      <c r="AC1186" s="9" t="s">
        <v>93</v>
      </c>
      <c r="AD1186" s="14">
        <v>32.20269230769231</v>
      </c>
      <c r="AF1186" s="14">
        <v>12.8</v>
      </c>
      <c r="AH1186" s="14">
        <v>45.002692307692314</v>
      </c>
      <c r="AI1186" s="13">
        <v>356.89160372118857</v>
      </c>
      <c r="AK1186" s="9">
        <v>640</v>
      </c>
    </row>
    <row r="1187" spans="1:37">
      <c r="A1187" s="9">
        <v>13</v>
      </c>
      <c r="B1187" s="9">
        <v>2024</v>
      </c>
      <c r="C1187" s="9" t="s">
        <v>46</v>
      </c>
      <c r="D1187" s="9" t="s">
        <v>47</v>
      </c>
      <c r="E1187" s="9" t="s">
        <v>47</v>
      </c>
      <c r="F1187" s="10">
        <v>45376</v>
      </c>
      <c r="G1187" s="9" t="s">
        <v>155</v>
      </c>
      <c r="H1187" s="9" t="s">
        <v>57</v>
      </c>
      <c r="J1187" s="9">
        <v>3</v>
      </c>
      <c r="K1187" s="9">
        <v>80</v>
      </c>
      <c r="L1187" s="9">
        <v>0.94</v>
      </c>
      <c r="M1187" s="9">
        <v>75.2</v>
      </c>
      <c r="N1187" s="9" t="s">
        <v>49</v>
      </c>
      <c r="Q1187" s="9">
        <f>IF(Auction_Sales[[#This Row],[Payment Date]]=0,"",-1+WEEKNUM(Auction_Sales[[#This Row],[Payment Date]]))</f>
        <v>13</v>
      </c>
      <c r="R1187" s="9">
        <v>80</v>
      </c>
      <c r="S1187" s="9" t="s">
        <v>155</v>
      </c>
      <c r="T1187" s="9" t="s">
        <v>57</v>
      </c>
      <c r="W1187" s="13">
        <v>0</v>
      </c>
      <c r="X1187" s="14">
        <v>0</v>
      </c>
      <c r="Y1187" s="13">
        <v>0</v>
      </c>
      <c r="Z1187" s="10">
        <v>45385</v>
      </c>
      <c r="AA1187" s="9">
        <v>-80</v>
      </c>
      <c r="AC1187" s="9" t="s">
        <v>93</v>
      </c>
      <c r="AD1187" s="14">
        <v>10.734230769230768</v>
      </c>
      <c r="AF1187" s="14">
        <v>0</v>
      </c>
      <c r="AH1187" s="14">
        <v>10.734230769230768</v>
      </c>
      <c r="AI1187" s="13">
        <v>-10.734230769230768</v>
      </c>
      <c r="AK1187" s="9">
        <v>0</v>
      </c>
    </row>
    <row r="1188" spans="1:37">
      <c r="A1188" s="9">
        <v>13</v>
      </c>
      <c r="B1188" s="9">
        <v>2024</v>
      </c>
      <c r="C1188" s="9" t="s">
        <v>46</v>
      </c>
      <c r="D1188" s="9" t="s">
        <v>47</v>
      </c>
      <c r="E1188" s="9" t="s">
        <v>47</v>
      </c>
      <c r="F1188" s="10">
        <v>45376</v>
      </c>
      <c r="G1188" s="9" t="s">
        <v>155</v>
      </c>
      <c r="H1188" s="9" t="s">
        <v>48</v>
      </c>
      <c r="I1188" s="9">
        <v>1</v>
      </c>
      <c r="J1188" s="9">
        <v>4.8000000000000007</v>
      </c>
      <c r="K1188" s="9">
        <v>160</v>
      </c>
      <c r="L1188" s="9">
        <v>0.47</v>
      </c>
      <c r="M1188" s="9">
        <v>75.2</v>
      </c>
      <c r="N1188" s="9" t="s">
        <v>49</v>
      </c>
      <c r="Q1188" s="9">
        <f>IF(Auction_Sales[[#This Row],[Payment Date]]=0,"",-1+WEEKNUM(Auction_Sales[[#This Row],[Payment Date]]))</f>
        <v>13</v>
      </c>
      <c r="R1188" s="9">
        <v>160</v>
      </c>
      <c r="S1188" s="9" t="s">
        <v>155</v>
      </c>
      <c r="T1188" s="9" t="s">
        <v>48</v>
      </c>
      <c r="W1188" s="13">
        <v>0</v>
      </c>
      <c r="X1188" s="14">
        <v>0</v>
      </c>
      <c r="Y1188" s="13">
        <v>0</v>
      </c>
      <c r="Z1188" s="10">
        <v>45385</v>
      </c>
      <c r="AA1188" s="9">
        <v>-160</v>
      </c>
      <c r="AC1188" s="9" t="s">
        <v>93</v>
      </c>
      <c r="AD1188" s="14">
        <v>17.174769230769233</v>
      </c>
      <c r="AF1188" s="14">
        <v>0</v>
      </c>
      <c r="AH1188" s="14">
        <v>17.174769230769233</v>
      </c>
      <c r="AI1188" s="13">
        <v>-17.174769230769233</v>
      </c>
      <c r="AK1188" s="9">
        <v>0</v>
      </c>
    </row>
    <row r="1189" spans="1:37">
      <c r="A1189" s="9">
        <v>13</v>
      </c>
      <c r="B1189" s="9">
        <v>2024</v>
      </c>
      <c r="C1189" s="9" t="s">
        <v>46</v>
      </c>
      <c r="D1189" s="9" t="s">
        <v>47</v>
      </c>
      <c r="E1189" s="9" t="s">
        <v>47</v>
      </c>
      <c r="F1189" s="10">
        <v>45376</v>
      </c>
      <c r="G1189" s="9" t="s">
        <v>155</v>
      </c>
      <c r="H1189" s="9" t="s">
        <v>54</v>
      </c>
      <c r="J1189" s="9">
        <v>7.1999999999999993</v>
      </c>
      <c r="K1189" s="9">
        <v>240</v>
      </c>
      <c r="L1189" s="9">
        <v>0.56999999999999995</v>
      </c>
      <c r="M1189" s="9">
        <v>136.80000000000001</v>
      </c>
      <c r="N1189" s="9" t="s">
        <v>49</v>
      </c>
      <c r="Q1189" s="9">
        <f>IF(Auction_Sales[[#This Row],[Payment Date]]=0,"",-1+WEEKNUM(Auction_Sales[[#This Row],[Payment Date]]))</f>
        <v>13</v>
      </c>
      <c r="R1189" s="9">
        <v>0</v>
      </c>
      <c r="S1189" s="9" t="s">
        <v>155</v>
      </c>
      <c r="T1189" s="9" t="s">
        <v>54</v>
      </c>
      <c r="U1189" s="9">
        <v>240</v>
      </c>
      <c r="V1189" s="13">
        <v>0.79666666666666663</v>
      </c>
      <c r="W1189" s="13">
        <v>191.2</v>
      </c>
      <c r="X1189" s="14">
        <v>-9.0396389891696742</v>
      </c>
      <c r="Y1189" s="13">
        <v>182.16036101083031</v>
      </c>
      <c r="Z1189" s="10">
        <v>45385</v>
      </c>
      <c r="AA1189" s="9">
        <v>0</v>
      </c>
      <c r="AC1189" s="9" t="s">
        <v>93</v>
      </c>
      <c r="AD1189" s="14">
        <v>25.76215384615384</v>
      </c>
      <c r="AF1189" s="14">
        <v>4.8</v>
      </c>
      <c r="AH1189" s="14">
        <v>30.562153846153841</v>
      </c>
      <c r="AI1189" s="13">
        <v>151.59820716467647</v>
      </c>
      <c r="AK1189" s="9">
        <v>240</v>
      </c>
    </row>
    <row r="1190" spans="1:37">
      <c r="A1190" s="9">
        <v>13</v>
      </c>
      <c r="B1190" s="9">
        <v>2024</v>
      </c>
      <c r="C1190" s="9" t="s">
        <v>46</v>
      </c>
      <c r="D1190" s="9" t="s">
        <v>47</v>
      </c>
      <c r="E1190" s="9" t="s">
        <v>47</v>
      </c>
      <c r="F1190" s="10">
        <v>45376</v>
      </c>
      <c r="G1190" s="9" t="s">
        <v>154</v>
      </c>
      <c r="H1190" s="9" t="s">
        <v>51</v>
      </c>
      <c r="I1190" s="9">
        <v>1</v>
      </c>
      <c r="J1190" s="9">
        <v>9</v>
      </c>
      <c r="K1190" s="9">
        <v>360</v>
      </c>
      <c r="L1190" s="9">
        <v>0.38</v>
      </c>
      <c r="M1190" s="9">
        <v>136.80000000000001</v>
      </c>
      <c r="N1190" s="9" t="s">
        <v>49</v>
      </c>
      <c r="Q1190" s="9">
        <f>IF(Auction_Sales[[#This Row],[Payment Date]]=0,"",-1+WEEKNUM(Auction_Sales[[#This Row],[Payment Date]]))</f>
        <v>13</v>
      </c>
      <c r="R1190" s="9">
        <v>0</v>
      </c>
      <c r="S1190" s="9" t="s">
        <v>154</v>
      </c>
      <c r="T1190" s="9" t="s">
        <v>51</v>
      </c>
      <c r="U1190" s="9">
        <v>360</v>
      </c>
      <c r="V1190" s="13">
        <v>0.22555555555555556</v>
      </c>
      <c r="W1190" s="13">
        <v>81.2</v>
      </c>
      <c r="X1190" s="14">
        <v>-13.559458483754511</v>
      </c>
      <c r="Y1190" s="13">
        <v>67.640541516245491</v>
      </c>
      <c r="Z1190" s="10">
        <v>45385</v>
      </c>
      <c r="AA1190" s="9">
        <v>0</v>
      </c>
      <c r="AC1190" s="9" t="s">
        <v>93</v>
      </c>
      <c r="AD1190" s="14">
        <v>32.20269230769231</v>
      </c>
      <c r="AF1190" s="14">
        <v>7.2</v>
      </c>
      <c r="AH1190" s="14">
        <v>39.402692307692313</v>
      </c>
      <c r="AI1190" s="13">
        <v>28.237849208553179</v>
      </c>
      <c r="AK1190" s="9">
        <v>360</v>
      </c>
    </row>
    <row r="1191" spans="1:37">
      <c r="A1191" s="9">
        <v>13</v>
      </c>
      <c r="B1191" s="9">
        <v>2024</v>
      </c>
      <c r="C1191" s="9" t="s">
        <v>46</v>
      </c>
      <c r="D1191" s="9" t="s">
        <v>47</v>
      </c>
      <c r="E1191" s="9" t="s">
        <v>47</v>
      </c>
      <c r="F1191" s="10">
        <v>45376</v>
      </c>
      <c r="G1191" s="9" t="s">
        <v>154</v>
      </c>
      <c r="H1191" s="9" t="s">
        <v>56</v>
      </c>
      <c r="J1191" s="9">
        <v>3</v>
      </c>
      <c r="K1191" s="9">
        <v>120</v>
      </c>
      <c r="L1191" s="9">
        <v>0.75</v>
      </c>
      <c r="M1191" s="9">
        <v>90</v>
      </c>
      <c r="N1191" s="9" t="s">
        <v>49</v>
      </c>
      <c r="Q1191" s="9">
        <f>IF(Auction_Sales[[#This Row],[Payment Date]]=0,"",-1+WEEKNUM(Auction_Sales[[#This Row],[Payment Date]]))</f>
        <v>13</v>
      </c>
      <c r="R1191" s="9">
        <v>120</v>
      </c>
      <c r="S1191" s="9" t="s">
        <v>154</v>
      </c>
      <c r="T1191" s="9" t="s">
        <v>56</v>
      </c>
      <c r="W1191" s="13">
        <v>0</v>
      </c>
      <c r="X1191" s="14">
        <v>0</v>
      </c>
      <c r="Y1191" s="13">
        <v>0</v>
      </c>
      <c r="Z1191" s="10">
        <v>45385</v>
      </c>
      <c r="AA1191" s="9">
        <v>-120</v>
      </c>
      <c r="AC1191" s="9" t="s">
        <v>93</v>
      </c>
      <c r="AD1191" s="14">
        <v>10.734230769230768</v>
      </c>
      <c r="AF1191" s="14">
        <v>0</v>
      </c>
      <c r="AH1191" s="14">
        <v>10.734230769230768</v>
      </c>
      <c r="AI1191" s="13">
        <v>-10.734230769230768</v>
      </c>
      <c r="AK1191" s="9">
        <v>0</v>
      </c>
    </row>
    <row r="1192" spans="1:37">
      <c r="A1192" s="9">
        <v>13</v>
      </c>
      <c r="B1192" s="9">
        <v>2024</v>
      </c>
      <c r="C1192" s="9" t="s">
        <v>46</v>
      </c>
      <c r="D1192" s="9" t="s">
        <v>47</v>
      </c>
      <c r="E1192" s="9" t="s">
        <v>47</v>
      </c>
      <c r="F1192" s="10">
        <v>45376</v>
      </c>
      <c r="G1192" s="9" t="s">
        <v>153</v>
      </c>
      <c r="H1192" s="9" t="s">
        <v>54</v>
      </c>
      <c r="I1192" s="9">
        <v>1</v>
      </c>
      <c r="J1192" s="9">
        <v>8.3999999999999986</v>
      </c>
      <c r="K1192" s="9">
        <v>280</v>
      </c>
      <c r="L1192" s="9">
        <v>0.33</v>
      </c>
      <c r="M1192" s="9">
        <v>92.4</v>
      </c>
      <c r="N1192" s="9" t="s">
        <v>49</v>
      </c>
      <c r="Q1192" s="9">
        <f>IF(Auction_Sales[[#This Row],[Payment Date]]=0,"",-1+WEEKNUM(Auction_Sales[[#This Row],[Payment Date]]))</f>
        <v>13</v>
      </c>
      <c r="R1192" s="9">
        <v>280</v>
      </c>
      <c r="S1192" s="9" t="s">
        <v>153</v>
      </c>
      <c r="T1192" s="9" t="s">
        <v>54</v>
      </c>
      <c r="W1192" s="13">
        <v>0</v>
      </c>
      <c r="X1192" s="14">
        <v>0</v>
      </c>
      <c r="Y1192" s="13">
        <v>0</v>
      </c>
      <c r="Z1192" s="10">
        <v>45385</v>
      </c>
      <c r="AA1192" s="9">
        <v>-280</v>
      </c>
      <c r="AC1192" s="9" t="s">
        <v>93</v>
      </c>
      <c r="AD1192" s="14">
        <v>30.055846153846144</v>
      </c>
      <c r="AF1192" s="14">
        <v>0</v>
      </c>
      <c r="AH1192" s="14">
        <v>30.055846153846144</v>
      </c>
      <c r="AI1192" s="13">
        <v>-30.055846153846144</v>
      </c>
      <c r="AK1192" s="9">
        <v>0</v>
      </c>
    </row>
    <row r="1193" spans="1:37">
      <c r="A1193" s="9">
        <v>13</v>
      </c>
      <c r="B1193" s="9">
        <v>2024</v>
      </c>
      <c r="C1193" s="9" t="s">
        <v>46</v>
      </c>
      <c r="D1193" s="9" t="s">
        <v>47</v>
      </c>
      <c r="E1193" s="9" t="s">
        <v>47</v>
      </c>
      <c r="F1193" s="10">
        <v>45376</v>
      </c>
      <c r="G1193" s="9" t="s">
        <v>153</v>
      </c>
      <c r="H1193" s="9" t="s">
        <v>56</v>
      </c>
      <c r="J1193" s="9">
        <v>3.5999999999999996</v>
      </c>
      <c r="K1193" s="9">
        <v>120</v>
      </c>
      <c r="L1193" s="9">
        <v>0.38</v>
      </c>
      <c r="M1193" s="9">
        <v>45.6</v>
      </c>
      <c r="N1193" s="9" t="s">
        <v>49</v>
      </c>
      <c r="Q1193" s="9">
        <f>IF(Auction_Sales[[#This Row],[Payment Date]]=0,"",-1+WEEKNUM(Auction_Sales[[#This Row],[Payment Date]]))</f>
        <v>13</v>
      </c>
      <c r="R1193" s="9">
        <v>120</v>
      </c>
      <c r="S1193" s="9" t="s">
        <v>153</v>
      </c>
      <c r="T1193" s="9" t="s">
        <v>56</v>
      </c>
      <c r="W1193" s="13">
        <v>0</v>
      </c>
      <c r="X1193" s="14">
        <v>0</v>
      </c>
      <c r="Y1193" s="13">
        <v>0</v>
      </c>
      <c r="Z1193" s="10">
        <v>45385</v>
      </c>
      <c r="AA1193" s="9">
        <v>-120</v>
      </c>
      <c r="AC1193" s="9" t="s">
        <v>93</v>
      </c>
      <c r="AD1193" s="14">
        <v>12.88107692307692</v>
      </c>
      <c r="AF1193" s="14">
        <v>0</v>
      </c>
      <c r="AH1193" s="14">
        <v>12.88107692307692</v>
      </c>
      <c r="AI1193" s="13">
        <v>-12.88107692307692</v>
      </c>
      <c r="AK1193" s="9">
        <v>0</v>
      </c>
    </row>
    <row r="1194" spans="1:37">
      <c r="A1194" s="9">
        <v>13</v>
      </c>
      <c r="B1194" s="9">
        <v>2024</v>
      </c>
      <c r="C1194" s="9" t="s">
        <v>46</v>
      </c>
      <c r="D1194" s="9" t="s">
        <v>47</v>
      </c>
      <c r="E1194" s="9" t="s">
        <v>47</v>
      </c>
      <c r="F1194" s="10">
        <v>45376</v>
      </c>
      <c r="G1194" s="9" t="s">
        <v>153</v>
      </c>
      <c r="H1194" s="9" t="s">
        <v>48</v>
      </c>
      <c r="I1194" s="9">
        <v>1</v>
      </c>
      <c r="J1194" s="9">
        <v>5.6470588235294112</v>
      </c>
      <c r="K1194" s="9">
        <v>320</v>
      </c>
      <c r="L1194" s="9">
        <v>0.24</v>
      </c>
      <c r="M1194" s="9">
        <v>76.8</v>
      </c>
      <c r="N1194" s="9" t="s">
        <v>49</v>
      </c>
      <c r="Q1194" s="9">
        <f>IF(Auction_Sales[[#This Row],[Payment Date]]=0,"",-1+WEEKNUM(Auction_Sales[[#This Row],[Payment Date]]))</f>
        <v>13</v>
      </c>
      <c r="R1194" s="9">
        <v>320</v>
      </c>
      <c r="S1194" s="9" t="s">
        <v>153</v>
      </c>
      <c r="T1194" s="9" t="s">
        <v>48</v>
      </c>
      <c r="W1194" s="13">
        <v>0</v>
      </c>
      <c r="X1194" s="14">
        <v>0</v>
      </c>
      <c r="Y1194" s="13">
        <v>0</v>
      </c>
      <c r="Z1194" s="10">
        <v>45385</v>
      </c>
      <c r="AA1194" s="9">
        <v>-320</v>
      </c>
      <c r="AC1194" s="9" t="s">
        <v>93</v>
      </c>
      <c r="AD1194" s="14">
        <v>20.205610859728502</v>
      </c>
      <c r="AF1194" s="14">
        <v>0</v>
      </c>
      <c r="AH1194" s="14">
        <v>20.205610859728502</v>
      </c>
      <c r="AI1194" s="13">
        <v>-20.205610859728502</v>
      </c>
      <c r="AK1194" s="9">
        <v>0</v>
      </c>
    </row>
    <row r="1195" spans="1:37">
      <c r="A1195" s="9">
        <v>13</v>
      </c>
      <c r="B1195" s="9">
        <v>2024</v>
      </c>
      <c r="C1195" s="9" t="s">
        <v>46</v>
      </c>
      <c r="D1195" s="9" t="s">
        <v>47</v>
      </c>
      <c r="E1195" s="9" t="s">
        <v>47</v>
      </c>
      <c r="F1195" s="10">
        <v>45376</v>
      </c>
      <c r="G1195" s="9" t="s">
        <v>153</v>
      </c>
      <c r="H1195" s="9" t="s">
        <v>52</v>
      </c>
      <c r="J1195" s="9">
        <v>4.2352941176470589</v>
      </c>
      <c r="K1195" s="9">
        <v>240</v>
      </c>
      <c r="L1195" s="9">
        <v>0.28000000000000003</v>
      </c>
      <c r="M1195" s="9">
        <v>67.2</v>
      </c>
      <c r="N1195" s="9" t="s">
        <v>49</v>
      </c>
      <c r="Q1195" s="9">
        <f>IF(Auction_Sales[[#This Row],[Payment Date]]=0,"",-1+WEEKNUM(Auction_Sales[[#This Row],[Payment Date]]))</f>
        <v>13</v>
      </c>
      <c r="R1195" s="9">
        <v>80</v>
      </c>
      <c r="S1195" s="9" t="s">
        <v>153</v>
      </c>
      <c r="T1195" s="9" t="s">
        <v>52</v>
      </c>
      <c r="U1195" s="9">
        <v>160</v>
      </c>
      <c r="V1195" s="13">
        <v>0.315</v>
      </c>
      <c r="W1195" s="13">
        <v>50.4</v>
      </c>
      <c r="X1195" s="14">
        <v>-6.0264259927797825</v>
      </c>
      <c r="Y1195" s="13">
        <v>44.373574007220213</v>
      </c>
      <c r="Z1195" s="10">
        <v>45385</v>
      </c>
      <c r="AA1195" s="9">
        <v>-80</v>
      </c>
      <c r="AC1195" s="9" t="s">
        <v>93</v>
      </c>
      <c r="AD1195" s="14">
        <v>15.15420814479638</v>
      </c>
      <c r="AF1195" s="14">
        <v>3.2</v>
      </c>
      <c r="AH1195" s="14">
        <v>18.354208144796381</v>
      </c>
      <c r="AI1195" s="13">
        <v>26.019365862423832</v>
      </c>
      <c r="AK1195" s="9">
        <v>160</v>
      </c>
    </row>
    <row r="1196" spans="1:37">
      <c r="A1196" s="9">
        <v>13</v>
      </c>
      <c r="B1196" s="9">
        <v>2024</v>
      </c>
      <c r="C1196" s="9" t="s">
        <v>46</v>
      </c>
      <c r="D1196" s="9" t="s">
        <v>47</v>
      </c>
      <c r="E1196" s="9" t="s">
        <v>47</v>
      </c>
      <c r="F1196" s="10">
        <v>45376</v>
      </c>
      <c r="G1196" s="9" t="s">
        <v>153</v>
      </c>
      <c r="H1196" s="9" t="s">
        <v>57</v>
      </c>
      <c r="J1196" s="9">
        <v>2.1176470588235294</v>
      </c>
      <c r="K1196" s="9">
        <v>120</v>
      </c>
      <c r="L1196" s="9">
        <v>0.47</v>
      </c>
      <c r="M1196" s="9">
        <v>56.4</v>
      </c>
      <c r="N1196" s="9" t="s">
        <v>49</v>
      </c>
      <c r="Q1196" s="9">
        <f>IF(Auction_Sales[[#This Row],[Payment Date]]=0,"",-1+WEEKNUM(Auction_Sales[[#This Row],[Payment Date]]))</f>
        <v>13</v>
      </c>
      <c r="R1196" s="9">
        <v>-320</v>
      </c>
      <c r="S1196" s="9" t="s">
        <v>153</v>
      </c>
      <c r="T1196" s="9" t="s">
        <v>57</v>
      </c>
      <c r="U1196" s="9">
        <v>440</v>
      </c>
      <c r="V1196" s="13">
        <v>0.58272727272727265</v>
      </c>
      <c r="W1196" s="13">
        <v>256.39999999999998</v>
      </c>
      <c r="X1196" s="14">
        <v>-16.5726714801444</v>
      </c>
      <c r="Y1196" s="13">
        <v>239.82732851985557</v>
      </c>
      <c r="Z1196" s="10">
        <v>45385</v>
      </c>
      <c r="AA1196" s="9">
        <v>320</v>
      </c>
      <c r="AC1196" s="9" t="s">
        <v>93</v>
      </c>
      <c r="AD1196" s="14">
        <v>7.5771040723981899</v>
      </c>
      <c r="AF1196" s="14">
        <v>8.8000000000000007</v>
      </c>
      <c r="AH1196" s="14">
        <v>16.37710407239819</v>
      </c>
      <c r="AI1196" s="13">
        <v>223.45022444745737</v>
      </c>
      <c r="AK1196" s="9">
        <v>440</v>
      </c>
    </row>
    <row r="1197" spans="1:37">
      <c r="A1197" s="9">
        <v>13</v>
      </c>
      <c r="B1197" s="9">
        <v>2024</v>
      </c>
      <c r="C1197" s="9" t="s">
        <v>46</v>
      </c>
      <c r="D1197" s="9" t="s">
        <v>47</v>
      </c>
      <c r="E1197" s="9" t="s">
        <v>47</v>
      </c>
      <c r="F1197" s="10">
        <v>45377</v>
      </c>
      <c r="G1197" s="9" t="s">
        <v>155</v>
      </c>
      <c r="H1197" s="9" t="s">
        <v>48</v>
      </c>
      <c r="I1197" s="9">
        <v>1</v>
      </c>
      <c r="J1197" s="9">
        <v>12</v>
      </c>
      <c r="K1197" s="9">
        <v>520</v>
      </c>
      <c r="L1197" s="9">
        <v>0.47</v>
      </c>
      <c r="M1197" s="9">
        <v>244.4</v>
      </c>
      <c r="N1197" s="9" t="s">
        <v>49</v>
      </c>
      <c r="Q1197" s="9">
        <f>IF(Auction_Sales[[#This Row],[Payment Date]]=0,"",-1+WEEKNUM(Auction_Sales[[#This Row],[Payment Date]]))</f>
        <v>13</v>
      </c>
      <c r="R1197" s="9">
        <v>-120</v>
      </c>
      <c r="S1197" s="9" t="s">
        <v>155</v>
      </c>
      <c r="T1197" s="9" t="s">
        <v>48</v>
      </c>
      <c r="U1197" s="9">
        <v>640</v>
      </c>
      <c r="V1197" s="13">
        <v>0.52812499999999996</v>
      </c>
      <c r="W1197" s="13">
        <v>338</v>
      </c>
      <c r="X1197" s="14">
        <v>-32.501759999999948</v>
      </c>
      <c r="Y1197" s="13">
        <v>305.49824000000007</v>
      </c>
      <c r="Z1197" s="10">
        <v>45385</v>
      </c>
      <c r="AA1197" s="9">
        <v>120</v>
      </c>
      <c r="AC1197" s="9" t="s">
        <v>94</v>
      </c>
      <c r="AD1197" s="14">
        <v>47.019090909090913</v>
      </c>
      <c r="AF1197" s="14">
        <v>12.8</v>
      </c>
      <c r="AH1197" s="14">
        <v>59.819090909090917</v>
      </c>
      <c r="AI1197" s="13">
        <v>245.67914909090916</v>
      </c>
      <c r="AK1197" s="9">
        <v>640</v>
      </c>
    </row>
    <row r="1198" spans="1:37">
      <c r="A1198" s="9">
        <v>13</v>
      </c>
      <c r="B1198" s="9">
        <v>2024</v>
      </c>
      <c r="C1198" s="9" t="s">
        <v>46</v>
      </c>
      <c r="D1198" s="9" t="s">
        <v>47</v>
      </c>
      <c r="E1198" s="9" t="s">
        <v>47</v>
      </c>
      <c r="F1198" s="10">
        <v>45377</v>
      </c>
      <c r="G1198" s="9" t="s">
        <v>155</v>
      </c>
      <c r="H1198" s="9" t="s">
        <v>52</v>
      </c>
      <c r="I1198" s="9">
        <v>1</v>
      </c>
      <c r="J1198" s="9">
        <v>12</v>
      </c>
      <c r="K1198" s="9">
        <v>400</v>
      </c>
      <c r="L1198" s="9">
        <v>0.52</v>
      </c>
      <c r="M1198" s="9">
        <v>208</v>
      </c>
      <c r="N1198" s="9" t="s">
        <v>49</v>
      </c>
      <c r="Q1198" s="9">
        <f>IF(Auction_Sales[[#This Row],[Payment Date]]=0,"",-1+WEEKNUM(Auction_Sales[[#This Row],[Payment Date]]))</f>
        <v>13</v>
      </c>
      <c r="R1198" s="9">
        <v>-40</v>
      </c>
      <c r="S1198" s="9" t="s">
        <v>155</v>
      </c>
      <c r="T1198" s="9" t="s">
        <v>52</v>
      </c>
      <c r="U1198" s="9">
        <v>440</v>
      </c>
      <c r="V1198" s="13">
        <v>0.60363636363636364</v>
      </c>
      <c r="W1198" s="13">
        <v>265.60000000000002</v>
      </c>
      <c r="X1198" s="14">
        <v>-22.344959999999965</v>
      </c>
      <c r="Y1198" s="13">
        <v>243.25504000000006</v>
      </c>
      <c r="Z1198" s="10">
        <v>45385</v>
      </c>
      <c r="AA1198" s="9">
        <v>40</v>
      </c>
      <c r="AC1198" s="9" t="s">
        <v>94</v>
      </c>
      <c r="AD1198" s="14">
        <v>47.019090909090913</v>
      </c>
      <c r="AF1198" s="14">
        <v>8.8000000000000007</v>
      </c>
      <c r="AH1198" s="14">
        <v>55.819090909090917</v>
      </c>
      <c r="AI1198" s="13">
        <v>187.43594909090916</v>
      </c>
      <c r="AK1198" s="9">
        <v>440</v>
      </c>
    </row>
    <row r="1199" spans="1:37">
      <c r="A1199" s="9">
        <v>13</v>
      </c>
      <c r="B1199" s="9">
        <v>2024</v>
      </c>
      <c r="C1199" s="9" t="s">
        <v>46</v>
      </c>
      <c r="D1199" s="9" t="s">
        <v>47</v>
      </c>
      <c r="E1199" s="9" t="s">
        <v>47</v>
      </c>
      <c r="F1199" s="10">
        <v>45377</v>
      </c>
      <c r="G1199" s="9" t="s">
        <v>155</v>
      </c>
      <c r="H1199" s="9" t="s">
        <v>56</v>
      </c>
      <c r="I1199" s="9">
        <v>1</v>
      </c>
      <c r="J1199" s="9">
        <v>12</v>
      </c>
      <c r="K1199" s="9">
        <v>200</v>
      </c>
      <c r="L1199" s="9">
        <v>0.75</v>
      </c>
      <c r="M1199" s="9">
        <v>150</v>
      </c>
      <c r="N1199" s="9" t="s">
        <v>49</v>
      </c>
      <c r="Q1199" s="9">
        <f>IF(Auction_Sales[[#This Row],[Payment Date]]=0,"",-1+WEEKNUM(Auction_Sales[[#This Row],[Payment Date]]))</f>
        <v>13</v>
      </c>
      <c r="R1199" s="9">
        <v>40</v>
      </c>
      <c r="S1199" s="9" t="s">
        <v>155</v>
      </c>
      <c r="T1199" s="9" t="s">
        <v>56</v>
      </c>
      <c r="U1199" s="9">
        <v>160</v>
      </c>
      <c r="V1199" s="13">
        <v>0.97750000000000004</v>
      </c>
      <c r="W1199" s="13">
        <v>156.4</v>
      </c>
      <c r="X1199" s="14">
        <v>-8.1254399999999869</v>
      </c>
      <c r="Y1199" s="13">
        <v>148.27456000000001</v>
      </c>
      <c r="Z1199" s="10">
        <v>45385</v>
      </c>
      <c r="AA1199" s="9">
        <v>-40</v>
      </c>
      <c r="AC1199" s="9" t="s">
        <v>94</v>
      </c>
      <c r="AD1199" s="14">
        <v>47.019090909090913</v>
      </c>
      <c r="AF1199" s="14">
        <v>3.2</v>
      </c>
      <c r="AH1199" s="14">
        <v>50.219090909090916</v>
      </c>
      <c r="AI1199" s="13">
        <v>98.055469090909099</v>
      </c>
      <c r="AK1199" s="9">
        <v>160</v>
      </c>
    </row>
    <row r="1200" spans="1:37">
      <c r="A1200" s="9">
        <v>13</v>
      </c>
      <c r="B1200" s="9">
        <v>2024</v>
      </c>
      <c r="C1200" s="9" t="s">
        <v>46</v>
      </c>
      <c r="D1200" s="9" t="s">
        <v>47</v>
      </c>
      <c r="E1200" s="9" t="s">
        <v>47</v>
      </c>
      <c r="F1200" s="10">
        <v>45377</v>
      </c>
      <c r="G1200" s="9" t="s">
        <v>154</v>
      </c>
      <c r="H1200" s="9" t="s">
        <v>54</v>
      </c>
      <c r="I1200" s="9">
        <v>1</v>
      </c>
      <c r="J1200" s="9">
        <v>12</v>
      </c>
      <c r="K1200" s="9">
        <v>320</v>
      </c>
      <c r="L1200" s="9">
        <v>0.56999999999999995</v>
      </c>
      <c r="M1200" s="9">
        <v>182.4</v>
      </c>
      <c r="N1200" s="9" t="s">
        <v>49</v>
      </c>
      <c r="Q1200" s="9">
        <f>IF(Auction_Sales[[#This Row],[Payment Date]]=0,"",-1+WEEKNUM(Auction_Sales[[#This Row],[Payment Date]]))</f>
        <v>13</v>
      </c>
      <c r="R1200" s="9">
        <v>-40</v>
      </c>
      <c r="S1200" s="9" t="s">
        <v>154</v>
      </c>
      <c r="T1200" s="9" t="s">
        <v>54</v>
      </c>
      <c r="U1200" s="9">
        <v>360</v>
      </c>
      <c r="V1200" s="13">
        <v>0.91111111111111109</v>
      </c>
      <c r="W1200" s="13">
        <v>328</v>
      </c>
      <c r="X1200" s="14">
        <v>-18.282239999999973</v>
      </c>
      <c r="Y1200" s="13">
        <v>309.71776</v>
      </c>
      <c r="Z1200" s="10">
        <v>45385</v>
      </c>
      <c r="AA1200" s="9">
        <v>40</v>
      </c>
      <c r="AC1200" s="9" t="s">
        <v>94</v>
      </c>
      <c r="AD1200" s="14">
        <v>47.019090909090913</v>
      </c>
      <c r="AF1200" s="14">
        <v>7.2</v>
      </c>
      <c r="AH1200" s="14">
        <v>54.219090909090916</v>
      </c>
      <c r="AI1200" s="13">
        <v>255.49866909090909</v>
      </c>
      <c r="AK1200" s="9">
        <v>360</v>
      </c>
    </row>
    <row r="1201" spans="1:37">
      <c r="A1201" s="9">
        <v>13</v>
      </c>
      <c r="B1201" s="9">
        <v>2024</v>
      </c>
      <c r="C1201" s="9" t="s">
        <v>46</v>
      </c>
      <c r="D1201" s="9" t="s">
        <v>47</v>
      </c>
      <c r="E1201" s="9" t="s">
        <v>47</v>
      </c>
      <c r="F1201" s="10">
        <v>45377</v>
      </c>
      <c r="G1201" s="9" t="s">
        <v>154</v>
      </c>
      <c r="H1201" s="9" t="s">
        <v>56</v>
      </c>
      <c r="I1201" s="9">
        <v>1</v>
      </c>
      <c r="J1201" s="9">
        <v>4</v>
      </c>
      <c r="K1201" s="9">
        <v>120</v>
      </c>
      <c r="L1201" s="9">
        <v>0.75</v>
      </c>
      <c r="M1201" s="9">
        <v>90</v>
      </c>
      <c r="N1201" s="9" t="s">
        <v>49</v>
      </c>
      <c r="Q1201" s="9">
        <f>IF(Auction_Sales[[#This Row],[Payment Date]]=0,"",-1+WEEKNUM(Auction_Sales[[#This Row],[Payment Date]]))</f>
        <v>13</v>
      </c>
      <c r="R1201" s="9">
        <v>0</v>
      </c>
      <c r="S1201" s="9" t="s">
        <v>154</v>
      </c>
      <c r="T1201" s="9" t="s">
        <v>56</v>
      </c>
      <c r="U1201" s="9">
        <v>120</v>
      </c>
      <c r="V1201" s="13">
        <v>0.85</v>
      </c>
      <c r="W1201" s="13">
        <v>102</v>
      </c>
      <c r="X1201" s="14">
        <v>-6.0940799999999911</v>
      </c>
      <c r="Y1201" s="13">
        <v>95.905920000000009</v>
      </c>
      <c r="Z1201" s="10">
        <v>45385</v>
      </c>
      <c r="AA1201" s="9">
        <v>0</v>
      </c>
      <c r="AC1201" s="9" t="s">
        <v>94</v>
      </c>
      <c r="AD1201" s="14">
        <v>15.673030303030304</v>
      </c>
      <c r="AF1201" s="14">
        <v>2.4</v>
      </c>
      <c r="AH1201" s="14">
        <v>18.073030303030304</v>
      </c>
      <c r="AI1201" s="13">
        <v>77.832889696969701</v>
      </c>
      <c r="AK1201" s="9">
        <v>120</v>
      </c>
    </row>
    <row r="1202" spans="1:37">
      <c r="A1202" s="9">
        <v>13</v>
      </c>
      <c r="B1202" s="9">
        <v>2024</v>
      </c>
      <c r="C1202" s="9" t="s">
        <v>46</v>
      </c>
      <c r="D1202" s="9" t="s">
        <v>47</v>
      </c>
      <c r="E1202" s="9" t="s">
        <v>47</v>
      </c>
      <c r="F1202" s="10">
        <v>45377</v>
      </c>
      <c r="G1202" s="9" t="s">
        <v>154</v>
      </c>
      <c r="H1202" s="9" t="s">
        <v>52</v>
      </c>
      <c r="J1202" s="9">
        <v>8</v>
      </c>
      <c r="K1202" s="9">
        <v>240</v>
      </c>
      <c r="L1202" s="9">
        <v>0.52</v>
      </c>
      <c r="M1202" s="9">
        <v>124.8</v>
      </c>
      <c r="N1202" s="9" t="s">
        <v>49</v>
      </c>
      <c r="Q1202" s="9">
        <f>IF(Auction_Sales[[#This Row],[Payment Date]]=0,"",-1+WEEKNUM(Auction_Sales[[#This Row],[Payment Date]]))</f>
        <v>13</v>
      </c>
      <c r="R1202" s="9">
        <v>0</v>
      </c>
      <c r="S1202" s="9" t="s">
        <v>154</v>
      </c>
      <c r="T1202" s="9" t="s">
        <v>52</v>
      </c>
      <c r="U1202" s="9">
        <v>240</v>
      </c>
      <c r="V1202" s="13">
        <v>0.70833333333333337</v>
      </c>
      <c r="W1202" s="13">
        <v>170</v>
      </c>
      <c r="X1202" s="14">
        <v>-12.188159999999982</v>
      </c>
      <c r="Y1202" s="13">
        <v>157.81184000000002</v>
      </c>
      <c r="Z1202" s="10">
        <v>45385</v>
      </c>
      <c r="AA1202" s="9">
        <v>0</v>
      </c>
      <c r="AC1202" s="9" t="s">
        <v>94</v>
      </c>
      <c r="AD1202" s="14">
        <v>31.346060606060608</v>
      </c>
      <c r="AF1202" s="14">
        <v>4.8</v>
      </c>
      <c r="AH1202" s="14">
        <v>36.146060606060608</v>
      </c>
      <c r="AI1202" s="13">
        <v>121.6657793939394</v>
      </c>
      <c r="AK1202" s="9">
        <v>240</v>
      </c>
    </row>
    <row r="1203" spans="1:37">
      <c r="A1203" s="9">
        <v>13</v>
      </c>
      <c r="B1203" s="9">
        <v>2024</v>
      </c>
      <c r="C1203" s="9" t="s">
        <v>46</v>
      </c>
      <c r="D1203" s="9" t="s">
        <v>47</v>
      </c>
      <c r="E1203" s="9" t="s">
        <v>47</v>
      </c>
      <c r="F1203" s="10">
        <v>45377</v>
      </c>
      <c r="G1203" s="9" t="s">
        <v>154</v>
      </c>
      <c r="H1203" s="9" t="s">
        <v>48</v>
      </c>
      <c r="I1203" s="9">
        <v>1</v>
      </c>
      <c r="J1203" s="9">
        <v>7.384615384615385</v>
      </c>
      <c r="K1203" s="9">
        <v>320</v>
      </c>
      <c r="L1203" s="9">
        <v>0.47</v>
      </c>
      <c r="M1203" s="9">
        <v>150.4</v>
      </c>
      <c r="N1203" s="9" t="s">
        <v>49</v>
      </c>
      <c r="Q1203" s="9">
        <f>IF(Auction_Sales[[#This Row],[Payment Date]]=0,"",-1+WEEKNUM(Auction_Sales[[#This Row],[Payment Date]]))</f>
        <v>13</v>
      </c>
      <c r="R1203" s="9">
        <v>0</v>
      </c>
      <c r="S1203" s="9" t="s">
        <v>154</v>
      </c>
      <c r="T1203" s="9" t="s">
        <v>48</v>
      </c>
      <c r="U1203" s="9">
        <v>320</v>
      </c>
      <c r="V1203" s="13">
        <v>0.36249999999999999</v>
      </c>
      <c r="W1203" s="13">
        <v>116</v>
      </c>
      <c r="X1203" s="14">
        <v>-16.250879999999974</v>
      </c>
      <c r="Y1203" s="13">
        <v>99.749120000000033</v>
      </c>
      <c r="Z1203" s="10">
        <v>45385</v>
      </c>
      <c r="AA1203" s="9">
        <v>0</v>
      </c>
      <c r="AC1203" s="9" t="s">
        <v>94</v>
      </c>
      <c r="AD1203" s="14">
        <v>28.934825174825178</v>
      </c>
      <c r="AF1203" s="14">
        <v>6.4</v>
      </c>
      <c r="AH1203" s="14">
        <v>35.334825174825177</v>
      </c>
      <c r="AI1203" s="13">
        <v>64.414294825174863</v>
      </c>
      <c r="AK1203" s="9">
        <v>320</v>
      </c>
    </row>
    <row r="1204" spans="1:37">
      <c r="A1204" s="9">
        <v>13</v>
      </c>
      <c r="B1204" s="9">
        <v>2024</v>
      </c>
      <c r="C1204" s="9" t="s">
        <v>46</v>
      </c>
      <c r="D1204" s="9" t="s">
        <v>47</v>
      </c>
      <c r="E1204" s="9" t="s">
        <v>47</v>
      </c>
      <c r="F1204" s="10">
        <v>45377</v>
      </c>
      <c r="G1204" s="9" t="s">
        <v>154</v>
      </c>
      <c r="H1204" s="9" t="s">
        <v>51</v>
      </c>
      <c r="J1204" s="9">
        <v>2.7692307692307692</v>
      </c>
      <c r="K1204" s="9">
        <v>120</v>
      </c>
      <c r="L1204" s="9">
        <v>0.38</v>
      </c>
      <c r="M1204" s="9">
        <v>45.6</v>
      </c>
      <c r="N1204" s="9" t="s">
        <v>49</v>
      </c>
      <c r="Q1204" s="9">
        <f>IF(Auction_Sales[[#This Row],[Payment Date]]=0,"",-1+WEEKNUM(Auction_Sales[[#This Row],[Payment Date]]))</f>
        <v>13</v>
      </c>
      <c r="R1204" s="9">
        <v>0</v>
      </c>
      <c r="S1204" s="9" t="s">
        <v>154</v>
      </c>
      <c r="T1204" s="9" t="s">
        <v>51</v>
      </c>
      <c r="U1204" s="9">
        <v>120</v>
      </c>
      <c r="V1204" s="13">
        <v>0.26</v>
      </c>
      <c r="W1204" s="13">
        <v>31.200000000000003</v>
      </c>
      <c r="X1204" s="14">
        <v>-6.0940799999999911</v>
      </c>
      <c r="Y1204" s="13">
        <v>25.105920000000012</v>
      </c>
      <c r="Z1204" s="10">
        <v>45385</v>
      </c>
      <c r="AA1204" s="9">
        <v>0</v>
      </c>
      <c r="AC1204" s="9" t="s">
        <v>94</v>
      </c>
      <c r="AD1204" s="14">
        <v>10.850559440559442</v>
      </c>
      <c r="AF1204" s="14">
        <v>2.4</v>
      </c>
      <c r="AH1204" s="14">
        <v>13.250559440559442</v>
      </c>
      <c r="AI1204" s="13">
        <v>11.85536055944057</v>
      </c>
      <c r="AK1204" s="9">
        <v>120</v>
      </c>
    </row>
    <row r="1205" spans="1:37">
      <c r="A1205" s="9">
        <v>13</v>
      </c>
      <c r="B1205" s="9">
        <v>2024</v>
      </c>
      <c r="C1205" s="9" t="s">
        <v>46</v>
      </c>
      <c r="D1205" s="9" t="s">
        <v>47</v>
      </c>
      <c r="E1205" s="9" t="s">
        <v>47</v>
      </c>
      <c r="F1205" s="10">
        <v>45377</v>
      </c>
      <c r="G1205" s="9" t="s">
        <v>154</v>
      </c>
      <c r="H1205" s="9" t="s">
        <v>57</v>
      </c>
      <c r="J1205" s="9">
        <v>1.8461538461538463</v>
      </c>
      <c r="K1205" s="9">
        <v>80</v>
      </c>
      <c r="L1205" s="9">
        <v>0.94</v>
      </c>
      <c r="M1205" s="9">
        <v>75.2</v>
      </c>
      <c r="N1205" s="9" t="s">
        <v>49</v>
      </c>
      <c r="Q1205" s="9">
        <f>IF(Auction_Sales[[#This Row],[Payment Date]]=0,"",-1+WEEKNUM(Auction_Sales[[#This Row],[Payment Date]]))</f>
        <v>13</v>
      </c>
      <c r="R1205" s="9">
        <v>0</v>
      </c>
      <c r="S1205" s="9" t="s">
        <v>154</v>
      </c>
      <c r="T1205" s="9" t="s">
        <v>57</v>
      </c>
      <c r="U1205" s="9">
        <v>80</v>
      </c>
      <c r="V1205" s="13">
        <v>0.89</v>
      </c>
      <c r="W1205" s="13">
        <v>71.2</v>
      </c>
      <c r="X1205" s="14">
        <v>-4.0627199999999934</v>
      </c>
      <c r="Y1205" s="13">
        <v>67.137280000000004</v>
      </c>
      <c r="Z1205" s="10">
        <v>45385</v>
      </c>
      <c r="AA1205" s="9">
        <v>0</v>
      </c>
      <c r="AC1205" s="9" t="s">
        <v>94</v>
      </c>
      <c r="AD1205" s="14">
        <v>7.2337062937062946</v>
      </c>
      <c r="AF1205" s="14">
        <v>1.6</v>
      </c>
      <c r="AH1205" s="14">
        <v>8.8337062937062942</v>
      </c>
      <c r="AI1205" s="13">
        <v>58.303573706293712</v>
      </c>
      <c r="AK1205" s="9">
        <v>80</v>
      </c>
    </row>
    <row r="1206" spans="1:37">
      <c r="A1206" s="9">
        <v>13</v>
      </c>
      <c r="B1206" s="9">
        <v>2024</v>
      </c>
      <c r="C1206" s="9" t="s">
        <v>46</v>
      </c>
      <c r="D1206" s="9" t="s">
        <v>47</v>
      </c>
      <c r="E1206" s="9" t="s">
        <v>47</v>
      </c>
      <c r="F1206" s="10">
        <v>45377</v>
      </c>
      <c r="G1206" s="9" t="s">
        <v>155</v>
      </c>
      <c r="H1206" s="9" t="s">
        <v>51</v>
      </c>
      <c r="I1206" s="9">
        <v>1</v>
      </c>
      <c r="J1206" s="9">
        <v>10.105263157894736</v>
      </c>
      <c r="K1206" s="9">
        <v>640</v>
      </c>
      <c r="L1206" s="9">
        <v>0.38</v>
      </c>
      <c r="M1206" s="9">
        <v>243.2</v>
      </c>
      <c r="N1206" s="9" t="s">
        <v>49</v>
      </c>
      <c r="Q1206" s="9">
        <f>IF(Auction_Sales[[#This Row],[Payment Date]]=0,"",-1+WEEKNUM(Auction_Sales[[#This Row],[Payment Date]]))</f>
        <v>13</v>
      </c>
      <c r="R1206" s="9">
        <v>0</v>
      </c>
      <c r="S1206" s="9" t="s">
        <v>155</v>
      </c>
      <c r="T1206" s="9" t="s">
        <v>51</v>
      </c>
      <c r="U1206" s="9">
        <v>640</v>
      </c>
      <c r="V1206" s="13">
        <v>0.27937500000000004</v>
      </c>
      <c r="W1206" s="13">
        <v>178.8</v>
      </c>
      <c r="X1206" s="14">
        <v>-32.501759999999948</v>
      </c>
      <c r="Y1206" s="13">
        <v>146.29824000000008</v>
      </c>
      <c r="Z1206" s="10">
        <v>45385</v>
      </c>
      <c r="AA1206" s="9">
        <v>0</v>
      </c>
      <c r="AC1206" s="9" t="s">
        <v>94</v>
      </c>
      <c r="AD1206" s="14">
        <v>39.595023923444977</v>
      </c>
      <c r="AF1206" s="14">
        <v>12.8</v>
      </c>
      <c r="AH1206" s="14">
        <v>52.395023923444981</v>
      </c>
      <c r="AI1206" s="13">
        <v>93.903216076555097</v>
      </c>
      <c r="AK1206" s="9">
        <v>640</v>
      </c>
    </row>
    <row r="1207" spans="1:37">
      <c r="A1207" s="9">
        <v>13</v>
      </c>
      <c r="B1207" s="9">
        <v>2024</v>
      </c>
      <c r="C1207" s="9" t="s">
        <v>46</v>
      </c>
      <c r="D1207" s="9" t="s">
        <v>47</v>
      </c>
      <c r="E1207" s="9" t="s">
        <v>47</v>
      </c>
      <c r="F1207" s="10">
        <v>45377</v>
      </c>
      <c r="G1207" s="9" t="s">
        <v>155</v>
      </c>
      <c r="H1207" s="9" t="s">
        <v>48</v>
      </c>
      <c r="J1207" s="9">
        <v>1.8947368421052631</v>
      </c>
      <c r="K1207" s="9">
        <v>120</v>
      </c>
      <c r="L1207" s="9">
        <v>0.47</v>
      </c>
      <c r="M1207" s="9">
        <v>56.4</v>
      </c>
      <c r="N1207" s="9" t="s">
        <v>49</v>
      </c>
      <c r="Q1207" s="9">
        <f>IF(Auction_Sales[[#This Row],[Payment Date]]=0,"",-1+WEEKNUM(Auction_Sales[[#This Row],[Payment Date]]))</f>
        <v>13</v>
      </c>
      <c r="R1207" s="9">
        <v>120</v>
      </c>
      <c r="S1207" s="9" t="s">
        <v>155</v>
      </c>
      <c r="T1207" s="9" t="s">
        <v>48</v>
      </c>
      <c r="W1207" s="13">
        <v>0</v>
      </c>
      <c r="X1207" s="14">
        <v>0</v>
      </c>
      <c r="Y1207" s="13">
        <v>0</v>
      </c>
      <c r="Z1207" s="10">
        <v>45385</v>
      </c>
      <c r="AA1207" s="9">
        <v>-120</v>
      </c>
      <c r="AC1207" s="9" t="s">
        <v>94</v>
      </c>
      <c r="AD1207" s="14">
        <v>7.4240669856459327</v>
      </c>
      <c r="AF1207" s="14">
        <v>0</v>
      </c>
      <c r="AH1207" s="14">
        <v>7.4240669856459327</v>
      </c>
      <c r="AI1207" s="13">
        <v>-7.4240669856459327</v>
      </c>
      <c r="AK1207" s="9">
        <v>0</v>
      </c>
    </row>
    <row r="1208" spans="1:37">
      <c r="A1208" s="9">
        <v>13</v>
      </c>
      <c r="B1208" s="9">
        <v>2024</v>
      </c>
      <c r="C1208" s="9" t="s">
        <v>46</v>
      </c>
      <c r="D1208" s="9" t="s">
        <v>47</v>
      </c>
      <c r="E1208" s="9" t="s">
        <v>47</v>
      </c>
      <c r="F1208" s="10">
        <v>45377</v>
      </c>
      <c r="G1208" s="9" t="s">
        <v>155</v>
      </c>
      <c r="H1208" s="9" t="s">
        <v>52</v>
      </c>
      <c r="I1208" s="9">
        <v>1</v>
      </c>
      <c r="J1208" s="9">
        <v>1.7142857142857142</v>
      </c>
      <c r="K1208" s="9">
        <v>40</v>
      </c>
      <c r="L1208" s="9">
        <v>0.52</v>
      </c>
      <c r="M1208" s="9">
        <v>20.8</v>
      </c>
      <c r="N1208" s="9" t="s">
        <v>49</v>
      </c>
      <c r="Q1208" s="9">
        <f>IF(Auction_Sales[[#This Row],[Payment Date]]=0,"",-1+WEEKNUM(Auction_Sales[[#This Row],[Payment Date]]))</f>
        <v>13</v>
      </c>
      <c r="R1208" s="9">
        <v>40</v>
      </c>
      <c r="S1208" s="9" t="s">
        <v>155</v>
      </c>
      <c r="T1208" s="9" t="s">
        <v>52</v>
      </c>
      <c r="W1208" s="13">
        <v>0</v>
      </c>
      <c r="X1208" s="14">
        <v>0</v>
      </c>
      <c r="Y1208" s="13">
        <v>0</v>
      </c>
      <c r="Z1208" s="10">
        <v>45385</v>
      </c>
      <c r="AA1208" s="9">
        <v>-40</v>
      </c>
      <c r="AC1208" s="9" t="s">
        <v>94</v>
      </c>
      <c r="AD1208" s="14">
        <v>6.7170129870129873</v>
      </c>
      <c r="AF1208" s="14">
        <v>0</v>
      </c>
      <c r="AH1208" s="14">
        <v>6.7170129870129873</v>
      </c>
      <c r="AI1208" s="13">
        <v>-6.7170129870129873</v>
      </c>
      <c r="AK1208" s="9">
        <v>0</v>
      </c>
    </row>
    <row r="1209" spans="1:37">
      <c r="A1209" s="9">
        <v>13</v>
      </c>
      <c r="B1209" s="9">
        <v>2024</v>
      </c>
      <c r="C1209" s="9" t="s">
        <v>46</v>
      </c>
      <c r="D1209" s="9" t="s">
        <v>47</v>
      </c>
      <c r="E1209" s="9" t="s">
        <v>47</v>
      </c>
      <c r="F1209" s="10">
        <v>45377</v>
      </c>
      <c r="G1209" s="9" t="s">
        <v>155</v>
      </c>
      <c r="H1209" s="9" t="s">
        <v>54</v>
      </c>
      <c r="J1209" s="9">
        <v>10.285714285714285</v>
      </c>
      <c r="K1209" s="9">
        <v>240</v>
      </c>
      <c r="L1209" s="9">
        <v>0.56999999999999995</v>
      </c>
      <c r="M1209" s="9">
        <v>136.80000000000001</v>
      </c>
      <c r="N1209" s="9" t="s">
        <v>49</v>
      </c>
      <c r="Q1209" s="9">
        <f>IF(Auction_Sales[[#This Row],[Payment Date]]=0,"",-1+WEEKNUM(Auction_Sales[[#This Row],[Payment Date]]))</f>
        <v>13</v>
      </c>
      <c r="R1209" s="9">
        <v>40</v>
      </c>
      <c r="S1209" s="9" t="s">
        <v>155</v>
      </c>
      <c r="T1209" s="9" t="s">
        <v>54</v>
      </c>
      <c r="U1209" s="9">
        <v>200</v>
      </c>
      <c r="V1209" s="13">
        <v>0.90400000000000003</v>
      </c>
      <c r="W1209" s="13">
        <v>180.8</v>
      </c>
      <c r="X1209" s="14">
        <v>-10.156799999999986</v>
      </c>
      <c r="Y1209" s="13">
        <v>170.64320000000004</v>
      </c>
      <c r="Z1209" s="10">
        <v>45385</v>
      </c>
      <c r="AA1209" s="9">
        <v>-40</v>
      </c>
      <c r="AC1209" s="9" t="s">
        <v>94</v>
      </c>
      <c r="AD1209" s="14">
        <v>40.302077922077927</v>
      </c>
      <c r="AF1209" s="14">
        <v>4</v>
      </c>
      <c r="AH1209" s="14">
        <v>44.302077922077927</v>
      </c>
      <c r="AI1209" s="13">
        <v>126.34112207792211</v>
      </c>
      <c r="AK1209" s="9">
        <v>200</v>
      </c>
    </row>
    <row r="1210" spans="1:37">
      <c r="A1210" s="9">
        <v>13</v>
      </c>
      <c r="B1210" s="9">
        <v>2024</v>
      </c>
      <c r="C1210" s="9" t="s">
        <v>46</v>
      </c>
      <c r="D1210" s="9" t="s">
        <v>47</v>
      </c>
      <c r="E1210" s="9" t="s">
        <v>47</v>
      </c>
      <c r="F1210" s="10">
        <v>45377</v>
      </c>
      <c r="G1210" s="9" t="s">
        <v>153</v>
      </c>
      <c r="H1210" s="9" t="s">
        <v>54</v>
      </c>
      <c r="I1210" s="9">
        <v>1</v>
      </c>
      <c r="J1210" s="9">
        <v>8</v>
      </c>
      <c r="K1210" s="9">
        <v>240</v>
      </c>
      <c r="L1210" s="9">
        <v>0.33</v>
      </c>
      <c r="M1210" s="9">
        <v>79.2</v>
      </c>
      <c r="N1210" s="9" t="s">
        <v>49</v>
      </c>
      <c r="Q1210" s="9">
        <f>IF(Auction_Sales[[#This Row],[Payment Date]]=0,"",-1+WEEKNUM(Auction_Sales[[#This Row],[Payment Date]]))</f>
        <v>13</v>
      </c>
      <c r="R1210" s="9">
        <v>0</v>
      </c>
      <c r="S1210" s="9" t="s">
        <v>153</v>
      </c>
      <c r="T1210" s="9" t="s">
        <v>54</v>
      </c>
      <c r="U1210" s="9">
        <v>240</v>
      </c>
      <c r="V1210" s="13">
        <v>0.51833333333333331</v>
      </c>
      <c r="W1210" s="13">
        <v>124.39999999999999</v>
      </c>
      <c r="X1210" s="14">
        <v>-12.188159999999982</v>
      </c>
      <c r="Y1210" s="13">
        <v>112.21184000000001</v>
      </c>
      <c r="Z1210" s="10">
        <v>45385</v>
      </c>
      <c r="AA1210" s="9">
        <v>0</v>
      </c>
      <c r="AC1210" s="9" t="s">
        <v>94</v>
      </c>
      <c r="AD1210" s="14">
        <v>31.346060606060608</v>
      </c>
      <c r="AF1210" s="14">
        <v>4.8</v>
      </c>
      <c r="AH1210" s="14">
        <v>36.146060606060608</v>
      </c>
      <c r="AI1210" s="13">
        <v>76.065779393939408</v>
      </c>
      <c r="AK1210" s="9">
        <v>240</v>
      </c>
    </row>
    <row r="1211" spans="1:37">
      <c r="A1211" s="9">
        <v>13</v>
      </c>
      <c r="B1211" s="9">
        <v>2024</v>
      </c>
      <c r="C1211" s="9" t="s">
        <v>46</v>
      </c>
      <c r="D1211" s="9" t="s">
        <v>47</v>
      </c>
      <c r="E1211" s="9" t="s">
        <v>47</v>
      </c>
      <c r="F1211" s="10">
        <v>45377</v>
      </c>
      <c r="G1211" s="9" t="s">
        <v>153</v>
      </c>
      <c r="H1211" s="9" t="s">
        <v>56</v>
      </c>
      <c r="J1211" s="9">
        <v>2.6666666666666665</v>
      </c>
      <c r="K1211" s="9">
        <v>80</v>
      </c>
      <c r="L1211" s="9">
        <v>0.38</v>
      </c>
      <c r="M1211" s="9">
        <v>30.4</v>
      </c>
      <c r="N1211" s="9" t="s">
        <v>49</v>
      </c>
      <c r="Q1211" s="9">
        <f>IF(Auction_Sales[[#This Row],[Payment Date]]=0,"",-1+WEEKNUM(Auction_Sales[[#This Row],[Payment Date]]))</f>
        <v>13</v>
      </c>
      <c r="R1211" s="9">
        <v>0</v>
      </c>
      <c r="S1211" s="9" t="s">
        <v>153</v>
      </c>
      <c r="T1211" s="9" t="s">
        <v>56</v>
      </c>
      <c r="U1211" s="9">
        <v>80</v>
      </c>
      <c r="V1211" s="13">
        <v>0.57499999999999996</v>
      </c>
      <c r="W1211" s="13">
        <v>46</v>
      </c>
      <c r="X1211" s="14">
        <v>-4.0627199999999934</v>
      </c>
      <c r="Y1211" s="13">
        <v>41.937280000000008</v>
      </c>
      <c r="Z1211" s="10">
        <v>45385</v>
      </c>
      <c r="AA1211" s="9">
        <v>0</v>
      </c>
      <c r="AC1211" s="9" t="s">
        <v>94</v>
      </c>
      <c r="AD1211" s="14">
        <v>10.448686868686869</v>
      </c>
      <c r="AF1211" s="14">
        <v>1.6</v>
      </c>
      <c r="AH1211" s="14">
        <v>12.048686868686868</v>
      </c>
      <c r="AI1211" s="13">
        <v>29.88859313131314</v>
      </c>
      <c r="AK1211" s="9">
        <v>80</v>
      </c>
    </row>
    <row r="1212" spans="1:37">
      <c r="A1212" s="9">
        <v>13</v>
      </c>
      <c r="B1212" s="9">
        <v>2024</v>
      </c>
      <c r="C1212" s="9" t="s">
        <v>46</v>
      </c>
      <c r="D1212" s="9" t="s">
        <v>47</v>
      </c>
      <c r="E1212" s="9" t="s">
        <v>47</v>
      </c>
      <c r="F1212" s="10">
        <v>45377</v>
      </c>
      <c r="G1212" s="9" t="s">
        <v>153</v>
      </c>
      <c r="H1212" s="9" t="s">
        <v>57</v>
      </c>
      <c r="J1212" s="9">
        <v>1.3333333333333333</v>
      </c>
      <c r="K1212" s="9">
        <v>40</v>
      </c>
      <c r="L1212" s="9">
        <v>0.47</v>
      </c>
      <c r="M1212" s="9">
        <v>18.8</v>
      </c>
      <c r="N1212" s="9" t="s">
        <v>49</v>
      </c>
      <c r="Q1212" s="9">
        <f>IF(Auction_Sales[[#This Row],[Payment Date]]=0,"",-1+WEEKNUM(Auction_Sales[[#This Row],[Payment Date]]))</f>
        <v>13</v>
      </c>
      <c r="R1212" s="9">
        <v>0</v>
      </c>
      <c r="S1212" s="9" t="s">
        <v>153</v>
      </c>
      <c r="T1212" s="9" t="s">
        <v>57</v>
      </c>
      <c r="U1212" s="9">
        <v>40</v>
      </c>
      <c r="V1212" s="13">
        <v>0.67</v>
      </c>
      <c r="W1212" s="13">
        <v>26.8</v>
      </c>
      <c r="X1212" s="14">
        <v>-2.0313599999999967</v>
      </c>
      <c r="Y1212" s="13">
        <v>24.768640000000005</v>
      </c>
      <c r="Z1212" s="10">
        <v>45385</v>
      </c>
      <c r="AA1212" s="9">
        <v>0</v>
      </c>
      <c r="AC1212" s="9" t="s">
        <v>94</v>
      </c>
      <c r="AD1212" s="14">
        <v>5.2243434343434343</v>
      </c>
      <c r="AF1212" s="14">
        <v>0.8</v>
      </c>
      <c r="AH1212" s="14">
        <v>6.0243434343434341</v>
      </c>
      <c r="AI1212" s="13">
        <v>18.744296565656569</v>
      </c>
      <c r="AK1212" s="9">
        <v>40</v>
      </c>
    </row>
    <row r="1213" spans="1:37">
      <c r="A1213" s="9">
        <v>13</v>
      </c>
      <c r="B1213" s="9">
        <v>2024</v>
      </c>
      <c r="C1213" s="9" t="s">
        <v>46</v>
      </c>
      <c r="D1213" s="9" t="s">
        <v>47</v>
      </c>
      <c r="E1213" s="9" t="s">
        <v>47</v>
      </c>
      <c r="F1213" s="10">
        <v>45377</v>
      </c>
      <c r="G1213" s="9" t="s">
        <v>156</v>
      </c>
      <c r="H1213" s="9" t="s">
        <v>51</v>
      </c>
      <c r="I1213" s="9">
        <v>1</v>
      </c>
      <c r="J1213" s="9">
        <v>2.1818181818181817</v>
      </c>
      <c r="K1213" s="9">
        <v>80</v>
      </c>
      <c r="L1213" s="9">
        <v>0.42</v>
      </c>
      <c r="M1213" s="9">
        <v>33.6</v>
      </c>
      <c r="N1213" s="9" t="s">
        <v>49</v>
      </c>
      <c r="Q1213" s="9">
        <f>IF(Auction_Sales[[#This Row],[Payment Date]]=0,"",-1+WEEKNUM(Auction_Sales[[#This Row],[Payment Date]]))</f>
        <v>13</v>
      </c>
      <c r="R1213" s="9">
        <v>0</v>
      </c>
      <c r="S1213" s="9" t="s">
        <v>156</v>
      </c>
      <c r="T1213" s="9" t="s">
        <v>51</v>
      </c>
      <c r="U1213" s="9">
        <v>80</v>
      </c>
      <c r="V1213" s="13">
        <v>0.27999999999999997</v>
      </c>
      <c r="W1213" s="13">
        <v>22.4</v>
      </c>
      <c r="X1213" s="14">
        <v>-4.0627199999999934</v>
      </c>
      <c r="Y1213" s="13">
        <v>18.337280000000007</v>
      </c>
      <c r="Z1213" s="10">
        <v>45385</v>
      </c>
      <c r="AA1213" s="9">
        <v>0</v>
      </c>
      <c r="AC1213" s="9" t="s">
        <v>94</v>
      </c>
      <c r="AD1213" s="14">
        <v>8.5489256198347121</v>
      </c>
      <c r="AF1213" s="14">
        <v>1.6</v>
      </c>
      <c r="AH1213" s="14">
        <v>10.148925619834712</v>
      </c>
      <c r="AI1213" s="13">
        <v>8.1883543801652952</v>
      </c>
      <c r="AK1213" s="9">
        <v>80</v>
      </c>
    </row>
    <row r="1214" spans="1:37">
      <c r="A1214" s="9">
        <v>13</v>
      </c>
      <c r="B1214" s="9">
        <v>2024</v>
      </c>
      <c r="C1214" s="9" t="s">
        <v>46</v>
      </c>
      <c r="D1214" s="9" t="s">
        <v>47</v>
      </c>
      <c r="E1214" s="9" t="s">
        <v>47</v>
      </c>
      <c r="F1214" s="10">
        <v>45377</v>
      </c>
      <c r="G1214" s="9" t="s">
        <v>156</v>
      </c>
      <c r="H1214" s="9" t="s">
        <v>48</v>
      </c>
      <c r="J1214" s="9">
        <v>2.1818181818181817</v>
      </c>
      <c r="K1214" s="9">
        <v>80</v>
      </c>
      <c r="L1214" s="9">
        <v>0.52</v>
      </c>
      <c r="M1214" s="9">
        <v>41.6</v>
      </c>
      <c r="N1214" s="9" t="s">
        <v>49</v>
      </c>
      <c r="Q1214" s="9">
        <f>IF(Auction_Sales[[#This Row],[Payment Date]]=0,"",-1+WEEKNUM(Auction_Sales[[#This Row],[Payment Date]]))</f>
        <v>13</v>
      </c>
      <c r="R1214" s="9">
        <v>0</v>
      </c>
      <c r="S1214" s="9" t="s">
        <v>156</v>
      </c>
      <c r="T1214" s="9" t="s">
        <v>48</v>
      </c>
      <c r="U1214" s="9">
        <v>80</v>
      </c>
      <c r="V1214" s="13">
        <v>0.67</v>
      </c>
      <c r="W1214" s="13">
        <v>53.6</v>
      </c>
      <c r="X1214" s="14">
        <v>-4.0627199999999934</v>
      </c>
      <c r="Y1214" s="13">
        <v>49.53728000000001</v>
      </c>
      <c r="Z1214" s="10">
        <v>45385</v>
      </c>
      <c r="AA1214" s="9">
        <v>0</v>
      </c>
      <c r="AC1214" s="9" t="s">
        <v>94</v>
      </c>
      <c r="AD1214" s="14">
        <v>8.5489256198347121</v>
      </c>
      <c r="AF1214" s="14">
        <v>1.6</v>
      </c>
      <c r="AH1214" s="14">
        <v>10.148925619834712</v>
      </c>
      <c r="AI1214" s="13">
        <v>39.388354380165296</v>
      </c>
      <c r="AK1214" s="9">
        <v>80</v>
      </c>
    </row>
    <row r="1215" spans="1:37">
      <c r="A1215" s="9">
        <v>13</v>
      </c>
      <c r="B1215" s="9">
        <v>2024</v>
      </c>
      <c r="C1215" s="9" t="s">
        <v>46</v>
      </c>
      <c r="D1215" s="9" t="s">
        <v>47</v>
      </c>
      <c r="E1215" s="9" t="s">
        <v>47</v>
      </c>
      <c r="F1215" s="10">
        <v>45377</v>
      </c>
      <c r="G1215" s="9" t="s">
        <v>156</v>
      </c>
      <c r="H1215" s="9" t="s">
        <v>52</v>
      </c>
      <c r="J1215" s="9">
        <v>3.2727272727272725</v>
      </c>
      <c r="K1215" s="9">
        <v>120</v>
      </c>
      <c r="L1215" s="9">
        <v>0.61</v>
      </c>
      <c r="M1215" s="9">
        <v>73.2</v>
      </c>
      <c r="N1215" s="9" t="s">
        <v>49</v>
      </c>
      <c r="Q1215" s="9">
        <f>IF(Auction_Sales[[#This Row],[Payment Date]]=0,"",-1+WEEKNUM(Auction_Sales[[#This Row],[Payment Date]]))</f>
        <v>13</v>
      </c>
      <c r="R1215" s="9">
        <v>0</v>
      </c>
      <c r="S1215" s="9" t="s">
        <v>156</v>
      </c>
      <c r="T1215" s="9" t="s">
        <v>52</v>
      </c>
      <c r="U1215" s="9">
        <v>120</v>
      </c>
      <c r="V1215" s="13">
        <v>0.77</v>
      </c>
      <c r="W1215" s="13">
        <v>92.4</v>
      </c>
      <c r="X1215" s="14">
        <v>-6.0940799999999911</v>
      </c>
      <c r="Y1215" s="13">
        <v>86.305920000000015</v>
      </c>
      <c r="Z1215" s="10">
        <v>45385</v>
      </c>
      <c r="AA1215" s="9">
        <v>0</v>
      </c>
      <c r="AC1215" s="9" t="s">
        <v>94</v>
      </c>
      <c r="AD1215" s="14">
        <v>12.823388429752066</v>
      </c>
      <c r="AF1215" s="14">
        <v>2.4</v>
      </c>
      <c r="AH1215" s="14">
        <v>15.223388429752067</v>
      </c>
      <c r="AI1215" s="13">
        <v>71.082531570247951</v>
      </c>
      <c r="AK1215" s="9">
        <v>120</v>
      </c>
    </row>
    <row r="1216" spans="1:37">
      <c r="A1216" s="9">
        <v>13</v>
      </c>
      <c r="B1216" s="9">
        <v>2024</v>
      </c>
      <c r="C1216" s="9" t="s">
        <v>46</v>
      </c>
      <c r="D1216" s="9" t="s">
        <v>47</v>
      </c>
      <c r="E1216" s="9" t="s">
        <v>47</v>
      </c>
      <c r="F1216" s="10">
        <v>45377</v>
      </c>
      <c r="G1216" s="9" t="s">
        <v>156</v>
      </c>
      <c r="H1216" s="9" t="s">
        <v>54</v>
      </c>
      <c r="J1216" s="9">
        <v>3.2727272727272725</v>
      </c>
      <c r="K1216" s="9">
        <v>120</v>
      </c>
      <c r="L1216" s="9">
        <v>0.66</v>
      </c>
      <c r="M1216" s="9">
        <v>79.2</v>
      </c>
      <c r="N1216" s="9" t="s">
        <v>49</v>
      </c>
      <c r="Q1216" s="9">
        <f>IF(Auction_Sales[[#This Row],[Payment Date]]=0,"",-1+WEEKNUM(Auction_Sales[[#This Row],[Payment Date]]))</f>
        <v>13</v>
      </c>
      <c r="R1216" s="9">
        <v>0</v>
      </c>
      <c r="S1216" s="9" t="s">
        <v>156</v>
      </c>
      <c r="T1216" s="9" t="s">
        <v>54</v>
      </c>
      <c r="U1216" s="9">
        <v>120</v>
      </c>
      <c r="V1216" s="13">
        <v>0.75</v>
      </c>
      <c r="W1216" s="13">
        <v>90</v>
      </c>
      <c r="X1216" s="14">
        <v>-6.0940799999999911</v>
      </c>
      <c r="Y1216" s="13">
        <v>83.905920000000009</v>
      </c>
      <c r="Z1216" s="10">
        <v>45385</v>
      </c>
      <c r="AA1216" s="9">
        <v>0</v>
      </c>
      <c r="AC1216" s="9" t="s">
        <v>94</v>
      </c>
      <c r="AD1216" s="14">
        <v>12.823388429752066</v>
      </c>
      <c r="AF1216" s="14">
        <v>2.4</v>
      </c>
      <c r="AH1216" s="14">
        <v>15.223388429752067</v>
      </c>
      <c r="AI1216" s="13">
        <v>68.682531570247946</v>
      </c>
      <c r="AK1216" s="9">
        <v>120</v>
      </c>
    </row>
    <row r="1217" spans="1:37">
      <c r="A1217" s="9">
        <v>13</v>
      </c>
      <c r="B1217" s="9">
        <v>2024</v>
      </c>
      <c r="C1217" s="9" t="s">
        <v>46</v>
      </c>
      <c r="D1217" s="9" t="s">
        <v>47</v>
      </c>
      <c r="E1217" s="9" t="s">
        <v>47</v>
      </c>
      <c r="F1217" s="10">
        <v>45377</v>
      </c>
      <c r="G1217" s="9" t="s">
        <v>156</v>
      </c>
      <c r="H1217" s="9" t="s">
        <v>57</v>
      </c>
      <c r="J1217" s="9">
        <v>1.0909090909090908</v>
      </c>
      <c r="K1217" s="9">
        <v>40</v>
      </c>
      <c r="L1217" s="9">
        <v>1.04</v>
      </c>
      <c r="M1217" s="9">
        <v>41.6</v>
      </c>
      <c r="N1217" s="9" t="s">
        <v>49</v>
      </c>
      <c r="Q1217" s="9">
        <f>IF(Auction_Sales[[#This Row],[Payment Date]]=0,"",-1+WEEKNUM(Auction_Sales[[#This Row],[Payment Date]]))</f>
        <v>13</v>
      </c>
      <c r="R1217" s="9">
        <v>0</v>
      </c>
      <c r="S1217" s="9" t="s">
        <v>156</v>
      </c>
      <c r="T1217" s="9" t="s">
        <v>57</v>
      </c>
      <c r="U1217" s="9">
        <v>40</v>
      </c>
      <c r="V1217" s="13">
        <v>0.96</v>
      </c>
      <c r="W1217" s="13">
        <v>38.4</v>
      </c>
      <c r="X1217" s="14">
        <v>-2.0313599999999967</v>
      </c>
      <c r="Y1217" s="13">
        <v>36.368639999999999</v>
      </c>
      <c r="Z1217" s="10">
        <v>45385</v>
      </c>
      <c r="AA1217" s="9">
        <v>0</v>
      </c>
      <c r="AC1217" s="9" t="s">
        <v>94</v>
      </c>
      <c r="AD1217" s="14">
        <v>4.2744628099173561</v>
      </c>
      <c r="AF1217" s="14">
        <v>0.8</v>
      </c>
      <c r="AH1217" s="14">
        <v>5.0744628099173559</v>
      </c>
      <c r="AI1217" s="13">
        <v>31.294177190082642</v>
      </c>
      <c r="AK1217" s="9">
        <v>40</v>
      </c>
    </row>
    <row r="1218" spans="1:37">
      <c r="A1218" s="9">
        <v>13</v>
      </c>
      <c r="B1218" s="9">
        <v>2024</v>
      </c>
      <c r="C1218" s="9" t="s">
        <v>46</v>
      </c>
      <c r="D1218" s="9" t="s">
        <v>47</v>
      </c>
      <c r="E1218" s="9" t="s">
        <v>47</v>
      </c>
      <c r="F1218" s="10">
        <v>45377</v>
      </c>
      <c r="G1218" s="9" t="s">
        <v>153</v>
      </c>
      <c r="H1218" s="9" t="s">
        <v>48</v>
      </c>
      <c r="I1218" s="9">
        <v>1</v>
      </c>
      <c r="J1218" s="9">
        <v>4.9090909090909092</v>
      </c>
      <c r="K1218" s="9">
        <v>360</v>
      </c>
      <c r="L1218" s="9">
        <v>0.24</v>
      </c>
      <c r="M1218" s="9">
        <v>86.4</v>
      </c>
      <c r="N1218" s="9" t="s">
        <v>49</v>
      </c>
      <c r="Q1218" s="9">
        <f>IF(Auction_Sales[[#This Row],[Payment Date]]=0,"",-1+WEEKNUM(Auction_Sales[[#This Row],[Payment Date]]))</f>
        <v>13</v>
      </c>
      <c r="R1218" s="9">
        <v>0</v>
      </c>
      <c r="S1218" s="9" t="s">
        <v>153</v>
      </c>
      <c r="T1218" s="9" t="s">
        <v>48</v>
      </c>
      <c r="U1218" s="9">
        <v>360</v>
      </c>
      <c r="V1218" s="13">
        <v>0.49</v>
      </c>
      <c r="W1218" s="13">
        <v>176.4</v>
      </c>
      <c r="X1218" s="14">
        <v>-18.282239999999973</v>
      </c>
      <c r="Y1218" s="13">
        <v>158.11776000000003</v>
      </c>
      <c r="Z1218" s="10">
        <v>45385</v>
      </c>
      <c r="AA1218" s="9">
        <v>0</v>
      </c>
      <c r="AC1218" s="9" t="s">
        <v>94</v>
      </c>
      <c r="AD1218" s="14">
        <v>19.2350826446281</v>
      </c>
      <c r="AF1218" s="14">
        <v>7.2</v>
      </c>
      <c r="AH1218" s="14">
        <v>26.4350826446281</v>
      </c>
      <c r="AI1218" s="13">
        <v>131.68267735537194</v>
      </c>
      <c r="AK1218" s="9">
        <v>360</v>
      </c>
    </row>
    <row r="1219" spans="1:37">
      <c r="A1219" s="9">
        <v>13</v>
      </c>
      <c r="B1219" s="9">
        <v>2024</v>
      </c>
      <c r="C1219" s="9" t="s">
        <v>46</v>
      </c>
      <c r="D1219" s="9" t="s">
        <v>47</v>
      </c>
      <c r="E1219" s="9" t="s">
        <v>47</v>
      </c>
      <c r="F1219" s="10">
        <v>45377</v>
      </c>
      <c r="G1219" s="9" t="s">
        <v>153</v>
      </c>
      <c r="H1219" s="9" t="s">
        <v>52</v>
      </c>
      <c r="J1219" s="9">
        <v>3.8181818181818183</v>
      </c>
      <c r="K1219" s="9">
        <v>280</v>
      </c>
      <c r="L1219" s="9">
        <v>0.28000000000000003</v>
      </c>
      <c r="M1219" s="9">
        <v>78.400000000000006</v>
      </c>
      <c r="N1219" s="9" t="s">
        <v>49</v>
      </c>
      <c r="Q1219" s="9">
        <f>IF(Auction_Sales[[#This Row],[Payment Date]]=0,"",-1+WEEKNUM(Auction_Sales[[#This Row],[Payment Date]]))</f>
        <v>13</v>
      </c>
      <c r="R1219" s="9">
        <v>0</v>
      </c>
      <c r="S1219" s="9" t="s">
        <v>153</v>
      </c>
      <c r="T1219" s="9" t="s">
        <v>52</v>
      </c>
      <c r="U1219" s="9">
        <v>280</v>
      </c>
      <c r="V1219" s="13">
        <v>0.47285714285714286</v>
      </c>
      <c r="W1219" s="13">
        <v>132.4</v>
      </c>
      <c r="X1219" s="14">
        <v>-14.219519999999978</v>
      </c>
      <c r="Y1219" s="13">
        <v>118.18048000000003</v>
      </c>
      <c r="Z1219" s="10">
        <v>45385</v>
      </c>
      <c r="AA1219" s="9">
        <v>0</v>
      </c>
      <c r="AC1219" s="9" t="s">
        <v>94</v>
      </c>
      <c r="AD1219" s="14">
        <v>14.960619834710744</v>
      </c>
      <c r="AF1219" s="14">
        <v>5.6000000000000005</v>
      </c>
      <c r="AH1219" s="14">
        <v>20.560619834710746</v>
      </c>
      <c r="AI1219" s="13">
        <v>97.619860165289282</v>
      </c>
      <c r="AK1219" s="9">
        <v>280</v>
      </c>
    </row>
    <row r="1220" spans="1:37">
      <c r="A1220" s="9">
        <v>13</v>
      </c>
      <c r="B1220" s="9">
        <v>2024</v>
      </c>
      <c r="C1220" s="9" t="s">
        <v>46</v>
      </c>
      <c r="D1220" s="9" t="s">
        <v>47</v>
      </c>
      <c r="E1220" s="9" t="s">
        <v>47</v>
      </c>
      <c r="F1220" s="10">
        <v>45377</v>
      </c>
      <c r="G1220" s="9" t="s">
        <v>153</v>
      </c>
      <c r="H1220" s="9" t="s">
        <v>51</v>
      </c>
      <c r="J1220" s="9">
        <v>3.2727272727272725</v>
      </c>
      <c r="K1220" s="9">
        <v>240</v>
      </c>
      <c r="L1220" s="9">
        <v>0.14000000000000001</v>
      </c>
      <c r="M1220" s="9">
        <v>33.6</v>
      </c>
      <c r="N1220" s="9" t="s">
        <v>49</v>
      </c>
      <c r="Q1220" s="9">
        <f>IF(Auction_Sales[[#This Row],[Payment Date]]=0,"",-1+WEEKNUM(Auction_Sales[[#This Row],[Payment Date]]))</f>
        <v>13</v>
      </c>
      <c r="R1220" s="9">
        <v>0</v>
      </c>
      <c r="S1220" s="9" t="s">
        <v>153</v>
      </c>
      <c r="T1220" s="9" t="s">
        <v>51</v>
      </c>
      <c r="U1220" s="9">
        <v>240</v>
      </c>
      <c r="V1220" s="13">
        <v>8.4999999999999992E-2</v>
      </c>
      <c r="W1220" s="13">
        <v>20.399999999999999</v>
      </c>
      <c r="X1220" s="14">
        <v>-12.188159999999982</v>
      </c>
      <c r="Y1220" s="13">
        <v>8.2118400000000165</v>
      </c>
      <c r="Z1220" s="10">
        <v>45385</v>
      </c>
      <c r="AA1220" s="9">
        <v>0</v>
      </c>
      <c r="AC1220" s="9" t="s">
        <v>94</v>
      </c>
      <c r="AD1220" s="14">
        <v>12.823388429752066</v>
      </c>
      <c r="AF1220" s="14">
        <v>4.8</v>
      </c>
      <c r="AH1220" s="14">
        <v>17.623388429752065</v>
      </c>
      <c r="AI1220" s="13">
        <v>-9.4115484297520489</v>
      </c>
      <c r="AK1220" s="9">
        <v>240</v>
      </c>
    </row>
    <row r="1221" spans="1:37">
      <c r="A1221" s="9">
        <v>13</v>
      </c>
      <c r="B1221" s="9">
        <v>2024</v>
      </c>
      <c r="C1221" s="9" t="s">
        <v>46</v>
      </c>
      <c r="D1221" s="9" t="s">
        <v>47</v>
      </c>
      <c r="E1221" s="9" t="s">
        <v>47</v>
      </c>
      <c r="F1221" s="10">
        <v>45379</v>
      </c>
      <c r="G1221" s="9" t="s">
        <v>153</v>
      </c>
      <c r="H1221" s="9" t="s">
        <v>57</v>
      </c>
      <c r="I1221" s="9">
        <v>1</v>
      </c>
      <c r="J1221" s="9">
        <v>12</v>
      </c>
      <c r="K1221" s="9">
        <v>320</v>
      </c>
      <c r="L1221" s="9">
        <v>0.47</v>
      </c>
      <c r="M1221" s="9">
        <v>150.4</v>
      </c>
      <c r="N1221" s="9" t="s">
        <v>49</v>
      </c>
      <c r="Q1221" s="9">
        <f>IF(Auction_Sales[[#This Row],[Payment Date]]=0,"",-1+WEEKNUM(Auction_Sales[[#This Row],[Payment Date]]))</f>
        <v>14</v>
      </c>
      <c r="R1221" s="9">
        <v>0</v>
      </c>
      <c r="S1221" s="9" t="s">
        <v>153</v>
      </c>
      <c r="T1221" s="9" t="s">
        <v>57</v>
      </c>
      <c r="U1221" s="9">
        <v>320</v>
      </c>
      <c r="V1221" s="13">
        <v>0.64749999999999996</v>
      </c>
      <c r="W1221" s="13">
        <v>207.2</v>
      </c>
      <c r="X1221" s="14">
        <v>-18.301276595744678</v>
      </c>
      <c r="Y1221" s="13">
        <v>188.89872340425532</v>
      </c>
      <c r="Z1221" s="10">
        <v>45392</v>
      </c>
      <c r="AA1221" s="9">
        <v>0</v>
      </c>
      <c r="AC1221" s="9">
        <v>434894</v>
      </c>
      <c r="AD1221" s="14">
        <v>46.478000000000002</v>
      </c>
      <c r="AF1221" s="14">
        <v>6.4</v>
      </c>
      <c r="AH1221" s="14">
        <v>52.878</v>
      </c>
      <c r="AI1221" s="13">
        <v>136.02072340425531</v>
      </c>
      <c r="AK1221" s="9">
        <v>320</v>
      </c>
    </row>
    <row r="1222" spans="1:37">
      <c r="A1222" s="9">
        <v>13</v>
      </c>
      <c r="B1222" s="9">
        <v>2024</v>
      </c>
      <c r="C1222" s="9" t="s">
        <v>46</v>
      </c>
      <c r="D1222" s="9" t="s">
        <v>47</v>
      </c>
      <c r="E1222" s="9" t="s">
        <v>47</v>
      </c>
      <c r="F1222" s="10">
        <v>45379</v>
      </c>
      <c r="G1222" s="9" t="s">
        <v>153</v>
      </c>
      <c r="H1222" s="9" t="s">
        <v>54</v>
      </c>
      <c r="I1222" s="9">
        <v>1</v>
      </c>
      <c r="J1222" s="9">
        <v>12</v>
      </c>
      <c r="K1222" s="9">
        <v>400</v>
      </c>
      <c r="L1222" s="9">
        <v>0.33</v>
      </c>
      <c r="M1222" s="9">
        <v>132</v>
      </c>
      <c r="N1222" s="9" t="s">
        <v>49</v>
      </c>
      <c r="Q1222" s="9">
        <f>IF(Auction_Sales[[#This Row],[Payment Date]]=0,"",-1+WEEKNUM(Auction_Sales[[#This Row],[Payment Date]]))</f>
        <v>14</v>
      </c>
      <c r="R1222" s="9">
        <v>0</v>
      </c>
      <c r="S1222" s="9" t="s">
        <v>153</v>
      </c>
      <c r="T1222" s="9" t="s">
        <v>54</v>
      </c>
      <c r="U1222" s="9">
        <v>400</v>
      </c>
      <c r="V1222" s="13">
        <v>0.58200000000000007</v>
      </c>
      <c r="W1222" s="13">
        <v>232.80000000000004</v>
      </c>
      <c r="X1222" s="14">
        <v>-22.876595744680849</v>
      </c>
      <c r="Y1222" s="13">
        <v>209.92340425531918</v>
      </c>
      <c r="Z1222" s="10">
        <v>45392</v>
      </c>
      <c r="AA1222" s="9">
        <v>0</v>
      </c>
      <c r="AC1222" s="9">
        <v>434894</v>
      </c>
      <c r="AD1222" s="14">
        <v>46.478000000000002</v>
      </c>
      <c r="AF1222" s="14">
        <v>8</v>
      </c>
      <c r="AH1222" s="14">
        <v>54.478000000000002</v>
      </c>
      <c r="AI1222" s="13">
        <v>155.44540425531918</v>
      </c>
      <c r="AK1222" s="9">
        <v>400</v>
      </c>
    </row>
    <row r="1223" spans="1:37">
      <c r="A1223" s="9">
        <v>13</v>
      </c>
      <c r="B1223" s="9">
        <v>2024</v>
      </c>
      <c r="C1223" s="9" t="s">
        <v>46</v>
      </c>
      <c r="D1223" s="9" t="s">
        <v>47</v>
      </c>
      <c r="E1223" s="9" t="s">
        <v>47</v>
      </c>
      <c r="F1223" s="10">
        <v>45379</v>
      </c>
      <c r="G1223" s="9" t="s">
        <v>154</v>
      </c>
      <c r="H1223" s="9" t="s">
        <v>57</v>
      </c>
      <c r="I1223" s="9">
        <v>1</v>
      </c>
      <c r="J1223" s="9">
        <v>12</v>
      </c>
      <c r="K1223" s="9">
        <v>200</v>
      </c>
      <c r="L1223" s="9">
        <v>0.94</v>
      </c>
      <c r="M1223" s="9">
        <v>188</v>
      </c>
      <c r="N1223" s="9" t="s">
        <v>49</v>
      </c>
      <c r="Q1223" s="9">
        <f>IF(Auction_Sales[[#This Row],[Payment Date]]=0,"",-1+WEEKNUM(Auction_Sales[[#This Row],[Payment Date]]))</f>
        <v>14</v>
      </c>
      <c r="R1223" s="9">
        <v>-120</v>
      </c>
      <c r="S1223" s="9" t="s">
        <v>154</v>
      </c>
      <c r="T1223" s="9" t="s">
        <v>57</v>
      </c>
      <c r="U1223" s="9">
        <v>320</v>
      </c>
      <c r="V1223" s="13">
        <v>0.98000000000000009</v>
      </c>
      <c r="W1223" s="13">
        <v>313.60000000000002</v>
      </c>
      <c r="X1223" s="14">
        <v>-18.301276595744678</v>
      </c>
      <c r="Y1223" s="13">
        <v>295.29872340425533</v>
      </c>
      <c r="Z1223" s="10">
        <v>45392</v>
      </c>
      <c r="AA1223" s="9">
        <v>120</v>
      </c>
      <c r="AC1223" s="9">
        <v>434894</v>
      </c>
      <c r="AD1223" s="14">
        <v>46.478000000000002</v>
      </c>
      <c r="AF1223" s="14">
        <v>6.4</v>
      </c>
      <c r="AH1223" s="14">
        <v>52.878</v>
      </c>
      <c r="AI1223" s="13">
        <v>242.42072340425534</v>
      </c>
      <c r="AK1223" s="9">
        <v>320</v>
      </c>
    </row>
    <row r="1224" spans="1:37">
      <c r="A1224" s="9">
        <v>13</v>
      </c>
      <c r="B1224" s="9">
        <v>2024</v>
      </c>
      <c r="C1224" s="9" t="s">
        <v>46</v>
      </c>
      <c r="D1224" s="9" t="s">
        <v>47</v>
      </c>
      <c r="E1224" s="9" t="s">
        <v>47</v>
      </c>
      <c r="F1224" s="10">
        <v>45379</v>
      </c>
      <c r="G1224" s="9" t="s">
        <v>154</v>
      </c>
      <c r="H1224" s="9" t="s">
        <v>54</v>
      </c>
      <c r="I1224" s="9">
        <v>1</v>
      </c>
      <c r="J1224" s="9">
        <v>12</v>
      </c>
      <c r="K1224" s="9">
        <v>320</v>
      </c>
      <c r="L1224" s="9">
        <v>0.56999999999999995</v>
      </c>
      <c r="M1224" s="9">
        <v>182.4</v>
      </c>
      <c r="N1224" s="9" t="s">
        <v>49</v>
      </c>
      <c r="Q1224" s="9">
        <f>IF(Auction_Sales[[#This Row],[Payment Date]]=0,"",-1+WEEKNUM(Auction_Sales[[#This Row],[Payment Date]]))</f>
        <v>14</v>
      </c>
      <c r="R1224" s="9">
        <v>0</v>
      </c>
      <c r="S1224" s="9" t="s">
        <v>154</v>
      </c>
      <c r="T1224" s="9" t="s">
        <v>54</v>
      </c>
      <c r="U1224" s="9">
        <v>320</v>
      </c>
      <c r="V1224" s="13">
        <v>0.94374999999999998</v>
      </c>
      <c r="W1224" s="13">
        <v>302</v>
      </c>
      <c r="X1224" s="14">
        <v>-18.301276595744678</v>
      </c>
      <c r="Y1224" s="13">
        <v>283.6987234042553</v>
      </c>
      <c r="Z1224" s="10">
        <v>45392</v>
      </c>
      <c r="AA1224" s="9">
        <v>0</v>
      </c>
      <c r="AC1224" s="9">
        <v>434894</v>
      </c>
      <c r="AD1224" s="14">
        <v>46.478000000000002</v>
      </c>
      <c r="AF1224" s="14">
        <v>6.4</v>
      </c>
      <c r="AH1224" s="14">
        <v>52.878</v>
      </c>
      <c r="AI1224" s="13">
        <v>230.82072340425532</v>
      </c>
      <c r="AK1224" s="9">
        <v>320</v>
      </c>
    </row>
    <row r="1225" spans="1:37">
      <c r="A1225" s="9">
        <v>13</v>
      </c>
      <c r="B1225" s="9">
        <v>2024</v>
      </c>
      <c r="C1225" s="9" t="s">
        <v>46</v>
      </c>
      <c r="D1225" s="9" t="s">
        <v>47</v>
      </c>
      <c r="E1225" s="9" t="s">
        <v>47</v>
      </c>
      <c r="F1225" s="10">
        <v>45379</v>
      </c>
      <c r="G1225" s="9" t="s">
        <v>155</v>
      </c>
      <c r="H1225" s="9" t="s">
        <v>52</v>
      </c>
      <c r="I1225" s="9">
        <v>1</v>
      </c>
      <c r="J1225" s="9">
        <v>12</v>
      </c>
      <c r="K1225" s="9">
        <v>400</v>
      </c>
      <c r="L1225" s="9">
        <v>0.52</v>
      </c>
      <c r="M1225" s="9">
        <v>208</v>
      </c>
      <c r="N1225" s="9" t="s">
        <v>49</v>
      </c>
      <c r="Q1225" s="9">
        <f>IF(Auction_Sales[[#This Row],[Payment Date]]=0,"",-1+WEEKNUM(Auction_Sales[[#This Row],[Payment Date]]))</f>
        <v>14</v>
      </c>
      <c r="R1225" s="9">
        <v>0</v>
      </c>
      <c r="S1225" s="9" t="s">
        <v>155</v>
      </c>
      <c r="T1225" s="9" t="s">
        <v>52</v>
      </c>
      <c r="U1225" s="9">
        <v>400</v>
      </c>
      <c r="V1225" s="13">
        <v>0.78599999999999992</v>
      </c>
      <c r="W1225" s="13">
        <v>314.39999999999998</v>
      </c>
      <c r="X1225" s="14">
        <v>-22.876595744680849</v>
      </c>
      <c r="Y1225" s="13">
        <v>291.52340425531912</v>
      </c>
      <c r="Z1225" s="10">
        <v>45392</v>
      </c>
      <c r="AA1225" s="9">
        <v>0</v>
      </c>
      <c r="AC1225" s="9">
        <v>434894</v>
      </c>
      <c r="AD1225" s="14">
        <v>46.478000000000002</v>
      </c>
      <c r="AF1225" s="14">
        <v>8</v>
      </c>
      <c r="AH1225" s="14">
        <v>54.478000000000002</v>
      </c>
      <c r="AI1225" s="13">
        <v>237.04540425531911</v>
      </c>
      <c r="AK1225" s="9">
        <v>400</v>
      </c>
    </row>
    <row r="1226" spans="1:37">
      <c r="A1226" s="9">
        <v>13</v>
      </c>
      <c r="B1226" s="9">
        <v>2024</v>
      </c>
      <c r="C1226" s="9" t="s">
        <v>46</v>
      </c>
      <c r="D1226" s="9" t="s">
        <v>47</v>
      </c>
      <c r="E1226" s="9" t="s">
        <v>47</v>
      </c>
      <c r="F1226" s="10">
        <v>45379</v>
      </c>
      <c r="G1226" s="9" t="s">
        <v>155</v>
      </c>
      <c r="H1226" s="9" t="s">
        <v>54</v>
      </c>
      <c r="I1226" s="9">
        <v>1</v>
      </c>
      <c r="J1226" s="9">
        <v>12</v>
      </c>
      <c r="K1226" s="9">
        <v>320</v>
      </c>
      <c r="L1226" s="9">
        <v>0.56999999999999995</v>
      </c>
      <c r="M1226" s="9">
        <v>182.4</v>
      </c>
      <c r="N1226" s="9" t="s">
        <v>49</v>
      </c>
      <c r="Q1226" s="9">
        <f>IF(Auction_Sales[[#This Row],[Payment Date]]=0,"",-1+WEEKNUM(Auction_Sales[[#This Row],[Payment Date]]))</f>
        <v>14</v>
      </c>
      <c r="R1226" s="9">
        <v>0</v>
      </c>
      <c r="S1226" s="9" t="s">
        <v>155</v>
      </c>
      <c r="T1226" s="9" t="s">
        <v>54</v>
      </c>
      <c r="U1226" s="9">
        <v>320</v>
      </c>
      <c r="V1226" s="13">
        <v>0.88000000000000012</v>
      </c>
      <c r="W1226" s="13">
        <v>281.60000000000002</v>
      </c>
      <c r="X1226" s="14">
        <v>-18.301276595744678</v>
      </c>
      <c r="Y1226" s="13">
        <v>263.29872340425533</v>
      </c>
      <c r="Z1226" s="10">
        <v>45392</v>
      </c>
      <c r="AA1226" s="9">
        <v>0</v>
      </c>
      <c r="AC1226" s="9">
        <v>434894</v>
      </c>
      <c r="AD1226" s="14">
        <v>46.478000000000002</v>
      </c>
      <c r="AF1226" s="14">
        <v>6.4</v>
      </c>
      <c r="AH1226" s="14">
        <v>52.878</v>
      </c>
      <c r="AI1226" s="13">
        <v>210.42072340425534</v>
      </c>
      <c r="AK1226" s="9">
        <v>320</v>
      </c>
    </row>
    <row r="1227" spans="1:37">
      <c r="A1227" s="9">
        <v>13</v>
      </c>
      <c r="B1227" s="9">
        <v>2024</v>
      </c>
      <c r="C1227" s="9" t="s">
        <v>46</v>
      </c>
      <c r="D1227" s="9" t="s">
        <v>47</v>
      </c>
      <c r="E1227" s="9" t="s">
        <v>47</v>
      </c>
      <c r="F1227" s="10">
        <v>45379</v>
      </c>
      <c r="G1227" s="9" t="s">
        <v>155</v>
      </c>
      <c r="H1227" s="9" t="s">
        <v>56</v>
      </c>
      <c r="I1227" s="9">
        <v>1</v>
      </c>
      <c r="J1227" s="9">
        <v>12</v>
      </c>
      <c r="K1227" s="9">
        <v>240</v>
      </c>
      <c r="L1227" s="9">
        <v>0.75</v>
      </c>
      <c r="M1227" s="9">
        <v>180</v>
      </c>
      <c r="N1227" s="9" t="s">
        <v>49</v>
      </c>
      <c r="Q1227" s="9">
        <f>IF(Auction_Sales[[#This Row],[Payment Date]]=0,"",-1+WEEKNUM(Auction_Sales[[#This Row],[Payment Date]]))</f>
        <v>14</v>
      </c>
      <c r="R1227" s="9">
        <v>0</v>
      </c>
      <c r="S1227" s="9" t="s">
        <v>155</v>
      </c>
      <c r="T1227" s="9" t="s">
        <v>56</v>
      </c>
      <c r="U1227" s="9">
        <v>240</v>
      </c>
      <c r="V1227" s="13">
        <v>0.80166666666666664</v>
      </c>
      <c r="W1227" s="13">
        <v>192.4</v>
      </c>
      <c r="X1227" s="14">
        <v>-13.725957446808508</v>
      </c>
      <c r="Y1227" s="13">
        <v>178.6740425531915</v>
      </c>
      <c r="Z1227" s="10">
        <v>45392</v>
      </c>
      <c r="AA1227" s="9">
        <v>0</v>
      </c>
      <c r="AC1227" s="9">
        <v>434894</v>
      </c>
      <c r="AD1227" s="14">
        <v>46.478000000000002</v>
      </c>
      <c r="AF1227" s="14">
        <v>4.8</v>
      </c>
      <c r="AH1227" s="14">
        <v>51.277999999999999</v>
      </c>
      <c r="AI1227" s="13">
        <v>127.39604255319151</v>
      </c>
      <c r="AK1227" s="9">
        <v>240</v>
      </c>
    </row>
    <row r="1228" spans="1:37">
      <c r="A1228" s="9">
        <v>13</v>
      </c>
      <c r="B1228" s="9">
        <v>2024</v>
      </c>
      <c r="C1228" s="9" t="s">
        <v>46</v>
      </c>
      <c r="D1228" s="9" t="s">
        <v>47</v>
      </c>
      <c r="E1228" s="9" t="s">
        <v>47</v>
      </c>
      <c r="F1228" s="10">
        <v>45379</v>
      </c>
      <c r="G1228" s="9" t="s">
        <v>154</v>
      </c>
      <c r="H1228" s="9" t="s">
        <v>51</v>
      </c>
      <c r="I1228" s="9">
        <v>1</v>
      </c>
      <c r="J1228" s="9">
        <v>4.6153846153846159</v>
      </c>
      <c r="K1228" s="9">
        <v>200</v>
      </c>
      <c r="L1228" s="9">
        <v>0.38</v>
      </c>
      <c r="M1228" s="9">
        <v>76</v>
      </c>
      <c r="N1228" s="9" t="s">
        <v>49</v>
      </c>
      <c r="Q1228" s="9">
        <f>IF(Auction_Sales[[#This Row],[Payment Date]]=0,"",-1+WEEKNUM(Auction_Sales[[#This Row],[Payment Date]]))</f>
        <v>14</v>
      </c>
      <c r="R1228" s="9">
        <v>0</v>
      </c>
      <c r="S1228" s="9" t="s">
        <v>154</v>
      </c>
      <c r="T1228" s="9" t="s">
        <v>51</v>
      </c>
      <c r="U1228" s="9">
        <v>200</v>
      </c>
      <c r="V1228" s="13">
        <v>0.65</v>
      </c>
      <c r="W1228" s="13">
        <v>130</v>
      </c>
      <c r="X1228" s="14">
        <v>-11.438297872340424</v>
      </c>
      <c r="Y1228" s="13">
        <v>118.56170212765957</v>
      </c>
      <c r="Z1228" s="10">
        <v>45392</v>
      </c>
      <c r="AA1228" s="9">
        <v>0</v>
      </c>
      <c r="AC1228" s="9">
        <v>434894</v>
      </c>
      <c r="AD1228" s="14">
        <v>17.876153846153848</v>
      </c>
      <c r="AF1228" s="14">
        <v>4</v>
      </c>
      <c r="AH1228" s="14">
        <v>21.876153846153848</v>
      </c>
      <c r="AI1228" s="13">
        <v>96.685548281505731</v>
      </c>
      <c r="AK1228" s="9">
        <v>200</v>
      </c>
    </row>
    <row r="1229" spans="1:37">
      <c r="A1229" s="9">
        <v>13</v>
      </c>
      <c r="B1229" s="9">
        <v>2024</v>
      </c>
      <c r="C1229" s="9" t="s">
        <v>46</v>
      </c>
      <c r="D1229" s="9" t="s">
        <v>47</v>
      </c>
      <c r="E1229" s="9" t="s">
        <v>47</v>
      </c>
      <c r="F1229" s="10">
        <v>45379</v>
      </c>
      <c r="G1229" s="9" t="s">
        <v>154</v>
      </c>
      <c r="H1229" s="9" t="s">
        <v>48</v>
      </c>
      <c r="J1229" s="9">
        <v>4.6153846153846159</v>
      </c>
      <c r="K1229" s="9">
        <v>200</v>
      </c>
      <c r="L1229" s="9">
        <v>0.47</v>
      </c>
      <c r="M1229" s="9">
        <v>94</v>
      </c>
      <c r="N1229" s="9" t="s">
        <v>49</v>
      </c>
      <c r="Q1229" s="9">
        <f>IF(Auction_Sales[[#This Row],[Payment Date]]=0,"",-1+WEEKNUM(Auction_Sales[[#This Row],[Payment Date]]))</f>
        <v>14</v>
      </c>
      <c r="R1229" s="9">
        <v>0</v>
      </c>
      <c r="S1229" s="9" t="s">
        <v>154</v>
      </c>
      <c r="T1229" s="9" t="s">
        <v>48</v>
      </c>
      <c r="U1229" s="9">
        <v>200</v>
      </c>
      <c r="V1229" s="13">
        <v>0.82599999999999996</v>
      </c>
      <c r="W1229" s="13">
        <v>165.2</v>
      </c>
      <c r="X1229" s="14">
        <v>-11.438297872340424</v>
      </c>
      <c r="Y1229" s="13">
        <v>153.76170212765956</v>
      </c>
      <c r="Z1229" s="10">
        <v>45392</v>
      </c>
      <c r="AA1229" s="9">
        <v>0</v>
      </c>
      <c r="AC1229" s="9">
        <v>434894</v>
      </c>
      <c r="AD1229" s="14">
        <v>17.876153846153848</v>
      </c>
      <c r="AF1229" s="14">
        <v>4</v>
      </c>
      <c r="AH1229" s="14">
        <v>21.876153846153848</v>
      </c>
      <c r="AI1229" s="13">
        <v>131.88554828150572</v>
      </c>
      <c r="AK1229" s="9">
        <v>200</v>
      </c>
    </row>
    <row r="1230" spans="1:37">
      <c r="A1230" s="9">
        <v>13</v>
      </c>
      <c r="B1230" s="9">
        <v>2024</v>
      </c>
      <c r="C1230" s="9" t="s">
        <v>46</v>
      </c>
      <c r="D1230" s="9" t="s">
        <v>47</v>
      </c>
      <c r="E1230" s="9" t="s">
        <v>47</v>
      </c>
      <c r="F1230" s="10">
        <v>45379</v>
      </c>
      <c r="G1230" s="9" t="s">
        <v>154</v>
      </c>
      <c r="H1230" s="9" t="s">
        <v>57</v>
      </c>
      <c r="J1230" s="9">
        <v>2.7692307692307692</v>
      </c>
      <c r="K1230" s="9">
        <v>120</v>
      </c>
      <c r="L1230" s="9">
        <v>0.94</v>
      </c>
      <c r="M1230" s="9">
        <v>112.8</v>
      </c>
      <c r="N1230" s="9" t="s">
        <v>49</v>
      </c>
      <c r="Q1230" s="9">
        <f>IF(Auction_Sales[[#This Row],[Payment Date]]=0,"",-1+WEEKNUM(Auction_Sales[[#This Row],[Payment Date]]))</f>
        <v>14</v>
      </c>
      <c r="R1230" s="9">
        <v>120</v>
      </c>
      <c r="S1230" s="9" t="s">
        <v>154</v>
      </c>
      <c r="T1230" s="9" t="s">
        <v>57</v>
      </c>
      <c r="W1230" s="13">
        <v>0</v>
      </c>
      <c r="X1230" s="14">
        <v>0</v>
      </c>
      <c r="Y1230" s="13">
        <v>0</v>
      </c>
      <c r="Z1230" s="10">
        <v>45392</v>
      </c>
      <c r="AA1230" s="9">
        <v>-120</v>
      </c>
      <c r="AC1230" s="9">
        <v>434894</v>
      </c>
      <c r="AD1230" s="14">
        <v>10.725692307692306</v>
      </c>
      <c r="AF1230" s="14">
        <v>0</v>
      </c>
      <c r="AH1230" s="14">
        <v>10.725692307692306</v>
      </c>
      <c r="AI1230" s="13">
        <v>-10.725692307692306</v>
      </c>
      <c r="AK1230" s="9">
        <v>0</v>
      </c>
    </row>
    <row r="1231" spans="1:37">
      <c r="A1231" s="9">
        <v>13</v>
      </c>
      <c r="B1231" s="9">
        <v>2024</v>
      </c>
      <c r="C1231" s="9" t="s">
        <v>46</v>
      </c>
      <c r="D1231" s="9" t="s">
        <v>47</v>
      </c>
      <c r="E1231" s="9" t="s">
        <v>47</v>
      </c>
      <c r="F1231" s="10">
        <v>45379</v>
      </c>
      <c r="G1231" s="9" t="s">
        <v>155</v>
      </c>
      <c r="H1231" s="9" t="s">
        <v>48</v>
      </c>
      <c r="I1231" s="9">
        <v>1</v>
      </c>
      <c r="J1231" s="9">
        <v>10</v>
      </c>
      <c r="K1231" s="9">
        <v>400</v>
      </c>
      <c r="L1231" s="9">
        <v>0.47</v>
      </c>
      <c r="M1231" s="9">
        <v>188</v>
      </c>
      <c r="N1231" s="9" t="s">
        <v>49</v>
      </c>
      <c r="Q1231" s="9">
        <f>IF(Auction_Sales[[#This Row],[Payment Date]]=0,"",-1+WEEKNUM(Auction_Sales[[#This Row],[Payment Date]]))</f>
        <v>14</v>
      </c>
      <c r="R1231" s="9">
        <v>0</v>
      </c>
      <c r="S1231" s="9" t="s">
        <v>155</v>
      </c>
      <c r="T1231" s="9" t="s">
        <v>48</v>
      </c>
      <c r="U1231" s="9">
        <v>400</v>
      </c>
      <c r="V1231" s="13">
        <v>0.66</v>
      </c>
      <c r="W1231" s="13">
        <v>264</v>
      </c>
      <c r="X1231" s="14">
        <v>-22.876595744680849</v>
      </c>
      <c r="Y1231" s="13">
        <v>241.12340425531914</v>
      </c>
      <c r="Z1231" s="10">
        <v>45392</v>
      </c>
      <c r="AA1231" s="9">
        <v>0</v>
      </c>
      <c r="AC1231" s="9">
        <v>434894</v>
      </c>
      <c r="AD1231" s="14">
        <v>38.731666666666662</v>
      </c>
      <c r="AF1231" s="14">
        <v>8</v>
      </c>
      <c r="AH1231" s="14">
        <v>46.731666666666662</v>
      </c>
      <c r="AI1231" s="13">
        <v>194.39173758865249</v>
      </c>
      <c r="AK1231" s="9">
        <v>400</v>
      </c>
    </row>
    <row r="1232" spans="1:37">
      <c r="A1232" s="9">
        <v>13</v>
      </c>
      <c r="B1232" s="9">
        <v>2024</v>
      </c>
      <c r="C1232" s="9" t="s">
        <v>46</v>
      </c>
      <c r="D1232" s="9" t="s">
        <v>47</v>
      </c>
      <c r="E1232" s="9" t="s">
        <v>47</v>
      </c>
      <c r="F1232" s="10">
        <v>45379</v>
      </c>
      <c r="G1232" s="9" t="s">
        <v>155</v>
      </c>
      <c r="H1232" s="9" t="s">
        <v>57</v>
      </c>
      <c r="J1232" s="9">
        <v>2</v>
      </c>
      <c r="K1232" s="9">
        <v>80</v>
      </c>
      <c r="L1232" s="9">
        <v>0.94</v>
      </c>
      <c r="M1232" s="9">
        <v>75.2</v>
      </c>
      <c r="N1232" s="9" t="s">
        <v>49</v>
      </c>
      <c r="Q1232" s="9">
        <f>IF(Auction_Sales[[#This Row],[Payment Date]]=0,"",-1+WEEKNUM(Auction_Sales[[#This Row],[Payment Date]]))</f>
        <v>14</v>
      </c>
      <c r="R1232" s="9">
        <v>0</v>
      </c>
      <c r="S1232" s="9" t="s">
        <v>155</v>
      </c>
      <c r="T1232" s="9" t="s">
        <v>57</v>
      </c>
      <c r="U1232" s="9">
        <v>80</v>
      </c>
      <c r="V1232" s="13">
        <v>0.78499999999999992</v>
      </c>
      <c r="W1232" s="13">
        <v>62.8</v>
      </c>
      <c r="X1232" s="14">
        <v>-4.5753191489361695</v>
      </c>
      <c r="Y1232" s="13">
        <v>58.22468085106383</v>
      </c>
      <c r="Z1232" s="10">
        <v>45392</v>
      </c>
      <c r="AA1232" s="9">
        <v>0</v>
      </c>
      <c r="AC1232" s="9">
        <v>434894</v>
      </c>
      <c r="AD1232" s="14">
        <v>7.7463333333333324</v>
      </c>
      <c r="AF1232" s="14">
        <v>1.6</v>
      </c>
      <c r="AH1232" s="14">
        <v>9.346333333333332</v>
      </c>
      <c r="AI1232" s="13">
        <v>48.878347517730496</v>
      </c>
      <c r="AK1232" s="9">
        <v>80</v>
      </c>
    </row>
    <row r="1233" spans="1:37">
      <c r="A1233" s="9">
        <v>13</v>
      </c>
      <c r="B1233" s="9">
        <v>2024</v>
      </c>
      <c r="C1233" s="9" t="s">
        <v>46</v>
      </c>
      <c r="D1233" s="9" t="s">
        <v>47</v>
      </c>
      <c r="E1233" s="9" t="s">
        <v>47</v>
      </c>
      <c r="F1233" s="10">
        <v>45379</v>
      </c>
      <c r="G1233" s="9" t="s">
        <v>153</v>
      </c>
      <c r="H1233" s="9" t="s">
        <v>56</v>
      </c>
      <c r="I1233" s="9">
        <v>1</v>
      </c>
      <c r="J1233" s="9">
        <v>4.2857142857142856</v>
      </c>
      <c r="K1233" s="9">
        <v>200</v>
      </c>
      <c r="L1233" s="9">
        <v>0.38</v>
      </c>
      <c r="M1233" s="9">
        <v>76</v>
      </c>
      <c r="N1233" s="9" t="s">
        <v>49</v>
      </c>
      <c r="Q1233" s="9">
        <f>IF(Auction_Sales[[#This Row],[Payment Date]]=0,"",-1+WEEKNUM(Auction_Sales[[#This Row],[Payment Date]]))</f>
        <v>14</v>
      </c>
      <c r="R1233" s="9">
        <v>0</v>
      </c>
      <c r="S1233" s="9" t="s">
        <v>153</v>
      </c>
      <c r="T1233" s="9" t="s">
        <v>56</v>
      </c>
      <c r="U1233" s="9">
        <v>200</v>
      </c>
      <c r="V1233" s="13">
        <v>0.60399999999999998</v>
      </c>
      <c r="W1233" s="13">
        <v>120.8</v>
      </c>
      <c r="X1233" s="14">
        <v>-11.438297872340424</v>
      </c>
      <c r="Y1233" s="13">
        <v>109.36170212765957</v>
      </c>
      <c r="Z1233" s="10">
        <v>45392</v>
      </c>
      <c r="AA1233" s="9">
        <v>0</v>
      </c>
      <c r="AC1233" s="9">
        <v>434894</v>
      </c>
      <c r="AD1233" s="14">
        <v>16.599285714285713</v>
      </c>
      <c r="AF1233" s="14">
        <v>4</v>
      </c>
      <c r="AH1233" s="14">
        <v>20.599285714285713</v>
      </c>
      <c r="AI1233" s="13">
        <v>88.762416413373856</v>
      </c>
      <c r="AK1233" s="9">
        <v>200</v>
      </c>
    </row>
    <row r="1234" spans="1:37">
      <c r="A1234" s="9">
        <v>13</v>
      </c>
      <c r="B1234" s="9">
        <v>2024</v>
      </c>
      <c r="C1234" s="9" t="s">
        <v>46</v>
      </c>
      <c r="D1234" s="9" t="s">
        <v>47</v>
      </c>
      <c r="E1234" s="9" t="s">
        <v>47</v>
      </c>
      <c r="F1234" s="10">
        <v>45379</v>
      </c>
      <c r="G1234" s="9" t="s">
        <v>153</v>
      </c>
      <c r="H1234" s="9" t="s">
        <v>48</v>
      </c>
      <c r="J1234" s="9">
        <v>7.7142857142857153</v>
      </c>
      <c r="K1234" s="9">
        <v>360</v>
      </c>
      <c r="L1234" s="9">
        <v>0.24</v>
      </c>
      <c r="M1234" s="9">
        <v>86.4</v>
      </c>
      <c r="N1234" s="9" t="s">
        <v>49</v>
      </c>
      <c r="Q1234" s="9">
        <f>IF(Auction_Sales[[#This Row],[Payment Date]]=0,"",-1+WEEKNUM(Auction_Sales[[#This Row],[Payment Date]]))</f>
        <v>14</v>
      </c>
      <c r="R1234" s="9">
        <v>0</v>
      </c>
      <c r="S1234" s="9" t="s">
        <v>153</v>
      </c>
      <c r="T1234" s="9" t="s">
        <v>48</v>
      </c>
      <c r="U1234" s="9">
        <v>360</v>
      </c>
      <c r="V1234" s="13">
        <v>0.36</v>
      </c>
      <c r="W1234" s="13">
        <v>129.6</v>
      </c>
      <c r="X1234" s="14">
        <v>-20.588936170212765</v>
      </c>
      <c r="Y1234" s="13">
        <v>109.01106382978723</v>
      </c>
      <c r="Z1234" s="10">
        <v>45392</v>
      </c>
      <c r="AA1234" s="9">
        <v>0</v>
      </c>
      <c r="AC1234" s="9">
        <v>434894</v>
      </c>
      <c r="AD1234" s="14">
        <v>29.878714285714288</v>
      </c>
      <c r="AF1234" s="14">
        <v>7.2</v>
      </c>
      <c r="AH1234" s="14">
        <v>37.078714285714291</v>
      </c>
      <c r="AI1234" s="13">
        <v>71.932349544072935</v>
      </c>
      <c r="AK1234" s="9">
        <v>360</v>
      </c>
    </row>
    <row r="1235" spans="1:37">
      <c r="A1235" s="9">
        <v>14</v>
      </c>
      <c r="B1235" s="9">
        <v>2024</v>
      </c>
      <c r="C1235" s="9" t="s">
        <v>46</v>
      </c>
      <c r="D1235" s="9" t="s">
        <v>47</v>
      </c>
      <c r="E1235" s="9" t="s">
        <v>47</v>
      </c>
      <c r="F1235" s="10">
        <v>45381</v>
      </c>
      <c r="G1235" s="9" t="s">
        <v>155</v>
      </c>
      <c r="H1235" s="9" t="s">
        <v>48</v>
      </c>
      <c r="I1235" s="9">
        <v>2</v>
      </c>
      <c r="J1235" s="9">
        <v>24</v>
      </c>
      <c r="K1235" s="9">
        <v>1040</v>
      </c>
      <c r="L1235" s="9">
        <v>0.47</v>
      </c>
      <c r="M1235" s="9">
        <v>488.8</v>
      </c>
      <c r="N1235" s="9" t="s">
        <v>49</v>
      </c>
      <c r="Q1235" s="9">
        <f>IF(Auction_Sales[[#This Row],[Payment Date]]=0,"",-1+WEEKNUM(Auction_Sales[[#This Row],[Payment Date]]))</f>
        <v>14</v>
      </c>
      <c r="R1235" s="9">
        <v>-160</v>
      </c>
      <c r="S1235" s="9" t="s">
        <v>155</v>
      </c>
      <c r="T1235" s="9" t="s">
        <v>48</v>
      </c>
      <c r="U1235" s="9">
        <v>1200</v>
      </c>
      <c r="V1235" s="13">
        <v>0.54600000000000004</v>
      </c>
      <c r="W1235" s="13">
        <v>655.20000000000005</v>
      </c>
      <c r="X1235" s="14">
        <v>-58.582105263157892</v>
      </c>
      <c r="Y1235" s="13">
        <v>596.61789473684212</v>
      </c>
      <c r="Z1235" s="10">
        <v>45392</v>
      </c>
      <c r="AA1235" s="9">
        <v>160</v>
      </c>
      <c r="AC1235" s="9">
        <v>434898</v>
      </c>
      <c r="AD1235" s="14">
        <v>77.832000000000008</v>
      </c>
      <c r="AF1235" s="14">
        <v>24</v>
      </c>
      <c r="AH1235" s="14">
        <v>101.83200000000001</v>
      </c>
      <c r="AI1235" s="13">
        <v>494.78589473684212</v>
      </c>
      <c r="AK1235" s="9">
        <v>1200</v>
      </c>
    </row>
    <row r="1236" spans="1:37">
      <c r="A1236" s="9">
        <v>14</v>
      </c>
      <c r="B1236" s="9">
        <v>2024</v>
      </c>
      <c r="C1236" s="9" t="s">
        <v>46</v>
      </c>
      <c r="D1236" s="9" t="s">
        <v>47</v>
      </c>
      <c r="E1236" s="9" t="s">
        <v>47</v>
      </c>
      <c r="F1236" s="10">
        <v>45381</v>
      </c>
      <c r="G1236" s="9" t="s">
        <v>154</v>
      </c>
      <c r="H1236" s="9" t="s">
        <v>48</v>
      </c>
      <c r="I1236" s="9">
        <v>1</v>
      </c>
      <c r="J1236" s="9">
        <v>12</v>
      </c>
      <c r="K1236" s="9">
        <v>480</v>
      </c>
      <c r="L1236" s="9">
        <v>0.47</v>
      </c>
      <c r="M1236" s="9">
        <v>225.6</v>
      </c>
      <c r="N1236" s="9" t="s">
        <v>49</v>
      </c>
      <c r="Q1236" s="9">
        <f>IF(Auction_Sales[[#This Row],[Payment Date]]=0,"",-1+WEEKNUM(Auction_Sales[[#This Row],[Payment Date]]))</f>
        <v>14</v>
      </c>
      <c r="R1236" s="9">
        <v>-120</v>
      </c>
      <c r="S1236" s="9" t="s">
        <v>154</v>
      </c>
      <c r="T1236" s="9" t="s">
        <v>48</v>
      </c>
      <c r="U1236" s="9">
        <v>600</v>
      </c>
      <c r="V1236" s="13">
        <v>0.5</v>
      </c>
      <c r="W1236" s="13">
        <v>300</v>
      </c>
      <c r="X1236" s="14">
        <v>-29.291052631578946</v>
      </c>
      <c r="Y1236" s="13">
        <v>270.70894736842104</v>
      </c>
      <c r="Z1236" s="10">
        <v>45392</v>
      </c>
      <c r="AA1236" s="9">
        <v>120</v>
      </c>
      <c r="AC1236" s="9">
        <v>434898</v>
      </c>
      <c r="AD1236" s="14">
        <v>38.916000000000004</v>
      </c>
      <c r="AF1236" s="14">
        <v>12</v>
      </c>
      <c r="AH1236" s="14">
        <v>50.916000000000004</v>
      </c>
      <c r="AI1236" s="13">
        <v>219.79294736842104</v>
      </c>
      <c r="AK1236" s="9">
        <v>600</v>
      </c>
    </row>
    <row r="1237" spans="1:37">
      <c r="A1237" s="9">
        <v>14</v>
      </c>
      <c r="B1237" s="9">
        <v>2024</v>
      </c>
      <c r="C1237" s="9" t="s">
        <v>46</v>
      </c>
      <c r="D1237" s="9" t="s">
        <v>47</v>
      </c>
      <c r="E1237" s="9" t="s">
        <v>47</v>
      </c>
      <c r="F1237" s="10">
        <v>45381</v>
      </c>
      <c r="G1237" s="9" t="s">
        <v>154</v>
      </c>
      <c r="H1237" s="9" t="s">
        <v>56</v>
      </c>
      <c r="I1237" s="9">
        <v>1</v>
      </c>
      <c r="J1237" s="9">
        <v>12</v>
      </c>
      <c r="K1237" s="9">
        <v>200</v>
      </c>
      <c r="L1237" s="9">
        <v>0.75</v>
      </c>
      <c r="M1237" s="9">
        <v>150</v>
      </c>
      <c r="N1237" s="9" t="s">
        <v>49</v>
      </c>
      <c r="Q1237" s="9">
        <f>IF(Auction_Sales[[#This Row],[Payment Date]]=0,"",-1+WEEKNUM(Auction_Sales[[#This Row],[Payment Date]]))</f>
        <v>14</v>
      </c>
      <c r="R1237" s="9">
        <v>0</v>
      </c>
      <c r="S1237" s="9" t="s">
        <v>154</v>
      </c>
      <c r="T1237" s="9" t="s">
        <v>56</v>
      </c>
      <c r="U1237" s="9">
        <v>200</v>
      </c>
      <c r="V1237" s="13">
        <v>0.66400000000000003</v>
      </c>
      <c r="W1237" s="13">
        <v>132.80000000000001</v>
      </c>
      <c r="X1237" s="14">
        <v>-9.763684210526316</v>
      </c>
      <c r="Y1237" s="13">
        <v>123.03631578947369</v>
      </c>
      <c r="Z1237" s="10">
        <v>45392</v>
      </c>
      <c r="AA1237" s="9">
        <v>0</v>
      </c>
      <c r="AC1237" s="9">
        <v>434898</v>
      </c>
      <c r="AD1237" s="14">
        <v>38.916000000000004</v>
      </c>
      <c r="AF1237" s="14">
        <v>4</v>
      </c>
      <c r="AH1237" s="14">
        <v>42.916000000000004</v>
      </c>
      <c r="AI1237" s="13">
        <v>80.120315789473693</v>
      </c>
      <c r="AK1237" s="9">
        <v>200</v>
      </c>
    </row>
    <row r="1238" spans="1:37">
      <c r="A1238" s="9">
        <v>14</v>
      </c>
      <c r="B1238" s="9">
        <v>2024</v>
      </c>
      <c r="C1238" s="9" t="s">
        <v>46</v>
      </c>
      <c r="D1238" s="9" t="s">
        <v>47</v>
      </c>
      <c r="E1238" s="9" t="s">
        <v>47</v>
      </c>
      <c r="F1238" s="10">
        <v>45381</v>
      </c>
      <c r="G1238" s="9" t="s">
        <v>154</v>
      </c>
      <c r="H1238" s="9" t="s">
        <v>57</v>
      </c>
      <c r="I1238" s="9">
        <v>1</v>
      </c>
      <c r="J1238" s="9">
        <v>12</v>
      </c>
      <c r="K1238" s="9">
        <v>120</v>
      </c>
      <c r="L1238" s="9">
        <v>0.94</v>
      </c>
      <c r="M1238" s="9">
        <v>112.8</v>
      </c>
      <c r="N1238" s="9" t="s">
        <v>49</v>
      </c>
      <c r="Q1238" s="9">
        <f>IF(Auction_Sales[[#This Row],[Payment Date]]=0,"",-1+WEEKNUM(Auction_Sales[[#This Row],[Payment Date]]))</f>
        <v>14</v>
      </c>
      <c r="R1238" s="9">
        <v>0</v>
      </c>
      <c r="S1238" s="9" t="s">
        <v>154</v>
      </c>
      <c r="T1238" s="9" t="s">
        <v>57</v>
      </c>
      <c r="U1238" s="9">
        <v>120</v>
      </c>
      <c r="V1238" s="13">
        <v>0.78333333333333333</v>
      </c>
      <c r="W1238" s="13">
        <v>94</v>
      </c>
      <c r="X1238" s="14">
        <v>-5.8582105263157889</v>
      </c>
      <c r="Y1238" s="13">
        <v>88.141789473684213</v>
      </c>
      <c r="Z1238" s="10">
        <v>45392</v>
      </c>
      <c r="AA1238" s="9">
        <v>0</v>
      </c>
      <c r="AC1238" s="9">
        <v>434898</v>
      </c>
      <c r="AD1238" s="14">
        <v>38.916000000000004</v>
      </c>
      <c r="AF1238" s="14">
        <v>2.4</v>
      </c>
      <c r="AH1238" s="14">
        <v>41.316000000000003</v>
      </c>
      <c r="AI1238" s="13">
        <v>46.82578947368421</v>
      </c>
      <c r="AK1238" s="9">
        <v>120</v>
      </c>
    </row>
    <row r="1239" spans="1:37">
      <c r="A1239" s="9">
        <v>14</v>
      </c>
      <c r="B1239" s="9">
        <v>2024</v>
      </c>
      <c r="C1239" s="9" t="s">
        <v>46</v>
      </c>
      <c r="D1239" s="9" t="s">
        <v>47</v>
      </c>
      <c r="E1239" s="9" t="s">
        <v>47</v>
      </c>
      <c r="F1239" s="10">
        <v>45381</v>
      </c>
      <c r="G1239" s="9" t="s">
        <v>153</v>
      </c>
      <c r="H1239" s="9" t="s">
        <v>56</v>
      </c>
      <c r="I1239" s="9">
        <v>1</v>
      </c>
      <c r="J1239" s="9">
        <v>12</v>
      </c>
      <c r="K1239" s="9">
        <v>280</v>
      </c>
      <c r="L1239" s="9">
        <v>0.38</v>
      </c>
      <c r="M1239" s="9">
        <v>106.4</v>
      </c>
      <c r="N1239" s="9" t="s">
        <v>49</v>
      </c>
      <c r="Q1239" s="9">
        <f>IF(Auction_Sales[[#This Row],[Payment Date]]=0,"",-1+WEEKNUM(Auction_Sales[[#This Row],[Payment Date]]))</f>
        <v>14</v>
      </c>
      <c r="R1239" s="9">
        <v>0</v>
      </c>
      <c r="S1239" s="9" t="s">
        <v>153</v>
      </c>
      <c r="T1239" s="9" t="s">
        <v>56</v>
      </c>
      <c r="U1239" s="9">
        <v>280</v>
      </c>
      <c r="V1239" s="13">
        <v>0.39857142857142858</v>
      </c>
      <c r="W1239" s="13">
        <v>111.6</v>
      </c>
      <c r="X1239" s="14">
        <v>-13.669157894736841</v>
      </c>
      <c r="Y1239" s="13">
        <v>97.930842105263153</v>
      </c>
      <c r="Z1239" s="10">
        <v>45392</v>
      </c>
      <c r="AA1239" s="9">
        <v>0</v>
      </c>
      <c r="AC1239" s="9">
        <v>434898</v>
      </c>
      <c r="AD1239" s="14">
        <v>38.916000000000004</v>
      </c>
      <c r="AF1239" s="14">
        <v>5.6000000000000005</v>
      </c>
      <c r="AH1239" s="14">
        <v>44.516000000000005</v>
      </c>
      <c r="AI1239" s="13">
        <v>53.414842105263148</v>
      </c>
      <c r="AK1239" s="9">
        <v>280</v>
      </c>
    </row>
    <row r="1240" spans="1:37">
      <c r="A1240" s="9">
        <v>14</v>
      </c>
      <c r="B1240" s="9">
        <v>2024</v>
      </c>
      <c r="C1240" s="9" t="s">
        <v>46</v>
      </c>
      <c r="D1240" s="9" t="s">
        <v>47</v>
      </c>
      <c r="E1240" s="9" t="s">
        <v>47</v>
      </c>
      <c r="F1240" s="10">
        <v>45381</v>
      </c>
      <c r="G1240" s="9" t="s">
        <v>155</v>
      </c>
      <c r="H1240" s="9" t="s">
        <v>52</v>
      </c>
      <c r="I1240" s="9">
        <v>1</v>
      </c>
      <c r="J1240" s="9">
        <v>8</v>
      </c>
      <c r="K1240" s="9">
        <v>240</v>
      </c>
      <c r="L1240" s="9">
        <v>0.52</v>
      </c>
      <c r="M1240" s="9">
        <v>124.8</v>
      </c>
      <c r="N1240" s="9" t="s">
        <v>49</v>
      </c>
      <c r="Q1240" s="9">
        <f>IF(Auction_Sales[[#This Row],[Payment Date]]=0,"",-1+WEEKNUM(Auction_Sales[[#This Row],[Payment Date]]))</f>
        <v>14</v>
      </c>
      <c r="R1240" s="9">
        <v>0</v>
      </c>
      <c r="S1240" s="9" t="s">
        <v>155</v>
      </c>
      <c r="T1240" s="9" t="s">
        <v>52</v>
      </c>
      <c r="U1240" s="9">
        <v>240</v>
      </c>
      <c r="V1240" s="13">
        <v>0.7433333333333334</v>
      </c>
      <c r="W1240" s="13">
        <v>178.4</v>
      </c>
      <c r="X1240" s="14">
        <v>-11.716421052631578</v>
      </c>
      <c r="Y1240" s="13">
        <v>166.68357894736843</v>
      </c>
      <c r="Z1240" s="10">
        <v>45392</v>
      </c>
      <c r="AA1240" s="9">
        <v>0</v>
      </c>
      <c r="AC1240" s="9">
        <v>434898</v>
      </c>
      <c r="AD1240" s="14">
        <v>25.944000000000003</v>
      </c>
      <c r="AF1240" s="14">
        <v>4.8</v>
      </c>
      <c r="AH1240" s="14">
        <v>30.744000000000003</v>
      </c>
      <c r="AI1240" s="13">
        <v>135.93957894736843</v>
      </c>
      <c r="AK1240" s="9">
        <v>240</v>
      </c>
    </row>
    <row r="1241" spans="1:37">
      <c r="A1241" s="9">
        <v>14</v>
      </c>
      <c r="B1241" s="9">
        <v>2024</v>
      </c>
      <c r="C1241" s="9" t="s">
        <v>46</v>
      </c>
      <c r="D1241" s="9" t="s">
        <v>47</v>
      </c>
      <c r="E1241" s="9" t="s">
        <v>47</v>
      </c>
      <c r="F1241" s="10">
        <v>45381</v>
      </c>
      <c r="G1241" s="9" t="s">
        <v>155</v>
      </c>
      <c r="H1241" s="9" t="s">
        <v>56</v>
      </c>
      <c r="J1241" s="9">
        <v>4</v>
      </c>
      <c r="K1241" s="9">
        <v>120</v>
      </c>
      <c r="L1241" s="9">
        <v>0.75</v>
      </c>
      <c r="M1241" s="9">
        <v>90</v>
      </c>
      <c r="N1241" s="9" t="s">
        <v>49</v>
      </c>
      <c r="Q1241" s="9">
        <f>IF(Auction_Sales[[#This Row],[Payment Date]]=0,"",-1+WEEKNUM(Auction_Sales[[#This Row],[Payment Date]]))</f>
        <v>14</v>
      </c>
      <c r="R1241" s="9">
        <v>0</v>
      </c>
      <c r="S1241" s="9" t="s">
        <v>155</v>
      </c>
      <c r="T1241" s="9" t="s">
        <v>56</v>
      </c>
      <c r="U1241" s="9">
        <v>120</v>
      </c>
      <c r="V1241" s="13">
        <v>0.82333333333333336</v>
      </c>
      <c r="W1241" s="13">
        <v>98.8</v>
      </c>
      <c r="X1241" s="14">
        <v>-5.8582105263157889</v>
      </c>
      <c r="Y1241" s="13">
        <v>92.94178947368421</v>
      </c>
      <c r="Z1241" s="10">
        <v>45392</v>
      </c>
      <c r="AA1241" s="9">
        <v>0</v>
      </c>
      <c r="AC1241" s="9">
        <v>434898</v>
      </c>
      <c r="AD1241" s="14">
        <v>12.972000000000001</v>
      </c>
      <c r="AF1241" s="14">
        <v>2.4</v>
      </c>
      <c r="AH1241" s="14">
        <v>15.372000000000002</v>
      </c>
      <c r="AI1241" s="13">
        <v>77.56978947368421</v>
      </c>
      <c r="AK1241" s="9">
        <v>120</v>
      </c>
    </row>
    <row r="1242" spans="1:37">
      <c r="A1242" s="9">
        <v>14</v>
      </c>
      <c r="B1242" s="9">
        <v>2024</v>
      </c>
      <c r="C1242" s="9" t="s">
        <v>46</v>
      </c>
      <c r="D1242" s="9" t="s">
        <v>47</v>
      </c>
      <c r="E1242" s="9" t="s">
        <v>47</v>
      </c>
      <c r="F1242" s="10">
        <v>45381</v>
      </c>
      <c r="G1242" s="9" t="s">
        <v>154</v>
      </c>
      <c r="H1242" s="9" t="s">
        <v>51</v>
      </c>
      <c r="I1242" s="9">
        <v>1</v>
      </c>
      <c r="J1242" s="9">
        <v>4.6153846153846159</v>
      </c>
      <c r="K1242" s="9">
        <v>200</v>
      </c>
      <c r="L1242" s="9">
        <v>0.38</v>
      </c>
      <c r="M1242" s="9">
        <v>76</v>
      </c>
      <c r="N1242" s="9" t="s">
        <v>49</v>
      </c>
      <c r="Q1242" s="9">
        <f>IF(Auction_Sales[[#This Row],[Payment Date]]=0,"",-1+WEEKNUM(Auction_Sales[[#This Row],[Payment Date]]))</f>
        <v>14</v>
      </c>
      <c r="R1242" s="9">
        <v>0</v>
      </c>
      <c r="S1242" s="9" t="s">
        <v>154</v>
      </c>
      <c r="T1242" s="9" t="s">
        <v>51</v>
      </c>
      <c r="U1242" s="9">
        <v>200</v>
      </c>
      <c r="V1242" s="13">
        <v>0.21</v>
      </c>
      <c r="W1242" s="13">
        <v>42</v>
      </c>
      <c r="X1242" s="14">
        <v>-9.763684210526316</v>
      </c>
      <c r="Y1242" s="13">
        <v>32.236315789473686</v>
      </c>
      <c r="Z1242" s="10">
        <v>45392</v>
      </c>
      <c r="AA1242" s="9">
        <v>0</v>
      </c>
      <c r="AC1242" s="9">
        <v>434898</v>
      </c>
      <c r="AD1242" s="14">
        <v>14.96769230769231</v>
      </c>
      <c r="AF1242" s="14">
        <v>4</v>
      </c>
      <c r="AH1242" s="14">
        <v>18.96769230769231</v>
      </c>
      <c r="AI1242" s="13">
        <v>13.268623481781376</v>
      </c>
      <c r="AK1242" s="9">
        <v>200</v>
      </c>
    </row>
    <row r="1243" spans="1:37">
      <c r="A1243" s="9">
        <v>14</v>
      </c>
      <c r="B1243" s="9">
        <v>2024</v>
      </c>
      <c r="C1243" s="9" t="s">
        <v>46</v>
      </c>
      <c r="D1243" s="9" t="s">
        <v>47</v>
      </c>
      <c r="E1243" s="9" t="s">
        <v>47</v>
      </c>
      <c r="F1243" s="10">
        <v>45381</v>
      </c>
      <c r="G1243" s="9" t="s">
        <v>154</v>
      </c>
      <c r="H1243" s="9" t="s">
        <v>48</v>
      </c>
      <c r="J1243" s="9">
        <v>2.7692307692307692</v>
      </c>
      <c r="K1243" s="9">
        <v>120</v>
      </c>
      <c r="L1243" s="9">
        <v>0.47</v>
      </c>
      <c r="M1243" s="9">
        <v>56.4</v>
      </c>
      <c r="N1243" s="9" t="s">
        <v>49</v>
      </c>
      <c r="Q1243" s="9">
        <f>IF(Auction_Sales[[#This Row],[Payment Date]]=0,"",-1+WEEKNUM(Auction_Sales[[#This Row],[Payment Date]]))</f>
        <v>14</v>
      </c>
      <c r="R1243" s="9">
        <v>120</v>
      </c>
      <c r="S1243" s="9" t="s">
        <v>154</v>
      </c>
      <c r="T1243" s="9" t="s">
        <v>48</v>
      </c>
      <c r="W1243" s="13">
        <v>0</v>
      </c>
      <c r="X1243" s="14">
        <v>0</v>
      </c>
      <c r="Y1243" s="13">
        <v>0</v>
      </c>
      <c r="Z1243" s="10">
        <v>45392</v>
      </c>
      <c r="AA1243" s="9">
        <v>-120</v>
      </c>
      <c r="AC1243" s="9">
        <v>434898</v>
      </c>
      <c r="AD1243" s="14">
        <v>8.9806153846153851</v>
      </c>
      <c r="AF1243" s="14">
        <v>0</v>
      </c>
      <c r="AH1243" s="14">
        <v>8.9806153846153851</v>
      </c>
      <c r="AI1243" s="13">
        <v>-8.9806153846153851</v>
      </c>
      <c r="AK1243" s="9">
        <v>0</v>
      </c>
    </row>
    <row r="1244" spans="1:37">
      <c r="A1244" s="9">
        <v>14</v>
      </c>
      <c r="B1244" s="9">
        <v>2024</v>
      </c>
      <c r="C1244" s="9" t="s">
        <v>46</v>
      </c>
      <c r="D1244" s="9" t="s">
        <v>47</v>
      </c>
      <c r="E1244" s="9" t="s">
        <v>47</v>
      </c>
      <c r="F1244" s="10">
        <v>45381</v>
      </c>
      <c r="G1244" s="9" t="s">
        <v>154</v>
      </c>
      <c r="H1244" s="9" t="s">
        <v>52</v>
      </c>
      <c r="J1244" s="9">
        <v>0.92307692307692313</v>
      </c>
      <c r="K1244" s="9">
        <v>40</v>
      </c>
      <c r="L1244" s="9">
        <v>0.52</v>
      </c>
      <c r="M1244" s="9">
        <v>20.8</v>
      </c>
      <c r="N1244" s="9" t="s">
        <v>49</v>
      </c>
      <c r="Q1244" s="9">
        <f>IF(Auction_Sales[[#This Row],[Payment Date]]=0,"",-1+WEEKNUM(Auction_Sales[[#This Row],[Payment Date]]))</f>
        <v>14</v>
      </c>
      <c r="R1244" s="9">
        <v>0</v>
      </c>
      <c r="S1244" s="9" t="s">
        <v>154</v>
      </c>
      <c r="T1244" s="9" t="s">
        <v>52</v>
      </c>
      <c r="U1244" s="9">
        <v>40</v>
      </c>
      <c r="V1244" s="13">
        <v>0.57999999999999996</v>
      </c>
      <c r="W1244" s="13">
        <v>23.2</v>
      </c>
      <c r="X1244" s="14">
        <v>-1.9527368421052631</v>
      </c>
      <c r="Y1244" s="13">
        <v>21.247263157894736</v>
      </c>
      <c r="Z1244" s="10">
        <v>45392</v>
      </c>
      <c r="AA1244" s="9">
        <v>0</v>
      </c>
      <c r="AC1244" s="9">
        <v>434898</v>
      </c>
      <c r="AD1244" s="14">
        <v>2.9935384615384617</v>
      </c>
      <c r="AF1244" s="14">
        <v>0.8</v>
      </c>
      <c r="AH1244" s="14">
        <v>3.7935384615384615</v>
      </c>
      <c r="AI1244" s="13">
        <v>17.453724696356275</v>
      </c>
      <c r="AK1244" s="9">
        <v>40</v>
      </c>
    </row>
    <row r="1245" spans="1:37">
      <c r="A1245" s="9">
        <v>14</v>
      </c>
      <c r="B1245" s="9">
        <v>2024</v>
      </c>
      <c r="C1245" s="9" t="s">
        <v>46</v>
      </c>
      <c r="D1245" s="9" t="s">
        <v>47</v>
      </c>
      <c r="E1245" s="9" t="s">
        <v>47</v>
      </c>
      <c r="F1245" s="10">
        <v>45381</v>
      </c>
      <c r="G1245" s="9" t="s">
        <v>154</v>
      </c>
      <c r="H1245" s="9" t="s">
        <v>54</v>
      </c>
      <c r="J1245" s="9">
        <v>3.6923076923076925</v>
      </c>
      <c r="K1245" s="9">
        <v>160</v>
      </c>
      <c r="L1245" s="9">
        <v>0.56999999999999995</v>
      </c>
      <c r="M1245" s="9">
        <v>91.2</v>
      </c>
      <c r="N1245" s="9" t="s">
        <v>49</v>
      </c>
      <c r="Q1245" s="9">
        <f>IF(Auction_Sales[[#This Row],[Payment Date]]=0,"",-1+WEEKNUM(Auction_Sales[[#This Row],[Payment Date]]))</f>
        <v>14</v>
      </c>
      <c r="R1245" s="9">
        <v>0</v>
      </c>
      <c r="S1245" s="9" t="s">
        <v>154</v>
      </c>
      <c r="T1245" s="9" t="s">
        <v>54</v>
      </c>
      <c r="U1245" s="9">
        <v>160</v>
      </c>
      <c r="V1245" s="13">
        <v>0.7</v>
      </c>
      <c r="W1245" s="13">
        <v>112</v>
      </c>
      <c r="X1245" s="14">
        <v>-7.8109473684210524</v>
      </c>
      <c r="Y1245" s="13">
        <v>104.18905263157895</v>
      </c>
      <c r="Z1245" s="10">
        <v>45392</v>
      </c>
      <c r="AA1245" s="9">
        <v>0</v>
      </c>
      <c r="AC1245" s="9">
        <v>434898</v>
      </c>
      <c r="AD1245" s="14">
        <v>11.974153846153847</v>
      </c>
      <c r="AF1245" s="14">
        <v>3.2</v>
      </c>
      <c r="AH1245" s="14">
        <v>15.174153846153846</v>
      </c>
      <c r="AI1245" s="13">
        <v>89.014898785425103</v>
      </c>
      <c r="AK1245" s="9">
        <v>160</v>
      </c>
    </row>
    <row r="1246" spans="1:37">
      <c r="A1246" s="9">
        <v>14</v>
      </c>
      <c r="B1246" s="9">
        <v>2024</v>
      </c>
      <c r="C1246" s="9" t="s">
        <v>46</v>
      </c>
      <c r="D1246" s="9" t="s">
        <v>47</v>
      </c>
      <c r="E1246" s="9" t="s">
        <v>47</v>
      </c>
      <c r="F1246" s="10">
        <v>45381</v>
      </c>
      <c r="G1246" s="9" t="s">
        <v>153</v>
      </c>
      <c r="H1246" s="9" t="s">
        <v>48</v>
      </c>
      <c r="I1246" s="9">
        <v>1</v>
      </c>
      <c r="J1246" s="9">
        <v>8</v>
      </c>
      <c r="K1246" s="9">
        <v>320</v>
      </c>
      <c r="L1246" s="9">
        <v>0.24</v>
      </c>
      <c r="M1246" s="9">
        <v>76.8</v>
      </c>
      <c r="N1246" s="9" t="s">
        <v>49</v>
      </c>
      <c r="Q1246" s="9">
        <f>IF(Auction_Sales[[#This Row],[Payment Date]]=0,"",-1+WEEKNUM(Auction_Sales[[#This Row],[Payment Date]]))</f>
        <v>14</v>
      </c>
      <c r="R1246" s="9">
        <v>0</v>
      </c>
      <c r="S1246" s="9" t="s">
        <v>153</v>
      </c>
      <c r="T1246" s="9" t="s">
        <v>48</v>
      </c>
      <c r="U1246" s="9">
        <v>320</v>
      </c>
      <c r="V1246" s="13">
        <v>0.16999999999999998</v>
      </c>
      <c r="W1246" s="13">
        <v>54.399999999999991</v>
      </c>
      <c r="X1246" s="14">
        <v>-15.621894736842105</v>
      </c>
      <c r="Y1246" s="13">
        <v>38.778105263157883</v>
      </c>
      <c r="Z1246" s="10">
        <v>45392</v>
      </c>
      <c r="AA1246" s="9">
        <v>0</v>
      </c>
      <c r="AC1246" s="9">
        <v>434898</v>
      </c>
      <c r="AD1246" s="14">
        <v>25.944000000000003</v>
      </c>
      <c r="AF1246" s="14">
        <v>6.4</v>
      </c>
      <c r="AH1246" s="14">
        <v>32.344000000000001</v>
      </c>
      <c r="AI1246" s="13">
        <v>6.4341052631578819</v>
      </c>
      <c r="AK1246" s="9">
        <v>320</v>
      </c>
    </row>
    <row r="1247" spans="1:37">
      <c r="A1247" s="9">
        <v>14</v>
      </c>
      <c r="B1247" s="9">
        <v>2024</v>
      </c>
      <c r="C1247" s="9" t="s">
        <v>46</v>
      </c>
      <c r="D1247" s="9" t="s">
        <v>47</v>
      </c>
      <c r="E1247" s="9" t="s">
        <v>47</v>
      </c>
      <c r="F1247" s="10">
        <v>45381</v>
      </c>
      <c r="G1247" s="9" t="s">
        <v>153</v>
      </c>
      <c r="H1247" s="9" t="s">
        <v>57</v>
      </c>
      <c r="J1247" s="9">
        <v>4</v>
      </c>
      <c r="K1247" s="9">
        <v>160</v>
      </c>
      <c r="L1247" s="9">
        <v>0.47</v>
      </c>
      <c r="M1247" s="9">
        <v>75.2</v>
      </c>
      <c r="N1247" s="9" t="s">
        <v>49</v>
      </c>
      <c r="Q1247" s="9">
        <f>IF(Auction_Sales[[#This Row],[Payment Date]]=0,"",-1+WEEKNUM(Auction_Sales[[#This Row],[Payment Date]]))</f>
        <v>14</v>
      </c>
      <c r="R1247" s="9">
        <v>0</v>
      </c>
      <c r="S1247" s="9" t="s">
        <v>153</v>
      </c>
      <c r="T1247" s="9" t="s">
        <v>57</v>
      </c>
      <c r="U1247" s="9">
        <v>160</v>
      </c>
      <c r="V1247" s="13">
        <v>0.61</v>
      </c>
      <c r="W1247" s="13">
        <v>97.6</v>
      </c>
      <c r="X1247" s="14">
        <v>-7.8109473684210524</v>
      </c>
      <c r="Y1247" s="13">
        <v>89.78905263157894</v>
      </c>
      <c r="Z1247" s="10">
        <v>45392</v>
      </c>
      <c r="AA1247" s="9">
        <v>0</v>
      </c>
      <c r="AC1247" s="9">
        <v>434898</v>
      </c>
      <c r="AD1247" s="14">
        <v>12.972000000000001</v>
      </c>
      <c r="AF1247" s="14">
        <v>3.2</v>
      </c>
      <c r="AH1247" s="14">
        <v>16.172000000000001</v>
      </c>
      <c r="AI1247" s="13">
        <v>73.617052631578943</v>
      </c>
      <c r="AK1247" s="9">
        <v>160</v>
      </c>
    </row>
    <row r="1248" spans="1:37">
      <c r="A1248" s="9">
        <v>14</v>
      </c>
      <c r="B1248" s="9">
        <v>2024</v>
      </c>
      <c r="C1248" s="9" t="s">
        <v>46</v>
      </c>
      <c r="D1248" s="9" t="s">
        <v>47</v>
      </c>
      <c r="E1248" s="9" t="s">
        <v>47</v>
      </c>
      <c r="F1248" s="10">
        <v>45381</v>
      </c>
      <c r="G1248" s="9" t="s">
        <v>155</v>
      </c>
      <c r="H1248" s="9" t="s">
        <v>48</v>
      </c>
      <c r="I1248" s="9">
        <v>1</v>
      </c>
      <c r="J1248" s="9">
        <v>6</v>
      </c>
      <c r="K1248" s="9">
        <v>160</v>
      </c>
      <c r="L1248" s="9">
        <v>0.47</v>
      </c>
      <c r="M1248" s="9">
        <v>75.2</v>
      </c>
      <c r="N1248" s="9" t="s">
        <v>49</v>
      </c>
      <c r="Q1248" s="9">
        <f>IF(Auction_Sales[[#This Row],[Payment Date]]=0,"",-1+WEEKNUM(Auction_Sales[[#This Row],[Payment Date]]))</f>
        <v>14</v>
      </c>
      <c r="R1248" s="9">
        <v>160</v>
      </c>
      <c r="S1248" s="9" t="s">
        <v>155</v>
      </c>
      <c r="T1248" s="9" t="s">
        <v>48</v>
      </c>
      <c r="W1248" s="13">
        <v>0</v>
      </c>
      <c r="X1248" s="14">
        <v>0</v>
      </c>
      <c r="Y1248" s="13">
        <v>0</v>
      </c>
      <c r="Z1248" s="10">
        <v>45392</v>
      </c>
      <c r="AA1248" s="9">
        <v>-160</v>
      </c>
      <c r="AC1248" s="9">
        <v>434898</v>
      </c>
      <c r="AD1248" s="14">
        <v>19.458000000000002</v>
      </c>
      <c r="AF1248" s="14">
        <v>0</v>
      </c>
      <c r="AH1248" s="14">
        <v>19.458000000000002</v>
      </c>
      <c r="AI1248" s="13">
        <v>-19.458000000000002</v>
      </c>
      <c r="AK1248" s="9">
        <v>0</v>
      </c>
    </row>
    <row r="1249" spans="1:37">
      <c r="A1249" s="9">
        <v>14</v>
      </c>
      <c r="B1249" s="9">
        <v>2024</v>
      </c>
      <c r="C1249" s="9" t="s">
        <v>46</v>
      </c>
      <c r="D1249" s="9" t="s">
        <v>47</v>
      </c>
      <c r="E1249" s="9" t="s">
        <v>47</v>
      </c>
      <c r="F1249" s="10">
        <v>45381</v>
      </c>
      <c r="G1249" s="9" t="s">
        <v>155</v>
      </c>
      <c r="H1249" s="9" t="s">
        <v>57</v>
      </c>
      <c r="J1249" s="9">
        <v>6</v>
      </c>
      <c r="K1249" s="9">
        <v>160</v>
      </c>
      <c r="L1249" s="9">
        <v>0.94</v>
      </c>
      <c r="M1249" s="9">
        <v>150.4</v>
      </c>
      <c r="N1249" s="9" t="s">
        <v>49</v>
      </c>
      <c r="Q1249" s="9">
        <f>IF(Auction_Sales[[#This Row],[Payment Date]]=0,"",-1+WEEKNUM(Auction_Sales[[#This Row],[Payment Date]]))</f>
        <v>14</v>
      </c>
      <c r="R1249" s="9">
        <v>0</v>
      </c>
      <c r="S1249" s="9" t="s">
        <v>155</v>
      </c>
      <c r="T1249" s="9" t="s">
        <v>57</v>
      </c>
      <c r="U1249" s="9">
        <v>160</v>
      </c>
      <c r="V1249" s="13">
        <v>0.77</v>
      </c>
      <c r="W1249" s="13">
        <v>123.2</v>
      </c>
      <c r="X1249" s="14">
        <v>-7.8109473684210524</v>
      </c>
      <c r="Y1249" s="13">
        <v>115.38905263157895</v>
      </c>
      <c r="Z1249" s="10">
        <v>45392</v>
      </c>
      <c r="AA1249" s="9">
        <v>0</v>
      </c>
      <c r="AC1249" s="9">
        <v>434898</v>
      </c>
      <c r="AD1249" s="14">
        <v>19.458000000000002</v>
      </c>
      <c r="AF1249" s="14">
        <v>3.2</v>
      </c>
      <c r="AH1249" s="14">
        <v>22.658000000000001</v>
      </c>
      <c r="AI1249" s="13">
        <v>92.731052631578947</v>
      </c>
      <c r="AK1249" s="9">
        <v>160</v>
      </c>
    </row>
    <row r="1250" spans="1:37">
      <c r="A1250" s="9">
        <v>14</v>
      </c>
      <c r="B1250" s="9">
        <v>2024</v>
      </c>
      <c r="C1250" s="9" t="s">
        <v>46</v>
      </c>
      <c r="D1250" s="9" t="s">
        <v>47</v>
      </c>
      <c r="E1250" s="9" t="s">
        <v>47</v>
      </c>
      <c r="F1250" s="10">
        <v>45383</v>
      </c>
      <c r="G1250" s="9" t="s">
        <v>153</v>
      </c>
      <c r="H1250" s="9" t="s">
        <v>52</v>
      </c>
      <c r="I1250" s="9">
        <v>1</v>
      </c>
      <c r="J1250" s="9">
        <v>12</v>
      </c>
      <c r="K1250" s="9">
        <v>520</v>
      </c>
      <c r="L1250" s="9">
        <v>0.28000000000000003</v>
      </c>
      <c r="M1250" s="9">
        <v>145.6</v>
      </c>
      <c r="N1250" s="9" t="s">
        <v>49</v>
      </c>
      <c r="Q1250" s="9">
        <f>IF(Auction_Sales[[#This Row],[Payment Date]]=0,"",-1+WEEKNUM(Auction_Sales[[#This Row],[Payment Date]]))</f>
        <v>14</v>
      </c>
      <c r="R1250" s="9">
        <v>-160</v>
      </c>
      <c r="S1250" s="9" t="s">
        <v>153</v>
      </c>
      <c r="T1250" s="9" t="s">
        <v>52</v>
      </c>
      <c r="U1250" s="9">
        <v>680</v>
      </c>
      <c r="V1250" s="13">
        <v>0.41882352941176471</v>
      </c>
      <c r="W1250" s="13">
        <v>284.8</v>
      </c>
      <c r="X1250" s="14">
        <v>-35.035327868852434</v>
      </c>
      <c r="Y1250" s="13">
        <v>249.76467213114756</v>
      </c>
      <c r="Z1250" s="10">
        <v>45392</v>
      </c>
      <c r="AA1250" s="9">
        <v>160</v>
      </c>
      <c r="AC1250" s="9" t="s">
        <v>95</v>
      </c>
      <c r="AD1250" s="14">
        <v>44.735833333333332</v>
      </c>
      <c r="AF1250" s="14">
        <v>13.6</v>
      </c>
      <c r="AH1250" s="14">
        <v>58.335833333333333</v>
      </c>
      <c r="AI1250" s="13">
        <v>191.42883879781422</v>
      </c>
      <c r="AK1250" s="9">
        <v>680</v>
      </c>
    </row>
    <row r="1251" spans="1:37">
      <c r="A1251" s="9">
        <v>14</v>
      </c>
      <c r="B1251" s="9">
        <v>2024</v>
      </c>
      <c r="C1251" s="9" t="s">
        <v>46</v>
      </c>
      <c r="D1251" s="9" t="s">
        <v>47</v>
      </c>
      <c r="E1251" s="9" t="s">
        <v>47</v>
      </c>
      <c r="F1251" s="10">
        <v>45383</v>
      </c>
      <c r="G1251" s="9" t="s">
        <v>153</v>
      </c>
      <c r="H1251" s="9" t="s">
        <v>54</v>
      </c>
      <c r="I1251" s="9">
        <v>1</v>
      </c>
      <c r="J1251" s="9">
        <v>12</v>
      </c>
      <c r="K1251" s="9">
        <v>400</v>
      </c>
      <c r="L1251" s="9">
        <v>0.33</v>
      </c>
      <c r="M1251" s="9">
        <v>132</v>
      </c>
      <c r="N1251" s="9" t="s">
        <v>49</v>
      </c>
      <c r="Q1251" s="9">
        <f>IF(Auction_Sales[[#This Row],[Payment Date]]=0,"",-1+WEEKNUM(Auction_Sales[[#This Row],[Payment Date]]))</f>
        <v>14</v>
      </c>
      <c r="R1251" s="9">
        <v>-40</v>
      </c>
      <c r="S1251" s="9" t="s">
        <v>153</v>
      </c>
      <c r="T1251" s="9" t="s">
        <v>54</v>
      </c>
      <c r="U1251" s="9">
        <v>440</v>
      </c>
      <c r="V1251" s="13">
        <v>0.57999999999999996</v>
      </c>
      <c r="W1251" s="13">
        <v>255.2</v>
      </c>
      <c r="X1251" s="14">
        <v>-22.669918032786871</v>
      </c>
      <c r="Y1251" s="13">
        <v>232.53008196721311</v>
      </c>
      <c r="Z1251" s="10">
        <v>45392</v>
      </c>
      <c r="AA1251" s="9">
        <v>40</v>
      </c>
      <c r="AC1251" s="9" t="s">
        <v>95</v>
      </c>
      <c r="AD1251" s="14">
        <v>44.735833333333332</v>
      </c>
      <c r="AF1251" s="14">
        <v>8.8000000000000007</v>
      </c>
      <c r="AH1251" s="14">
        <v>53.535833333333329</v>
      </c>
      <c r="AI1251" s="13">
        <v>178.99424863387978</v>
      </c>
      <c r="AK1251" s="9">
        <v>440</v>
      </c>
    </row>
    <row r="1252" spans="1:37">
      <c r="A1252" s="9">
        <v>14</v>
      </c>
      <c r="B1252" s="9">
        <v>2024</v>
      </c>
      <c r="C1252" s="9" t="s">
        <v>46</v>
      </c>
      <c r="D1252" s="9" t="s">
        <v>47</v>
      </c>
      <c r="E1252" s="9" t="s">
        <v>47</v>
      </c>
      <c r="F1252" s="10">
        <v>45383</v>
      </c>
      <c r="G1252" s="9" t="s">
        <v>153</v>
      </c>
      <c r="H1252" s="9" t="s">
        <v>56</v>
      </c>
      <c r="I1252" s="9">
        <v>1</v>
      </c>
      <c r="J1252" s="9">
        <v>12</v>
      </c>
      <c r="K1252" s="9">
        <v>320</v>
      </c>
      <c r="L1252" s="9">
        <v>0.38</v>
      </c>
      <c r="M1252" s="9">
        <v>121.6</v>
      </c>
      <c r="N1252" s="9" t="s">
        <v>49</v>
      </c>
      <c r="Q1252" s="9">
        <f>IF(Auction_Sales[[#This Row],[Payment Date]]=0,"",-1+WEEKNUM(Auction_Sales[[#This Row],[Payment Date]]))</f>
        <v>14</v>
      </c>
      <c r="R1252" s="9">
        <v>0</v>
      </c>
      <c r="S1252" s="9" t="s">
        <v>153</v>
      </c>
      <c r="T1252" s="9" t="s">
        <v>56</v>
      </c>
      <c r="U1252" s="9">
        <v>320</v>
      </c>
      <c r="V1252" s="13">
        <v>0.59625000000000006</v>
      </c>
      <c r="W1252" s="13">
        <v>190.8</v>
      </c>
      <c r="X1252" s="14">
        <v>-16.487213114754088</v>
      </c>
      <c r="Y1252" s="13">
        <v>174.31278688524591</v>
      </c>
      <c r="Z1252" s="10">
        <v>45392</v>
      </c>
      <c r="AA1252" s="9">
        <v>0</v>
      </c>
      <c r="AC1252" s="9" t="s">
        <v>95</v>
      </c>
      <c r="AD1252" s="14">
        <v>44.735833333333332</v>
      </c>
      <c r="AF1252" s="14">
        <v>6.4</v>
      </c>
      <c r="AH1252" s="14">
        <v>51.135833333333331</v>
      </c>
      <c r="AI1252" s="13">
        <v>123.17695355191259</v>
      </c>
      <c r="AK1252" s="9">
        <v>320</v>
      </c>
    </row>
    <row r="1253" spans="1:37">
      <c r="A1253" s="9">
        <v>14</v>
      </c>
      <c r="B1253" s="9">
        <v>2024</v>
      </c>
      <c r="C1253" s="9" t="s">
        <v>46</v>
      </c>
      <c r="D1253" s="9" t="s">
        <v>47</v>
      </c>
      <c r="E1253" s="9" t="s">
        <v>47</v>
      </c>
      <c r="F1253" s="10">
        <v>45383</v>
      </c>
      <c r="G1253" s="9" t="s">
        <v>154</v>
      </c>
      <c r="H1253" s="9" t="s">
        <v>52</v>
      </c>
      <c r="I1253" s="9">
        <v>1</v>
      </c>
      <c r="J1253" s="9">
        <v>12</v>
      </c>
      <c r="K1253" s="9">
        <v>400</v>
      </c>
      <c r="L1253" s="9">
        <v>0.52</v>
      </c>
      <c r="M1253" s="9">
        <v>208</v>
      </c>
      <c r="N1253" s="9" t="s">
        <v>49</v>
      </c>
      <c r="Q1253" s="9">
        <f>IF(Auction_Sales[[#This Row],[Payment Date]]=0,"",-1+WEEKNUM(Auction_Sales[[#This Row],[Payment Date]]))</f>
        <v>14</v>
      </c>
      <c r="R1253" s="9">
        <v>0</v>
      </c>
      <c r="S1253" s="9" t="s">
        <v>154</v>
      </c>
      <c r="T1253" s="9" t="s">
        <v>52</v>
      </c>
      <c r="U1253" s="9">
        <v>400</v>
      </c>
      <c r="V1253" s="13">
        <v>0.65200000000000002</v>
      </c>
      <c r="W1253" s="13">
        <v>260.8</v>
      </c>
      <c r="X1253" s="14">
        <v>-20.609016393442612</v>
      </c>
      <c r="Y1253" s="13">
        <v>240.19098360655741</v>
      </c>
      <c r="Z1253" s="10">
        <v>45392</v>
      </c>
      <c r="AA1253" s="9">
        <v>0</v>
      </c>
      <c r="AC1253" s="9" t="s">
        <v>95</v>
      </c>
      <c r="AD1253" s="14">
        <v>44.735833333333332</v>
      </c>
      <c r="AF1253" s="14">
        <v>8</v>
      </c>
      <c r="AH1253" s="14">
        <v>52.735833333333332</v>
      </c>
      <c r="AI1253" s="13">
        <v>187.45515027322409</v>
      </c>
      <c r="AK1253" s="9">
        <v>400</v>
      </c>
    </row>
    <row r="1254" spans="1:37">
      <c r="A1254" s="9">
        <v>14</v>
      </c>
      <c r="B1254" s="9">
        <v>2024</v>
      </c>
      <c r="C1254" s="9" t="s">
        <v>46</v>
      </c>
      <c r="D1254" s="9" t="s">
        <v>47</v>
      </c>
      <c r="E1254" s="9" t="s">
        <v>47</v>
      </c>
      <c r="F1254" s="10">
        <v>45383</v>
      </c>
      <c r="G1254" s="9" t="s">
        <v>154</v>
      </c>
      <c r="H1254" s="9" t="s">
        <v>48</v>
      </c>
      <c r="I1254" s="9">
        <v>1</v>
      </c>
      <c r="J1254" s="9">
        <v>12</v>
      </c>
      <c r="K1254" s="9">
        <v>480</v>
      </c>
      <c r="L1254" s="9">
        <v>0.47</v>
      </c>
      <c r="M1254" s="9">
        <v>225.6</v>
      </c>
      <c r="N1254" s="9" t="s">
        <v>49</v>
      </c>
      <c r="Q1254" s="9">
        <f>IF(Auction_Sales[[#This Row],[Payment Date]]=0,"",-1+WEEKNUM(Auction_Sales[[#This Row],[Payment Date]]))</f>
        <v>14</v>
      </c>
      <c r="R1254" s="9">
        <v>0</v>
      </c>
      <c r="S1254" s="9" t="s">
        <v>154</v>
      </c>
      <c r="T1254" s="9" t="s">
        <v>48</v>
      </c>
      <c r="U1254" s="9">
        <v>480</v>
      </c>
      <c r="V1254" s="13">
        <v>0.64666666666666661</v>
      </c>
      <c r="W1254" s="13">
        <v>310.39999999999998</v>
      </c>
      <c r="X1254" s="14">
        <v>-24.73081967213113</v>
      </c>
      <c r="Y1254" s="13">
        <v>285.66918032786884</v>
      </c>
      <c r="Z1254" s="10">
        <v>45392</v>
      </c>
      <c r="AA1254" s="9">
        <v>0</v>
      </c>
      <c r="AC1254" s="9" t="s">
        <v>95</v>
      </c>
      <c r="AD1254" s="14">
        <v>44.735833333333332</v>
      </c>
      <c r="AF1254" s="14">
        <v>9.6</v>
      </c>
      <c r="AH1254" s="14">
        <v>54.335833333333333</v>
      </c>
      <c r="AI1254" s="13">
        <v>231.3333469945355</v>
      </c>
      <c r="AK1254" s="9">
        <v>480</v>
      </c>
    </row>
    <row r="1255" spans="1:37">
      <c r="A1255" s="9">
        <v>14</v>
      </c>
      <c r="B1255" s="9">
        <v>2024</v>
      </c>
      <c r="C1255" s="9" t="s">
        <v>46</v>
      </c>
      <c r="D1255" s="9" t="s">
        <v>47</v>
      </c>
      <c r="E1255" s="9" t="s">
        <v>47</v>
      </c>
      <c r="F1255" s="10">
        <v>45383</v>
      </c>
      <c r="G1255" s="9" t="s">
        <v>155</v>
      </c>
      <c r="H1255" s="9" t="s">
        <v>48</v>
      </c>
      <c r="I1255" s="9">
        <v>1</v>
      </c>
      <c r="J1255" s="9">
        <v>12</v>
      </c>
      <c r="K1255" s="9">
        <v>520</v>
      </c>
      <c r="L1255" s="9">
        <v>0.47</v>
      </c>
      <c r="M1255" s="9">
        <v>244.4</v>
      </c>
      <c r="N1255" s="9" t="s">
        <v>49</v>
      </c>
      <c r="Q1255" s="9">
        <f>IF(Auction_Sales[[#This Row],[Payment Date]]=0,"",-1+WEEKNUM(Auction_Sales[[#This Row],[Payment Date]]))</f>
        <v>14</v>
      </c>
      <c r="R1255" s="9">
        <v>0</v>
      </c>
      <c r="S1255" s="9" t="s">
        <v>155</v>
      </c>
      <c r="T1255" s="9" t="s">
        <v>48</v>
      </c>
      <c r="U1255" s="9">
        <v>520</v>
      </c>
      <c r="V1255" s="13">
        <v>0.62846153846153852</v>
      </c>
      <c r="W1255" s="13">
        <v>326.8</v>
      </c>
      <c r="X1255" s="14">
        <v>-26.791721311475392</v>
      </c>
      <c r="Y1255" s="13">
        <v>300.00827868852463</v>
      </c>
      <c r="Z1255" s="10">
        <v>45392</v>
      </c>
      <c r="AA1255" s="9">
        <v>0</v>
      </c>
      <c r="AC1255" s="9" t="s">
        <v>95</v>
      </c>
      <c r="AD1255" s="14">
        <v>44.735833333333332</v>
      </c>
      <c r="AF1255" s="14">
        <v>10.4</v>
      </c>
      <c r="AH1255" s="14">
        <v>55.135833333333331</v>
      </c>
      <c r="AI1255" s="13">
        <v>244.8724453551913</v>
      </c>
      <c r="AK1255" s="9">
        <v>520</v>
      </c>
    </row>
    <row r="1256" spans="1:37">
      <c r="A1256" s="9">
        <v>14</v>
      </c>
      <c r="B1256" s="9">
        <v>2024</v>
      </c>
      <c r="C1256" s="9" t="s">
        <v>46</v>
      </c>
      <c r="D1256" s="9" t="s">
        <v>47</v>
      </c>
      <c r="E1256" s="9" t="s">
        <v>47</v>
      </c>
      <c r="F1256" s="10">
        <v>45383</v>
      </c>
      <c r="G1256" s="9" t="s">
        <v>155</v>
      </c>
      <c r="H1256" s="9" t="s">
        <v>52</v>
      </c>
      <c r="I1256" s="9">
        <v>1</v>
      </c>
      <c r="J1256" s="9">
        <v>12</v>
      </c>
      <c r="K1256" s="9">
        <v>360</v>
      </c>
      <c r="L1256" s="9">
        <v>0.52</v>
      </c>
      <c r="M1256" s="9">
        <v>187.2</v>
      </c>
      <c r="N1256" s="9" t="s">
        <v>49</v>
      </c>
      <c r="Q1256" s="9">
        <f>IF(Auction_Sales[[#This Row],[Payment Date]]=0,"",-1+WEEKNUM(Auction_Sales[[#This Row],[Payment Date]]))</f>
        <v>14</v>
      </c>
      <c r="R1256" s="9">
        <v>-400</v>
      </c>
      <c r="S1256" s="9" t="s">
        <v>155</v>
      </c>
      <c r="T1256" s="9" t="s">
        <v>52</v>
      </c>
      <c r="U1256" s="9">
        <v>760</v>
      </c>
      <c r="V1256" s="13">
        <v>0.75842105263157888</v>
      </c>
      <c r="W1256" s="13">
        <v>576.4</v>
      </c>
      <c r="X1256" s="14">
        <v>-39.157131147540959</v>
      </c>
      <c r="Y1256" s="13">
        <v>537.24286885245897</v>
      </c>
      <c r="Z1256" s="10">
        <v>45392</v>
      </c>
      <c r="AA1256" s="9">
        <v>400</v>
      </c>
      <c r="AC1256" s="9" t="s">
        <v>95</v>
      </c>
      <c r="AD1256" s="14">
        <v>44.735833333333332</v>
      </c>
      <c r="AF1256" s="14">
        <v>15.200000000000001</v>
      </c>
      <c r="AH1256" s="14">
        <v>59.935833333333335</v>
      </c>
      <c r="AI1256" s="13">
        <v>477.30703551912563</v>
      </c>
      <c r="AK1256" s="9">
        <v>760</v>
      </c>
    </row>
    <row r="1257" spans="1:37">
      <c r="A1257" s="9">
        <v>14</v>
      </c>
      <c r="B1257" s="9">
        <v>2024</v>
      </c>
      <c r="C1257" s="9" t="s">
        <v>46</v>
      </c>
      <c r="D1257" s="9" t="s">
        <v>47</v>
      </c>
      <c r="E1257" s="9" t="s">
        <v>47</v>
      </c>
      <c r="F1257" s="10">
        <v>45383</v>
      </c>
      <c r="G1257" s="9" t="s">
        <v>155</v>
      </c>
      <c r="H1257" s="9" t="s">
        <v>52</v>
      </c>
      <c r="I1257" s="9">
        <v>1</v>
      </c>
      <c r="J1257" s="9">
        <v>12</v>
      </c>
      <c r="K1257" s="9">
        <v>400</v>
      </c>
      <c r="L1257" s="9">
        <v>0.52</v>
      </c>
      <c r="M1257" s="9">
        <v>208</v>
      </c>
      <c r="N1257" s="9" t="s">
        <v>49</v>
      </c>
      <c r="Q1257" s="9">
        <f>IF(Auction_Sales[[#This Row],[Payment Date]]=0,"",-1+WEEKNUM(Auction_Sales[[#This Row],[Payment Date]]))</f>
        <v>14</v>
      </c>
      <c r="R1257" s="9">
        <v>400</v>
      </c>
      <c r="S1257" s="9" t="s">
        <v>155</v>
      </c>
      <c r="T1257" s="9" t="s">
        <v>52</v>
      </c>
      <c r="W1257" s="13">
        <v>0</v>
      </c>
      <c r="X1257" s="14">
        <v>0</v>
      </c>
      <c r="Y1257" s="13">
        <v>0</v>
      </c>
      <c r="Z1257" s="10">
        <v>45392</v>
      </c>
      <c r="AA1257" s="9">
        <v>-400</v>
      </c>
      <c r="AC1257" s="9" t="s">
        <v>95</v>
      </c>
      <c r="AD1257" s="14">
        <v>44.735833333333332</v>
      </c>
      <c r="AF1257" s="14">
        <v>0</v>
      </c>
      <c r="AH1257" s="14">
        <v>44.735833333333332</v>
      </c>
      <c r="AI1257" s="13">
        <v>-44.735833333333332</v>
      </c>
      <c r="AK1257" s="9">
        <v>0</v>
      </c>
    </row>
    <row r="1258" spans="1:37">
      <c r="A1258" s="9">
        <v>14</v>
      </c>
      <c r="B1258" s="9">
        <v>2024</v>
      </c>
      <c r="C1258" s="9" t="s">
        <v>46</v>
      </c>
      <c r="D1258" s="9" t="s">
        <v>47</v>
      </c>
      <c r="E1258" s="9" t="s">
        <v>47</v>
      </c>
      <c r="F1258" s="10">
        <v>45383</v>
      </c>
      <c r="G1258" s="9" t="s">
        <v>155</v>
      </c>
      <c r="H1258" s="9" t="s">
        <v>56</v>
      </c>
      <c r="I1258" s="9">
        <v>1</v>
      </c>
      <c r="J1258" s="9">
        <v>12</v>
      </c>
      <c r="K1258" s="9">
        <v>240</v>
      </c>
      <c r="L1258" s="9">
        <v>0.75</v>
      </c>
      <c r="M1258" s="9">
        <v>180</v>
      </c>
      <c r="N1258" s="9" t="s">
        <v>49</v>
      </c>
      <c r="Q1258" s="9">
        <f>IF(Auction_Sales[[#This Row],[Payment Date]]=0,"",-1+WEEKNUM(Auction_Sales[[#This Row],[Payment Date]]))</f>
        <v>14</v>
      </c>
      <c r="R1258" s="9">
        <v>0</v>
      </c>
      <c r="S1258" s="9" t="s">
        <v>155</v>
      </c>
      <c r="T1258" s="9" t="s">
        <v>56</v>
      </c>
      <c r="U1258" s="9">
        <v>240</v>
      </c>
      <c r="V1258" s="13">
        <v>0.79500000000000004</v>
      </c>
      <c r="W1258" s="13">
        <v>190.8</v>
      </c>
      <c r="X1258" s="14">
        <v>-12.365409836065565</v>
      </c>
      <c r="Y1258" s="13">
        <v>178.43459016393444</v>
      </c>
      <c r="Z1258" s="10">
        <v>45392</v>
      </c>
      <c r="AA1258" s="9">
        <v>0</v>
      </c>
      <c r="AC1258" s="9" t="s">
        <v>95</v>
      </c>
      <c r="AD1258" s="14">
        <v>44.735833333333332</v>
      </c>
      <c r="AF1258" s="14">
        <v>4.8</v>
      </c>
      <c r="AH1258" s="14">
        <v>49.535833333333329</v>
      </c>
      <c r="AI1258" s="13">
        <v>128.89875683060112</v>
      </c>
      <c r="AK1258" s="9">
        <v>240</v>
      </c>
    </row>
    <row r="1259" spans="1:37">
      <c r="A1259" s="9">
        <v>14</v>
      </c>
      <c r="B1259" s="9">
        <v>2024</v>
      </c>
      <c r="C1259" s="9" t="s">
        <v>46</v>
      </c>
      <c r="D1259" s="9" t="s">
        <v>47</v>
      </c>
      <c r="E1259" s="9" t="s">
        <v>47</v>
      </c>
      <c r="F1259" s="10">
        <v>45383</v>
      </c>
      <c r="G1259" s="9" t="s">
        <v>155</v>
      </c>
      <c r="H1259" s="9" t="s">
        <v>57</v>
      </c>
      <c r="I1259" s="9">
        <v>1</v>
      </c>
      <c r="J1259" s="9">
        <v>12</v>
      </c>
      <c r="K1259" s="9">
        <v>200</v>
      </c>
      <c r="L1259" s="9">
        <v>0.94</v>
      </c>
      <c r="M1259" s="9">
        <v>188</v>
      </c>
      <c r="N1259" s="9" t="s">
        <v>49</v>
      </c>
      <c r="Q1259" s="9">
        <f>IF(Auction_Sales[[#This Row],[Payment Date]]=0,"",-1+WEEKNUM(Auction_Sales[[#This Row],[Payment Date]]))</f>
        <v>14</v>
      </c>
      <c r="R1259" s="9">
        <v>0</v>
      </c>
      <c r="S1259" s="9" t="s">
        <v>155</v>
      </c>
      <c r="T1259" s="9" t="s">
        <v>57</v>
      </c>
      <c r="U1259" s="9">
        <v>200</v>
      </c>
      <c r="V1259" s="13">
        <v>0.81</v>
      </c>
      <c r="W1259" s="13">
        <v>162</v>
      </c>
      <c r="X1259" s="14">
        <v>-10.304508196721306</v>
      </c>
      <c r="Y1259" s="13">
        <v>151.69549180327868</v>
      </c>
      <c r="Z1259" s="10">
        <v>45392</v>
      </c>
      <c r="AA1259" s="9">
        <v>0</v>
      </c>
      <c r="AC1259" s="9" t="s">
        <v>95</v>
      </c>
      <c r="AD1259" s="14">
        <v>44.735833333333332</v>
      </c>
      <c r="AF1259" s="14">
        <v>4</v>
      </c>
      <c r="AH1259" s="14">
        <v>48.735833333333332</v>
      </c>
      <c r="AI1259" s="13">
        <v>102.95965846994535</v>
      </c>
      <c r="AK1259" s="9">
        <v>200</v>
      </c>
    </row>
    <row r="1260" spans="1:37">
      <c r="A1260" s="9">
        <v>14</v>
      </c>
      <c r="B1260" s="9">
        <v>2024</v>
      </c>
      <c r="C1260" s="9" t="s">
        <v>46</v>
      </c>
      <c r="D1260" s="9" t="s">
        <v>47</v>
      </c>
      <c r="E1260" s="9" t="s">
        <v>47</v>
      </c>
      <c r="F1260" s="10">
        <v>45383</v>
      </c>
      <c r="G1260" s="9" t="s">
        <v>153</v>
      </c>
      <c r="H1260" s="9" t="s">
        <v>48</v>
      </c>
      <c r="I1260" s="9">
        <v>1</v>
      </c>
      <c r="J1260" s="9">
        <v>4.2857142857142856</v>
      </c>
      <c r="K1260" s="9">
        <v>200</v>
      </c>
      <c r="L1260" s="9">
        <v>0.24</v>
      </c>
      <c r="M1260" s="9">
        <v>48</v>
      </c>
      <c r="N1260" s="9" t="s">
        <v>49</v>
      </c>
      <c r="Q1260" s="9">
        <f>IF(Auction_Sales[[#This Row],[Payment Date]]=0,"",-1+WEEKNUM(Auction_Sales[[#This Row],[Payment Date]]))</f>
        <v>14</v>
      </c>
      <c r="R1260" s="9">
        <v>0</v>
      </c>
      <c r="S1260" s="9" t="s">
        <v>153</v>
      </c>
      <c r="T1260" s="9" t="s">
        <v>48</v>
      </c>
      <c r="U1260" s="9">
        <v>200</v>
      </c>
      <c r="V1260" s="13">
        <v>0.20399999999999999</v>
      </c>
      <c r="W1260" s="13">
        <v>40.799999999999997</v>
      </c>
      <c r="X1260" s="14">
        <v>-10.304508196721306</v>
      </c>
      <c r="Y1260" s="13">
        <v>30.495491803278689</v>
      </c>
      <c r="Z1260" s="10">
        <v>45392</v>
      </c>
      <c r="AA1260" s="9">
        <v>0</v>
      </c>
      <c r="AC1260" s="9" t="s">
        <v>95</v>
      </c>
      <c r="AD1260" s="14">
        <v>15.977083333333333</v>
      </c>
      <c r="AF1260" s="14">
        <v>4</v>
      </c>
      <c r="AH1260" s="14">
        <v>19.977083333333333</v>
      </c>
      <c r="AI1260" s="13">
        <v>10.518408469945356</v>
      </c>
      <c r="AK1260" s="9">
        <v>200</v>
      </c>
    </row>
    <row r="1261" spans="1:37">
      <c r="A1261" s="9">
        <v>14</v>
      </c>
      <c r="B1261" s="9">
        <v>2024</v>
      </c>
      <c r="C1261" s="9" t="s">
        <v>46</v>
      </c>
      <c r="D1261" s="9" t="s">
        <v>47</v>
      </c>
      <c r="E1261" s="9" t="s">
        <v>47</v>
      </c>
      <c r="F1261" s="10">
        <v>45383</v>
      </c>
      <c r="G1261" s="9" t="s">
        <v>153</v>
      </c>
      <c r="H1261" s="9" t="s">
        <v>52</v>
      </c>
      <c r="J1261" s="9">
        <v>3.4285714285714284</v>
      </c>
      <c r="K1261" s="9">
        <v>160</v>
      </c>
      <c r="L1261" s="9">
        <v>0.28000000000000003</v>
      </c>
      <c r="M1261" s="9">
        <v>44.8</v>
      </c>
      <c r="N1261" s="9" t="s">
        <v>49</v>
      </c>
      <c r="Q1261" s="9">
        <f>IF(Auction_Sales[[#This Row],[Payment Date]]=0,"",-1+WEEKNUM(Auction_Sales[[#This Row],[Payment Date]]))</f>
        <v>14</v>
      </c>
      <c r="R1261" s="9">
        <v>160</v>
      </c>
      <c r="S1261" s="9" t="s">
        <v>153</v>
      </c>
      <c r="T1261" s="9" t="s">
        <v>52</v>
      </c>
      <c r="W1261" s="13">
        <v>0</v>
      </c>
      <c r="X1261" s="14">
        <v>0</v>
      </c>
      <c r="Y1261" s="13">
        <v>0</v>
      </c>
      <c r="Z1261" s="10">
        <v>45392</v>
      </c>
      <c r="AA1261" s="9">
        <v>-160</v>
      </c>
      <c r="AC1261" s="9" t="s">
        <v>95</v>
      </c>
      <c r="AD1261" s="14">
        <v>12.781666666666666</v>
      </c>
      <c r="AF1261" s="14">
        <v>0</v>
      </c>
      <c r="AH1261" s="14">
        <v>12.781666666666666</v>
      </c>
      <c r="AI1261" s="13">
        <v>-12.781666666666666</v>
      </c>
      <c r="AK1261" s="9">
        <v>0</v>
      </c>
    </row>
    <row r="1262" spans="1:37">
      <c r="A1262" s="9">
        <v>14</v>
      </c>
      <c r="B1262" s="9">
        <v>2024</v>
      </c>
      <c r="C1262" s="9" t="s">
        <v>46</v>
      </c>
      <c r="D1262" s="9" t="s">
        <v>47</v>
      </c>
      <c r="E1262" s="9" t="s">
        <v>47</v>
      </c>
      <c r="F1262" s="10">
        <v>45383</v>
      </c>
      <c r="G1262" s="9" t="s">
        <v>153</v>
      </c>
      <c r="H1262" s="9" t="s">
        <v>54</v>
      </c>
      <c r="J1262" s="9">
        <v>0.8571428571428571</v>
      </c>
      <c r="K1262" s="9">
        <v>40</v>
      </c>
      <c r="L1262" s="9">
        <v>0.33</v>
      </c>
      <c r="M1262" s="9">
        <v>13.2</v>
      </c>
      <c r="N1262" s="9" t="s">
        <v>49</v>
      </c>
      <c r="Q1262" s="9">
        <f>IF(Auction_Sales[[#This Row],[Payment Date]]=0,"",-1+WEEKNUM(Auction_Sales[[#This Row],[Payment Date]]))</f>
        <v>14</v>
      </c>
      <c r="R1262" s="9">
        <v>40</v>
      </c>
      <c r="S1262" s="9" t="s">
        <v>153</v>
      </c>
      <c r="T1262" s="9" t="s">
        <v>54</v>
      </c>
      <c r="W1262" s="13">
        <v>0</v>
      </c>
      <c r="X1262" s="14">
        <v>0</v>
      </c>
      <c r="Y1262" s="13">
        <v>0</v>
      </c>
      <c r="Z1262" s="10">
        <v>45392</v>
      </c>
      <c r="AA1262" s="9">
        <v>-40</v>
      </c>
      <c r="AC1262" s="9" t="s">
        <v>95</v>
      </c>
      <c r="AD1262" s="14">
        <v>3.1954166666666666</v>
      </c>
      <c r="AF1262" s="14">
        <v>0</v>
      </c>
      <c r="AH1262" s="14">
        <v>3.1954166666666666</v>
      </c>
      <c r="AI1262" s="13">
        <v>-3.1954166666666666</v>
      </c>
      <c r="AK1262" s="9">
        <v>0</v>
      </c>
    </row>
    <row r="1263" spans="1:37">
      <c r="A1263" s="9">
        <v>14</v>
      </c>
      <c r="B1263" s="9">
        <v>2024</v>
      </c>
      <c r="C1263" s="9" t="s">
        <v>46</v>
      </c>
      <c r="D1263" s="9" t="s">
        <v>47</v>
      </c>
      <c r="E1263" s="9" t="s">
        <v>47</v>
      </c>
      <c r="F1263" s="10">
        <v>45383</v>
      </c>
      <c r="G1263" s="9" t="s">
        <v>153</v>
      </c>
      <c r="H1263" s="9" t="s">
        <v>57</v>
      </c>
      <c r="J1263" s="9">
        <v>3.4285714285714284</v>
      </c>
      <c r="K1263" s="9">
        <v>160</v>
      </c>
      <c r="L1263" s="9">
        <v>0.47</v>
      </c>
      <c r="M1263" s="9">
        <v>75.2</v>
      </c>
      <c r="N1263" s="9" t="s">
        <v>49</v>
      </c>
      <c r="Q1263" s="9">
        <f>IF(Auction_Sales[[#This Row],[Payment Date]]=0,"",-1+WEEKNUM(Auction_Sales[[#This Row],[Payment Date]]))</f>
        <v>14</v>
      </c>
      <c r="R1263" s="9">
        <v>0</v>
      </c>
      <c r="S1263" s="9" t="s">
        <v>153</v>
      </c>
      <c r="T1263" s="9" t="s">
        <v>57</v>
      </c>
      <c r="U1263" s="9">
        <v>160</v>
      </c>
      <c r="V1263" s="13">
        <v>0.67500000000000004</v>
      </c>
      <c r="W1263" s="13">
        <v>108</v>
      </c>
      <c r="X1263" s="14">
        <v>-8.2436065573770438</v>
      </c>
      <c r="Y1263" s="13">
        <v>99.756393442622951</v>
      </c>
      <c r="Z1263" s="10">
        <v>45392</v>
      </c>
      <c r="AA1263" s="9">
        <v>0</v>
      </c>
      <c r="AC1263" s="9" t="s">
        <v>95</v>
      </c>
      <c r="AD1263" s="14">
        <v>12.781666666666666</v>
      </c>
      <c r="AF1263" s="14">
        <v>3.2</v>
      </c>
      <c r="AH1263" s="14">
        <v>15.981666666666666</v>
      </c>
      <c r="AI1263" s="13">
        <v>83.774726775956282</v>
      </c>
      <c r="AK1263" s="9">
        <v>160</v>
      </c>
    </row>
    <row r="1264" spans="1:37">
      <c r="A1264" s="9">
        <v>14</v>
      </c>
      <c r="B1264" s="9">
        <v>2024</v>
      </c>
      <c r="C1264" s="9" t="s">
        <v>46</v>
      </c>
      <c r="D1264" s="9" t="s">
        <v>47</v>
      </c>
      <c r="E1264" s="9" t="s">
        <v>47</v>
      </c>
      <c r="F1264" s="10">
        <v>45383</v>
      </c>
      <c r="G1264" s="9" t="s">
        <v>156</v>
      </c>
      <c r="H1264" s="9" t="s">
        <v>48</v>
      </c>
      <c r="I1264" s="9">
        <v>1</v>
      </c>
      <c r="J1264" s="9">
        <v>10</v>
      </c>
      <c r="K1264" s="9">
        <v>400</v>
      </c>
      <c r="L1264" s="9">
        <v>0.52</v>
      </c>
      <c r="M1264" s="9">
        <v>208</v>
      </c>
      <c r="N1264" s="9" t="s">
        <v>49</v>
      </c>
      <c r="Q1264" s="9">
        <f>IF(Auction_Sales[[#This Row],[Payment Date]]=0,"",-1+WEEKNUM(Auction_Sales[[#This Row],[Payment Date]]))</f>
        <v>14</v>
      </c>
      <c r="R1264" s="9">
        <v>0</v>
      </c>
      <c r="S1264" s="9" t="s">
        <v>156</v>
      </c>
      <c r="T1264" s="9" t="s">
        <v>48</v>
      </c>
      <c r="U1264" s="9">
        <v>400</v>
      </c>
      <c r="V1264" s="13">
        <v>0.75099999999999989</v>
      </c>
      <c r="W1264" s="13">
        <v>300.39999999999998</v>
      </c>
      <c r="X1264" s="14">
        <v>-20.609016393442612</v>
      </c>
      <c r="Y1264" s="13">
        <v>279.79098360655735</v>
      </c>
      <c r="Z1264" s="10">
        <v>45392</v>
      </c>
      <c r="AA1264" s="9">
        <v>0</v>
      </c>
      <c r="AC1264" s="9" t="s">
        <v>95</v>
      </c>
      <c r="AD1264" s="14">
        <v>37.279861111111117</v>
      </c>
      <c r="AF1264" s="14">
        <v>8</v>
      </c>
      <c r="AH1264" s="14">
        <v>45.279861111111117</v>
      </c>
      <c r="AI1264" s="13">
        <v>234.51112249544622</v>
      </c>
      <c r="AK1264" s="9">
        <v>400</v>
      </c>
    </row>
    <row r="1265" spans="1:37">
      <c r="A1265" s="9">
        <v>14</v>
      </c>
      <c r="B1265" s="9">
        <v>2024</v>
      </c>
      <c r="C1265" s="9" t="s">
        <v>46</v>
      </c>
      <c r="D1265" s="9" t="s">
        <v>47</v>
      </c>
      <c r="E1265" s="9" t="s">
        <v>47</v>
      </c>
      <c r="F1265" s="10">
        <v>45383</v>
      </c>
      <c r="G1265" s="9" t="s">
        <v>156</v>
      </c>
      <c r="H1265" s="9" t="s">
        <v>52</v>
      </c>
      <c r="J1265" s="9">
        <v>1</v>
      </c>
      <c r="K1265" s="9">
        <v>40</v>
      </c>
      <c r="L1265" s="9">
        <v>0.61</v>
      </c>
      <c r="M1265" s="9">
        <v>24.4</v>
      </c>
      <c r="N1265" s="9" t="s">
        <v>49</v>
      </c>
      <c r="Q1265" s="9">
        <f>IF(Auction_Sales[[#This Row],[Payment Date]]=0,"",-1+WEEKNUM(Auction_Sales[[#This Row],[Payment Date]]))</f>
        <v>14</v>
      </c>
      <c r="R1265" s="9">
        <v>0</v>
      </c>
      <c r="S1265" s="9" t="s">
        <v>156</v>
      </c>
      <c r="T1265" s="9" t="s">
        <v>52</v>
      </c>
      <c r="U1265" s="9">
        <v>40</v>
      </c>
      <c r="V1265" s="13">
        <v>0.82</v>
      </c>
      <c r="W1265" s="13">
        <v>32.799999999999997</v>
      </c>
      <c r="X1265" s="14">
        <v>-2.060901639344261</v>
      </c>
      <c r="Y1265" s="13">
        <v>30.739098360655735</v>
      </c>
      <c r="Z1265" s="10">
        <v>45392</v>
      </c>
      <c r="AA1265" s="9">
        <v>0</v>
      </c>
      <c r="AC1265" s="9" t="s">
        <v>95</v>
      </c>
      <c r="AD1265" s="14">
        <v>3.727986111111111</v>
      </c>
      <c r="AF1265" s="14">
        <v>0.8</v>
      </c>
      <c r="AH1265" s="14">
        <v>4.5279861111111108</v>
      </c>
      <c r="AI1265" s="13">
        <v>26.211112249544623</v>
      </c>
      <c r="AK1265" s="9">
        <v>40</v>
      </c>
    </row>
    <row r="1266" spans="1:37">
      <c r="A1266" s="9">
        <v>14</v>
      </c>
      <c r="B1266" s="9">
        <v>2024</v>
      </c>
      <c r="C1266" s="9" t="s">
        <v>46</v>
      </c>
      <c r="D1266" s="9" t="s">
        <v>47</v>
      </c>
      <c r="E1266" s="9" t="s">
        <v>47</v>
      </c>
      <c r="F1266" s="10">
        <v>45383</v>
      </c>
      <c r="G1266" s="9" t="s">
        <v>156</v>
      </c>
      <c r="H1266" s="9" t="s">
        <v>51</v>
      </c>
      <c r="J1266" s="9">
        <v>1</v>
      </c>
      <c r="K1266" s="9">
        <v>40</v>
      </c>
      <c r="L1266" s="9">
        <v>0.42</v>
      </c>
      <c r="M1266" s="9">
        <v>16.8</v>
      </c>
      <c r="N1266" s="9" t="s">
        <v>49</v>
      </c>
      <c r="Q1266" s="9">
        <f>IF(Auction_Sales[[#This Row],[Payment Date]]=0,"",-1+WEEKNUM(Auction_Sales[[#This Row],[Payment Date]]))</f>
        <v>14</v>
      </c>
      <c r="R1266" s="9">
        <v>0</v>
      </c>
      <c r="S1266" s="9" t="s">
        <v>156</v>
      </c>
      <c r="T1266" s="9" t="s">
        <v>51</v>
      </c>
      <c r="U1266" s="9">
        <v>40</v>
      </c>
      <c r="V1266" s="13">
        <v>0.55000000000000004</v>
      </c>
      <c r="W1266" s="13">
        <v>22</v>
      </c>
      <c r="X1266" s="14">
        <v>-2.060901639344261</v>
      </c>
      <c r="Y1266" s="13">
        <v>19.939098360655738</v>
      </c>
      <c r="Z1266" s="10">
        <v>45392</v>
      </c>
      <c r="AA1266" s="9">
        <v>0</v>
      </c>
      <c r="AC1266" s="9" t="s">
        <v>95</v>
      </c>
      <c r="AD1266" s="14">
        <v>3.727986111111111</v>
      </c>
      <c r="AF1266" s="14">
        <v>0.8</v>
      </c>
      <c r="AH1266" s="14">
        <v>4.5279861111111108</v>
      </c>
      <c r="AI1266" s="13">
        <v>15.411112249544626</v>
      </c>
      <c r="AK1266" s="9">
        <v>40</v>
      </c>
    </row>
    <row r="1267" spans="1:37">
      <c r="A1267" s="9">
        <v>14</v>
      </c>
      <c r="B1267" s="9">
        <v>2024</v>
      </c>
      <c r="C1267" s="9" t="s">
        <v>46</v>
      </c>
      <c r="D1267" s="9" t="s">
        <v>47</v>
      </c>
      <c r="E1267" s="9" t="s">
        <v>47</v>
      </c>
      <c r="F1267" s="10">
        <v>45384</v>
      </c>
      <c r="G1267" s="9" t="s">
        <v>155</v>
      </c>
      <c r="H1267" s="9" t="s">
        <v>48</v>
      </c>
      <c r="I1267" s="9">
        <v>1</v>
      </c>
      <c r="J1267" s="9">
        <v>9.75</v>
      </c>
      <c r="K1267" s="9">
        <v>520</v>
      </c>
      <c r="L1267" s="9">
        <v>0.47</v>
      </c>
      <c r="M1267" s="9">
        <v>244.4</v>
      </c>
      <c r="N1267" s="9" t="s">
        <v>49</v>
      </c>
      <c r="Q1267" s="9">
        <f>IF(Auction_Sales[[#This Row],[Payment Date]]=0,"",-1+WEEKNUM(Auction_Sales[[#This Row],[Payment Date]]))</f>
        <v>14</v>
      </c>
      <c r="R1267" s="9">
        <v>400</v>
      </c>
      <c r="S1267" s="9" t="s">
        <v>155</v>
      </c>
      <c r="T1267" s="9" t="s">
        <v>48</v>
      </c>
      <c r="U1267" s="9">
        <v>120</v>
      </c>
      <c r="V1267" s="13">
        <v>0.76</v>
      </c>
      <c r="W1267" s="13">
        <v>91.2</v>
      </c>
      <c r="X1267" s="14">
        <v>-6.0942391304347785</v>
      </c>
      <c r="Y1267" s="13">
        <v>85.105760869565231</v>
      </c>
      <c r="Z1267" s="10">
        <v>45392</v>
      </c>
      <c r="AA1267" s="9">
        <v>-400</v>
      </c>
      <c r="AC1267" s="9" t="s">
        <v>96</v>
      </c>
      <c r="AD1267" s="14">
        <v>46.978750000000005</v>
      </c>
      <c r="AF1267" s="14">
        <v>2.4</v>
      </c>
      <c r="AH1267" s="14">
        <v>49.378750000000004</v>
      </c>
      <c r="AI1267" s="13">
        <v>35.727010869565227</v>
      </c>
      <c r="AK1267" s="9">
        <v>120</v>
      </c>
    </row>
    <row r="1268" spans="1:37">
      <c r="A1268" s="9">
        <v>14</v>
      </c>
      <c r="B1268" s="9">
        <v>2024</v>
      </c>
      <c r="C1268" s="9" t="s">
        <v>46</v>
      </c>
      <c r="D1268" s="9" t="s">
        <v>47</v>
      </c>
      <c r="E1268" s="9" t="s">
        <v>47</v>
      </c>
      <c r="F1268" s="10">
        <v>45384</v>
      </c>
      <c r="G1268" s="9" t="s">
        <v>155</v>
      </c>
      <c r="H1268" s="9" t="s">
        <v>51</v>
      </c>
      <c r="J1268" s="9">
        <v>2.25</v>
      </c>
      <c r="K1268" s="9">
        <v>120</v>
      </c>
      <c r="L1268" s="9">
        <v>0.38</v>
      </c>
      <c r="M1268" s="9">
        <v>45.6</v>
      </c>
      <c r="N1268" s="9" t="s">
        <v>49</v>
      </c>
      <c r="Q1268" s="9">
        <f>IF(Auction_Sales[[#This Row],[Payment Date]]=0,"",-1+WEEKNUM(Auction_Sales[[#This Row],[Payment Date]]))</f>
        <v>14</v>
      </c>
      <c r="R1268" s="9">
        <v>-400</v>
      </c>
      <c r="S1268" s="9" t="s">
        <v>155</v>
      </c>
      <c r="T1268" s="9" t="s">
        <v>51</v>
      </c>
      <c r="U1268" s="9">
        <v>520</v>
      </c>
      <c r="V1268" s="13">
        <v>0.53</v>
      </c>
      <c r="W1268" s="13">
        <v>275.60000000000002</v>
      </c>
      <c r="X1268" s="14">
        <v>-26.408369565217374</v>
      </c>
      <c r="Y1268" s="13">
        <v>249.19163043478264</v>
      </c>
      <c r="Z1268" s="10">
        <v>45392</v>
      </c>
      <c r="AA1268" s="9">
        <v>400</v>
      </c>
      <c r="AC1268" s="9" t="s">
        <v>96</v>
      </c>
      <c r="AD1268" s="14">
        <v>10.84125</v>
      </c>
      <c r="AF1268" s="14">
        <v>10.4</v>
      </c>
      <c r="AH1268" s="14">
        <v>21.241250000000001</v>
      </c>
      <c r="AI1268" s="13">
        <v>227.95038043478263</v>
      </c>
      <c r="AK1268" s="9">
        <v>520</v>
      </c>
    </row>
    <row r="1269" spans="1:37">
      <c r="A1269" s="9">
        <v>14</v>
      </c>
      <c r="B1269" s="9">
        <v>2024</v>
      </c>
      <c r="C1269" s="9" t="s">
        <v>46</v>
      </c>
      <c r="D1269" s="9" t="s">
        <v>47</v>
      </c>
      <c r="E1269" s="9" t="s">
        <v>47</v>
      </c>
      <c r="F1269" s="10">
        <v>45384</v>
      </c>
      <c r="G1269" s="9" t="s">
        <v>155</v>
      </c>
      <c r="H1269" s="9" t="s">
        <v>52</v>
      </c>
      <c r="I1269" s="9">
        <v>1</v>
      </c>
      <c r="J1269" s="9">
        <v>8</v>
      </c>
      <c r="K1269" s="9">
        <v>320</v>
      </c>
      <c r="L1269" s="9">
        <v>0.52</v>
      </c>
      <c r="M1269" s="9">
        <v>166.4</v>
      </c>
      <c r="N1269" s="9" t="s">
        <v>49</v>
      </c>
      <c r="Q1269" s="9">
        <f>IF(Auction_Sales[[#This Row],[Payment Date]]=0,"",-1+WEEKNUM(Auction_Sales[[#This Row],[Payment Date]]))</f>
        <v>14</v>
      </c>
      <c r="R1269" s="9">
        <v>0</v>
      </c>
      <c r="S1269" s="9" t="s">
        <v>155</v>
      </c>
      <c r="T1269" s="9" t="s">
        <v>52</v>
      </c>
      <c r="U1269" s="9">
        <v>320</v>
      </c>
      <c r="V1269" s="13">
        <v>0.94124999999999992</v>
      </c>
      <c r="W1269" s="13">
        <v>301.2</v>
      </c>
      <c r="X1269" s="14">
        <v>-16.251304347826075</v>
      </c>
      <c r="Y1269" s="13">
        <v>284.94869565217391</v>
      </c>
      <c r="Z1269" s="10">
        <v>45392</v>
      </c>
      <c r="AA1269" s="9">
        <v>0</v>
      </c>
      <c r="AC1269" s="9" t="s">
        <v>96</v>
      </c>
      <c r="AD1269" s="14">
        <v>38.546666666666667</v>
      </c>
      <c r="AF1269" s="14">
        <v>6.4</v>
      </c>
      <c r="AH1269" s="14">
        <v>44.946666666666665</v>
      </c>
      <c r="AI1269" s="13">
        <v>240.00202898550725</v>
      </c>
      <c r="AK1269" s="9">
        <v>320</v>
      </c>
    </row>
    <row r="1270" spans="1:37">
      <c r="A1270" s="9">
        <v>14</v>
      </c>
      <c r="B1270" s="9">
        <v>2024</v>
      </c>
      <c r="C1270" s="9" t="s">
        <v>46</v>
      </c>
      <c r="D1270" s="9" t="s">
        <v>47</v>
      </c>
      <c r="E1270" s="9" t="s">
        <v>47</v>
      </c>
      <c r="F1270" s="10">
        <v>45384</v>
      </c>
      <c r="G1270" s="9" t="s">
        <v>155</v>
      </c>
      <c r="H1270" s="9" t="s">
        <v>54</v>
      </c>
      <c r="J1270" s="9">
        <v>4</v>
      </c>
      <c r="K1270" s="9">
        <v>160</v>
      </c>
      <c r="L1270" s="9">
        <v>0.56999999999999995</v>
      </c>
      <c r="M1270" s="9">
        <v>91.2</v>
      </c>
      <c r="N1270" s="9" t="s">
        <v>49</v>
      </c>
      <c r="Q1270" s="9">
        <f>IF(Auction_Sales[[#This Row],[Payment Date]]=0,"",-1+WEEKNUM(Auction_Sales[[#This Row],[Payment Date]]))</f>
        <v>14</v>
      </c>
      <c r="R1270" s="9">
        <v>0</v>
      </c>
      <c r="S1270" s="9" t="s">
        <v>155</v>
      </c>
      <c r="T1270" s="9" t="s">
        <v>54</v>
      </c>
      <c r="U1270" s="9">
        <v>160</v>
      </c>
      <c r="V1270" s="13">
        <v>1.1800000000000002</v>
      </c>
      <c r="W1270" s="13">
        <v>188.8</v>
      </c>
      <c r="X1270" s="14">
        <v>-8.1256521739130374</v>
      </c>
      <c r="Y1270" s="13">
        <v>180.67434782608697</v>
      </c>
      <c r="Z1270" s="10">
        <v>45392</v>
      </c>
      <c r="AA1270" s="9">
        <v>0</v>
      </c>
      <c r="AC1270" s="9" t="s">
        <v>96</v>
      </c>
      <c r="AD1270" s="14">
        <v>19.273333333333333</v>
      </c>
      <c r="AF1270" s="14">
        <v>3.2</v>
      </c>
      <c r="AH1270" s="14">
        <v>22.473333333333333</v>
      </c>
      <c r="AI1270" s="13">
        <v>158.20101449275364</v>
      </c>
      <c r="AK1270" s="9">
        <v>160</v>
      </c>
    </row>
    <row r="1271" spans="1:37">
      <c r="A1271" s="9">
        <v>14</v>
      </c>
      <c r="B1271" s="9">
        <v>2024</v>
      </c>
      <c r="C1271" s="9" t="s">
        <v>46</v>
      </c>
      <c r="D1271" s="9" t="s">
        <v>47</v>
      </c>
      <c r="E1271" s="9" t="s">
        <v>47</v>
      </c>
      <c r="F1271" s="10">
        <v>45384</v>
      </c>
      <c r="G1271" s="9" t="s">
        <v>155</v>
      </c>
      <c r="H1271" s="9" t="s">
        <v>56</v>
      </c>
      <c r="I1271" s="9">
        <v>1</v>
      </c>
      <c r="J1271" s="9">
        <v>8</v>
      </c>
      <c r="K1271" s="9">
        <v>160</v>
      </c>
      <c r="L1271" s="9">
        <v>0.75</v>
      </c>
      <c r="M1271" s="9">
        <v>120</v>
      </c>
      <c r="N1271" s="9" t="s">
        <v>49</v>
      </c>
      <c r="Q1271" s="9">
        <f>IF(Auction_Sales[[#This Row],[Payment Date]]=0,"",-1+WEEKNUM(Auction_Sales[[#This Row],[Payment Date]]))</f>
        <v>14</v>
      </c>
      <c r="R1271" s="9">
        <v>0</v>
      </c>
      <c r="S1271" s="9" t="s">
        <v>155</v>
      </c>
      <c r="T1271" s="9" t="s">
        <v>56</v>
      </c>
      <c r="U1271" s="9">
        <v>160</v>
      </c>
      <c r="V1271" s="13">
        <v>0.83000000000000007</v>
      </c>
      <c r="W1271" s="13">
        <v>132.80000000000001</v>
      </c>
      <c r="X1271" s="14">
        <v>-8.1256521739130374</v>
      </c>
      <c r="Y1271" s="13">
        <v>124.67434782608697</v>
      </c>
      <c r="Z1271" s="10">
        <v>45392</v>
      </c>
      <c r="AA1271" s="9">
        <v>0</v>
      </c>
      <c r="AC1271" s="9" t="s">
        <v>96</v>
      </c>
      <c r="AD1271" s="14">
        <v>38.546666666666667</v>
      </c>
      <c r="AF1271" s="14">
        <v>3.2</v>
      </c>
      <c r="AH1271" s="14">
        <v>41.74666666666667</v>
      </c>
      <c r="AI1271" s="13">
        <v>82.927681159420302</v>
      </c>
      <c r="AK1271" s="9">
        <v>160</v>
      </c>
    </row>
    <row r="1272" spans="1:37">
      <c r="A1272" s="9">
        <v>14</v>
      </c>
      <c r="B1272" s="9">
        <v>2024</v>
      </c>
      <c r="C1272" s="9" t="s">
        <v>46</v>
      </c>
      <c r="D1272" s="9" t="s">
        <v>47</v>
      </c>
      <c r="E1272" s="9" t="s">
        <v>47</v>
      </c>
      <c r="F1272" s="10">
        <v>45384</v>
      </c>
      <c r="G1272" s="9" t="s">
        <v>155</v>
      </c>
      <c r="H1272" s="9" t="s">
        <v>57</v>
      </c>
      <c r="J1272" s="9">
        <v>4</v>
      </c>
      <c r="K1272" s="9">
        <v>80</v>
      </c>
      <c r="L1272" s="9">
        <v>0.94</v>
      </c>
      <c r="M1272" s="9">
        <v>75.2</v>
      </c>
      <c r="N1272" s="9" t="s">
        <v>49</v>
      </c>
      <c r="Q1272" s="9">
        <f>IF(Auction_Sales[[#This Row],[Payment Date]]=0,"",-1+WEEKNUM(Auction_Sales[[#This Row],[Payment Date]]))</f>
        <v>14</v>
      </c>
      <c r="R1272" s="9">
        <v>0</v>
      </c>
      <c r="S1272" s="9" t="s">
        <v>155</v>
      </c>
      <c r="T1272" s="9" t="s">
        <v>57</v>
      </c>
      <c r="U1272" s="9">
        <v>80</v>
      </c>
      <c r="V1272" s="13">
        <v>0.91999999999999993</v>
      </c>
      <c r="W1272" s="13">
        <v>73.599999999999994</v>
      </c>
      <c r="X1272" s="14">
        <v>-4.0628260869565187</v>
      </c>
      <c r="Y1272" s="13">
        <v>69.537173913043475</v>
      </c>
      <c r="Z1272" s="10">
        <v>45392</v>
      </c>
      <c r="AA1272" s="9">
        <v>0</v>
      </c>
      <c r="AC1272" s="9" t="s">
        <v>96</v>
      </c>
      <c r="AD1272" s="14">
        <v>19.273333333333333</v>
      </c>
      <c r="AF1272" s="14">
        <v>1.6</v>
      </c>
      <c r="AH1272" s="14">
        <v>20.873333333333335</v>
      </c>
      <c r="AI1272" s="13">
        <v>48.66384057971014</v>
      </c>
      <c r="AK1272" s="9">
        <v>80</v>
      </c>
    </row>
    <row r="1273" spans="1:37">
      <c r="A1273" s="9">
        <v>14</v>
      </c>
      <c r="B1273" s="9">
        <v>2024</v>
      </c>
      <c r="C1273" s="9" t="s">
        <v>46</v>
      </c>
      <c r="D1273" s="9" t="s">
        <v>47</v>
      </c>
      <c r="E1273" s="9" t="s">
        <v>47</v>
      </c>
      <c r="F1273" s="10">
        <v>45384</v>
      </c>
      <c r="G1273" s="9" t="s">
        <v>153</v>
      </c>
      <c r="H1273" s="9" t="s">
        <v>48</v>
      </c>
      <c r="I1273" s="9">
        <v>1</v>
      </c>
      <c r="J1273" s="9">
        <v>6.666666666666667</v>
      </c>
      <c r="K1273" s="9">
        <v>400</v>
      </c>
      <c r="L1273" s="9">
        <v>0.24</v>
      </c>
      <c r="M1273" s="9">
        <v>96</v>
      </c>
      <c r="N1273" s="9" t="s">
        <v>49</v>
      </c>
      <c r="Q1273" s="9">
        <f>IF(Auction_Sales[[#This Row],[Payment Date]]=0,"",-1+WEEKNUM(Auction_Sales[[#This Row],[Payment Date]]))</f>
        <v>14</v>
      </c>
      <c r="R1273" s="9">
        <v>0</v>
      </c>
      <c r="S1273" s="9" t="s">
        <v>153</v>
      </c>
      <c r="T1273" s="9" t="s">
        <v>48</v>
      </c>
      <c r="U1273" s="9">
        <v>400</v>
      </c>
      <c r="V1273" s="13">
        <v>0.40299999999999997</v>
      </c>
      <c r="W1273" s="13">
        <v>161.19999999999999</v>
      </c>
      <c r="X1273" s="14">
        <v>-20.314130434782594</v>
      </c>
      <c r="Y1273" s="13">
        <v>140.8858695652174</v>
      </c>
      <c r="Z1273" s="10">
        <v>45392</v>
      </c>
      <c r="AA1273" s="9">
        <v>0</v>
      </c>
      <c r="AC1273" s="9" t="s">
        <v>96</v>
      </c>
      <c r="AD1273" s="14">
        <v>32.122222222222227</v>
      </c>
      <c r="AF1273" s="14">
        <v>8</v>
      </c>
      <c r="AH1273" s="14">
        <v>40.122222222222227</v>
      </c>
      <c r="AI1273" s="13">
        <v>100.76364734299517</v>
      </c>
      <c r="AK1273" s="9">
        <v>400</v>
      </c>
    </row>
    <row r="1274" spans="1:37">
      <c r="A1274" s="9">
        <v>14</v>
      </c>
      <c r="B1274" s="9">
        <v>2024</v>
      </c>
      <c r="C1274" s="9" t="s">
        <v>46</v>
      </c>
      <c r="D1274" s="9" t="s">
        <v>47</v>
      </c>
      <c r="E1274" s="9" t="s">
        <v>47</v>
      </c>
      <c r="F1274" s="10">
        <v>45384</v>
      </c>
      <c r="G1274" s="9" t="s">
        <v>153</v>
      </c>
      <c r="H1274" s="9" t="s">
        <v>52</v>
      </c>
      <c r="J1274" s="9">
        <v>5.333333333333333</v>
      </c>
      <c r="K1274" s="9">
        <v>320</v>
      </c>
      <c r="L1274" s="9">
        <v>0.28000000000000003</v>
      </c>
      <c r="M1274" s="9">
        <v>89.6</v>
      </c>
      <c r="N1274" s="9" t="s">
        <v>49</v>
      </c>
      <c r="Q1274" s="9">
        <f>IF(Auction_Sales[[#This Row],[Payment Date]]=0,"",-1+WEEKNUM(Auction_Sales[[#This Row],[Payment Date]]))</f>
        <v>14</v>
      </c>
      <c r="R1274" s="9">
        <v>0</v>
      </c>
      <c r="S1274" s="9" t="s">
        <v>153</v>
      </c>
      <c r="T1274" s="9" t="s">
        <v>52</v>
      </c>
      <c r="U1274" s="9">
        <v>320</v>
      </c>
      <c r="V1274" s="13">
        <v>0.26</v>
      </c>
      <c r="W1274" s="13">
        <v>83.2</v>
      </c>
      <c r="X1274" s="14">
        <v>-16.251304347826075</v>
      </c>
      <c r="Y1274" s="13">
        <v>66.948695652173924</v>
      </c>
      <c r="Z1274" s="10">
        <v>45392</v>
      </c>
      <c r="AA1274" s="9">
        <v>0</v>
      </c>
      <c r="AC1274" s="9" t="s">
        <v>96</v>
      </c>
      <c r="AD1274" s="14">
        <v>25.697777777777777</v>
      </c>
      <c r="AF1274" s="14">
        <v>6.4</v>
      </c>
      <c r="AH1274" s="14">
        <v>32.097777777777779</v>
      </c>
      <c r="AI1274" s="13">
        <v>34.850917874396146</v>
      </c>
      <c r="AK1274" s="9">
        <v>320</v>
      </c>
    </row>
    <row r="1275" spans="1:37">
      <c r="A1275" s="9">
        <v>14</v>
      </c>
      <c r="B1275" s="9">
        <v>2024</v>
      </c>
      <c r="C1275" s="9" t="s">
        <v>46</v>
      </c>
      <c r="D1275" s="9" t="s">
        <v>47</v>
      </c>
      <c r="E1275" s="9" t="s">
        <v>47</v>
      </c>
      <c r="F1275" s="10">
        <v>45384</v>
      </c>
      <c r="G1275" s="9" t="s">
        <v>153</v>
      </c>
      <c r="H1275" s="9" t="s">
        <v>54</v>
      </c>
      <c r="I1275" s="9">
        <v>1</v>
      </c>
      <c r="J1275" s="9">
        <v>7.384615384615385</v>
      </c>
      <c r="K1275" s="9">
        <v>320</v>
      </c>
      <c r="L1275" s="9">
        <v>0.33</v>
      </c>
      <c r="M1275" s="9">
        <v>105.6</v>
      </c>
      <c r="N1275" s="9" t="s">
        <v>49</v>
      </c>
      <c r="Q1275" s="9">
        <f>IF(Auction_Sales[[#This Row],[Payment Date]]=0,"",-1+WEEKNUM(Auction_Sales[[#This Row],[Payment Date]]))</f>
        <v>14</v>
      </c>
      <c r="R1275" s="9">
        <v>0</v>
      </c>
      <c r="S1275" s="9" t="s">
        <v>153</v>
      </c>
      <c r="T1275" s="9" t="s">
        <v>54</v>
      </c>
      <c r="U1275" s="9">
        <v>320</v>
      </c>
      <c r="V1275" s="13">
        <v>0.28999999999999998</v>
      </c>
      <c r="W1275" s="13">
        <v>92.8</v>
      </c>
      <c r="X1275" s="14">
        <v>-16.251304347826075</v>
      </c>
      <c r="Y1275" s="13">
        <v>76.548695652173919</v>
      </c>
      <c r="Z1275" s="10">
        <v>45392</v>
      </c>
      <c r="AA1275" s="9">
        <v>0</v>
      </c>
      <c r="AC1275" s="9" t="s">
        <v>96</v>
      </c>
      <c r="AD1275" s="14">
        <v>35.581538461538464</v>
      </c>
      <c r="AF1275" s="14">
        <v>6.4</v>
      </c>
      <c r="AH1275" s="14">
        <v>41.981538461538463</v>
      </c>
      <c r="AI1275" s="13">
        <v>34.567157190635456</v>
      </c>
      <c r="AK1275" s="9">
        <v>320</v>
      </c>
    </row>
    <row r="1276" spans="1:37">
      <c r="A1276" s="9">
        <v>14</v>
      </c>
      <c r="B1276" s="9">
        <v>2024</v>
      </c>
      <c r="C1276" s="9" t="s">
        <v>46</v>
      </c>
      <c r="D1276" s="9" t="s">
        <v>47</v>
      </c>
      <c r="E1276" s="9" t="s">
        <v>47</v>
      </c>
      <c r="F1276" s="10">
        <v>45384</v>
      </c>
      <c r="G1276" s="9" t="s">
        <v>153</v>
      </c>
      <c r="H1276" s="9" t="s">
        <v>56</v>
      </c>
      <c r="J1276" s="9">
        <v>0.92307692307692313</v>
      </c>
      <c r="K1276" s="9">
        <v>40</v>
      </c>
      <c r="L1276" s="9">
        <v>0.38</v>
      </c>
      <c r="M1276" s="9">
        <v>15.2</v>
      </c>
      <c r="N1276" s="9" t="s">
        <v>49</v>
      </c>
      <c r="Q1276" s="9">
        <f>IF(Auction_Sales[[#This Row],[Payment Date]]=0,"",-1+WEEKNUM(Auction_Sales[[#This Row],[Payment Date]]))</f>
        <v>14</v>
      </c>
      <c r="R1276" s="9">
        <v>0</v>
      </c>
      <c r="S1276" s="9" t="s">
        <v>153</v>
      </c>
      <c r="T1276" s="9" t="s">
        <v>56</v>
      </c>
      <c r="U1276" s="9">
        <v>40</v>
      </c>
      <c r="V1276" s="13">
        <v>0.27999999999999997</v>
      </c>
      <c r="W1276" s="13">
        <v>11.2</v>
      </c>
      <c r="X1276" s="14">
        <v>-2.0314130434782594</v>
      </c>
      <c r="Y1276" s="13">
        <v>9.1685869565217395</v>
      </c>
      <c r="Z1276" s="10">
        <v>45392</v>
      </c>
      <c r="AA1276" s="9">
        <v>0</v>
      </c>
      <c r="AC1276" s="9" t="s">
        <v>96</v>
      </c>
      <c r="AD1276" s="14">
        <v>4.4476923076923081</v>
      </c>
      <c r="AF1276" s="14">
        <v>0.8</v>
      </c>
      <c r="AH1276" s="14">
        <v>5.2476923076923079</v>
      </c>
      <c r="AI1276" s="13">
        <v>3.9208946488294316</v>
      </c>
      <c r="AK1276" s="9">
        <v>40</v>
      </c>
    </row>
    <row r="1277" spans="1:37">
      <c r="A1277" s="9">
        <v>14</v>
      </c>
      <c r="B1277" s="9">
        <v>2024</v>
      </c>
      <c r="C1277" s="9" t="s">
        <v>46</v>
      </c>
      <c r="D1277" s="9" t="s">
        <v>47</v>
      </c>
      <c r="E1277" s="9" t="s">
        <v>47</v>
      </c>
      <c r="F1277" s="10">
        <v>45384</v>
      </c>
      <c r="G1277" s="9" t="s">
        <v>153</v>
      </c>
      <c r="H1277" s="9" t="s">
        <v>57</v>
      </c>
      <c r="J1277" s="9">
        <v>3.6923076923076925</v>
      </c>
      <c r="K1277" s="9">
        <v>160</v>
      </c>
      <c r="L1277" s="9">
        <v>0.47</v>
      </c>
      <c r="M1277" s="9">
        <v>75.2</v>
      </c>
      <c r="N1277" s="9" t="s">
        <v>49</v>
      </c>
      <c r="Q1277" s="9">
        <f>IF(Auction_Sales[[#This Row],[Payment Date]]=0,"",-1+WEEKNUM(Auction_Sales[[#This Row],[Payment Date]]))</f>
        <v>14</v>
      </c>
      <c r="R1277" s="9">
        <v>0</v>
      </c>
      <c r="S1277" s="9" t="s">
        <v>153</v>
      </c>
      <c r="T1277" s="9" t="s">
        <v>57</v>
      </c>
      <c r="U1277" s="9">
        <v>160</v>
      </c>
      <c r="V1277" s="13">
        <v>0.66749999999999998</v>
      </c>
      <c r="W1277" s="13">
        <v>106.8</v>
      </c>
      <c r="X1277" s="14">
        <v>-8.1256521739130374</v>
      </c>
      <c r="Y1277" s="13">
        <v>98.674347826086958</v>
      </c>
      <c r="Z1277" s="10">
        <v>45392</v>
      </c>
      <c r="AA1277" s="9">
        <v>0</v>
      </c>
      <c r="AC1277" s="9" t="s">
        <v>96</v>
      </c>
      <c r="AD1277" s="14">
        <v>17.790769230769232</v>
      </c>
      <c r="AF1277" s="14">
        <v>3.2</v>
      </c>
      <c r="AH1277" s="14">
        <v>20.990769230769232</v>
      </c>
      <c r="AI1277" s="13">
        <v>77.683578595317726</v>
      </c>
      <c r="AK1277" s="9">
        <v>160</v>
      </c>
    </row>
    <row r="1278" spans="1:37">
      <c r="A1278" s="9">
        <v>14</v>
      </c>
      <c r="B1278" s="9">
        <v>2024</v>
      </c>
      <c r="C1278" s="9" t="s">
        <v>46</v>
      </c>
      <c r="D1278" s="9" t="s">
        <v>47</v>
      </c>
      <c r="E1278" s="9" t="s">
        <v>47</v>
      </c>
      <c r="F1278" s="10">
        <v>45384</v>
      </c>
      <c r="G1278" s="9" t="s">
        <v>154</v>
      </c>
      <c r="H1278" s="9" t="s">
        <v>48</v>
      </c>
      <c r="I1278" s="9">
        <v>1</v>
      </c>
      <c r="J1278" s="9">
        <v>12</v>
      </c>
      <c r="K1278" s="9">
        <v>480</v>
      </c>
      <c r="L1278" s="9">
        <v>0.47</v>
      </c>
      <c r="M1278" s="9">
        <v>225.6</v>
      </c>
      <c r="N1278" s="9" t="s">
        <v>49</v>
      </c>
      <c r="Q1278" s="9">
        <f>IF(Auction_Sales[[#This Row],[Payment Date]]=0,"",-1+WEEKNUM(Auction_Sales[[#This Row],[Payment Date]]))</f>
        <v>14</v>
      </c>
      <c r="R1278" s="9">
        <v>0</v>
      </c>
      <c r="S1278" s="9" t="s">
        <v>154</v>
      </c>
      <c r="T1278" s="9" t="s">
        <v>48</v>
      </c>
      <c r="U1278" s="9">
        <v>480</v>
      </c>
      <c r="V1278" s="13">
        <v>0.57833333333333337</v>
      </c>
      <c r="W1278" s="13">
        <v>277.60000000000002</v>
      </c>
      <c r="X1278" s="14">
        <v>-24.376956521739114</v>
      </c>
      <c r="Y1278" s="13">
        <v>253.22304347826091</v>
      </c>
      <c r="Z1278" s="10">
        <v>45392</v>
      </c>
      <c r="AA1278" s="9">
        <v>0</v>
      </c>
      <c r="AC1278" s="9" t="s">
        <v>96</v>
      </c>
      <c r="AD1278" s="14">
        <v>57.82</v>
      </c>
      <c r="AF1278" s="14">
        <v>9.6</v>
      </c>
      <c r="AH1278" s="14">
        <v>67.42</v>
      </c>
      <c r="AI1278" s="13">
        <v>185.80304347826092</v>
      </c>
      <c r="AK1278" s="9">
        <v>480</v>
      </c>
    </row>
    <row r="1279" spans="1:37">
      <c r="A1279" s="9">
        <v>14</v>
      </c>
      <c r="B1279" s="9">
        <v>2024</v>
      </c>
      <c r="C1279" s="9" t="s">
        <v>46</v>
      </c>
      <c r="D1279" s="9" t="s">
        <v>47</v>
      </c>
      <c r="E1279" s="9" t="s">
        <v>47</v>
      </c>
      <c r="F1279" s="10">
        <v>45384</v>
      </c>
      <c r="G1279" s="9" t="s">
        <v>154</v>
      </c>
      <c r="H1279" s="9" t="s">
        <v>52</v>
      </c>
      <c r="I1279" s="9">
        <v>1</v>
      </c>
      <c r="J1279" s="9">
        <v>8</v>
      </c>
      <c r="K1279" s="9">
        <v>400</v>
      </c>
      <c r="L1279" s="9">
        <v>0.52</v>
      </c>
      <c r="M1279" s="9">
        <v>208</v>
      </c>
      <c r="N1279" s="9" t="s">
        <v>49</v>
      </c>
      <c r="Q1279" s="9">
        <f>IF(Auction_Sales[[#This Row],[Payment Date]]=0,"",-1+WEEKNUM(Auction_Sales[[#This Row],[Payment Date]]))</f>
        <v>14</v>
      </c>
      <c r="R1279" s="9">
        <v>200</v>
      </c>
      <c r="S1279" s="9" t="s">
        <v>154</v>
      </c>
      <c r="T1279" s="9" t="s">
        <v>52</v>
      </c>
      <c r="U1279" s="9">
        <v>200</v>
      </c>
      <c r="V1279" s="13">
        <v>0.48399999999999999</v>
      </c>
      <c r="W1279" s="13">
        <v>96.8</v>
      </c>
      <c r="X1279" s="14">
        <v>-10.157065217391297</v>
      </c>
      <c r="Y1279" s="13">
        <v>86.642934782608705</v>
      </c>
      <c r="Z1279" s="10">
        <v>45392</v>
      </c>
      <c r="AA1279" s="9">
        <v>-200</v>
      </c>
      <c r="AC1279" s="9" t="s">
        <v>96</v>
      </c>
      <c r="AD1279" s="14">
        <v>38.546666666666667</v>
      </c>
      <c r="AF1279" s="14">
        <v>4</v>
      </c>
      <c r="AH1279" s="14">
        <v>42.546666666666667</v>
      </c>
      <c r="AI1279" s="13">
        <v>44.096268115942038</v>
      </c>
      <c r="AK1279" s="9">
        <v>200</v>
      </c>
    </row>
    <row r="1280" spans="1:37">
      <c r="A1280" s="9">
        <v>14</v>
      </c>
      <c r="B1280" s="9">
        <v>2024</v>
      </c>
      <c r="C1280" s="9" t="s">
        <v>46</v>
      </c>
      <c r="D1280" s="9" t="s">
        <v>47</v>
      </c>
      <c r="E1280" s="9" t="s">
        <v>47</v>
      </c>
      <c r="F1280" s="10">
        <v>45384</v>
      </c>
      <c r="G1280" s="9" t="s">
        <v>154</v>
      </c>
      <c r="H1280" s="9" t="s">
        <v>51</v>
      </c>
      <c r="J1280" s="9">
        <v>4</v>
      </c>
      <c r="K1280" s="9">
        <v>200</v>
      </c>
      <c r="L1280" s="9">
        <v>0.38</v>
      </c>
      <c r="M1280" s="9">
        <v>76</v>
      </c>
      <c r="N1280" s="9" t="s">
        <v>49</v>
      </c>
      <c r="Q1280" s="9">
        <f>IF(Auction_Sales[[#This Row],[Payment Date]]=0,"",-1+WEEKNUM(Auction_Sales[[#This Row],[Payment Date]]))</f>
        <v>14</v>
      </c>
      <c r="R1280" s="9">
        <v>-200</v>
      </c>
      <c r="S1280" s="9" t="s">
        <v>154</v>
      </c>
      <c r="T1280" s="9" t="s">
        <v>51</v>
      </c>
      <c r="U1280" s="9">
        <v>400</v>
      </c>
      <c r="V1280" s="13">
        <v>0.38</v>
      </c>
      <c r="W1280" s="13">
        <v>152</v>
      </c>
      <c r="X1280" s="14">
        <v>-20.314130434782594</v>
      </c>
      <c r="Y1280" s="13">
        <v>131.68586956521742</v>
      </c>
      <c r="Z1280" s="10">
        <v>45392</v>
      </c>
      <c r="AA1280" s="9">
        <v>200</v>
      </c>
      <c r="AC1280" s="9" t="s">
        <v>96</v>
      </c>
      <c r="AD1280" s="14">
        <v>19.273333333333333</v>
      </c>
      <c r="AF1280" s="14">
        <v>8</v>
      </c>
      <c r="AH1280" s="14">
        <v>27.273333333333333</v>
      </c>
      <c r="AI1280" s="13">
        <v>104.41253623188408</v>
      </c>
      <c r="AK1280" s="9">
        <v>400</v>
      </c>
    </row>
    <row r="1281" spans="1:37">
      <c r="A1281" s="9">
        <v>14</v>
      </c>
      <c r="B1281" s="9">
        <v>2024</v>
      </c>
      <c r="C1281" s="9" t="s">
        <v>46</v>
      </c>
      <c r="D1281" s="9" t="s">
        <v>47</v>
      </c>
      <c r="E1281" s="9" t="s">
        <v>47</v>
      </c>
      <c r="F1281" s="10">
        <v>45386</v>
      </c>
      <c r="G1281" s="9" t="s">
        <v>154</v>
      </c>
      <c r="H1281" s="9" t="s">
        <v>56</v>
      </c>
      <c r="I1281" s="9">
        <v>1</v>
      </c>
      <c r="J1281" s="9">
        <v>12</v>
      </c>
      <c r="K1281" s="9">
        <v>200</v>
      </c>
      <c r="L1281" s="9">
        <v>0.75</v>
      </c>
      <c r="M1281" s="9">
        <v>150</v>
      </c>
      <c r="N1281" s="9" t="s">
        <v>49</v>
      </c>
      <c r="Q1281" s="9">
        <f>IF(Auction_Sales[[#This Row],[Payment Date]]=0,"",-1+WEEKNUM(Auction_Sales[[#This Row],[Payment Date]]))</f>
        <v>15</v>
      </c>
      <c r="R1281" s="9">
        <v>-200</v>
      </c>
      <c r="S1281" s="9" t="s">
        <v>154</v>
      </c>
      <c r="T1281" s="9" t="s">
        <v>56</v>
      </c>
      <c r="U1281" s="9">
        <v>400</v>
      </c>
      <c r="V1281" s="13">
        <v>1.135</v>
      </c>
      <c r="W1281" s="13">
        <v>454</v>
      </c>
      <c r="X1281" s="14">
        <v>-19.061805555555541</v>
      </c>
      <c r="Y1281" s="13">
        <v>434.93819444444443</v>
      </c>
      <c r="Z1281" s="10">
        <v>45399</v>
      </c>
      <c r="AA1281" s="9">
        <v>200</v>
      </c>
      <c r="AC1281" s="9">
        <v>435844</v>
      </c>
      <c r="AD1281" s="14">
        <v>41.037333333333329</v>
      </c>
      <c r="AF1281" s="14">
        <v>8</v>
      </c>
      <c r="AH1281" s="14">
        <v>49.037333333333329</v>
      </c>
      <c r="AI1281" s="13">
        <v>385.90086111111111</v>
      </c>
      <c r="AK1281" s="9">
        <v>400</v>
      </c>
    </row>
    <row r="1282" spans="1:37">
      <c r="A1282" s="9">
        <v>14</v>
      </c>
      <c r="B1282" s="9">
        <v>2024</v>
      </c>
      <c r="C1282" s="9" t="s">
        <v>46</v>
      </c>
      <c r="D1282" s="9" t="s">
        <v>47</v>
      </c>
      <c r="E1282" s="9" t="s">
        <v>47</v>
      </c>
      <c r="F1282" s="10">
        <v>45386</v>
      </c>
      <c r="G1282" s="9" t="s">
        <v>154</v>
      </c>
      <c r="H1282" s="9" t="s">
        <v>56</v>
      </c>
      <c r="I1282" s="9">
        <v>1</v>
      </c>
      <c r="J1282" s="9">
        <v>12</v>
      </c>
      <c r="K1282" s="9">
        <v>240</v>
      </c>
      <c r="L1282" s="9">
        <v>0.75</v>
      </c>
      <c r="M1282" s="9">
        <v>180</v>
      </c>
      <c r="N1282" s="9" t="s">
        <v>49</v>
      </c>
      <c r="Q1282" s="9">
        <f>IF(Auction_Sales[[#This Row],[Payment Date]]=0,"",-1+WEEKNUM(Auction_Sales[[#This Row],[Payment Date]]))</f>
        <v>15</v>
      </c>
      <c r="R1282" s="9">
        <v>240</v>
      </c>
      <c r="S1282" s="9" t="s">
        <v>154</v>
      </c>
      <c r="T1282" s="9" t="s">
        <v>56</v>
      </c>
      <c r="W1282" s="13">
        <v>0</v>
      </c>
      <c r="X1282" s="14">
        <v>0</v>
      </c>
      <c r="Y1282" s="13">
        <v>0</v>
      </c>
      <c r="Z1282" s="10">
        <v>45399</v>
      </c>
      <c r="AA1282" s="9">
        <v>-240</v>
      </c>
      <c r="AC1282" s="9">
        <v>435844</v>
      </c>
      <c r="AD1282" s="14">
        <v>41.037333333333329</v>
      </c>
      <c r="AF1282" s="14">
        <v>0</v>
      </c>
      <c r="AH1282" s="14">
        <v>41.037333333333329</v>
      </c>
      <c r="AI1282" s="13">
        <v>-41.037333333333329</v>
      </c>
      <c r="AK1282" s="9">
        <v>0</v>
      </c>
    </row>
    <row r="1283" spans="1:37">
      <c r="A1283" s="9">
        <v>14</v>
      </c>
      <c r="B1283" s="9">
        <v>2024</v>
      </c>
      <c r="C1283" s="9" t="s">
        <v>46</v>
      </c>
      <c r="D1283" s="9" t="s">
        <v>47</v>
      </c>
      <c r="E1283" s="9" t="s">
        <v>47</v>
      </c>
      <c r="F1283" s="10">
        <v>45386</v>
      </c>
      <c r="G1283" s="9" t="s">
        <v>154</v>
      </c>
      <c r="H1283" s="9" t="s">
        <v>57</v>
      </c>
      <c r="I1283" s="9">
        <v>1</v>
      </c>
      <c r="J1283" s="9">
        <v>12</v>
      </c>
      <c r="K1283" s="9">
        <v>160</v>
      </c>
      <c r="L1283" s="9">
        <v>0.94</v>
      </c>
      <c r="M1283" s="9">
        <v>150.4</v>
      </c>
      <c r="N1283" s="9" t="s">
        <v>49</v>
      </c>
      <c r="Q1283" s="9">
        <f>IF(Auction_Sales[[#This Row],[Payment Date]]=0,"",-1+WEEKNUM(Auction_Sales[[#This Row],[Payment Date]]))</f>
        <v>15</v>
      </c>
      <c r="R1283" s="9">
        <v>160</v>
      </c>
      <c r="S1283" s="9" t="s">
        <v>154</v>
      </c>
      <c r="T1283" s="9" t="s">
        <v>57</v>
      </c>
      <c r="W1283" s="13">
        <v>0</v>
      </c>
      <c r="X1283" s="14">
        <v>0</v>
      </c>
      <c r="Y1283" s="13">
        <v>0</v>
      </c>
      <c r="Z1283" s="10">
        <v>45399</v>
      </c>
      <c r="AA1283" s="9">
        <v>-160</v>
      </c>
      <c r="AC1283" s="9">
        <v>435844</v>
      </c>
      <c r="AD1283" s="14">
        <v>41.037333333333329</v>
      </c>
      <c r="AF1283" s="14">
        <v>0</v>
      </c>
      <c r="AH1283" s="14">
        <v>41.037333333333329</v>
      </c>
      <c r="AI1283" s="13">
        <v>-41.037333333333329</v>
      </c>
      <c r="AK1283" s="9">
        <v>0</v>
      </c>
    </row>
    <row r="1284" spans="1:37">
      <c r="A1284" s="9">
        <v>14</v>
      </c>
      <c r="B1284" s="9">
        <v>2024</v>
      </c>
      <c r="C1284" s="9" t="s">
        <v>46</v>
      </c>
      <c r="D1284" s="9" t="s">
        <v>47</v>
      </c>
      <c r="E1284" s="9" t="s">
        <v>47</v>
      </c>
      <c r="F1284" s="10">
        <v>45386</v>
      </c>
      <c r="G1284" s="9" t="s">
        <v>154</v>
      </c>
      <c r="H1284" s="9" t="s">
        <v>57</v>
      </c>
      <c r="I1284" s="9">
        <v>1</v>
      </c>
      <c r="J1284" s="9">
        <v>12</v>
      </c>
      <c r="K1284" s="9">
        <v>200</v>
      </c>
      <c r="L1284" s="9">
        <v>0.94</v>
      </c>
      <c r="M1284" s="9">
        <v>188</v>
      </c>
      <c r="N1284" s="9" t="s">
        <v>49</v>
      </c>
      <c r="Q1284" s="9">
        <f>IF(Auction_Sales[[#This Row],[Payment Date]]=0,"",-1+WEEKNUM(Auction_Sales[[#This Row],[Payment Date]]))</f>
        <v>15</v>
      </c>
      <c r="R1284" s="9">
        <v>-160</v>
      </c>
      <c r="S1284" s="9" t="s">
        <v>154</v>
      </c>
      <c r="T1284" s="9" t="s">
        <v>57</v>
      </c>
      <c r="U1284" s="9">
        <v>360</v>
      </c>
      <c r="V1284" s="13">
        <v>0.93</v>
      </c>
      <c r="W1284" s="13">
        <v>334.8</v>
      </c>
      <c r="X1284" s="14">
        <v>-17.155624999999986</v>
      </c>
      <c r="Y1284" s="13">
        <v>317.64437500000003</v>
      </c>
      <c r="Z1284" s="10">
        <v>45399</v>
      </c>
      <c r="AA1284" s="9">
        <v>160</v>
      </c>
      <c r="AC1284" s="9">
        <v>435844</v>
      </c>
      <c r="AD1284" s="14">
        <v>41.037333333333329</v>
      </c>
      <c r="AF1284" s="14">
        <v>7.2</v>
      </c>
      <c r="AH1284" s="14">
        <v>48.237333333333332</v>
      </c>
      <c r="AI1284" s="13">
        <v>269.40704166666671</v>
      </c>
      <c r="AK1284" s="9">
        <v>360</v>
      </c>
    </row>
    <row r="1285" spans="1:37">
      <c r="A1285" s="9">
        <v>14</v>
      </c>
      <c r="B1285" s="9">
        <v>2024</v>
      </c>
      <c r="C1285" s="9" t="s">
        <v>46</v>
      </c>
      <c r="D1285" s="9" t="s">
        <v>47</v>
      </c>
      <c r="E1285" s="9" t="s">
        <v>47</v>
      </c>
      <c r="F1285" s="10">
        <v>45386</v>
      </c>
      <c r="G1285" s="9" t="s">
        <v>155</v>
      </c>
      <c r="H1285" s="9" t="s">
        <v>48</v>
      </c>
      <c r="I1285" s="9">
        <v>2</v>
      </c>
      <c r="J1285" s="9">
        <v>24</v>
      </c>
      <c r="K1285" s="9">
        <v>1040</v>
      </c>
      <c r="L1285" s="9">
        <v>0.47</v>
      </c>
      <c r="M1285" s="9">
        <v>488.8</v>
      </c>
      <c r="N1285" s="9" t="s">
        <v>49</v>
      </c>
      <c r="Q1285" s="9">
        <f>IF(Auction_Sales[[#This Row],[Payment Date]]=0,"",-1+WEEKNUM(Auction_Sales[[#This Row],[Payment Date]]))</f>
        <v>15</v>
      </c>
      <c r="R1285" s="9">
        <v>-400</v>
      </c>
      <c r="S1285" s="9" t="s">
        <v>155</v>
      </c>
      <c r="T1285" s="9" t="s">
        <v>48</v>
      </c>
      <c r="U1285" s="9">
        <v>1440</v>
      </c>
      <c r="V1285" s="13">
        <v>0.64083333333333325</v>
      </c>
      <c r="W1285" s="13">
        <v>922.79999999999984</v>
      </c>
      <c r="X1285" s="14">
        <v>-68.622499999999945</v>
      </c>
      <c r="Y1285" s="13">
        <v>854.1774999999999</v>
      </c>
      <c r="Z1285" s="10">
        <v>45399</v>
      </c>
      <c r="AA1285" s="9">
        <v>400</v>
      </c>
      <c r="AC1285" s="9">
        <v>435844</v>
      </c>
      <c r="AD1285" s="14">
        <v>82.074666666666658</v>
      </c>
      <c r="AF1285" s="14">
        <v>28.8</v>
      </c>
      <c r="AH1285" s="14">
        <v>110.87466666666666</v>
      </c>
      <c r="AI1285" s="13">
        <v>743.30283333333318</v>
      </c>
      <c r="AK1285" s="9">
        <v>1440</v>
      </c>
    </row>
    <row r="1286" spans="1:37">
      <c r="A1286" s="9">
        <v>14</v>
      </c>
      <c r="B1286" s="9">
        <v>2024</v>
      </c>
      <c r="C1286" s="9" t="s">
        <v>46</v>
      </c>
      <c r="D1286" s="9" t="s">
        <v>47</v>
      </c>
      <c r="E1286" s="9" t="s">
        <v>47</v>
      </c>
      <c r="F1286" s="10">
        <v>45386</v>
      </c>
      <c r="G1286" s="9" t="s">
        <v>155</v>
      </c>
      <c r="H1286" s="9" t="s">
        <v>57</v>
      </c>
      <c r="I1286" s="9">
        <v>1</v>
      </c>
      <c r="J1286" s="9">
        <v>12</v>
      </c>
      <c r="K1286" s="9">
        <v>200</v>
      </c>
      <c r="L1286" s="9">
        <v>0.94</v>
      </c>
      <c r="M1286" s="9">
        <v>188</v>
      </c>
      <c r="N1286" s="9" t="s">
        <v>49</v>
      </c>
      <c r="Q1286" s="9">
        <f>IF(Auction_Sales[[#This Row],[Payment Date]]=0,"",-1+WEEKNUM(Auction_Sales[[#This Row],[Payment Date]]))</f>
        <v>15</v>
      </c>
      <c r="R1286" s="9">
        <v>0</v>
      </c>
      <c r="S1286" s="9" t="s">
        <v>155</v>
      </c>
      <c r="T1286" s="9" t="s">
        <v>57</v>
      </c>
      <c r="U1286" s="9">
        <v>200</v>
      </c>
      <c r="V1286" s="13">
        <v>1</v>
      </c>
      <c r="W1286" s="13">
        <v>200</v>
      </c>
      <c r="X1286" s="14">
        <v>-9.5309027777777704</v>
      </c>
      <c r="Y1286" s="13">
        <v>190.46909722222222</v>
      </c>
      <c r="Z1286" s="10">
        <v>45399</v>
      </c>
      <c r="AA1286" s="9">
        <v>0</v>
      </c>
      <c r="AC1286" s="9">
        <v>435844</v>
      </c>
      <c r="AD1286" s="14">
        <v>41.037333333333329</v>
      </c>
      <c r="AF1286" s="14">
        <v>4</v>
      </c>
      <c r="AH1286" s="14">
        <v>45.037333333333329</v>
      </c>
      <c r="AI1286" s="13">
        <v>145.4317638888889</v>
      </c>
      <c r="AK1286" s="9">
        <v>200</v>
      </c>
    </row>
    <row r="1287" spans="1:37">
      <c r="A1287" s="9">
        <v>14</v>
      </c>
      <c r="B1287" s="9">
        <v>2024</v>
      </c>
      <c r="C1287" s="9" t="s">
        <v>46</v>
      </c>
      <c r="D1287" s="9" t="s">
        <v>47</v>
      </c>
      <c r="E1287" s="9" t="s">
        <v>47</v>
      </c>
      <c r="F1287" s="10">
        <v>45386</v>
      </c>
      <c r="G1287" s="9" t="s">
        <v>153</v>
      </c>
      <c r="H1287" s="9" t="s">
        <v>48</v>
      </c>
      <c r="I1287" s="9">
        <v>1</v>
      </c>
      <c r="J1287" s="9">
        <v>12</v>
      </c>
      <c r="K1287" s="9">
        <v>720</v>
      </c>
      <c r="L1287" s="9">
        <v>0.24</v>
      </c>
      <c r="M1287" s="9">
        <v>172.8</v>
      </c>
      <c r="N1287" s="9" t="s">
        <v>49</v>
      </c>
      <c r="Q1287" s="9">
        <f>IF(Auction_Sales[[#This Row],[Payment Date]]=0,"",-1+WEEKNUM(Auction_Sales[[#This Row],[Payment Date]]))</f>
        <v>15</v>
      </c>
      <c r="R1287" s="9">
        <v>0</v>
      </c>
      <c r="S1287" s="9" t="s">
        <v>153</v>
      </c>
      <c r="T1287" s="9" t="s">
        <v>48</v>
      </c>
      <c r="U1287" s="9">
        <v>720</v>
      </c>
      <c r="V1287" s="13">
        <v>0.30555555555555558</v>
      </c>
      <c r="W1287" s="13">
        <v>220.00000000000003</v>
      </c>
      <c r="X1287" s="14">
        <v>-34.311249999999973</v>
      </c>
      <c r="Y1287" s="13">
        <v>185.68875000000006</v>
      </c>
      <c r="Z1287" s="10">
        <v>45399</v>
      </c>
      <c r="AA1287" s="9">
        <v>0</v>
      </c>
      <c r="AC1287" s="9">
        <v>435844</v>
      </c>
      <c r="AD1287" s="14">
        <v>41.037333333333329</v>
      </c>
      <c r="AF1287" s="14">
        <v>14.4</v>
      </c>
      <c r="AH1287" s="14">
        <v>55.437333333333328</v>
      </c>
      <c r="AI1287" s="13">
        <v>130.25141666666673</v>
      </c>
      <c r="AK1287" s="9">
        <v>720</v>
      </c>
    </row>
    <row r="1288" spans="1:37">
      <c r="A1288" s="9">
        <v>14</v>
      </c>
      <c r="B1288" s="9">
        <v>2024</v>
      </c>
      <c r="C1288" s="9" t="s">
        <v>46</v>
      </c>
      <c r="D1288" s="9" t="s">
        <v>47</v>
      </c>
      <c r="E1288" s="9" t="s">
        <v>47</v>
      </c>
      <c r="F1288" s="10">
        <v>45386</v>
      </c>
      <c r="G1288" s="9" t="s">
        <v>153</v>
      </c>
      <c r="H1288" s="9" t="s">
        <v>52</v>
      </c>
      <c r="I1288" s="9">
        <v>1</v>
      </c>
      <c r="J1288" s="9">
        <v>12</v>
      </c>
      <c r="K1288" s="9">
        <v>520</v>
      </c>
      <c r="L1288" s="9">
        <v>0.28000000000000003</v>
      </c>
      <c r="M1288" s="9">
        <v>145.6</v>
      </c>
      <c r="N1288" s="9" t="s">
        <v>49</v>
      </c>
      <c r="Q1288" s="9">
        <f>IF(Auction_Sales[[#This Row],[Payment Date]]=0,"",-1+WEEKNUM(Auction_Sales[[#This Row],[Payment Date]]))</f>
        <v>15</v>
      </c>
      <c r="R1288" s="9">
        <v>0</v>
      </c>
      <c r="S1288" s="9" t="s">
        <v>153</v>
      </c>
      <c r="T1288" s="9" t="s">
        <v>52</v>
      </c>
      <c r="U1288" s="9">
        <v>520</v>
      </c>
      <c r="V1288" s="13">
        <v>0.4276923076923077</v>
      </c>
      <c r="W1288" s="13">
        <v>222.4</v>
      </c>
      <c r="X1288" s="14">
        <v>-24.780347222222201</v>
      </c>
      <c r="Y1288" s="13">
        <v>197.61965277777782</v>
      </c>
      <c r="Z1288" s="10">
        <v>45399</v>
      </c>
      <c r="AA1288" s="9">
        <v>0</v>
      </c>
      <c r="AC1288" s="9">
        <v>435844</v>
      </c>
      <c r="AD1288" s="14">
        <v>41.037333333333329</v>
      </c>
      <c r="AF1288" s="14">
        <v>10.4</v>
      </c>
      <c r="AH1288" s="14">
        <v>51.437333333333328</v>
      </c>
      <c r="AI1288" s="13">
        <v>146.18231944444449</v>
      </c>
      <c r="AK1288" s="9">
        <v>520</v>
      </c>
    </row>
    <row r="1289" spans="1:37">
      <c r="A1289" s="9">
        <v>14</v>
      </c>
      <c r="B1289" s="9">
        <v>2024</v>
      </c>
      <c r="C1289" s="9" t="s">
        <v>46</v>
      </c>
      <c r="D1289" s="9" t="s">
        <v>47</v>
      </c>
      <c r="E1289" s="9" t="s">
        <v>47</v>
      </c>
      <c r="F1289" s="10">
        <v>45386</v>
      </c>
      <c r="G1289" s="9" t="s">
        <v>153</v>
      </c>
      <c r="H1289" s="9" t="s">
        <v>54</v>
      </c>
      <c r="I1289" s="9">
        <v>1</v>
      </c>
      <c r="J1289" s="9">
        <v>12</v>
      </c>
      <c r="K1289" s="9">
        <v>440</v>
      </c>
      <c r="L1289" s="9">
        <v>0.33</v>
      </c>
      <c r="M1289" s="9">
        <v>145.19999999999999</v>
      </c>
      <c r="N1289" s="9" t="s">
        <v>49</v>
      </c>
      <c r="Q1289" s="9">
        <f>IF(Auction_Sales[[#This Row],[Payment Date]]=0,"",-1+WEEKNUM(Auction_Sales[[#This Row],[Payment Date]]))</f>
        <v>15</v>
      </c>
      <c r="R1289" s="9">
        <v>0</v>
      </c>
      <c r="S1289" s="9" t="s">
        <v>153</v>
      </c>
      <c r="T1289" s="9" t="s">
        <v>54</v>
      </c>
      <c r="U1289" s="9">
        <v>440</v>
      </c>
      <c r="V1289" s="13">
        <v>0.43181818181818182</v>
      </c>
      <c r="W1289" s="13">
        <v>190</v>
      </c>
      <c r="X1289" s="14">
        <v>-20.967986111111095</v>
      </c>
      <c r="Y1289" s="13">
        <v>169.03201388888891</v>
      </c>
      <c r="Z1289" s="10">
        <v>45399</v>
      </c>
      <c r="AA1289" s="9">
        <v>0</v>
      </c>
      <c r="AC1289" s="9">
        <v>435844</v>
      </c>
      <c r="AD1289" s="14">
        <v>41.037333333333329</v>
      </c>
      <c r="AF1289" s="14">
        <v>8.8000000000000007</v>
      </c>
      <c r="AH1289" s="14">
        <v>49.837333333333333</v>
      </c>
      <c r="AI1289" s="13">
        <v>119.19468055555558</v>
      </c>
      <c r="AK1289" s="9">
        <v>440</v>
      </c>
    </row>
    <row r="1290" spans="1:37">
      <c r="A1290" s="9">
        <v>14</v>
      </c>
      <c r="B1290" s="9">
        <v>2024</v>
      </c>
      <c r="C1290" s="9" t="s">
        <v>46</v>
      </c>
      <c r="D1290" s="9" t="s">
        <v>47</v>
      </c>
      <c r="E1290" s="9" t="s">
        <v>47</v>
      </c>
      <c r="F1290" s="10">
        <v>45386</v>
      </c>
      <c r="G1290" s="9" t="s">
        <v>153</v>
      </c>
      <c r="H1290" s="9" t="s">
        <v>57</v>
      </c>
      <c r="I1290" s="9">
        <v>1</v>
      </c>
      <c r="J1290" s="9">
        <v>12</v>
      </c>
      <c r="K1290" s="9">
        <v>320</v>
      </c>
      <c r="L1290" s="9">
        <v>0.47</v>
      </c>
      <c r="M1290" s="9">
        <v>150.4</v>
      </c>
      <c r="N1290" s="9" t="s">
        <v>49</v>
      </c>
      <c r="Q1290" s="9">
        <f>IF(Auction_Sales[[#This Row],[Payment Date]]=0,"",-1+WEEKNUM(Auction_Sales[[#This Row],[Payment Date]]))</f>
        <v>15</v>
      </c>
      <c r="R1290" s="9">
        <v>-80</v>
      </c>
      <c r="S1290" s="9" t="s">
        <v>153</v>
      </c>
      <c r="T1290" s="9" t="s">
        <v>57</v>
      </c>
      <c r="U1290" s="9">
        <v>400</v>
      </c>
      <c r="V1290" s="13">
        <v>0.66400000000000003</v>
      </c>
      <c r="W1290" s="13">
        <v>265.60000000000002</v>
      </c>
      <c r="X1290" s="14">
        <v>-19.061805555555541</v>
      </c>
      <c r="Y1290" s="13">
        <v>246.53819444444449</v>
      </c>
      <c r="Z1290" s="10">
        <v>45399</v>
      </c>
      <c r="AA1290" s="9">
        <v>80</v>
      </c>
      <c r="AC1290" s="9">
        <v>435844</v>
      </c>
      <c r="AD1290" s="14">
        <v>41.037333333333329</v>
      </c>
      <c r="AF1290" s="14">
        <v>8</v>
      </c>
      <c r="AH1290" s="14">
        <v>49.037333333333329</v>
      </c>
      <c r="AI1290" s="13">
        <v>197.50086111111116</v>
      </c>
      <c r="AK1290" s="9">
        <v>400</v>
      </c>
    </row>
    <row r="1291" spans="1:37">
      <c r="A1291" s="9">
        <v>14</v>
      </c>
      <c r="B1291" s="9">
        <v>2024</v>
      </c>
      <c r="C1291" s="9" t="s">
        <v>46</v>
      </c>
      <c r="D1291" s="9" t="s">
        <v>47</v>
      </c>
      <c r="E1291" s="9" t="s">
        <v>47</v>
      </c>
      <c r="F1291" s="10">
        <v>45386</v>
      </c>
      <c r="G1291" s="9" t="s">
        <v>156</v>
      </c>
      <c r="H1291" s="9" t="s">
        <v>51</v>
      </c>
      <c r="I1291" s="9">
        <v>1</v>
      </c>
      <c r="J1291" s="9">
        <v>1.3333333333333333</v>
      </c>
      <c r="K1291" s="9">
        <v>40</v>
      </c>
      <c r="L1291" s="9">
        <v>0.42</v>
      </c>
      <c r="M1291" s="9">
        <v>16.8</v>
      </c>
      <c r="N1291" s="9" t="s">
        <v>49</v>
      </c>
      <c r="Q1291" s="9">
        <f>IF(Auction_Sales[[#This Row],[Payment Date]]=0,"",-1+WEEKNUM(Auction_Sales[[#This Row],[Payment Date]]))</f>
        <v>15</v>
      </c>
      <c r="R1291" s="9">
        <v>0</v>
      </c>
      <c r="S1291" s="9" t="s">
        <v>156</v>
      </c>
      <c r="T1291" s="9" t="s">
        <v>51</v>
      </c>
      <c r="U1291" s="9">
        <v>40</v>
      </c>
      <c r="V1291" s="13">
        <v>0.52</v>
      </c>
      <c r="W1291" s="13">
        <v>20.8</v>
      </c>
      <c r="X1291" s="14">
        <v>-1.906180555555554</v>
      </c>
      <c r="Y1291" s="13">
        <v>18.893819444444446</v>
      </c>
      <c r="Z1291" s="10">
        <v>45399</v>
      </c>
      <c r="AA1291" s="9">
        <v>0</v>
      </c>
      <c r="AC1291" s="9">
        <v>435844</v>
      </c>
      <c r="AD1291" s="14">
        <v>4.5597037037037031</v>
      </c>
      <c r="AF1291" s="14">
        <v>0.8</v>
      </c>
      <c r="AH1291" s="14">
        <v>5.359703703703703</v>
      </c>
      <c r="AI1291" s="13">
        <v>13.534115740740743</v>
      </c>
      <c r="AK1291" s="9">
        <v>40</v>
      </c>
    </row>
    <row r="1292" spans="1:37">
      <c r="A1292" s="9">
        <v>14</v>
      </c>
      <c r="B1292" s="9">
        <v>2024</v>
      </c>
      <c r="C1292" s="9" t="s">
        <v>46</v>
      </c>
      <c r="D1292" s="9" t="s">
        <v>47</v>
      </c>
      <c r="E1292" s="9" t="s">
        <v>47</v>
      </c>
      <c r="F1292" s="10">
        <v>45386</v>
      </c>
      <c r="G1292" s="9" t="s">
        <v>156</v>
      </c>
      <c r="H1292" s="9" t="s">
        <v>48</v>
      </c>
      <c r="J1292" s="9">
        <v>10.666666666666666</v>
      </c>
      <c r="K1292" s="9">
        <v>320</v>
      </c>
      <c r="L1292" s="9">
        <v>0.52</v>
      </c>
      <c r="M1292" s="9">
        <v>166.4</v>
      </c>
      <c r="N1292" s="9" t="s">
        <v>49</v>
      </c>
      <c r="Q1292" s="9">
        <f>IF(Auction_Sales[[#This Row],[Payment Date]]=0,"",-1+WEEKNUM(Auction_Sales[[#This Row],[Payment Date]]))</f>
        <v>15</v>
      </c>
      <c r="R1292" s="9">
        <v>0</v>
      </c>
      <c r="S1292" s="9" t="s">
        <v>156</v>
      </c>
      <c r="T1292" s="9" t="s">
        <v>48</v>
      </c>
      <c r="U1292" s="9">
        <v>320</v>
      </c>
      <c r="V1292" s="13">
        <v>0.63500000000000001</v>
      </c>
      <c r="W1292" s="13">
        <v>203.2</v>
      </c>
      <c r="X1292" s="14">
        <v>-15.249444444444432</v>
      </c>
      <c r="Y1292" s="13">
        <v>187.95055555555555</v>
      </c>
      <c r="Z1292" s="10">
        <v>45399</v>
      </c>
      <c r="AA1292" s="9">
        <v>0</v>
      </c>
      <c r="AC1292" s="9">
        <v>435844</v>
      </c>
      <c r="AD1292" s="14">
        <v>36.477629629629625</v>
      </c>
      <c r="AF1292" s="14">
        <v>6.4</v>
      </c>
      <c r="AH1292" s="14">
        <v>42.877629629629624</v>
      </c>
      <c r="AI1292" s="13">
        <v>145.07292592592592</v>
      </c>
      <c r="AK1292" s="9">
        <v>320</v>
      </c>
    </row>
    <row r="1293" spans="1:37">
      <c r="A1293" s="9">
        <v>14</v>
      </c>
      <c r="B1293" s="9">
        <v>2024</v>
      </c>
      <c r="C1293" s="9" t="s">
        <v>46</v>
      </c>
      <c r="D1293" s="9" t="s">
        <v>47</v>
      </c>
      <c r="E1293" s="9" t="s">
        <v>47</v>
      </c>
      <c r="F1293" s="10">
        <v>45386</v>
      </c>
      <c r="G1293" s="9" t="s">
        <v>154</v>
      </c>
      <c r="H1293" s="9" t="s">
        <v>51</v>
      </c>
      <c r="I1293" s="9">
        <v>1</v>
      </c>
      <c r="J1293" s="9">
        <v>10</v>
      </c>
      <c r="K1293" s="9">
        <v>400</v>
      </c>
      <c r="L1293" s="9">
        <v>0.38</v>
      </c>
      <c r="M1293" s="9">
        <v>152</v>
      </c>
      <c r="N1293" s="9" t="s">
        <v>49</v>
      </c>
      <c r="Q1293" s="9">
        <f>IF(Auction_Sales[[#This Row],[Payment Date]]=0,"",-1+WEEKNUM(Auction_Sales[[#This Row],[Payment Date]]))</f>
        <v>15</v>
      </c>
      <c r="R1293" s="9">
        <v>0</v>
      </c>
      <c r="S1293" s="9" t="s">
        <v>154</v>
      </c>
      <c r="T1293" s="9" t="s">
        <v>51</v>
      </c>
      <c r="U1293" s="9">
        <v>400</v>
      </c>
      <c r="V1293" s="13">
        <v>0.40799999999999997</v>
      </c>
      <c r="W1293" s="13">
        <v>163.19999999999999</v>
      </c>
      <c r="X1293" s="14">
        <v>-19.061805555555541</v>
      </c>
      <c r="Y1293" s="13">
        <v>144.13819444444445</v>
      </c>
      <c r="Z1293" s="10">
        <v>45399</v>
      </c>
      <c r="AA1293" s="9">
        <v>0</v>
      </c>
      <c r="AC1293" s="9">
        <v>435844</v>
      </c>
      <c r="AD1293" s="14">
        <v>34.197777777777773</v>
      </c>
      <c r="AF1293" s="14">
        <v>8</v>
      </c>
      <c r="AH1293" s="14">
        <v>42.197777777777773</v>
      </c>
      <c r="AI1293" s="13">
        <v>101.94041666666668</v>
      </c>
      <c r="AK1293" s="9">
        <v>400</v>
      </c>
    </row>
    <row r="1294" spans="1:37">
      <c r="A1294" s="9">
        <v>14</v>
      </c>
      <c r="B1294" s="9">
        <v>2024</v>
      </c>
      <c r="C1294" s="9" t="s">
        <v>46</v>
      </c>
      <c r="D1294" s="9" t="s">
        <v>47</v>
      </c>
      <c r="E1294" s="9" t="s">
        <v>47</v>
      </c>
      <c r="F1294" s="10">
        <v>45386</v>
      </c>
      <c r="G1294" s="9" t="s">
        <v>154</v>
      </c>
      <c r="H1294" s="9" t="s">
        <v>48</v>
      </c>
      <c r="J1294" s="9">
        <v>2</v>
      </c>
      <c r="K1294" s="9">
        <v>80</v>
      </c>
      <c r="L1294" s="9">
        <v>0.47</v>
      </c>
      <c r="M1294" s="9">
        <v>37.6</v>
      </c>
      <c r="N1294" s="9" t="s">
        <v>49</v>
      </c>
      <c r="Q1294" s="9">
        <f>IF(Auction_Sales[[#This Row],[Payment Date]]=0,"",-1+WEEKNUM(Auction_Sales[[#This Row],[Payment Date]]))</f>
        <v>15</v>
      </c>
      <c r="R1294" s="9">
        <v>0</v>
      </c>
      <c r="S1294" s="9" t="s">
        <v>154</v>
      </c>
      <c r="T1294" s="9" t="s">
        <v>48</v>
      </c>
      <c r="U1294" s="9">
        <v>80</v>
      </c>
      <c r="V1294" s="13">
        <v>0.55999999999999994</v>
      </c>
      <c r="W1294" s="13">
        <v>44.8</v>
      </c>
      <c r="X1294" s="14">
        <v>-3.812361111111108</v>
      </c>
      <c r="Y1294" s="13">
        <v>40.987638888888888</v>
      </c>
      <c r="Z1294" s="10">
        <v>45399</v>
      </c>
      <c r="AA1294" s="9">
        <v>0</v>
      </c>
      <c r="AC1294" s="9">
        <v>435844</v>
      </c>
      <c r="AD1294" s="14">
        <v>6.8395555555555552</v>
      </c>
      <c r="AF1294" s="14">
        <v>1.6</v>
      </c>
      <c r="AH1294" s="14">
        <v>8.4395555555555557</v>
      </c>
      <c r="AI1294" s="13">
        <v>32.548083333333331</v>
      </c>
      <c r="AK1294" s="9">
        <v>80</v>
      </c>
    </row>
    <row r="1295" spans="1:37">
      <c r="A1295" s="9">
        <v>14</v>
      </c>
      <c r="B1295" s="9">
        <v>2024</v>
      </c>
      <c r="C1295" s="9" t="s">
        <v>46</v>
      </c>
      <c r="D1295" s="9" t="s">
        <v>47</v>
      </c>
      <c r="E1295" s="9" t="s">
        <v>47</v>
      </c>
      <c r="F1295" s="10">
        <v>45386</v>
      </c>
      <c r="G1295" s="9" t="s">
        <v>153</v>
      </c>
      <c r="H1295" s="9" t="s">
        <v>56</v>
      </c>
      <c r="I1295" s="9">
        <v>1</v>
      </c>
      <c r="J1295" s="9">
        <v>8.5714285714285712</v>
      </c>
      <c r="K1295" s="9">
        <v>200</v>
      </c>
      <c r="L1295" s="9">
        <v>0.38</v>
      </c>
      <c r="M1295" s="9">
        <v>76</v>
      </c>
      <c r="N1295" s="9" t="s">
        <v>49</v>
      </c>
      <c r="Q1295" s="9">
        <f>IF(Auction_Sales[[#This Row],[Payment Date]]=0,"",-1+WEEKNUM(Auction_Sales[[#This Row],[Payment Date]]))</f>
        <v>15</v>
      </c>
      <c r="R1295" s="9">
        <v>0</v>
      </c>
      <c r="S1295" s="9" t="s">
        <v>153</v>
      </c>
      <c r="T1295" s="9" t="s">
        <v>56</v>
      </c>
      <c r="U1295" s="9">
        <v>200</v>
      </c>
      <c r="V1295" s="13">
        <v>0.54600000000000004</v>
      </c>
      <c r="W1295" s="13">
        <v>109.2</v>
      </c>
      <c r="X1295" s="14">
        <v>-9.5309027777777704</v>
      </c>
      <c r="Y1295" s="13">
        <v>99.669097222222234</v>
      </c>
      <c r="Z1295" s="10">
        <v>45399</v>
      </c>
      <c r="AA1295" s="9">
        <v>0</v>
      </c>
      <c r="AC1295" s="9">
        <v>435844</v>
      </c>
      <c r="AD1295" s="14">
        <v>29.312380952380948</v>
      </c>
      <c r="AF1295" s="14">
        <v>4</v>
      </c>
      <c r="AH1295" s="14">
        <v>33.312380952380948</v>
      </c>
      <c r="AI1295" s="13">
        <v>66.356716269841286</v>
      </c>
      <c r="AK1295" s="9">
        <v>200</v>
      </c>
    </row>
    <row r="1296" spans="1:37">
      <c r="A1296" s="9">
        <v>14</v>
      </c>
      <c r="B1296" s="9">
        <v>2024</v>
      </c>
      <c r="C1296" s="9" t="s">
        <v>46</v>
      </c>
      <c r="D1296" s="9" t="s">
        <v>47</v>
      </c>
      <c r="E1296" s="9" t="s">
        <v>47</v>
      </c>
      <c r="F1296" s="10">
        <v>45386</v>
      </c>
      <c r="G1296" s="9" t="s">
        <v>153</v>
      </c>
      <c r="H1296" s="9" t="s">
        <v>57</v>
      </c>
      <c r="J1296" s="9">
        <v>3.4285714285714284</v>
      </c>
      <c r="K1296" s="9">
        <v>80</v>
      </c>
      <c r="L1296" s="9">
        <v>0.47</v>
      </c>
      <c r="M1296" s="9">
        <v>37.6</v>
      </c>
      <c r="N1296" s="9" t="s">
        <v>49</v>
      </c>
      <c r="Q1296" s="9">
        <f>IF(Auction_Sales[[#This Row],[Payment Date]]=0,"",-1+WEEKNUM(Auction_Sales[[#This Row],[Payment Date]]))</f>
        <v>15</v>
      </c>
      <c r="R1296" s="9">
        <v>80</v>
      </c>
      <c r="S1296" s="9" t="s">
        <v>153</v>
      </c>
      <c r="T1296" s="9" t="s">
        <v>57</v>
      </c>
      <c r="W1296" s="13">
        <v>0</v>
      </c>
      <c r="X1296" s="14">
        <v>0</v>
      </c>
      <c r="Y1296" s="13">
        <v>0</v>
      </c>
      <c r="Z1296" s="10">
        <v>45399</v>
      </c>
      <c r="AA1296" s="9">
        <v>-80</v>
      </c>
      <c r="AC1296" s="9">
        <v>435844</v>
      </c>
      <c r="AD1296" s="14">
        <v>11.724952380952379</v>
      </c>
      <c r="AF1296" s="14">
        <v>0</v>
      </c>
      <c r="AH1296" s="14">
        <v>11.724952380952379</v>
      </c>
      <c r="AI1296" s="13">
        <v>-11.724952380952379</v>
      </c>
      <c r="AK1296" s="9">
        <v>0</v>
      </c>
    </row>
    <row r="1297" spans="1:37">
      <c r="A1297" s="9">
        <v>14</v>
      </c>
      <c r="B1297" s="9">
        <v>2024</v>
      </c>
      <c r="C1297" s="9" t="s">
        <v>46</v>
      </c>
      <c r="D1297" s="9" t="s">
        <v>47</v>
      </c>
      <c r="E1297" s="9" t="s">
        <v>47</v>
      </c>
      <c r="F1297" s="10">
        <v>45386</v>
      </c>
      <c r="G1297" s="9" t="s">
        <v>155</v>
      </c>
      <c r="H1297" s="9" t="s">
        <v>48</v>
      </c>
      <c r="I1297" s="9">
        <v>1</v>
      </c>
      <c r="J1297" s="9">
        <v>7.764705882352942</v>
      </c>
      <c r="K1297" s="9">
        <v>440</v>
      </c>
      <c r="L1297" s="9">
        <v>0.47</v>
      </c>
      <c r="M1297" s="9">
        <v>206.8</v>
      </c>
      <c r="N1297" s="9" t="s">
        <v>49</v>
      </c>
      <c r="Q1297" s="9">
        <f>IF(Auction_Sales[[#This Row],[Payment Date]]=0,"",-1+WEEKNUM(Auction_Sales[[#This Row],[Payment Date]]))</f>
        <v>15</v>
      </c>
      <c r="R1297" s="9">
        <v>440</v>
      </c>
      <c r="S1297" s="9" t="s">
        <v>155</v>
      </c>
      <c r="T1297" s="9" t="s">
        <v>48</v>
      </c>
      <c r="W1297" s="13">
        <v>0</v>
      </c>
      <c r="X1297" s="14">
        <v>0</v>
      </c>
      <c r="Y1297" s="13">
        <v>0</v>
      </c>
      <c r="Z1297" s="10">
        <v>45399</v>
      </c>
      <c r="AA1297" s="9">
        <v>-440</v>
      </c>
      <c r="AC1297" s="9">
        <v>435844</v>
      </c>
      <c r="AD1297" s="14">
        <v>26.553568627450982</v>
      </c>
      <c r="AF1297" s="14">
        <v>0</v>
      </c>
      <c r="AH1297" s="14">
        <v>26.553568627450982</v>
      </c>
      <c r="AI1297" s="13">
        <v>-26.553568627450982</v>
      </c>
      <c r="AK1297" s="9">
        <v>0</v>
      </c>
    </row>
    <row r="1298" spans="1:37">
      <c r="A1298" s="9">
        <v>14</v>
      </c>
      <c r="B1298" s="9">
        <v>2024</v>
      </c>
      <c r="C1298" s="9" t="s">
        <v>46</v>
      </c>
      <c r="D1298" s="9" t="s">
        <v>47</v>
      </c>
      <c r="E1298" s="9" t="s">
        <v>47</v>
      </c>
      <c r="F1298" s="10">
        <v>45386</v>
      </c>
      <c r="G1298" s="9" t="s">
        <v>155</v>
      </c>
      <c r="H1298" s="9" t="s">
        <v>51</v>
      </c>
      <c r="J1298" s="9">
        <v>4.2352941176470589</v>
      </c>
      <c r="K1298" s="9">
        <v>240</v>
      </c>
      <c r="L1298" s="9">
        <v>0.38</v>
      </c>
      <c r="M1298" s="9">
        <v>91.2</v>
      </c>
      <c r="N1298" s="9" t="s">
        <v>49</v>
      </c>
      <c r="Q1298" s="9">
        <f>IF(Auction_Sales[[#This Row],[Payment Date]]=0,"",-1+WEEKNUM(Auction_Sales[[#This Row],[Payment Date]]))</f>
        <v>15</v>
      </c>
      <c r="R1298" s="9">
        <v>0</v>
      </c>
      <c r="S1298" s="9" t="s">
        <v>155</v>
      </c>
      <c r="T1298" s="9" t="s">
        <v>51</v>
      </c>
      <c r="U1298" s="9">
        <v>240</v>
      </c>
      <c r="V1298" s="13">
        <v>0.53833333333333333</v>
      </c>
      <c r="W1298" s="13">
        <v>129.19999999999999</v>
      </c>
      <c r="X1298" s="14">
        <v>-11.437083333333325</v>
      </c>
      <c r="Y1298" s="13">
        <v>117.76291666666667</v>
      </c>
      <c r="Z1298" s="10">
        <v>45399</v>
      </c>
      <c r="AA1298" s="9">
        <v>0</v>
      </c>
      <c r="AC1298" s="9">
        <v>435844</v>
      </c>
      <c r="AD1298" s="14">
        <v>14.483764705882351</v>
      </c>
      <c r="AF1298" s="14">
        <v>4.8</v>
      </c>
      <c r="AH1298" s="14">
        <v>19.283764705882351</v>
      </c>
      <c r="AI1298" s="13">
        <v>98.479151960784321</v>
      </c>
      <c r="AK1298" s="9">
        <v>240</v>
      </c>
    </row>
    <row r="1299" spans="1:37">
      <c r="A1299" s="9">
        <v>15</v>
      </c>
      <c r="B1299" s="9">
        <v>2024</v>
      </c>
      <c r="C1299" s="9" t="s">
        <v>46</v>
      </c>
      <c r="D1299" s="9" t="s">
        <v>47</v>
      </c>
      <c r="E1299" s="9" t="s">
        <v>47</v>
      </c>
      <c r="F1299" s="10">
        <v>45388</v>
      </c>
      <c r="G1299" s="9" t="s">
        <v>154</v>
      </c>
      <c r="H1299" s="9" t="s">
        <v>48</v>
      </c>
      <c r="I1299" s="9">
        <v>1</v>
      </c>
      <c r="J1299" s="9">
        <v>12</v>
      </c>
      <c r="K1299" s="9">
        <v>480</v>
      </c>
      <c r="L1299" s="9">
        <v>0.47</v>
      </c>
      <c r="M1299" s="9">
        <v>225.6</v>
      </c>
      <c r="N1299" s="9" t="s">
        <v>49</v>
      </c>
      <c r="Q1299" s="9">
        <f>IF(Auction_Sales[[#This Row],[Payment Date]]=0,"",-1+WEEKNUM(Auction_Sales[[#This Row],[Payment Date]]))</f>
        <v>15</v>
      </c>
      <c r="R1299" s="9">
        <v>-120</v>
      </c>
      <c r="S1299" s="9" t="s">
        <v>154</v>
      </c>
      <c r="T1299" s="9" t="s">
        <v>48</v>
      </c>
      <c r="U1299" s="9">
        <v>600</v>
      </c>
      <c r="V1299" s="13">
        <v>0.61733333333333329</v>
      </c>
      <c r="W1299" s="13">
        <v>370.4</v>
      </c>
      <c r="X1299" s="14">
        <v>-25.161538461538491</v>
      </c>
      <c r="Y1299" s="13">
        <v>345.23846153846148</v>
      </c>
      <c r="Z1299" s="10">
        <v>45399</v>
      </c>
      <c r="AA1299" s="9">
        <v>120</v>
      </c>
      <c r="AC1299" s="9">
        <v>434898</v>
      </c>
      <c r="AD1299" s="14">
        <v>35.378181818181822</v>
      </c>
      <c r="AF1299" s="14">
        <v>12</v>
      </c>
      <c r="AH1299" s="14">
        <v>47.378181818181822</v>
      </c>
      <c r="AI1299" s="13">
        <v>297.86027972027966</v>
      </c>
      <c r="AK1299" s="9">
        <v>600</v>
      </c>
    </row>
    <row r="1300" spans="1:37">
      <c r="A1300" s="9">
        <v>15</v>
      </c>
      <c r="B1300" s="9">
        <v>2024</v>
      </c>
      <c r="C1300" s="9" t="s">
        <v>46</v>
      </c>
      <c r="D1300" s="9" t="s">
        <v>47</v>
      </c>
      <c r="E1300" s="9" t="s">
        <v>47</v>
      </c>
      <c r="F1300" s="10">
        <v>45388</v>
      </c>
      <c r="G1300" s="9" t="s">
        <v>154</v>
      </c>
      <c r="H1300" s="9" t="s">
        <v>56</v>
      </c>
      <c r="I1300" s="9">
        <v>1</v>
      </c>
      <c r="J1300" s="9">
        <v>12</v>
      </c>
      <c r="K1300" s="9">
        <v>240</v>
      </c>
      <c r="L1300" s="9">
        <v>0.75</v>
      </c>
      <c r="M1300" s="9">
        <v>180</v>
      </c>
      <c r="N1300" s="9" t="s">
        <v>49</v>
      </c>
      <c r="Q1300" s="9">
        <f>IF(Auction_Sales[[#This Row],[Payment Date]]=0,"",-1+WEEKNUM(Auction_Sales[[#This Row],[Payment Date]]))</f>
        <v>15</v>
      </c>
      <c r="R1300" s="9">
        <v>0</v>
      </c>
      <c r="S1300" s="9" t="s">
        <v>154</v>
      </c>
      <c r="T1300" s="9" t="s">
        <v>56</v>
      </c>
      <c r="U1300" s="9">
        <v>240</v>
      </c>
      <c r="V1300" s="13">
        <v>0.98</v>
      </c>
      <c r="W1300" s="13">
        <v>235.2</v>
      </c>
      <c r="X1300" s="14">
        <v>-10.064615384615395</v>
      </c>
      <c r="Y1300" s="13">
        <v>225.1353846153846</v>
      </c>
      <c r="Z1300" s="10">
        <v>45399</v>
      </c>
      <c r="AA1300" s="9">
        <v>0</v>
      </c>
      <c r="AC1300" s="9">
        <v>434898</v>
      </c>
      <c r="AD1300" s="14">
        <v>35.378181818181822</v>
      </c>
      <c r="AF1300" s="14">
        <v>4.8</v>
      </c>
      <c r="AH1300" s="14">
        <v>40.17818181818182</v>
      </c>
      <c r="AI1300" s="13">
        <v>184.95720279720277</v>
      </c>
      <c r="AK1300" s="9">
        <v>240</v>
      </c>
    </row>
    <row r="1301" spans="1:37">
      <c r="A1301" s="9">
        <v>15</v>
      </c>
      <c r="B1301" s="9">
        <v>2024</v>
      </c>
      <c r="C1301" s="9" t="s">
        <v>46</v>
      </c>
      <c r="D1301" s="9" t="s">
        <v>47</v>
      </c>
      <c r="E1301" s="9" t="s">
        <v>47</v>
      </c>
      <c r="F1301" s="10">
        <v>45388</v>
      </c>
      <c r="G1301" s="9" t="s">
        <v>153</v>
      </c>
      <c r="H1301" s="9" t="s">
        <v>52</v>
      </c>
      <c r="I1301" s="9">
        <v>1</v>
      </c>
      <c r="J1301" s="9">
        <v>12</v>
      </c>
      <c r="K1301" s="9">
        <v>520</v>
      </c>
      <c r="L1301" s="9">
        <v>0.28000000000000003</v>
      </c>
      <c r="M1301" s="9">
        <v>145.6</v>
      </c>
      <c r="N1301" s="9" t="s">
        <v>49</v>
      </c>
      <c r="Q1301" s="9">
        <f>IF(Auction_Sales[[#This Row],[Payment Date]]=0,"",-1+WEEKNUM(Auction_Sales[[#This Row],[Payment Date]]))</f>
        <v>15</v>
      </c>
      <c r="R1301" s="9">
        <v>0</v>
      </c>
      <c r="S1301" s="9" t="s">
        <v>153</v>
      </c>
      <c r="T1301" s="9" t="s">
        <v>52</v>
      </c>
      <c r="U1301" s="9">
        <v>520</v>
      </c>
      <c r="V1301" s="13">
        <v>0.19</v>
      </c>
      <c r="W1301" s="13">
        <v>98.8</v>
      </c>
      <c r="X1301" s="14">
        <v>-21.80666666666669</v>
      </c>
      <c r="Y1301" s="13">
        <v>76.993333333333311</v>
      </c>
      <c r="Z1301" s="10">
        <v>45399</v>
      </c>
      <c r="AA1301" s="9">
        <v>0</v>
      </c>
      <c r="AC1301" s="9">
        <v>434898</v>
      </c>
      <c r="AD1301" s="14">
        <v>35.378181818181822</v>
      </c>
      <c r="AF1301" s="14">
        <v>10.4</v>
      </c>
      <c r="AH1301" s="14">
        <v>45.778181818181821</v>
      </c>
      <c r="AI1301" s="13">
        <v>31.21515151515149</v>
      </c>
      <c r="AK1301" s="9">
        <v>520</v>
      </c>
    </row>
    <row r="1302" spans="1:37">
      <c r="A1302" s="9">
        <v>15</v>
      </c>
      <c r="B1302" s="9">
        <v>2024</v>
      </c>
      <c r="C1302" s="9" t="s">
        <v>46</v>
      </c>
      <c r="D1302" s="9" t="s">
        <v>47</v>
      </c>
      <c r="E1302" s="9" t="s">
        <v>47</v>
      </c>
      <c r="F1302" s="10">
        <v>45388</v>
      </c>
      <c r="G1302" s="9" t="s">
        <v>153</v>
      </c>
      <c r="H1302" s="9" t="s">
        <v>54</v>
      </c>
      <c r="I1302" s="9">
        <v>1</v>
      </c>
      <c r="J1302" s="9">
        <v>12</v>
      </c>
      <c r="K1302" s="9">
        <v>480</v>
      </c>
      <c r="L1302" s="9">
        <v>0.33</v>
      </c>
      <c r="M1302" s="9">
        <v>158.4</v>
      </c>
      <c r="N1302" s="9" t="s">
        <v>49</v>
      </c>
      <c r="Q1302" s="9">
        <f>IF(Auction_Sales[[#This Row],[Payment Date]]=0,"",-1+WEEKNUM(Auction_Sales[[#This Row],[Payment Date]]))</f>
        <v>15</v>
      </c>
      <c r="R1302" s="9">
        <v>-120</v>
      </c>
      <c r="S1302" s="9" t="s">
        <v>153</v>
      </c>
      <c r="T1302" s="9" t="s">
        <v>54</v>
      </c>
      <c r="U1302" s="9">
        <v>600</v>
      </c>
      <c r="V1302" s="13">
        <v>0.21466666666666667</v>
      </c>
      <c r="W1302" s="13">
        <v>128.80000000000001</v>
      </c>
      <c r="X1302" s="14">
        <v>-25.161538461538491</v>
      </c>
      <c r="Y1302" s="13">
        <v>103.63846153846151</v>
      </c>
      <c r="Z1302" s="10">
        <v>45399</v>
      </c>
      <c r="AA1302" s="9">
        <v>120</v>
      </c>
      <c r="AC1302" s="9">
        <v>434898</v>
      </c>
      <c r="AD1302" s="14">
        <v>35.378181818181822</v>
      </c>
      <c r="AF1302" s="14">
        <v>12</v>
      </c>
      <c r="AH1302" s="14">
        <v>47.378181818181822</v>
      </c>
      <c r="AI1302" s="13">
        <v>56.260279720279691</v>
      </c>
      <c r="AK1302" s="9">
        <v>600</v>
      </c>
    </row>
    <row r="1303" spans="1:37">
      <c r="A1303" s="9">
        <v>15</v>
      </c>
      <c r="B1303" s="9">
        <v>2024</v>
      </c>
      <c r="C1303" s="9" t="s">
        <v>46</v>
      </c>
      <c r="D1303" s="9" t="s">
        <v>47</v>
      </c>
      <c r="E1303" s="9" t="s">
        <v>47</v>
      </c>
      <c r="F1303" s="10">
        <v>45388</v>
      </c>
      <c r="G1303" s="9" t="s">
        <v>155</v>
      </c>
      <c r="H1303" s="9" t="s">
        <v>48</v>
      </c>
      <c r="I1303" s="9">
        <v>2</v>
      </c>
      <c r="J1303" s="9">
        <v>24</v>
      </c>
      <c r="K1303" s="9">
        <v>1040</v>
      </c>
      <c r="L1303" s="9">
        <v>0.47</v>
      </c>
      <c r="M1303" s="9">
        <v>488.8</v>
      </c>
      <c r="N1303" s="9" t="s">
        <v>49</v>
      </c>
      <c r="Q1303" s="9">
        <f>IF(Auction_Sales[[#This Row],[Payment Date]]=0,"",-1+WEEKNUM(Auction_Sales[[#This Row],[Payment Date]]))</f>
        <v>15</v>
      </c>
      <c r="R1303" s="9">
        <v>0</v>
      </c>
      <c r="S1303" s="9" t="s">
        <v>155</v>
      </c>
      <c r="T1303" s="9" t="s">
        <v>48</v>
      </c>
      <c r="U1303" s="9">
        <v>1040</v>
      </c>
      <c r="V1303" s="13">
        <v>0.6711538461538461</v>
      </c>
      <c r="W1303" s="13">
        <v>698</v>
      </c>
      <c r="X1303" s="14">
        <v>-43.613333333333379</v>
      </c>
      <c r="Y1303" s="13">
        <v>654.38666666666666</v>
      </c>
      <c r="Z1303" s="10">
        <v>45399</v>
      </c>
      <c r="AA1303" s="9">
        <v>0</v>
      </c>
      <c r="AC1303" s="9">
        <v>434898</v>
      </c>
      <c r="AD1303" s="14">
        <v>70.756363636363645</v>
      </c>
      <c r="AF1303" s="14">
        <v>20.8</v>
      </c>
      <c r="AH1303" s="14">
        <v>91.556363636363642</v>
      </c>
      <c r="AI1303" s="13">
        <v>562.83030303030296</v>
      </c>
      <c r="AK1303" s="9">
        <v>1040</v>
      </c>
    </row>
    <row r="1304" spans="1:37">
      <c r="A1304" s="9">
        <v>15</v>
      </c>
      <c r="B1304" s="9">
        <v>2024</v>
      </c>
      <c r="C1304" s="9" t="s">
        <v>46</v>
      </c>
      <c r="D1304" s="9" t="s">
        <v>47</v>
      </c>
      <c r="E1304" s="9" t="s">
        <v>47</v>
      </c>
      <c r="F1304" s="10">
        <v>45388</v>
      </c>
      <c r="G1304" s="9" t="s">
        <v>155</v>
      </c>
      <c r="H1304" s="9" t="s">
        <v>51</v>
      </c>
      <c r="I1304" s="9">
        <v>1</v>
      </c>
      <c r="J1304" s="9">
        <v>12</v>
      </c>
      <c r="K1304" s="9">
        <v>760</v>
      </c>
      <c r="L1304" s="9">
        <v>0.38</v>
      </c>
      <c r="M1304" s="9">
        <v>288.8</v>
      </c>
      <c r="N1304" s="9" t="s">
        <v>49</v>
      </c>
      <c r="Q1304" s="9">
        <f>IF(Auction_Sales[[#This Row],[Payment Date]]=0,"",-1+WEEKNUM(Auction_Sales[[#This Row],[Payment Date]]))</f>
        <v>15</v>
      </c>
      <c r="R1304" s="9">
        <v>-40</v>
      </c>
      <c r="S1304" s="9" t="s">
        <v>155</v>
      </c>
      <c r="T1304" s="9" t="s">
        <v>51</v>
      </c>
      <c r="U1304" s="9">
        <v>800</v>
      </c>
      <c r="V1304" s="13">
        <v>0.44850000000000001</v>
      </c>
      <c r="W1304" s="13">
        <v>358.8</v>
      </c>
      <c r="X1304" s="14">
        <v>-33.548717948717986</v>
      </c>
      <c r="Y1304" s="13">
        <v>325.25128205128203</v>
      </c>
      <c r="Z1304" s="10">
        <v>45399</v>
      </c>
      <c r="AA1304" s="9">
        <v>40</v>
      </c>
      <c r="AC1304" s="9">
        <v>434898</v>
      </c>
      <c r="AD1304" s="14">
        <v>35.378181818181822</v>
      </c>
      <c r="AF1304" s="14">
        <v>16</v>
      </c>
      <c r="AH1304" s="14">
        <v>51.378181818181822</v>
      </c>
      <c r="AI1304" s="13">
        <v>273.87310023310022</v>
      </c>
      <c r="AK1304" s="9">
        <v>800</v>
      </c>
    </row>
    <row r="1305" spans="1:37">
      <c r="A1305" s="9">
        <v>15</v>
      </c>
      <c r="B1305" s="9">
        <v>2024</v>
      </c>
      <c r="C1305" s="9" t="s">
        <v>46</v>
      </c>
      <c r="D1305" s="9" t="s">
        <v>47</v>
      </c>
      <c r="E1305" s="9" t="s">
        <v>47</v>
      </c>
      <c r="F1305" s="10">
        <v>45388</v>
      </c>
      <c r="G1305" s="9" t="s">
        <v>153</v>
      </c>
      <c r="H1305" s="9" t="s">
        <v>56</v>
      </c>
      <c r="I1305" s="9">
        <v>1</v>
      </c>
      <c r="J1305" s="9">
        <v>7.6363636363636367</v>
      </c>
      <c r="K1305" s="9">
        <v>280</v>
      </c>
      <c r="L1305" s="9">
        <v>0.38</v>
      </c>
      <c r="M1305" s="9">
        <v>106.4</v>
      </c>
      <c r="N1305" s="9" t="s">
        <v>49</v>
      </c>
      <c r="Q1305" s="9">
        <f>IF(Auction_Sales[[#This Row],[Payment Date]]=0,"",-1+WEEKNUM(Auction_Sales[[#This Row],[Payment Date]]))</f>
        <v>15</v>
      </c>
      <c r="R1305" s="9">
        <v>0</v>
      </c>
      <c r="S1305" s="9" t="s">
        <v>153</v>
      </c>
      <c r="T1305" s="9" t="s">
        <v>56</v>
      </c>
      <c r="U1305" s="9">
        <v>280</v>
      </c>
      <c r="V1305" s="13">
        <v>0.22</v>
      </c>
      <c r="W1305" s="13">
        <v>61.6</v>
      </c>
      <c r="X1305" s="14">
        <v>-11.742051282051294</v>
      </c>
      <c r="Y1305" s="13">
        <v>49.857948717948709</v>
      </c>
      <c r="Z1305" s="10">
        <v>45399</v>
      </c>
      <c r="AA1305" s="9">
        <v>0</v>
      </c>
      <c r="AC1305" s="9">
        <v>434898</v>
      </c>
      <c r="AD1305" s="14">
        <v>22.513388429752069</v>
      </c>
      <c r="AF1305" s="14">
        <v>5.6000000000000005</v>
      </c>
      <c r="AH1305" s="14">
        <v>28.113388429752071</v>
      </c>
      <c r="AI1305" s="13">
        <v>21.744560288196638</v>
      </c>
      <c r="AK1305" s="9">
        <v>280</v>
      </c>
    </row>
    <row r="1306" spans="1:37">
      <c r="A1306" s="9">
        <v>15</v>
      </c>
      <c r="B1306" s="9">
        <v>2024</v>
      </c>
      <c r="C1306" s="9" t="s">
        <v>46</v>
      </c>
      <c r="D1306" s="9" t="s">
        <v>47</v>
      </c>
      <c r="E1306" s="9" t="s">
        <v>47</v>
      </c>
      <c r="F1306" s="10">
        <v>45388</v>
      </c>
      <c r="G1306" s="9" t="s">
        <v>153</v>
      </c>
      <c r="H1306" s="9" t="s">
        <v>57</v>
      </c>
      <c r="J1306" s="9">
        <v>1.0909090909090908</v>
      </c>
      <c r="K1306" s="9">
        <v>40</v>
      </c>
      <c r="L1306" s="9">
        <v>0.47</v>
      </c>
      <c r="M1306" s="9">
        <v>18.8</v>
      </c>
      <c r="N1306" s="9" t="s">
        <v>49</v>
      </c>
      <c r="Q1306" s="9">
        <f>IF(Auction_Sales[[#This Row],[Payment Date]]=0,"",-1+WEEKNUM(Auction_Sales[[#This Row],[Payment Date]]))</f>
        <v>15</v>
      </c>
      <c r="R1306" s="9">
        <v>0</v>
      </c>
      <c r="S1306" s="9" t="s">
        <v>153</v>
      </c>
      <c r="T1306" s="9" t="s">
        <v>57</v>
      </c>
      <c r="U1306" s="9">
        <v>40</v>
      </c>
      <c r="V1306" s="13">
        <v>0.26</v>
      </c>
      <c r="W1306" s="13">
        <v>10.4</v>
      </c>
      <c r="X1306" s="14">
        <v>-1.6774358974358994</v>
      </c>
      <c r="Y1306" s="13">
        <v>8.7225641025641014</v>
      </c>
      <c r="Z1306" s="10">
        <v>45399</v>
      </c>
      <c r="AA1306" s="9">
        <v>0</v>
      </c>
      <c r="AC1306" s="9">
        <v>434898</v>
      </c>
      <c r="AD1306" s="14">
        <v>3.2161983471074382</v>
      </c>
      <c r="AF1306" s="14">
        <v>0.8</v>
      </c>
      <c r="AH1306" s="14">
        <v>4.0161983471074381</v>
      </c>
      <c r="AI1306" s="13">
        <v>4.7063657554566634</v>
      </c>
      <c r="AK1306" s="9">
        <v>40</v>
      </c>
    </row>
    <row r="1307" spans="1:37">
      <c r="A1307" s="9">
        <v>15</v>
      </c>
      <c r="B1307" s="9">
        <v>2024</v>
      </c>
      <c r="C1307" s="9" t="s">
        <v>46</v>
      </c>
      <c r="D1307" s="9" t="s">
        <v>47</v>
      </c>
      <c r="E1307" s="9" t="s">
        <v>47</v>
      </c>
      <c r="F1307" s="10">
        <v>45388</v>
      </c>
      <c r="G1307" s="9" t="s">
        <v>153</v>
      </c>
      <c r="H1307" s="9" t="s">
        <v>54</v>
      </c>
      <c r="J1307" s="9">
        <v>3.2727272727272725</v>
      </c>
      <c r="K1307" s="9">
        <v>120</v>
      </c>
      <c r="L1307" s="9">
        <v>0.33</v>
      </c>
      <c r="M1307" s="9">
        <v>39.6</v>
      </c>
      <c r="N1307" s="9" t="s">
        <v>49</v>
      </c>
      <c r="Q1307" s="9">
        <f>IF(Auction_Sales[[#This Row],[Payment Date]]=0,"",-1+WEEKNUM(Auction_Sales[[#This Row],[Payment Date]]))</f>
        <v>15</v>
      </c>
      <c r="R1307" s="9">
        <v>120</v>
      </c>
      <c r="S1307" s="9" t="s">
        <v>153</v>
      </c>
      <c r="T1307" s="9" t="s">
        <v>54</v>
      </c>
      <c r="W1307" s="13">
        <v>0</v>
      </c>
      <c r="X1307" s="14">
        <v>0</v>
      </c>
      <c r="Y1307" s="13">
        <v>0</v>
      </c>
      <c r="Z1307" s="10">
        <v>45399</v>
      </c>
      <c r="AA1307" s="9">
        <v>-120</v>
      </c>
      <c r="AC1307" s="9">
        <v>434898</v>
      </c>
      <c r="AD1307" s="14">
        <v>9.6485950413223129</v>
      </c>
      <c r="AF1307" s="14">
        <v>0</v>
      </c>
      <c r="AH1307" s="14">
        <v>9.6485950413223129</v>
      </c>
      <c r="AI1307" s="13">
        <v>-9.6485950413223129</v>
      </c>
      <c r="AK1307" s="9">
        <v>0</v>
      </c>
    </row>
    <row r="1308" spans="1:37">
      <c r="A1308" s="9">
        <v>15</v>
      </c>
      <c r="B1308" s="9">
        <v>2024</v>
      </c>
      <c r="C1308" s="9" t="s">
        <v>46</v>
      </c>
      <c r="D1308" s="9" t="s">
        <v>47</v>
      </c>
      <c r="E1308" s="9" t="s">
        <v>47</v>
      </c>
      <c r="F1308" s="10">
        <v>45388</v>
      </c>
      <c r="G1308" s="9" t="s">
        <v>155</v>
      </c>
      <c r="H1308" s="9" t="s">
        <v>56</v>
      </c>
      <c r="I1308" s="9">
        <v>1</v>
      </c>
      <c r="J1308" s="9">
        <v>7.1999999999999993</v>
      </c>
      <c r="K1308" s="9">
        <v>120</v>
      </c>
      <c r="L1308" s="9">
        <v>0.75</v>
      </c>
      <c r="M1308" s="9">
        <v>90</v>
      </c>
      <c r="N1308" s="9" t="s">
        <v>49</v>
      </c>
      <c r="Q1308" s="9">
        <f>IF(Auction_Sales[[#This Row],[Payment Date]]=0,"",-1+WEEKNUM(Auction_Sales[[#This Row],[Payment Date]]))</f>
        <v>15</v>
      </c>
      <c r="R1308" s="9">
        <v>0</v>
      </c>
      <c r="S1308" s="9" t="s">
        <v>155</v>
      </c>
      <c r="T1308" s="9" t="s">
        <v>56</v>
      </c>
      <c r="U1308" s="9">
        <v>120</v>
      </c>
      <c r="V1308" s="13">
        <v>0.6166666666666667</v>
      </c>
      <c r="W1308" s="13">
        <v>74</v>
      </c>
      <c r="X1308" s="14">
        <v>-5.0323076923076977</v>
      </c>
      <c r="Y1308" s="13">
        <v>68.967692307692303</v>
      </c>
      <c r="Z1308" s="10">
        <v>45399</v>
      </c>
      <c r="AA1308" s="9">
        <v>0</v>
      </c>
      <c r="AC1308" s="9">
        <v>434898</v>
      </c>
      <c r="AD1308" s="14">
        <v>21.226909090909093</v>
      </c>
      <c r="AF1308" s="14">
        <v>2.4</v>
      </c>
      <c r="AH1308" s="14">
        <v>23.626909090909091</v>
      </c>
      <c r="AI1308" s="13">
        <v>45.340783216783208</v>
      </c>
      <c r="AK1308" s="9">
        <v>120</v>
      </c>
    </row>
    <row r="1309" spans="1:37">
      <c r="A1309" s="9">
        <v>15</v>
      </c>
      <c r="B1309" s="9">
        <v>2024</v>
      </c>
      <c r="C1309" s="9" t="s">
        <v>46</v>
      </c>
      <c r="D1309" s="9" t="s">
        <v>47</v>
      </c>
      <c r="E1309" s="9" t="s">
        <v>47</v>
      </c>
      <c r="F1309" s="10">
        <v>45388</v>
      </c>
      <c r="G1309" s="9" t="s">
        <v>155</v>
      </c>
      <c r="H1309" s="9" t="s">
        <v>57</v>
      </c>
      <c r="J1309" s="9">
        <v>4.8000000000000007</v>
      </c>
      <c r="K1309" s="9">
        <v>80</v>
      </c>
      <c r="L1309" s="9">
        <v>0.94</v>
      </c>
      <c r="M1309" s="9">
        <v>75.2</v>
      </c>
      <c r="N1309" s="9" t="s">
        <v>49</v>
      </c>
      <c r="Q1309" s="9">
        <f>IF(Auction_Sales[[#This Row],[Payment Date]]=0,"",-1+WEEKNUM(Auction_Sales[[#This Row],[Payment Date]]))</f>
        <v>15</v>
      </c>
      <c r="R1309" s="9">
        <v>0</v>
      </c>
      <c r="S1309" s="9" t="s">
        <v>155</v>
      </c>
      <c r="T1309" s="9" t="s">
        <v>57</v>
      </c>
      <c r="U1309" s="9">
        <v>80</v>
      </c>
      <c r="V1309" s="13">
        <v>1.0150000000000001</v>
      </c>
      <c r="W1309" s="13">
        <v>81.200000000000017</v>
      </c>
      <c r="X1309" s="14">
        <v>-3.3548717948717988</v>
      </c>
      <c r="Y1309" s="13">
        <v>77.845128205128219</v>
      </c>
      <c r="Z1309" s="10">
        <v>45399</v>
      </c>
      <c r="AA1309" s="9">
        <v>0</v>
      </c>
      <c r="AC1309" s="9">
        <v>434898</v>
      </c>
      <c r="AD1309" s="14">
        <v>14.15127272727273</v>
      </c>
      <c r="AF1309" s="14">
        <v>1.6</v>
      </c>
      <c r="AH1309" s="14">
        <v>15.751272727272729</v>
      </c>
      <c r="AI1309" s="13">
        <v>62.093855477855492</v>
      </c>
      <c r="AK1309" s="9">
        <v>80</v>
      </c>
    </row>
    <row r="1310" spans="1:37">
      <c r="A1310" s="9">
        <v>15</v>
      </c>
      <c r="B1310" s="9">
        <v>2024</v>
      </c>
      <c r="C1310" s="9" t="s">
        <v>46</v>
      </c>
      <c r="D1310" s="9" t="s">
        <v>47</v>
      </c>
      <c r="E1310" s="9" t="s">
        <v>47</v>
      </c>
      <c r="F1310" s="10">
        <v>45388</v>
      </c>
      <c r="G1310" s="9" t="s">
        <v>154</v>
      </c>
      <c r="H1310" s="9" t="s">
        <v>51</v>
      </c>
      <c r="I1310" s="9">
        <v>1</v>
      </c>
      <c r="J1310" s="9">
        <v>9</v>
      </c>
      <c r="K1310" s="9">
        <v>360</v>
      </c>
      <c r="L1310" s="9">
        <v>0.38</v>
      </c>
      <c r="M1310" s="9">
        <v>136.80000000000001</v>
      </c>
      <c r="N1310" s="9" t="s">
        <v>49</v>
      </c>
      <c r="Q1310" s="9">
        <f>IF(Auction_Sales[[#This Row],[Payment Date]]=0,"",-1+WEEKNUM(Auction_Sales[[#This Row],[Payment Date]]))</f>
        <v>15</v>
      </c>
      <c r="R1310" s="9">
        <v>0</v>
      </c>
      <c r="S1310" s="9" t="s">
        <v>154</v>
      </c>
      <c r="T1310" s="9" t="s">
        <v>51</v>
      </c>
      <c r="U1310" s="9">
        <v>360</v>
      </c>
      <c r="V1310" s="13">
        <v>0.38</v>
      </c>
      <c r="W1310" s="13">
        <v>136.80000000000001</v>
      </c>
      <c r="X1310" s="14">
        <v>-15.096923076923094</v>
      </c>
      <c r="Y1310" s="13">
        <v>121.70307692307692</v>
      </c>
      <c r="Z1310" s="10">
        <v>45399</v>
      </c>
      <c r="AA1310" s="9">
        <v>0</v>
      </c>
      <c r="AC1310" s="9">
        <v>434898</v>
      </c>
      <c r="AD1310" s="14">
        <v>26.533636363636365</v>
      </c>
      <c r="AF1310" s="14">
        <v>7.2</v>
      </c>
      <c r="AH1310" s="14">
        <v>33.733636363636364</v>
      </c>
      <c r="AI1310" s="13">
        <v>87.969440559440557</v>
      </c>
      <c r="AK1310" s="9">
        <v>360</v>
      </c>
    </row>
    <row r="1311" spans="1:37">
      <c r="A1311" s="9">
        <v>15</v>
      </c>
      <c r="B1311" s="9">
        <v>2024</v>
      </c>
      <c r="C1311" s="9" t="s">
        <v>46</v>
      </c>
      <c r="D1311" s="9" t="s">
        <v>47</v>
      </c>
      <c r="E1311" s="9" t="s">
        <v>47</v>
      </c>
      <c r="F1311" s="10">
        <v>45388</v>
      </c>
      <c r="G1311" s="9" t="s">
        <v>154</v>
      </c>
      <c r="H1311" s="9" t="s">
        <v>48</v>
      </c>
      <c r="J1311" s="9">
        <v>3</v>
      </c>
      <c r="K1311" s="9">
        <v>120</v>
      </c>
      <c r="L1311" s="9">
        <v>0.47</v>
      </c>
      <c r="M1311" s="9">
        <v>56.4</v>
      </c>
      <c r="N1311" s="9" t="s">
        <v>49</v>
      </c>
      <c r="Q1311" s="9">
        <f>IF(Auction_Sales[[#This Row],[Payment Date]]=0,"",-1+WEEKNUM(Auction_Sales[[#This Row],[Payment Date]]))</f>
        <v>15</v>
      </c>
      <c r="R1311" s="9">
        <v>120</v>
      </c>
      <c r="S1311" s="9" t="s">
        <v>154</v>
      </c>
      <c r="T1311" s="9" t="s">
        <v>48</v>
      </c>
      <c r="W1311" s="13">
        <v>0</v>
      </c>
      <c r="X1311" s="14">
        <v>0</v>
      </c>
      <c r="Y1311" s="13">
        <v>0</v>
      </c>
      <c r="Z1311" s="10">
        <v>45399</v>
      </c>
      <c r="AA1311" s="9">
        <v>-120</v>
      </c>
      <c r="AC1311" s="9">
        <v>434898</v>
      </c>
      <c r="AD1311" s="14">
        <v>8.8445454545454556</v>
      </c>
      <c r="AF1311" s="14">
        <v>0</v>
      </c>
      <c r="AH1311" s="14">
        <v>8.8445454545454556</v>
      </c>
      <c r="AI1311" s="13">
        <v>-8.8445454545454556</v>
      </c>
      <c r="AK1311" s="9">
        <v>0</v>
      </c>
    </row>
    <row r="1312" spans="1:37">
      <c r="A1312" s="9">
        <v>15</v>
      </c>
      <c r="B1312" s="9">
        <v>2024</v>
      </c>
      <c r="C1312" s="9" t="s">
        <v>46</v>
      </c>
      <c r="D1312" s="9" t="s">
        <v>47</v>
      </c>
      <c r="E1312" s="9" t="s">
        <v>47</v>
      </c>
      <c r="F1312" s="10">
        <v>45388</v>
      </c>
      <c r="G1312" s="9" t="s">
        <v>155</v>
      </c>
      <c r="H1312" s="9" t="s">
        <v>56</v>
      </c>
      <c r="I1312" s="9">
        <v>1</v>
      </c>
      <c r="J1312" s="9">
        <v>3</v>
      </c>
      <c r="K1312" s="9">
        <v>40</v>
      </c>
      <c r="L1312" s="9">
        <v>0.75</v>
      </c>
      <c r="M1312" s="9">
        <v>30</v>
      </c>
      <c r="N1312" s="9" t="s">
        <v>49</v>
      </c>
      <c r="Q1312" s="9">
        <f>IF(Auction_Sales[[#This Row],[Payment Date]]=0,"",-1+WEEKNUM(Auction_Sales[[#This Row],[Payment Date]]))</f>
        <v>15</v>
      </c>
      <c r="R1312" s="9">
        <v>40</v>
      </c>
      <c r="S1312" s="9" t="s">
        <v>155</v>
      </c>
      <c r="T1312" s="9" t="s">
        <v>56</v>
      </c>
      <c r="W1312" s="13">
        <v>0</v>
      </c>
      <c r="X1312" s="14">
        <v>0</v>
      </c>
      <c r="Y1312" s="13">
        <v>0</v>
      </c>
      <c r="Z1312" s="10">
        <v>45399</v>
      </c>
      <c r="AA1312" s="9">
        <v>-40</v>
      </c>
      <c r="AC1312" s="9">
        <v>434898</v>
      </c>
      <c r="AD1312" s="14">
        <v>8.8445454545454556</v>
      </c>
      <c r="AF1312" s="14">
        <v>0</v>
      </c>
      <c r="AH1312" s="14">
        <v>8.8445454545454556</v>
      </c>
      <c r="AI1312" s="13">
        <v>-8.8445454545454556</v>
      </c>
      <c r="AK1312" s="9">
        <v>0</v>
      </c>
    </row>
    <row r="1313" spans="1:37">
      <c r="A1313" s="9">
        <v>15</v>
      </c>
      <c r="B1313" s="9">
        <v>2024</v>
      </c>
      <c r="C1313" s="9" t="s">
        <v>46</v>
      </c>
      <c r="D1313" s="9" t="s">
        <v>47</v>
      </c>
      <c r="E1313" s="9" t="s">
        <v>47</v>
      </c>
      <c r="F1313" s="10">
        <v>45388</v>
      </c>
      <c r="G1313" s="9" t="s">
        <v>153</v>
      </c>
      <c r="H1313" s="9" t="s">
        <v>56</v>
      </c>
      <c r="J1313" s="9">
        <v>3</v>
      </c>
      <c r="K1313" s="9">
        <v>40</v>
      </c>
      <c r="L1313" s="9">
        <v>0.38</v>
      </c>
      <c r="M1313" s="9">
        <v>15.2</v>
      </c>
      <c r="N1313" s="9" t="s">
        <v>49</v>
      </c>
      <c r="Q1313" s="9">
        <f>IF(Auction_Sales[[#This Row],[Payment Date]]=0,"",-1+WEEKNUM(Auction_Sales[[#This Row],[Payment Date]]))</f>
        <v>15</v>
      </c>
      <c r="R1313" s="9">
        <v>40</v>
      </c>
      <c r="S1313" s="9" t="s">
        <v>153</v>
      </c>
      <c r="T1313" s="9" t="s">
        <v>56</v>
      </c>
      <c r="W1313" s="13">
        <v>0</v>
      </c>
      <c r="X1313" s="14">
        <v>0</v>
      </c>
      <c r="Y1313" s="13">
        <v>0</v>
      </c>
      <c r="Z1313" s="10">
        <v>45399</v>
      </c>
      <c r="AA1313" s="9">
        <v>-40</v>
      </c>
      <c r="AC1313" s="9">
        <v>434898</v>
      </c>
      <c r="AD1313" s="14">
        <v>8.8445454545454556</v>
      </c>
      <c r="AF1313" s="14">
        <v>0</v>
      </c>
      <c r="AH1313" s="14">
        <v>8.8445454545454556</v>
      </c>
      <c r="AI1313" s="13">
        <v>-8.8445454545454556</v>
      </c>
      <c r="AK1313" s="9">
        <v>0</v>
      </c>
    </row>
    <row r="1314" spans="1:37">
      <c r="A1314" s="9">
        <v>15</v>
      </c>
      <c r="B1314" s="9">
        <v>2024</v>
      </c>
      <c r="C1314" s="9" t="s">
        <v>46</v>
      </c>
      <c r="D1314" s="9" t="s">
        <v>47</v>
      </c>
      <c r="E1314" s="9" t="s">
        <v>47</v>
      </c>
      <c r="F1314" s="10">
        <v>45388</v>
      </c>
      <c r="G1314" s="9" t="s">
        <v>154</v>
      </c>
      <c r="H1314" s="9" t="s">
        <v>56</v>
      </c>
      <c r="J1314" s="9">
        <v>3</v>
      </c>
      <c r="K1314" s="9">
        <v>40</v>
      </c>
      <c r="L1314" s="9">
        <v>0.75</v>
      </c>
      <c r="M1314" s="9">
        <v>30</v>
      </c>
      <c r="N1314" s="9" t="s">
        <v>49</v>
      </c>
      <c r="Q1314" s="9">
        <f>IF(Auction_Sales[[#This Row],[Payment Date]]=0,"",-1+WEEKNUM(Auction_Sales[[#This Row],[Payment Date]]))</f>
        <v>15</v>
      </c>
      <c r="R1314" s="9">
        <v>40</v>
      </c>
      <c r="S1314" s="9" t="s">
        <v>154</v>
      </c>
      <c r="T1314" s="9" t="s">
        <v>56</v>
      </c>
      <c r="W1314" s="13">
        <v>0</v>
      </c>
      <c r="X1314" s="14">
        <v>0</v>
      </c>
      <c r="Y1314" s="13">
        <v>0</v>
      </c>
      <c r="Z1314" s="10">
        <v>45399</v>
      </c>
      <c r="AA1314" s="9">
        <v>-40</v>
      </c>
      <c r="AC1314" s="9">
        <v>434898</v>
      </c>
      <c r="AD1314" s="14">
        <v>8.8445454545454556</v>
      </c>
      <c r="AF1314" s="14">
        <v>0</v>
      </c>
      <c r="AH1314" s="14">
        <v>8.8445454545454556</v>
      </c>
      <c r="AI1314" s="13">
        <v>-8.8445454545454556</v>
      </c>
      <c r="AK1314" s="9">
        <v>0</v>
      </c>
    </row>
    <row r="1315" spans="1:37">
      <c r="A1315" s="9">
        <v>15</v>
      </c>
      <c r="B1315" s="9">
        <v>2024</v>
      </c>
      <c r="C1315" s="9" t="s">
        <v>46</v>
      </c>
      <c r="D1315" s="9" t="s">
        <v>47</v>
      </c>
      <c r="E1315" s="9" t="s">
        <v>47</v>
      </c>
      <c r="F1315" s="10">
        <v>45388</v>
      </c>
      <c r="G1315" s="9" t="s">
        <v>156</v>
      </c>
      <c r="H1315" s="9" t="s">
        <v>56</v>
      </c>
      <c r="J1315" s="9">
        <v>3</v>
      </c>
      <c r="K1315" s="9">
        <v>40</v>
      </c>
      <c r="L1315" s="9">
        <v>0.85</v>
      </c>
      <c r="M1315" s="9">
        <v>34</v>
      </c>
      <c r="N1315" s="9" t="s">
        <v>49</v>
      </c>
      <c r="Q1315" s="9">
        <f>IF(Auction_Sales[[#This Row],[Payment Date]]=0,"",-1+WEEKNUM(Auction_Sales[[#This Row],[Payment Date]]))</f>
        <v>15</v>
      </c>
      <c r="R1315" s="9">
        <v>40</v>
      </c>
      <c r="S1315" s="9" t="s">
        <v>156</v>
      </c>
      <c r="T1315" s="9" t="s">
        <v>56</v>
      </c>
      <c r="W1315" s="13">
        <v>0</v>
      </c>
      <c r="X1315" s="14">
        <v>0</v>
      </c>
      <c r="Y1315" s="13">
        <v>0</v>
      </c>
      <c r="Z1315" s="10">
        <v>45399</v>
      </c>
      <c r="AA1315" s="9">
        <v>-40</v>
      </c>
      <c r="AC1315" s="9">
        <v>434898</v>
      </c>
      <c r="AD1315" s="14">
        <v>8.8445454545454556</v>
      </c>
      <c r="AF1315" s="14">
        <v>0</v>
      </c>
      <c r="AH1315" s="14">
        <v>8.8445454545454556</v>
      </c>
      <c r="AI1315" s="13">
        <v>-8.8445454545454556</v>
      </c>
      <c r="AK1315" s="9">
        <v>0</v>
      </c>
    </row>
    <row r="1316" spans="1:37">
      <c r="A1316" s="9">
        <v>15</v>
      </c>
      <c r="B1316" s="9">
        <v>2024</v>
      </c>
      <c r="C1316" s="9" t="s">
        <v>46</v>
      </c>
      <c r="D1316" s="9" t="s">
        <v>47</v>
      </c>
      <c r="E1316" s="9" t="s">
        <v>47</v>
      </c>
      <c r="F1316" s="10">
        <v>45390</v>
      </c>
      <c r="G1316" s="9" t="s">
        <v>155</v>
      </c>
      <c r="H1316" s="9" t="s">
        <v>51</v>
      </c>
      <c r="I1316" s="9">
        <v>2</v>
      </c>
      <c r="J1316" s="9">
        <v>24</v>
      </c>
      <c r="K1316" s="9">
        <v>1520</v>
      </c>
      <c r="L1316" s="9">
        <v>0.38</v>
      </c>
      <c r="M1316" s="9">
        <v>577.6</v>
      </c>
      <c r="N1316" s="9" t="s">
        <v>49</v>
      </c>
      <c r="Q1316" s="9">
        <f>IF(Auction_Sales[[#This Row],[Payment Date]]=0,"",-1+WEEKNUM(Auction_Sales[[#This Row],[Payment Date]]))</f>
        <v>15</v>
      </c>
      <c r="R1316" s="9">
        <v>0</v>
      </c>
      <c r="S1316" s="9" t="s">
        <v>155</v>
      </c>
      <c r="T1316" s="9" t="s">
        <v>51</v>
      </c>
      <c r="U1316" s="9">
        <v>1520</v>
      </c>
      <c r="V1316" s="13">
        <v>0.44763157894736838</v>
      </c>
      <c r="W1316" s="13">
        <v>680.4</v>
      </c>
      <c r="X1316" s="14">
        <v>-72.514604651162912</v>
      </c>
      <c r="Y1316" s="13">
        <v>607.88539534883705</v>
      </c>
      <c r="Z1316" s="10">
        <v>45399</v>
      </c>
      <c r="AA1316" s="9">
        <v>0</v>
      </c>
      <c r="AC1316" s="9" t="s">
        <v>95</v>
      </c>
      <c r="AD1316" s="14">
        <v>89.106666666666669</v>
      </c>
      <c r="AF1316" s="14">
        <v>30.400000000000002</v>
      </c>
      <c r="AH1316" s="14">
        <v>119.50666666666667</v>
      </c>
      <c r="AI1316" s="13">
        <v>488.37872868217039</v>
      </c>
      <c r="AK1316" s="9">
        <v>1520</v>
      </c>
    </row>
    <row r="1317" spans="1:37">
      <c r="A1317" s="9">
        <v>15</v>
      </c>
      <c r="B1317" s="9">
        <v>2024</v>
      </c>
      <c r="C1317" s="9" t="s">
        <v>46</v>
      </c>
      <c r="D1317" s="9" t="s">
        <v>47</v>
      </c>
      <c r="E1317" s="9" t="s">
        <v>47</v>
      </c>
      <c r="F1317" s="10">
        <v>45390</v>
      </c>
      <c r="G1317" s="9" t="s">
        <v>155</v>
      </c>
      <c r="H1317" s="9" t="s">
        <v>48</v>
      </c>
      <c r="I1317" s="9">
        <v>2</v>
      </c>
      <c r="J1317" s="9">
        <v>24</v>
      </c>
      <c r="K1317" s="9">
        <v>1040</v>
      </c>
      <c r="L1317" s="9">
        <v>0.47</v>
      </c>
      <c r="M1317" s="9">
        <v>488.8</v>
      </c>
      <c r="N1317" s="9" t="s">
        <v>49</v>
      </c>
      <c r="Q1317" s="9">
        <f>IF(Auction_Sales[[#This Row],[Payment Date]]=0,"",-1+WEEKNUM(Auction_Sales[[#This Row],[Payment Date]]))</f>
        <v>15</v>
      </c>
      <c r="R1317" s="9">
        <v>-200</v>
      </c>
      <c r="S1317" s="9" t="s">
        <v>155</v>
      </c>
      <c r="T1317" s="9" t="s">
        <v>48</v>
      </c>
      <c r="U1317" s="9">
        <v>1240</v>
      </c>
      <c r="V1317" s="13">
        <v>0.64129032258064522</v>
      </c>
      <c r="W1317" s="13">
        <v>795.2</v>
      </c>
      <c r="X1317" s="14">
        <v>-59.156651162790794</v>
      </c>
      <c r="Y1317" s="13">
        <v>736.04334883720924</v>
      </c>
      <c r="Z1317" s="10">
        <v>45399</v>
      </c>
      <c r="AA1317" s="9">
        <v>200</v>
      </c>
      <c r="AC1317" s="9" t="s">
        <v>95</v>
      </c>
      <c r="AD1317" s="14">
        <v>89.106666666666669</v>
      </c>
      <c r="AF1317" s="14">
        <v>24.8</v>
      </c>
      <c r="AH1317" s="14">
        <v>113.90666666666667</v>
      </c>
      <c r="AI1317" s="13">
        <v>622.1366821705426</v>
      </c>
      <c r="AK1317" s="9">
        <v>1240</v>
      </c>
    </row>
    <row r="1318" spans="1:37">
      <c r="A1318" s="9">
        <v>15</v>
      </c>
      <c r="B1318" s="9">
        <v>2024</v>
      </c>
      <c r="C1318" s="9" t="s">
        <v>46</v>
      </c>
      <c r="D1318" s="9" t="s">
        <v>47</v>
      </c>
      <c r="E1318" s="9" t="s">
        <v>47</v>
      </c>
      <c r="F1318" s="10">
        <v>45390</v>
      </c>
      <c r="G1318" s="9" t="s">
        <v>155</v>
      </c>
      <c r="H1318" s="9" t="s">
        <v>52</v>
      </c>
      <c r="I1318" s="9">
        <v>1</v>
      </c>
      <c r="J1318" s="9">
        <v>12</v>
      </c>
      <c r="K1318" s="9">
        <v>400</v>
      </c>
      <c r="L1318" s="9">
        <v>0.52</v>
      </c>
      <c r="M1318" s="9">
        <v>208</v>
      </c>
      <c r="N1318" s="9" t="s">
        <v>49</v>
      </c>
      <c r="Q1318" s="9">
        <f>IF(Auction_Sales[[#This Row],[Payment Date]]=0,"",-1+WEEKNUM(Auction_Sales[[#This Row],[Payment Date]]))</f>
        <v>15</v>
      </c>
      <c r="R1318" s="9">
        <v>-120</v>
      </c>
      <c r="S1318" s="9" t="s">
        <v>155</v>
      </c>
      <c r="T1318" s="9" t="s">
        <v>52</v>
      </c>
      <c r="U1318" s="9">
        <v>520</v>
      </c>
      <c r="V1318" s="13">
        <v>0.7</v>
      </c>
      <c r="W1318" s="13">
        <v>364</v>
      </c>
      <c r="X1318" s="14">
        <v>-24.807627906976784</v>
      </c>
      <c r="Y1318" s="13">
        <v>339.19237209302321</v>
      </c>
      <c r="Z1318" s="10">
        <v>45399</v>
      </c>
      <c r="AA1318" s="9">
        <v>120</v>
      </c>
      <c r="AC1318" s="9" t="s">
        <v>95</v>
      </c>
      <c r="AD1318" s="14">
        <v>44.553333333333335</v>
      </c>
      <c r="AF1318" s="14">
        <v>10.4</v>
      </c>
      <c r="AH1318" s="14">
        <v>54.953333333333333</v>
      </c>
      <c r="AI1318" s="13">
        <v>284.23903875968989</v>
      </c>
      <c r="AK1318" s="9">
        <v>520</v>
      </c>
    </row>
    <row r="1319" spans="1:37">
      <c r="A1319" s="9">
        <v>15</v>
      </c>
      <c r="B1319" s="9">
        <v>2024</v>
      </c>
      <c r="C1319" s="9" t="s">
        <v>46</v>
      </c>
      <c r="D1319" s="9" t="s">
        <v>47</v>
      </c>
      <c r="E1319" s="9" t="s">
        <v>47</v>
      </c>
      <c r="F1319" s="10">
        <v>45390</v>
      </c>
      <c r="G1319" s="9" t="s">
        <v>155</v>
      </c>
      <c r="H1319" s="9" t="s">
        <v>57</v>
      </c>
      <c r="I1319" s="9">
        <v>1</v>
      </c>
      <c r="J1319" s="9">
        <v>12</v>
      </c>
      <c r="K1319" s="9">
        <v>200</v>
      </c>
      <c r="L1319" s="9">
        <v>0.94</v>
      </c>
      <c r="M1319" s="9">
        <v>188</v>
      </c>
      <c r="N1319" s="9" t="s">
        <v>49</v>
      </c>
      <c r="Q1319" s="9">
        <f>IF(Auction_Sales[[#This Row],[Payment Date]]=0,"",-1+WEEKNUM(Auction_Sales[[#This Row],[Payment Date]]))</f>
        <v>15</v>
      </c>
      <c r="R1319" s="9">
        <v>-40</v>
      </c>
      <c r="S1319" s="9" t="s">
        <v>155</v>
      </c>
      <c r="T1319" s="9" t="s">
        <v>57</v>
      </c>
      <c r="U1319" s="9">
        <v>240</v>
      </c>
      <c r="V1319" s="13">
        <v>0.89666666666666661</v>
      </c>
      <c r="W1319" s="13">
        <v>215.2</v>
      </c>
      <c r="X1319" s="14">
        <v>-11.449674418604669</v>
      </c>
      <c r="Y1319" s="13">
        <v>203.75032558139532</v>
      </c>
      <c r="Z1319" s="10">
        <v>45399</v>
      </c>
      <c r="AA1319" s="9">
        <v>40</v>
      </c>
      <c r="AC1319" s="9" t="s">
        <v>95</v>
      </c>
      <c r="AD1319" s="14">
        <v>44.553333333333335</v>
      </c>
      <c r="AF1319" s="14">
        <v>4.8</v>
      </c>
      <c r="AH1319" s="14">
        <v>49.353333333333332</v>
      </c>
      <c r="AI1319" s="13">
        <v>154.39699224806199</v>
      </c>
      <c r="AK1319" s="9">
        <v>240</v>
      </c>
    </row>
    <row r="1320" spans="1:37">
      <c r="A1320" s="9">
        <v>15</v>
      </c>
      <c r="B1320" s="9">
        <v>2024</v>
      </c>
      <c r="C1320" s="9" t="s">
        <v>46</v>
      </c>
      <c r="D1320" s="9" t="s">
        <v>47</v>
      </c>
      <c r="E1320" s="9" t="s">
        <v>47</v>
      </c>
      <c r="F1320" s="10">
        <v>45390</v>
      </c>
      <c r="G1320" s="9" t="s">
        <v>156</v>
      </c>
      <c r="H1320" s="9" t="s">
        <v>57</v>
      </c>
      <c r="I1320" s="9">
        <v>1</v>
      </c>
      <c r="J1320" s="9">
        <v>12</v>
      </c>
      <c r="K1320" s="9">
        <v>200</v>
      </c>
      <c r="L1320" s="9">
        <v>1.04</v>
      </c>
      <c r="M1320" s="9">
        <v>208</v>
      </c>
      <c r="N1320" s="9" t="s">
        <v>49</v>
      </c>
      <c r="Q1320" s="9">
        <f>IF(Auction_Sales[[#This Row],[Payment Date]]=0,"",-1+WEEKNUM(Auction_Sales[[#This Row],[Payment Date]]))</f>
        <v>15</v>
      </c>
      <c r="R1320" s="9">
        <v>0</v>
      </c>
      <c r="S1320" s="9" t="s">
        <v>156</v>
      </c>
      <c r="T1320" s="9" t="s">
        <v>57</v>
      </c>
      <c r="U1320" s="9">
        <v>200</v>
      </c>
      <c r="V1320" s="13">
        <v>1.28</v>
      </c>
      <c r="W1320" s="13">
        <v>256</v>
      </c>
      <c r="X1320" s="14">
        <v>-9.5413953488372254</v>
      </c>
      <c r="Y1320" s="13">
        <v>246.45860465116277</v>
      </c>
      <c r="Z1320" s="10">
        <v>45399</v>
      </c>
      <c r="AA1320" s="9">
        <v>0</v>
      </c>
      <c r="AC1320" s="9" t="s">
        <v>95</v>
      </c>
      <c r="AD1320" s="14">
        <v>44.553333333333335</v>
      </c>
      <c r="AF1320" s="14">
        <v>4</v>
      </c>
      <c r="AH1320" s="14">
        <v>48.553333333333335</v>
      </c>
      <c r="AI1320" s="13">
        <v>197.90527131782943</v>
      </c>
      <c r="AK1320" s="9">
        <v>200</v>
      </c>
    </row>
    <row r="1321" spans="1:37">
      <c r="A1321" s="9">
        <v>15</v>
      </c>
      <c r="B1321" s="9">
        <v>2024</v>
      </c>
      <c r="C1321" s="9" t="s">
        <v>46</v>
      </c>
      <c r="D1321" s="9" t="s">
        <v>47</v>
      </c>
      <c r="E1321" s="9" t="s">
        <v>47</v>
      </c>
      <c r="F1321" s="10">
        <v>45390</v>
      </c>
      <c r="G1321" s="9" t="s">
        <v>154</v>
      </c>
      <c r="H1321" s="9" t="s">
        <v>48</v>
      </c>
      <c r="I1321" s="9">
        <v>1</v>
      </c>
      <c r="J1321" s="9">
        <v>12</v>
      </c>
      <c r="K1321" s="9">
        <v>480</v>
      </c>
      <c r="L1321" s="9">
        <v>0.47</v>
      </c>
      <c r="M1321" s="9">
        <v>225.6</v>
      </c>
      <c r="N1321" s="9" t="s">
        <v>49</v>
      </c>
      <c r="Q1321" s="9">
        <f>IF(Auction_Sales[[#This Row],[Payment Date]]=0,"",-1+WEEKNUM(Auction_Sales[[#This Row],[Payment Date]]))</f>
        <v>15</v>
      </c>
      <c r="R1321" s="9">
        <v>-320</v>
      </c>
      <c r="S1321" s="9" t="s">
        <v>154</v>
      </c>
      <c r="T1321" s="9" t="s">
        <v>48</v>
      </c>
      <c r="U1321" s="9">
        <v>800</v>
      </c>
      <c r="V1321" s="13">
        <v>0.5645</v>
      </c>
      <c r="W1321" s="13">
        <v>451.6</v>
      </c>
      <c r="X1321" s="14">
        <v>-38.165581395348902</v>
      </c>
      <c r="Y1321" s="13">
        <v>413.43441860465111</v>
      </c>
      <c r="Z1321" s="10">
        <v>45399</v>
      </c>
      <c r="AA1321" s="9">
        <v>320</v>
      </c>
      <c r="AC1321" s="9" t="s">
        <v>95</v>
      </c>
      <c r="AD1321" s="14">
        <v>44.553333333333335</v>
      </c>
      <c r="AF1321" s="14">
        <v>16</v>
      </c>
      <c r="AH1321" s="14">
        <v>60.553333333333335</v>
      </c>
      <c r="AI1321" s="13">
        <v>352.88108527131777</v>
      </c>
      <c r="AK1321" s="9">
        <v>800</v>
      </c>
    </row>
    <row r="1322" spans="1:37">
      <c r="A1322" s="9">
        <v>15</v>
      </c>
      <c r="B1322" s="9">
        <v>2024</v>
      </c>
      <c r="C1322" s="9" t="s">
        <v>46</v>
      </c>
      <c r="D1322" s="9" t="s">
        <v>47</v>
      </c>
      <c r="E1322" s="9" t="s">
        <v>47</v>
      </c>
      <c r="F1322" s="10">
        <v>45390</v>
      </c>
      <c r="G1322" s="9" t="s">
        <v>154</v>
      </c>
      <c r="H1322" s="9" t="s">
        <v>52</v>
      </c>
      <c r="I1322" s="9">
        <v>1</v>
      </c>
      <c r="J1322" s="9">
        <v>12</v>
      </c>
      <c r="K1322" s="9">
        <v>400</v>
      </c>
      <c r="L1322" s="9">
        <v>0.52</v>
      </c>
      <c r="M1322" s="9">
        <v>208</v>
      </c>
      <c r="N1322" s="9" t="s">
        <v>49</v>
      </c>
      <c r="Q1322" s="9">
        <f>IF(Auction_Sales[[#This Row],[Payment Date]]=0,"",-1+WEEKNUM(Auction_Sales[[#This Row],[Payment Date]]))</f>
        <v>15</v>
      </c>
      <c r="R1322" s="9">
        <v>-80</v>
      </c>
      <c r="S1322" s="9" t="s">
        <v>154</v>
      </c>
      <c r="T1322" s="9" t="s">
        <v>52</v>
      </c>
      <c r="U1322" s="9">
        <v>480</v>
      </c>
      <c r="V1322" s="13">
        <v>0.63</v>
      </c>
      <c r="W1322" s="13">
        <v>302.39999999999998</v>
      </c>
      <c r="X1322" s="14">
        <v>-22.899348837209338</v>
      </c>
      <c r="Y1322" s="13">
        <v>279.50065116279063</v>
      </c>
      <c r="Z1322" s="10">
        <v>45399</v>
      </c>
      <c r="AA1322" s="9">
        <v>80</v>
      </c>
      <c r="AC1322" s="9" t="s">
        <v>95</v>
      </c>
      <c r="AD1322" s="14">
        <v>44.553333333333335</v>
      </c>
      <c r="AF1322" s="14">
        <v>9.6</v>
      </c>
      <c r="AH1322" s="14">
        <v>54.153333333333336</v>
      </c>
      <c r="AI1322" s="13">
        <v>225.3473178294573</v>
      </c>
      <c r="AK1322" s="9">
        <v>480</v>
      </c>
    </row>
    <row r="1323" spans="1:37">
      <c r="A1323" s="9">
        <v>15</v>
      </c>
      <c r="B1323" s="9">
        <v>2024</v>
      </c>
      <c r="C1323" s="9" t="s">
        <v>46</v>
      </c>
      <c r="D1323" s="9" t="s">
        <v>47</v>
      </c>
      <c r="E1323" s="9" t="s">
        <v>47</v>
      </c>
      <c r="F1323" s="10">
        <v>45390</v>
      </c>
      <c r="G1323" s="9" t="s">
        <v>154</v>
      </c>
      <c r="H1323" s="9" t="s">
        <v>56</v>
      </c>
      <c r="I1323" s="9">
        <v>1</v>
      </c>
      <c r="J1323" s="9">
        <v>12</v>
      </c>
      <c r="K1323" s="9">
        <v>200</v>
      </c>
      <c r="L1323" s="9">
        <v>0.75</v>
      </c>
      <c r="M1323" s="9">
        <v>150</v>
      </c>
      <c r="N1323" s="9" t="s">
        <v>49</v>
      </c>
      <c r="Q1323" s="9">
        <f>IF(Auction_Sales[[#This Row],[Payment Date]]=0,"",-1+WEEKNUM(Auction_Sales[[#This Row],[Payment Date]]))</f>
        <v>15</v>
      </c>
      <c r="R1323" s="9">
        <v>0</v>
      </c>
      <c r="S1323" s="9" t="s">
        <v>154</v>
      </c>
      <c r="T1323" s="9" t="s">
        <v>56</v>
      </c>
      <c r="U1323" s="9">
        <v>200</v>
      </c>
      <c r="V1323" s="13">
        <v>0.63</v>
      </c>
      <c r="W1323" s="13">
        <v>126</v>
      </c>
      <c r="X1323" s="14">
        <v>-9.5413953488372254</v>
      </c>
      <c r="Y1323" s="13">
        <v>116.45860465116277</v>
      </c>
      <c r="Z1323" s="10">
        <v>45399</v>
      </c>
      <c r="AA1323" s="9">
        <v>0</v>
      </c>
      <c r="AC1323" s="9" t="s">
        <v>95</v>
      </c>
      <c r="AD1323" s="14">
        <v>44.553333333333335</v>
      </c>
      <c r="AF1323" s="14">
        <v>4</v>
      </c>
      <c r="AH1323" s="14">
        <v>48.553333333333335</v>
      </c>
      <c r="AI1323" s="13">
        <v>67.905271317829431</v>
      </c>
      <c r="AK1323" s="9">
        <v>200</v>
      </c>
    </row>
    <row r="1324" spans="1:37">
      <c r="A1324" s="9">
        <v>15</v>
      </c>
      <c r="B1324" s="9">
        <v>2024</v>
      </c>
      <c r="C1324" s="9" t="s">
        <v>46</v>
      </c>
      <c r="D1324" s="9" t="s">
        <v>47</v>
      </c>
      <c r="E1324" s="9" t="s">
        <v>47</v>
      </c>
      <c r="F1324" s="10">
        <v>45390</v>
      </c>
      <c r="G1324" s="9" t="s">
        <v>154</v>
      </c>
      <c r="H1324" s="9" t="s">
        <v>57</v>
      </c>
      <c r="I1324" s="9">
        <v>2</v>
      </c>
      <c r="J1324" s="9">
        <v>24</v>
      </c>
      <c r="K1324" s="9">
        <v>400</v>
      </c>
      <c r="L1324" s="9">
        <v>0.94</v>
      </c>
      <c r="M1324" s="9">
        <v>376</v>
      </c>
      <c r="N1324" s="9" t="s">
        <v>49</v>
      </c>
      <c r="Q1324" s="9">
        <f>IF(Auction_Sales[[#This Row],[Payment Date]]=0,"",-1+WEEKNUM(Auction_Sales[[#This Row],[Payment Date]]))</f>
        <v>15</v>
      </c>
      <c r="R1324" s="9">
        <v>0</v>
      </c>
      <c r="S1324" s="9" t="s">
        <v>154</v>
      </c>
      <c r="T1324" s="9" t="s">
        <v>57</v>
      </c>
      <c r="U1324" s="9">
        <v>400</v>
      </c>
      <c r="V1324" s="13">
        <v>0.79700000000000004</v>
      </c>
      <c r="W1324" s="13">
        <v>318.8</v>
      </c>
      <c r="X1324" s="14">
        <v>-19.082790697674451</v>
      </c>
      <c r="Y1324" s="13">
        <v>299.71720930232556</v>
      </c>
      <c r="Z1324" s="10">
        <v>45399</v>
      </c>
      <c r="AA1324" s="9">
        <v>0</v>
      </c>
      <c r="AC1324" s="9" t="s">
        <v>95</v>
      </c>
      <c r="AD1324" s="14">
        <v>89.106666666666669</v>
      </c>
      <c r="AF1324" s="14">
        <v>8</v>
      </c>
      <c r="AH1324" s="14">
        <v>97.106666666666669</v>
      </c>
      <c r="AI1324" s="13">
        <v>202.61054263565887</v>
      </c>
      <c r="AK1324" s="9">
        <v>400</v>
      </c>
    </row>
    <row r="1325" spans="1:37">
      <c r="A1325" s="9">
        <v>15</v>
      </c>
      <c r="B1325" s="9">
        <v>2024</v>
      </c>
      <c r="C1325" s="9" t="s">
        <v>46</v>
      </c>
      <c r="D1325" s="9" t="s">
        <v>47</v>
      </c>
      <c r="E1325" s="9" t="s">
        <v>47</v>
      </c>
      <c r="F1325" s="10">
        <v>45390</v>
      </c>
      <c r="G1325" s="9" t="s">
        <v>153</v>
      </c>
      <c r="H1325" s="9" t="s">
        <v>52</v>
      </c>
      <c r="I1325" s="9">
        <v>1</v>
      </c>
      <c r="J1325" s="9">
        <v>12</v>
      </c>
      <c r="K1325" s="9">
        <v>520</v>
      </c>
      <c r="L1325" s="9">
        <v>0.28000000000000003</v>
      </c>
      <c r="M1325" s="9">
        <v>145.6</v>
      </c>
      <c r="N1325" s="9" t="s">
        <v>49</v>
      </c>
      <c r="Q1325" s="9">
        <f>IF(Auction_Sales[[#This Row],[Payment Date]]=0,"",-1+WEEKNUM(Auction_Sales[[#This Row],[Payment Date]]))</f>
        <v>15</v>
      </c>
      <c r="R1325" s="9">
        <v>0</v>
      </c>
      <c r="S1325" s="9" t="s">
        <v>153</v>
      </c>
      <c r="T1325" s="9" t="s">
        <v>52</v>
      </c>
      <c r="U1325" s="9">
        <v>520</v>
      </c>
      <c r="V1325" s="13">
        <v>0.36923076923076925</v>
      </c>
      <c r="W1325" s="13">
        <v>192</v>
      </c>
      <c r="X1325" s="14">
        <v>-24.807627906976784</v>
      </c>
      <c r="Y1325" s="13">
        <v>167.19237209302321</v>
      </c>
      <c r="Z1325" s="10">
        <v>45399</v>
      </c>
      <c r="AA1325" s="9">
        <v>0</v>
      </c>
      <c r="AC1325" s="9" t="s">
        <v>95</v>
      </c>
      <c r="AD1325" s="14">
        <v>44.553333333333335</v>
      </c>
      <c r="AF1325" s="14">
        <v>10.4</v>
      </c>
      <c r="AH1325" s="14">
        <v>54.953333333333333</v>
      </c>
      <c r="AI1325" s="13">
        <v>112.23903875968988</v>
      </c>
      <c r="AK1325" s="9">
        <v>520</v>
      </c>
    </row>
    <row r="1326" spans="1:37">
      <c r="A1326" s="9">
        <v>15</v>
      </c>
      <c r="B1326" s="9">
        <v>2024</v>
      </c>
      <c r="C1326" s="9" t="s">
        <v>46</v>
      </c>
      <c r="D1326" s="9" t="s">
        <v>47</v>
      </c>
      <c r="E1326" s="9" t="s">
        <v>47</v>
      </c>
      <c r="F1326" s="10">
        <v>45390</v>
      </c>
      <c r="G1326" s="9" t="s">
        <v>153</v>
      </c>
      <c r="H1326" s="9" t="s">
        <v>54</v>
      </c>
      <c r="I1326" s="9">
        <v>1</v>
      </c>
      <c r="J1326" s="9">
        <v>12</v>
      </c>
      <c r="K1326" s="9">
        <v>480</v>
      </c>
      <c r="L1326" s="9">
        <v>0.33</v>
      </c>
      <c r="M1326" s="9">
        <v>158.4</v>
      </c>
      <c r="N1326" s="9" t="s">
        <v>49</v>
      </c>
      <c r="Q1326" s="9">
        <f>IF(Auction_Sales[[#This Row],[Payment Date]]=0,"",-1+WEEKNUM(Auction_Sales[[#This Row],[Payment Date]]))</f>
        <v>15</v>
      </c>
      <c r="R1326" s="9">
        <v>-40</v>
      </c>
      <c r="S1326" s="9" t="s">
        <v>153</v>
      </c>
      <c r="T1326" s="9" t="s">
        <v>54</v>
      </c>
      <c r="U1326" s="9">
        <v>520</v>
      </c>
      <c r="V1326" s="13">
        <v>0.39846153846153842</v>
      </c>
      <c r="W1326" s="13">
        <v>207.2</v>
      </c>
      <c r="X1326" s="14">
        <v>-24.807627906976784</v>
      </c>
      <c r="Y1326" s="13">
        <v>182.3923720930232</v>
      </c>
      <c r="Z1326" s="10">
        <v>45399</v>
      </c>
      <c r="AA1326" s="9">
        <v>40</v>
      </c>
      <c r="AC1326" s="9" t="s">
        <v>95</v>
      </c>
      <c r="AD1326" s="14">
        <v>44.553333333333335</v>
      </c>
      <c r="AF1326" s="14">
        <v>10.4</v>
      </c>
      <c r="AH1326" s="14">
        <v>54.953333333333333</v>
      </c>
      <c r="AI1326" s="13">
        <v>127.43903875968986</v>
      </c>
      <c r="AK1326" s="9">
        <v>520</v>
      </c>
    </row>
    <row r="1327" spans="1:37">
      <c r="A1327" s="9">
        <v>15</v>
      </c>
      <c r="B1327" s="9">
        <v>2024</v>
      </c>
      <c r="C1327" s="9" t="s">
        <v>46</v>
      </c>
      <c r="D1327" s="9" t="s">
        <v>47</v>
      </c>
      <c r="E1327" s="9" t="s">
        <v>47</v>
      </c>
      <c r="F1327" s="10">
        <v>45390</v>
      </c>
      <c r="G1327" s="9" t="s">
        <v>153</v>
      </c>
      <c r="H1327" s="9" t="s">
        <v>57</v>
      </c>
      <c r="I1327" s="9">
        <v>1</v>
      </c>
      <c r="J1327" s="9">
        <v>12</v>
      </c>
      <c r="K1327" s="9">
        <v>360</v>
      </c>
      <c r="L1327" s="9">
        <v>0.47</v>
      </c>
      <c r="M1327" s="9">
        <v>169.2</v>
      </c>
      <c r="N1327" s="9" t="s">
        <v>49</v>
      </c>
      <c r="Q1327" s="9">
        <f>IF(Auction_Sales[[#This Row],[Payment Date]]=0,"",-1+WEEKNUM(Auction_Sales[[#This Row],[Payment Date]]))</f>
        <v>15</v>
      </c>
      <c r="R1327" s="9">
        <v>360</v>
      </c>
      <c r="S1327" s="9" t="s">
        <v>153</v>
      </c>
      <c r="T1327" s="9" t="s">
        <v>57</v>
      </c>
      <c r="W1327" s="13">
        <v>0</v>
      </c>
      <c r="X1327" s="14">
        <v>0</v>
      </c>
      <c r="Y1327" s="13">
        <v>0</v>
      </c>
      <c r="Z1327" s="10">
        <v>45399</v>
      </c>
      <c r="AA1327" s="9">
        <v>-360</v>
      </c>
      <c r="AC1327" s="9" t="s">
        <v>95</v>
      </c>
      <c r="AD1327" s="14">
        <v>44.553333333333335</v>
      </c>
      <c r="AF1327" s="14">
        <v>0</v>
      </c>
      <c r="AH1327" s="14">
        <v>44.553333333333335</v>
      </c>
      <c r="AI1327" s="13">
        <v>-44.553333333333335</v>
      </c>
      <c r="AK1327" s="9">
        <v>0</v>
      </c>
    </row>
    <row r="1328" spans="1:37">
      <c r="A1328" s="9">
        <v>15</v>
      </c>
      <c r="B1328" s="9">
        <v>2024</v>
      </c>
      <c r="C1328" s="9" t="s">
        <v>46</v>
      </c>
      <c r="D1328" s="9" t="s">
        <v>47</v>
      </c>
      <c r="E1328" s="9" t="s">
        <v>47</v>
      </c>
      <c r="F1328" s="10">
        <v>45390</v>
      </c>
      <c r="G1328" s="9" t="s">
        <v>155</v>
      </c>
      <c r="H1328" s="9" t="s">
        <v>57</v>
      </c>
      <c r="I1328" s="9">
        <v>1</v>
      </c>
      <c r="J1328" s="9">
        <v>2</v>
      </c>
      <c r="K1328" s="9">
        <v>40</v>
      </c>
      <c r="L1328" s="9">
        <v>0.94</v>
      </c>
      <c r="M1328" s="9">
        <v>37.6</v>
      </c>
      <c r="N1328" s="9" t="s">
        <v>49</v>
      </c>
      <c r="Q1328" s="9">
        <f>IF(Auction_Sales[[#This Row],[Payment Date]]=0,"",-1+WEEKNUM(Auction_Sales[[#This Row],[Payment Date]]))</f>
        <v>15</v>
      </c>
      <c r="R1328" s="9">
        <v>40</v>
      </c>
      <c r="S1328" s="9" t="s">
        <v>155</v>
      </c>
      <c r="T1328" s="9" t="s">
        <v>57</v>
      </c>
      <c r="W1328" s="13">
        <v>0</v>
      </c>
      <c r="X1328" s="14">
        <v>0</v>
      </c>
      <c r="Y1328" s="13">
        <v>0</v>
      </c>
      <c r="Z1328" s="10">
        <v>45399</v>
      </c>
      <c r="AA1328" s="9">
        <v>-40</v>
      </c>
      <c r="AC1328" s="9" t="s">
        <v>95</v>
      </c>
      <c r="AD1328" s="14">
        <v>7.4255555555555555</v>
      </c>
      <c r="AF1328" s="14">
        <v>0</v>
      </c>
      <c r="AH1328" s="14">
        <v>7.4255555555555555</v>
      </c>
      <c r="AI1328" s="13">
        <v>-7.4255555555555555</v>
      </c>
      <c r="AK1328" s="9">
        <v>0</v>
      </c>
    </row>
    <row r="1329" spans="1:37">
      <c r="A1329" s="9">
        <v>15</v>
      </c>
      <c r="B1329" s="9">
        <v>2024</v>
      </c>
      <c r="C1329" s="9" t="s">
        <v>46</v>
      </c>
      <c r="D1329" s="9" t="s">
        <v>47</v>
      </c>
      <c r="E1329" s="9" t="s">
        <v>47</v>
      </c>
      <c r="F1329" s="10">
        <v>45390</v>
      </c>
      <c r="G1329" s="9" t="s">
        <v>155</v>
      </c>
      <c r="H1329" s="9" t="s">
        <v>56</v>
      </c>
      <c r="J1329" s="9">
        <v>10</v>
      </c>
      <c r="K1329" s="9">
        <v>200</v>
      </c>
      <c r="L1329" s="9">
        <v>0.75</v>
      </c>
      <c r="M1329" s="9">
        <v>150</v>
      </c>
      <c r="N1329" s="9" t="s">
        <v>49</v>
      </c>
      <c r="Q1329" s="9">
        <f>IF(Auction_Sales[[#This Row],[Payment Date]]=0,"",-1+WEEKNUM(Auction_Sales[[#This Row],[Payment Date]]))</f>
        <v>15</v>
      </c>
      <c r="R1329" s="9">
        <v>0</v>
      </c>
      <c r="S1329" s="9" t="s">
        <v>155</v>
      </c>
      <c r="T1329" s="9" t="s">
        <v>56</v>
      </c>
      <c r="U1329" s="9">
        <v>200</v>
      </c>
      <c r="V1329" s="13">
        <v>0.82</v>
      </c>
      <c r="W1329" s="13">
        <v>164</v>
      </c>
      <c r="X1329" s="14">
        <v>-9.5413953488372254</v>
      </c>
      <c r="Y1329" s="13">
        <v>154.45860465116277</v>
      </c>
      <c r="Z1329" s="10">
        <v>45399</v>
      </c>
      <c r="AA1329" s="9">
        <v>0</v>
      </c>
      <c r="AC1329" s="9" t="s">
        <v>95</v>
      </c>
      <c r="AD1329" s="14">
        <v>37.127777777777773</v>
      </c>
      <c r="AF1329" s="14">
        <v>4</v>
      </c>
      <c r="AH1329" s="14">
        <v>41.127777777777773</v>
      </c>
      <c r="AI1329" s="13">
        <v>113.33082687338501</v>
      </c>
      <c r="AK1329" s="9">
        <v>200</v>
      </c>
    </row>
    <row r="1330" spans="1:37">
      <c r="A1330" s="9">
        <v>15</v>
      </c>
      <c r="B1330" s="9">
        <v>2024</v>
      </c>
      <c r="C1330" s="9" t="s">
        <v>46</v>
      </c>
      <c r="D1330" s="9" t="s">
        <v>47</v>
      </c>
      <c r="E1330" s="9" t="s">
        <v>47</v>
      </c>
      <c r="F1330" s="10">
        <v>45390</v>
      </c>
      <c r="G1330" s="9" t="s">
        <v>154</v>
      </c>
      <c r="H1330" s="9" t="s">
        <v>51</v>
      </c>
      <c r="I1330" s="9">
        <v>1</v>
      </c>
      <c r="J1330" s="9">
        <v>8</v>
      </c>
      <c r="K1330" s="9">
        <v>400</v>
      </c>
      <c r="L1330" s="9">
        <v>0.38</v>
      </c>
      <c r="M1330" s="9">
        <v>152</v>
      </c>
      <c r="N1330" s="9" t="s">
        <v>49</v>
      </c>
      <c r="Q1330" s="9">
        <f>IF(Auction_Sales[[#This Row],[Payment Date]]=0,"",-1+WEEKNUM(Auction_Sales[[#This Row],[Payment Date]]))</f>
        <v>15</v>
      </c>
      <c r="R1330" s="9">
        <v>0</v>
      </c>
      <c r="S1330" s="9" t="s">
        <v>154</v>
      </c>
      <c r="T1330" s="9" t="s">
        <v>51</v>
      </c>
      <c r="U1330" s="9">
        <v>400</v>
      </c>
      <c r="V1330" s="13">
        <v>0.39</v>
      </c>
      <c r="W1330" s="13">
        <v>156</v>
      </c>
      <c r="X1330" s="14">
        <v>-19.082790697674451</v>
      </c>
      <c r="Y1330" s="13">
        <v>136.91720930232555</v>
      </c>
      <c r="Z1330" s="10">
        <v>45399</v>
      </c>
      <c r="AA1330" s="9">
        <v>0</v>
      </c>
      <c r="AC1330" s="9" t="s">
        <v>95</v>
      </c>
      <c r="AD1330" s="14">
        <v>29.702222222222222</v>
      </c>
      <c r="AF1330" s="14">
        <v>8</v>
      </c>
      <c r="AH1330" s="14">
        <v>37.702222222222218</v>
      </c>
      <c r="AI1330" s="13">
        <v>99.214987080103327</v>
      </c>
      <c r="AK1330" s="9">
        <v>400</v>
      </c>
    </row>
    <row r="1331" spans="1:37">
      <c r="A1331" s="9">
        <v>15</v>
      </c>
      <c r="B1331" s="9">
        <v>2024</v>
      </c>
      <c r="C1331" s="9" t="s">
        <v>46</v>
      </c>
      <c r="D1331" s="9" t="s">
        <v>47</v>
      </c>
      <c r="E1331" s="9" t="s">
        <v>47</v>
      </c>
      <c r="F1331" s="10">
        <v>45390</v>
      </c>
      <c r="G1331" s="9" t="s">
        <v>154</v>
      </c>
      <c r="H1331" s="9" t="s">
        <v>54</v>
      </c>
      <c r="J1331" s="9">
        <v>4</v>
      </c>
      <c r="K1331" s="9">
        <v>200</v>
      </c>
      <c r="L1331" s="9">
        <v>0.56999999999999995</v>
      </c>
      <c r="M1331" s="9">
        <v>114</v>
      </c>
      <c r="N1331" s="9" t="s">
        <v>49</v>
      </c>
      <c r="Q1331" s="9">
        <f>IF(Auction_Sales[[#This Row],[Payment Date]]=0,"",-1+WEEKNUM(Auction_Sales[[#This Row],[Payment Date]]))</f>
        <v>15</v>
      </c>
      <c r="R1331" s="9">
        <v>0</v>
      </c>
      <c r="S1331" s="9" t="s">
        <v>154</v>
      </c>
      <c r="T1331" s="9" t="s">
        <v>54</v>
      </c>
      <c r="U1331" s="9">
        <v>200</v>
      </c>
      <c r="V1331" s="13">
        <v>0.67200000000000004</v>
      </c>
      <c r="W1331" s="13">
        <v>134.4</v>
      </c>
      <c r="X1331" s="14">
        <v>-9.5413953488372254</v>
      </c>
      <c r="Y1331" s="13">
        <v>124.85860465116278</v>
      </c>
      <c r="Z1331" s="10">
        <v>45399</v>
      </c>
      <c r="AA1331" s="9">
        <v>0</v>
      </c>
      <c r="AC1331" s="9" t="s">
        <v>95</v>
      </c>
      <c r="AD1331" s="14">
        <v>14.851111111111111</v>
      </c>
      <c r="AF1331" s="14">
        <v>4</v>
      </c>
      <c r="AH1331" s="14">
        <v>18.851111111111109</v>
      </c>
      <c r="AI1331" s="13">
        <v>106.00749354005167</v>
      </c>
      <c r="AK1331" s="9">
        <v>200</v>
      </c>
    </row>
    <row r="1332" spans="1:37">
      <c r="A1332" s="9">
        <v>15</v>
      </c>
      <c r="B1332" s="9">
        <v>2024</v>
      </c>
      <c r="C1332" s="9" t="s">
        <v>46</v>
      </c>
      <c r="D1332" s="9" t="s">
        <v>47</v>
      </c>
      <c r="E1332" s="9" t="s">
        <v>47</v>
      </c>
      <c r="F1332" s="10">
        <v>45390</v>
      </c>
      <c r="G1332" s="9" t="s">
        <v>154</v>
      </c>
      <c r="H1332" s="9" t="s">
        <v>52</v>
      </c>
      <c r="I1332" s="9">
        <v>1</v>
      </c>
      <c r="J1332" s="9">
        <v>2.4000000000000004</v>
      </c>
      <c r="K1332" s="9">
        <v>80</v>
      </c>
      <c r="L1332" s="9">
        <v>0.52</v>
      </c>
      <c r="M1332" s="9">
        <v>41.6</v>
      </c>
      <c r="N1332" s="9" t="s">
        <v>49</v>
      </c>
      <c r="Q1332" s="9">
        <f>IF(Auction_Sales[[#This Row],[Payment Date]]=0,"",-1+WEEKNUM(Auction_Sales[[#This Row],[Payment Date]]))</f>
        <v>15</v>
      </c>
      <c r="R1332" s="9">
        <v>80</v>
      </c>
      <c r="S1332" s="9" t="s">
        <v>154</v>
      </c>
      <c r="T1332" s="9" t="s">
        <v>52</v>
      </c>
      <c r="W1332" s="13">
        <v>0</v>
      </c>
      <c r="X1332" s="14">
        <v>0</v>
      </c>
      <c r="Y1332" s="13">
        <v>0</v>
      </c>
      <c r="Z1332" s="10">
        <v>45399</v>
      </c>
      <c r="AA1332" s="9">
        <v>-80</v>
      </c>
      <c r="AC1332" s="9" t="s">
        <v>95</v>
      </c>
      <c r="AD1332" s="14">
        <v>8.9106666666666676</v>
      </c>
      <c r="AF1332" s="14">
        <v>0</v>
      </c>
      <c r="AH1332" s="14">
        <v>8.9106666666666676</v>
      </c>
      <c r="AI1332" s="13">
        <v>-8.9106666666666676</v>
      </c>
      <c r="AK1332" s="9">
        <v>0</v>
      </c>
    </row>
    <row r="1333" spans="1:37">
      <c r="A1333" s="9">
        <v>15</v>
      </c>
      <c r="B1333" s="9">
        <v>2024</v>
      </c>
      <c r="C1333" s="9" t="s">
        <v>46</v>
      </c>
      <c r="D1333" s="9" t="s">
        <v>47</v>
      </c>
      <c r="E1333" s="9" t="s">
        <v>47</v>
      </c>
      <c r="F1333" s="10">
        <v>45390</v>
      </c>
      <c r="G1333" s="9" t="s">
        <v>154</v>
      </c>
      <c r="H1333" s="9" t="s">
        <v>48</v>
      </c>
      <c r="J1333" s="9">
        <v>9.6000000000000014</v>
      </c>
      <c r="K1333" s="9">
        <v>320</v>
      </c>
      <c r="L1333" s="9">
        <v>0.47</v>
      </c>
      <c r="M1333" s="9">
        <v>150.4</v>
      </c>
      <c r="N1333" s="9" t="s">
        <v>49</v>
      </c>
      <c r="Q1333" s="9">
        <f>IF(Auction_Sales[[#This Row],[Payment Date]]=0,"",-1+WEEKNUM(Auction_Sales[[#This Row],[Payment Date]]))</f>
        <v>15</v>
      </c>
      <c r="R1333" s="9">
        <v>320</v>
      </c>
      <c r="S1333" s="9" t="s">
        <v>154</v>
      </c>
      <c r="T1333" s="9" t="s">
        <v>48</v>
      </c>
      <c r="W1333" s="13">
        <v>0</v>
      </c>
      <c r="X1333" s="14">
        <v>0</v>
      </c>
      <c r="Y1333" s="13">
        <v>0</v>
      </c>
      <c r="Z1333" s="10">
        <v>45399</v>
      </c>
      <c r="AA1333" s="9">
        <v>-320</v>
      </c>
      <c r="AC1333" s="9" t="s">
        <v>95</v>
      </c>
      <c r="AD1333" s="14">
        <v>35.64266666666667</v>
      </c>
      <c r="AF1333" s="14">
        <v>0</v>
      </c>
      <c r="AH1333" s="14">
        <v>35.64266666666667</v>
      </c>
      <c r="AI1333" s="13">
        <v>-35.64266666666667</v>
      </c>
      <c r="AK1333" s="9">
        <v>0</v>
      </c>
    </row>
    <row r="1334" spans="1:37">
      <c r="A1334" s="9">
        <v>15</v>
      </c>
      <c r="B1334" s="9">
        <v>2024</v>
      </c>
      <c r="C1334" s="9" t="s">
        <v>46</v>
      </c>
      <c r="D1334" s="9" t="s">
        <v>47</v>
      </c>
      <c r="E1334" s="9" t="s">
        <v>47</v>
      </c>
      <c r="F1334" s="10">
        <v>45390</v>
      </c>
      <c r="G1334" s="9" t="s">
        <v>153</v>
      </c>
      <c r="H1334" s="9" t="s">
        <v>54</v>
      </c>
      <c r="I1334" s="9">
        <v>1</v>
      </c>
      <c r="J1334" s="9">
        <v>1.2000000000000002</v>
      </c>
      <c r="K1334" s="9">
        <v>40</v>
      </c>
      <c r="L1334" s="9">
        <v>0.33</v>
      </c>
      <c r="M1334" s="9">
        <v>13.2</v>
      </c>
      <c r="N1334" s="9" t="s">
        <v>49</v>
      </c>
      <c r="Q1334" s="9">
        <f>IF(Auction_Sales[[#This Row],[Payment Date]]=0,"",-1+WEEKNUM(Auction_Sales[[#This Row],[Payment Date]]))</f>
        <v>15</v>
      </c>
      <c r="R1334" s="9">
        <v>-320</v>
      </c>
      <c r="S1334" s="9" t="s">
        <v>153</v>
      </c>
      <c r="T1334" s="9" t="s">
        <v>54</v>
      </c>
      <c r="U1334" s="9">
        <v>360</v>
      </c>
      <c r="V1334" s="13">
        <v>0.52444444444444449</v>
      </c>
      <c r="W1334" s="13">
        <v>188.8</v>
      </c>
      <c r="X1334" s="14">
        <v>-17.174511627907002</v>
      </c>
      <c r="Y1334" s="13">
        <v>171.625488372093</v>
      </c>
      <c r="Z1334" s="10">
        <v>45399</v>
      </c>
      <c r="AA1334" s="9">
        <v>320</v>
      </c>
      <c r="AC1334" s="9" t="s">
        <v>95</v>
      </c>
      <c r="AD1334" s="14">
        <v>4.4553333333333338</v>
      </c>
      <c r="AF1334" s="14">
        <v>7.2</v>
      </c>
      <c r="AH1334" s="14">
        <v>11.655333333333335</v>
      </c>
      <c r="AI1334" s="13">
        <v>159.97015503875966</v>
      </c>
      <c r="AK1334" s="9">
        <v>360</v>
      </c>
    </row>
    <row r="1335" spans="1:37">
      <c r="A1335" s="9">
        <v>15</v>
      </c>
      <c r="B1335" s="9">
        <v>2024</v>
      </c>
      <c r="C1335" s="9" t="s">
        <v>46</v>
      </c>
      <c r="D1335" s="9" t="s">
        <v>47</v>
      </c>
      <c r="E1335" s="9" t="s">
        <v>47</v>
      </c>
      <c r="F1335" s="10">
        <v>45390</v>
      </c>
      <c r="G1335" s="9" t="s">
        <v>153</v>
      </c>
      <c r="H1335" s="9" t="s">
        <v>56</v>
      </c>
      <c r="J1335" s="9">
        <v>10.8</v>
      </c>
      <c r="K1335" s="9">
        <v>360</v>
      </c>
      <c r="L1335" s="9">
        <v>0.38</v>
      </c>
      <c r="M1335" s="9">
        <v>136.80000000000001</v>
      </c>
      <c r="N1335" s="9" t="s">
        <v>49</v>
      </c>
      <c r="Q1335" s="9">
        <f>IF(Auction_Sales[[#This Row],[Payment Date]]=0,"",-1+WEEKNUM(Auction_Sales[[#This Row],[Payment Date]]))</f>
        <v>15</v>
      </c>
      <c r="R1335" s="9">
        <v>0</v>
      </c>
      <c r="S1335" s="9" t="s">
        <v>153</v>
      </c>
      <c r="T1335" s="9" t="s">
        <v>56</v>
      </c>
      <c r="U1335" s="9">
        <v>360</v>
      </c>
      <c r="V1335" s="13">
        <v>0.57666666666666666</v>
      </c>
      <c r="W1335" s="13">
        <v>207.6</v>
      </c>
      <c r="X1335" s="14">
        <v>-17.174511627907002</v>
      </c>
      <c r="Y1335" s="13">
        <v>190.42548837209299</v>
      </c>
      <c r="Z1335" s="10">
        <v>45399</v>
      </c>
      <c r="AA1335" s="9">
        <v>0</v>
      </c>
      <c r="AC1335" s="9" t="s">
        <v>95</v>
      </c>
      <c r="AD1335" s="14">
        <v>40.097999999999999</v>
      </c>
      <c r="AF1335" s="14">
        <v>7.2</v>
      </c>
      <c r="AH1335" s="14">
        <v>47.298000000000002</v>
      </c>
      <c r="AI1335" s="13">
        <v>143.12748837209298</v>
      </c>
      <c r="AK1335" s="9">
        <v>360</v>
      </c>
    </row>
    <row r="1336" spans="1:37">
      <c r="A1336" s="9">
        <v>15</v>
      </c>
      <c r="B1336" s="9">
        <v>2024</v>
      </c>
      <c r="C1336" s="9" t="s">
        <v>46</v>
      </c>
      <c r="D1336" s="9" t="s">
        <v>47</v>
      </c>
      <c r="E1336" s="9" t="s">
        <v>47</v>
      </c>
      <c r="F1336" s="10">
        <v>45390</v>
      </c>
      <c r="G1336" s="9" t="s">
        <v>155</v>
      </c>
      <c r="H1336" s="9" t="s">
        <v>48</v>
      </c>
      <c r="I1336" s="9">
        <v>1</v>
      </c>
      <c r="J1336" s="9">
        <v>6</v>
      </c>
      <c r="K1336" s="9">
        <v>200</v>
      </c>
      <c r="L1336" s="9">
        <v>0.47</v>
      </c>
      <c r="M1336" s="9">
        <v>94</v>
      </c>
      <c r="N1336" s="9" t="s">
        <v>49</v>
      </c>
      <c r="Q1336" s="9">
        <f>IF(Auction_Sales[[#This Row],[Payment Date]]=0,"",-1+WEEKNUM(Auction_Sales[[#This Row],[Payment Date]]))</f>
        <v>15</v>
      </c>
      <c r="R1336" s="9">
        <v>200</v>
      </c>
      <c r="S1336" s="9" t="s">
        <v>155</v>
      </c>
      <c r="T1336" s="9" t="s">
        <v>48</v>
      </c>
      <c r="W1336" s="13">
        <v>0</v>
      </c>
      <c r="X1336" s="14">
        <v>0</v>
      </c>
      <c r="Y1336" s="13">
        <v>0</v>
      </c>
      <c r="Z1336" s="10">
        <v>45399</v>
      </c>
      <c r="AA1336" s="9">
        <v>-200</v>
      </c>
      <c r="AC1336" s="9" t="s">
        <v>95</v>
      </c>
      <c r="AD1336" s="14">
        <v>22.276666666666667</v>
      </c>
      <c r="AF1336" s="14">
        <v>0</v>
      </c>
      <c r="AH1336" s="14">
        <v>22.276666666666667</v>
      </c>
      <c r="AI1336" s="13">
        <v>-22.276666666666667</v>
      </c>
      <c r="AK1336" s="9">
        <v>0</v>
      </c>
    </row>
    <row r="1337" spans="1:37">
      <c r="A1337" s="9">
        <v>15</v>
      </c>
      <c r="B1337" s="9">
        <v>2024</v>
      </c>
      <c r="C1337" s="9" t="s">
        <v>46</v>
      </c>
      <c r="D1337" s="9" t="s">
        <v>47</v>
      </c>
      <c r="E1337" s="9" t="s">
        <v>47</v>
      </c>
      <c r="F1337" s="10">
        <v>45390</v>
      </c>
      <c r="G1337" s="9" t="s">
        <v>155</v>
      </c>
      <c r="H1337" s="9" t="s">
        <v>52</v>
      </c>
      <c r="J1337" s="9">
        <v>3.5999999999999996</v>
      </c>
      <c r="K1337" s="9">
        <v>120</v>
      </c>
      <c r="L1337" s="9">
        <v>0.52</v>
      </c>
      <c r="M1337" s="9">
        <v>62.4</v>
      </c>
      <c r="N1337" s="9" t="s">
        <v>49</v>
      </c>
      <c r="Q1337" s="9">
        <f>IF(Auction_Sales[[#This Row],[Payment Date]]=0,"",-1+WEEKNUM(Auction_Sales[[#This Row],[Payment Date]]))</f>
        <v>15</v>
      </c>
      <c r="R1337" s="9">
        <v>120</v>
      </c>
      <c r="S1337" s="9" t="s">
        <v>155</v>
      </c>
      <c r="T1337" s="9" t="s">
        <v>52</v>
      </c>
      <c r="W1337" s="13">
        <v>0</v>
      </c>
      <c r="X1337" s="14">
        <v>0</v>
      </c>
      <c r="Y1337" s="13">
        <v>0</v>
      </c>
      <c r="Z1337" s="10">
        <v>45399</v>
      </c>
      <c r="AA1337" s="9">
        <v>-120</v>
      </c>
      <c r="AC1337" s="9" t="s">
        <v>95</v>
      </c>
      <c r="AD1337" s="14">
        <v>13.365999999999998</v>
      </c>
      <c r="AF1337" s="14">
        <v>0</v>
      </c>
      <c r="AH1337" s="14">
        <v>13.365999999999998</v>
      </c>
      <c r="AI1337" s="13">
        <v>-13.365999999999998</v>
      </c>
      <c r="AK1337" s="9">
        <v>0</v>
      </c>
    </row>
    <row r="1338" spans="1:37">
      <c r="A1338" s="9">
        <v>15</v>
      </c>
      <c r="B1338" s="9">
        <v>2024</v>
      </c>
      <c r="C1338" s="9" t="s">
        <v>46</v>
      </c>
      <c r="D1338" s="9" t="s">
        <v>47</v>
      </c>
      <c r="E1338" s="9" t="s">
        <v>47</v>
      </c>
      <c r="F1338" s="10">
        <v>45390</v>
      </c>
      <c r="G1338" s="9" t="s">
        <v>155</v>
      </c>
      <c r="H1338" s="9" t="s">
        <v>54</v>
      </c>
      <c r="J1338" s="9">
        <v>2.4000000000000004</v>
      </c>
      <c r="K1338" s="9">
        <v>80</v>
      </c>
      <c r="L1338" s="9">
        <v>0.56999999999999995</v>
      </c>
      <c r="M1338" s="9">
        <v>45.6</v>
      </c>
      <c r="N1338" s="9" t="s">
        <v>49</v>
      </c>
      <c r="Q1338" s="9">
        <f>IF(Auction_Sales[[#This Row],[Payment Date]]=0,"",-1+WEEKNUM(Auction_Sales[[#This Row],[Payment Date]]))</f>
        <v>15</v>
      </c>
      <c r="R1338" s="9">
        <v>0</v>
      </c>
      <c r="S1338" s="9" t="s">
        <v>155</v>
      </c>
      <c r="T1338" s="9" t="s">
        <v>54</v>
      </c>
      <c r="U1338" s="9">
        <v>80</v>
      </c>
      <c r="V1338" s="13">
        <v>0.85</v>
      </c>
      <c r="W1338" s="13">
        <v>68</v>
      </c>
      <c r="X1338" s="14">
        <v>-3.81655813953489</v>
      </c>
      <c r="Y1338" s="13">
        <v>64.183441860465109</v>
      </c>
      <c r="Z1338" s="10">
        <v>45399</v>
      </c>
      <c r="AA1338" s="9">
        <v>0</v>
      </c>
      <c r="AC1338" s="9" t="s">
        <v>95</v>
      </c>
      <c r="AD1338" s="14">
        <v>8.9106666666666676</v>
      </c>
      <c r="AF1338" s="14">
        <v>1.6</v>
      </c>
      <c r="AH1338" s="14">
        <v>10.510666666666667</v>
      </c>
      <c r="AI1338" s="13">
        <v>53.672775193798444</v>
      </c>
      <c r="AK1338" s="9">
        <v>80</v>
      </c>
    </row>
    <row r="1339" spans="1:37">
      <c r="A1339" s="9">
        <v>15</v>
      </c>
      <c r="B1339" s="9">
        <v>2024</v>
      </c>
      <c r="C1339" s="9" t="s">
        <v>46</v>
      </c>
      <c r="D1339" s="9" t="s">
        <v>47</v>
      </c>
      <c r="E1339" s="9" t="s">
        <v>47</v>
      </c>
      <c r="F1339" s="10">
        <v>45390</v>
      </c>
      <c r="G1339" s="9" t="s">
        <v>156</v>
      </c>
      <c r="H1339" s="9" t="s">
        <v>48</v>
      </c>
      <c r="I1339" s="9">
        <v>1</v>
      </c>
      <c r="J1339" s="9">
        <v>6.666666666666667</v>
      </c>
      <c r="K1339" s="9">
        <v>200</v>
      </c>
      <c r="L1339" s="9">
        <v>0.52</v>
      </c>
      <c r="M1339" s="9">
        <v>104</v>
      </c>
      <c r="N1339" s="9" t="s">
        <v>49</v>
      </c>
      <c r="Q1339" s="9">
        <f>IF(Auction_Sales[[#This Row],[Payment Date]]=0,"",-1+WEEKNUM(Auction_Sales[[#This Row],[Payment Date]]))</f>
        <v>15</v>
      </c>
      <c r="R1339" s="9">
        <v>0</v>
      </c>
      <c r="S1339" s="9" t="s">
        <v>156</v>
      </c>
      <c r="T1339" s="9" t="s">
        <v>48</v>
      </c>
      <c r="U1339" s="9">
        <v>200</v>
      </c>
      <c r="V1339" s="13">
        <v>0.72</v>
      </c>
      <c r="W1339" s="13">
        <v>144</v>
      </c>
      <c r="X1339" s="14">
        <v>-9.5413953488372254</v>
      </c>
      <c r="Y1339" s="13">
        <v>134.45860465116277</v>
      </c>
      <c r="Z1339" s="10">
        <v>45399</v>
      </c>
      <c r="AA1339" s="9">
        <v>0</v>
      </c>
      <c r="AC1339" s="9" t="s">
        <v>95</v>
      </c>
      <c r="AD1339" s="14">
        <v>24.751851851851853</v>
      </c>
      <c r="AF1339" s="14">
        <v>4</v>
      </c>
      <c r="AH1339" s="14">
        <v>28.751851851851853</v>
      </c>
      <c r="AI1339" s="13">
        <v>105.70675279931092</v>
      </c>
      <c r="AK1339" s="9">
        <v>200</v>
      </c>
    </row>
    <row r="1340" spans="1:37">
      <c r="A1340" s="9">
        <v>15</v>
      </c>
      <c r="B1340" s="9">
        <v>2024</v>
      </c>
      <c r="C1340" s="9" t="s">
        <v>46</v>
      </c>
      <c r="D1340" s="9" t="s">
        <v>47</v>
      </c>
      <c r="E1340" s="9" t="s">
        <v>47</v>
      </c>
      <c r="F1340" s="10">
        <v>45390</v>
      </c>
      <c r="G1340" s="9" t="s">
        <v>156</v>
      </c>
      <c r="H1340" s="9" t="s">
        <v>52</v>
      </c>
      <c r="J1340" s="9">
        <v>4</v>
      </c>
      <c r="K1340" s="9">
        <v>120</v>
      </c>
      <c r="L1340" s="9">
        <v>0.61</v>
      </c>
      <c r="M1340" s="9">
        <v>73.2</v>
      </c>
      <c r="N1340" s="9" t="s">
        <v>49</v>
      </c>
      <c r="Q1340" s="9">
        <f>IF(Auction_Sales[[#This Row],[Payment Date]]=0,"",-1+WEEKNUM(Auction_Sales[[#This Row],[Payment Date]]))</f>
        <v>15</v>
      </c>
      <c r="R1340" s="9">
        <v>0</v>
      </c>
      <c r="S1340" s="9" t="s">
        <v>156</v>
      </c>
      <c r="T1340" s="9" t="s">
        <v>52</v>
      </c>
      <c r="U1340" s="9">
        <v>120</v>
      </c>
      <c r="V1340" s="13">
        <v>0.85</v>
      </c>
      <c r="W1340" s="13">
        <v>102</v>
      </c>
      <c r="X1340" s="14">
        <v>-5.7248372093023345</v>
      </c>
      <c r="Y1340" s="13">
        <v>96.275162790697664</v>
      </c>
      <c r="Z1340" s="10">
        <v>45399</v>
      </c>
      <c r="AA1340" s="9">
        <v>0</v>
      </c>
      <c r="AC1340" s="9" t="s">
        <v>95</v>
      </c>
      <c r="AD1340" s="14">
        <v>14.851111111111111</v>
      </c>
      <c r="AF1340" s="14">
        <v>2.4</v>
      </c>
      <c r="AH1340" s="14">
        <v>17.251111111111111</v>
      </c>
      <c r="AI1340" s="13">
        <v>79.024051679586549</v>
      </c>
      <c r="AK1340" s="9">
        <v>120</v>
      </c>
    </row>
    <row r="1341" spans="1:37">
      <c r="A1341" s="9">
        <v>15</v>
      </c>
      <c r="B1341" s="9">
        <v>2024</v>
      </c>
      <c r="C1341" s="9" t="s">
        <v>46</v>
      </c>
      <c r="D1341" s="9" t="s">
        <v>47</v>
      </c>
      <c r="E1341" s="9" t="s">
        <v>47</v>
      </c>
      <c r="F1341" s="10">
        <v>45390</v>
      </c>
      <c r="G1341" s="9" t="s">
        <v>156</v>
      </c>
      <c r="H1341" s="9" t="s">
        <v>56</v>
      </c>
      <c r="J1341" s="9">
        <v>1.3333333333333333</v>
      </c>
      <c r="K1341" s="9">
        <v>40</v>
      </c>
      <c r="L1341" s="9">
        <v>0.85</v>
      </c>
      <c r="M1341" s="9">
        <v>34</v>
      </c>
      <c r="N1341" s="9" t="s">
        <v>49</v>
      </c>
      <c r="Q1341" s="9">
        <f>IF(Auction_Sales[[#This Row],[Payment Date]]=0,"",-1+WEEKNUM(Auction_Sales[[#This Row],[Payment Date]]))</f>
        <v>15</v>
      </c>
      <c r="R1341" s="9">
        <v>0</v>
      </c>
      <c r="S1341" s="9" t="s">
        <v>156</v>
      </c>
      <c r="T1341" s="9" t="s">
        <v>56</v>
      </c>
      <c r="U1341" s="9">
        <v>40</v>
      </c>
      <c r="V1341" s="13">
        <v>1.1000000000000001</v>
      </c>
      <c r="W1341" s="13">
        <v>44</v>
      </c>
      <c r="X1341" s="14">
        <v>-1.908279069767445</v>
      </c>
      <c r="Y1341" s="13">
        <v>42.091720930232555</v>
      </c>
      <c r="Z1341" s="10">
        <v>45399</v>
      </c>
      <c r="AA1341" s="9">
        <v>0</v>
      </c>
      <c r="AC1341" s="9" t="s">
        <v>95</v>
      </c>
      <c r="AD1341" s="14">
        <v>4.9503703703703703</v>
      </c>
      <c r="AF1341" s="14">
        <v>0.8</v>
      </c>
      <c r="AH1341" s="14">
        <v>5.7503703703703701</v>
      </c>
      <c r="AI1341" s="13">
        <v>36.341350559862185</v>
      </c>
      <c r="AK1341" s="9">
        <v>40</v>
      </c>
    </row>
    <row r="1342" spans="1:37">
      <c r="A1342" s="9">
        <v>15</v>
      </c>
      <c r="B1342" s="9">
        <v>2024</v>
      </c>
      <c r="C1342" s="9" t="s">
        <v>46</v>
      </c>
      <c r="D1342" s="9" t="s">
        <v>47</v>
      </c>
      <c r="E1342" s="9" t="s">
        <v>47</v>
      </c>
      <c r="F1342" s="10">
        <v>45390</v>
      </c>
      <c r="G1342" s="9" t="s">
        <v>155</v>
      </c>
      <c r="H1342" s="9" t="s">
        <v>54</v>
      </c>
      <c r="N1342" s="9" t="s">
        <v>49</v>
      </c>
      <c r="Q1342" s="9">
        <f>IF(Auction_Sales[[#This Row],[Payment Date]]=0,"",-1+WEEKNUM(Auction_Sales[[#This Row],[Payment Date]]))</f>
        <v>15</v>
      </c>
      <c r="R1342" s="9">
        <v>0</v>
      </c>
      <c r="S1342" s="9" t="s">
        <v>155</v>
      </c>
      <c r="T1342" s="9" t="s">
        <v>54</v>
      </c>
      <c r="W1342" s="13">
        <v>-40</v>
      </c>
      <c r="X1342" s="14">
        <v>-4.4139999999999988</v>
      </c>
      <c r="Y1342" s="13">
        <v>-44.414000000000001</v>
      </c>
      <c r="Z1342" s="10">
        <v>45399</v>
      </c>
      <c r="AA1342" s="9">
        <v>0</v>
      </c>
      <c r="AC1342" s="9" t="s">
        <v>95</v>
      </c>
      <c r="AD1342" s="14">
        <v>0</v>
      </c>
      <c r="AF1342" s="14">
        <v>0</v>
      </c>
      <c r="AH1342" s="14">
        <v>0</v>
      </c>
      <c r="AI1342" s="13">
        <v>-44.414000000000001</v>
      </c>
      <c r="AK1342" s="9">
        <v>0</v>
      </c>
    </row>
    <row r="1343" spans="1:37">
      <c r="A1343" s="9">
        <v>15</v>
      </c>
      <c r="B1343" s="9">
        <v>2024</v>
      </c>
      <c r="C1343" s="9" t="s">
        <v>46</v>
      </c>
      <c r="D1343" s="9" t="s">
        <v>47</v>
      </c>
      <c r="E1343" s="9" t="s">
        <v>47</v>
      </c>
      <c r="F1343" s="10">
        <v>45390</v>
      </c>
      <c r="G1343" s="9" t="s">
        <v>155</v>
      </c>
      <c r="H1343" s="9" t="s">
        <v>51</v>
      </c>
      <c r="N1343" s="9" t="s">
        <v>49</v>
      </c>
      <c r="Q1343" s="9">
        <f>IF(Auction_Sales[[#This Row],[Payment Date]]=0,"",-1+WEEKNUM(Auction_Sales[[#This Row],[Payment Date]]))</f>
        <v>15</v>
      </c>
      <c r="R1343" s="9">
        <v>0</v>
      </c>
      <c r="S1343" s="9" t="s">
        <v>155</v>
      </c>
      <c r="T1343" s="9" t="s">
        <v>51</v>
      </c>
      <c r="W1343" s="13">
        <v>-102.4</v>
      </c>
      <c r="X1343" s="14">
        <v>-17.655999999999995</v>
      </c>
      <c r="Y1343" s="13">
        <v>-120.056</v>
      </c>
      <c r="Z1343" s="10">
        <v>45399</v>
      </c>
      <c r="AA1343" s="9">
        <v>0</v>
      </c>
      <c r="AC1343" s="9" t="s">
        <v>95</v>
      </c>
      <c r="AD1343" s="14">
        <v>0</v>
      </c>
      <c r="AF1343" s="14">
        <v>0</v>
      </c>
      <c r="AH1343" s="14">
        <v>0</v>
      </c>
      <c r="AI1343" s="13">
        <v>-120.056</v>
      </c>
      <c r="AK1343" s="9">
        <v>0</v>
      </c>
    </row>
    <row r="1344" spans="1:37">
      <c r="A1344" s="9">
        <v>15</v>
      </c>
      <c r="B1344" s="9">
        <v>2024</v>
      </c>
      <c r="C1344" s="9" t="s">
        <v>46</v>
      </c>
      <c r="D1344" s="9" t="s">
        <v>47</v>
      </c>
      <c r="E1344" s="9" t="s">
        <v>47</v>
      </c>
      <c r="F1344" s="10">
        <v>45393</v>
      </c>
      <c r="G1344" s="9" t="s">
        <v>155</v>
      </c>
      <c r="H1344" s="9" t="s">
        <v>51</v>
      </c>
      <c r="I1344" s="9">
        <v>1</v>
      </c>
      <c r="J1344" s="9">
        <v>12</v>
      </c>
      <c r="K1344" s="9">
        <v>760</v>
      </c>
      <c r="L1344" s="9">
        <v>0.38</v>
      </c>
      <c r="M1344" s="9">
        <v>288.8</v>
      </c>
      <c r="N1344" s="9" t="s">
        <v>49</v>
      </c>
      <c r="Q1344" s="9">
        <f>IF(Auction_Sales[[#This Row],[Payment Date]]=0,"",-1+WEEKNUM(Auction_Sales[[#This Row],[Payment Date]]))</f>
        <v>16</v>
      </c>
      <c r="R1344" s="9">
        <v>0</v>
      </c>
      <c r="S1344" s="9" t="s">
        <v>155</v>
      </c>
      <c r="T1344" s="9" t="s">
        <v>51</v>
      </c>
      <c r="U1344" s="9">
        <v>760</v>
      </c>
      <c r="V1344" s="13">
        <v>0.38</v>
      </c>
      <c r="W1344" s="13">
        <v>288.8</v>
      </c>
      <c r="X1344" s="14">
        <v>-35.303551020408129</v>
      </c>
      <c r="Y1344" s="13">
        <v>253.49644897959189</v>
      </c>
      <c r="Z1344" s="10">
        <v>45406</v>
      </c>
      <c r="AA1344" s="9">
        <v>0</v>
      </c>
      <c r="AC1344" s="9">
        <v>435844</v>
      </c>
      <c r="AD1344" s="14">
        <v>24.622399999999999</v>
      </c>
      <c r="AF1344" s="14">
        <v>15.200000000000001</v>
      </c>
      <c r="AH1344" s="14">
        <v>39.822400000000002</v>
      </c>
      <c r="AI1344" s="13">
        <v>213.67404897959187</v>
      </c>
      <c r="AK1344" s="9">
        <v>760</v>
      </c>
    </row>
    <row r="1345" spans="1:37">
      <c r="A1345" s="9">
        <v>15</v>
      </c>
      <c r="B1345" s="9">
        <v>2024</v>
      </c>
      <c r="C1345" s="9" t="s">
        <v>46</v>
      </c>
      <c r="D1345" s="9" t="s">
        <v>47</v>
      </c>
      <c r="E1345" s="9" t="s">
        <v>47</v>
      </c>
      <c r="F1345" s="10">
        <v>45393</v>
      </c>
      <c r="G1345" s="9" t="s">
        <v>155</v>
      </c>
      <c r="H1345" s="9" t="s">
        <v>48</v>
      </c>
      <c r="I1345" s="9">
        <v>3</v>
      </c>
      <c r="J1345" s="9">
        <v>36</v>
      </c>
      <c r="K1345" s="9">
        <v>1560</v>
      </c>
      <c r="L1345" s="9">
        <v>0.47</v>
      </c>
      <c r="M1345" s="9">
        <v>733.2</v>
      </c>
      <c r="N1345" s="9" t="s">
        <v>49</v>
      </c>
      <c r="Q1345" s="9">
        <f>IF(Auction_Sales[[#This Row],[Payment Date]]=0,"",-1+WEEKNUM(Auction_Sales[[#This Row],[Payment Date]]))</f>
        <v>16</v>
      </c>
      <c r="R1345" s="9">
        <v>-240</v>
      </c>
      <c r="S1345" s="9" t="s">
        <v>155</v>
      </c>
      <c r="T1345" s="9" t="s">
        <v>48</v>
      </c>
      <c r="U1345" s="9">
        <v>1800</v>
      </c>
      <c r="V1345" s="13">
        <v>0.5762222222222223</v>
      </c>
      <c r="W1345" s="13">
        <v>1037.2</v>
      </c>
      <c r="X1345" s="14">
        <v>-83.613673469387678</v>
      </c>
      <c r="Y1345" s="13">
        <v>953.58632653061238</v>
      </c>
      <c r="Z1345" s="10">
        <v>45406</v>
      </c>
      <c r="AA1345" s="9">
        <v>240</v>
      </c>
      <c r="AC1345" s="9">
        <v>435844</v>
      </c>
      <c r="AD1345" s="14">
        <v>73.867199999999997</v>
      </c>
      <c r="AF1345" s="14">
        <v>36</v>
      </c>
      <c r="AH1345" s="14">
        <v>109.8672</v>
      </c>
      <c r="AI1345" s="13">
        <v>843.71912653061236</v>
      </c>
      <c r="AK1345" s="9">
        <v>1800</v>
      </c>
    </row>
    <row r="1346" spans="1:37">
      <c r="A1346" s="9">
        <v>15</v>
      </c>
      <c r="B1346" s="9">
        <v>2024</v>
      </c>
      <c r="C1346" s="9" t="s">
        <v>46</v>
      </c>
      <c r="D1346" s="9" t="s">
        <v>47</v>
      </c>
      <c r="E1346" s="9" t="s">
        <v>47</v>
      </c>
      <c r="F1346" s="10">
        <v>45393</v>
      </c>
      <c r="G1346" s="9" t="s">
        <v>155</v>
      </c>
      <c r="H1346" s="9" t="s">
        <v>56</v>
      </c>
      <c r="I1346" s="9">
        <v>1</v>
      </c>
      <c r="J1346" s="9">
        <v>12</v>
      </c>
      <c r="K1346" s="9">
        <v>240</v>
      </c>
      <c r="L1346" s="9">
        <v>0.75</v>
      </c>
      <c r="M1346" s="9">
        <v>180</v>
      </c>
      <c r="N1346" s="9" t="s">
        <v>49</v>
      </c>
      <c r="Q1346" s="9">
        <f>IF(Auction_Sales[[#This Row],[Payment Date]]=0,"",-1+WEEKNUM(Auction_Sales[[#This Row],[Payment Date]]))</f>
        <v>16</v>
      </c>
      <c r="R1346" s="9">
        <v>-80</v>
      </c>
      <c r="S1346" s="9" t="s">
        <v>155</v>
      </c>
      <c r="T1346" s="9" t="s">
        <v>56</v>
      </c>
      <c r="U1346" s="9">
        <v>320</v>
      </c>
      <c r="V1346" s="13">
        <v>0.98000000000000009</v>
      </c>
      <c r="W1346" s="13">
        <v>313.60000000000002</v>
      </c>
      <c r="X1346" s="14">
        <v>-14.864653061224475</v>
      </c>
      <c r="Y1346" s="13">
        <v>298.73534693877554</v>
      </c>
      <c r="Z1346" s="10">
        <v>45406</v>
      </c>
      <c r="AA1346" s="9">
        <v>80</v>
      </c>
      <c r="AC1346" s="9">
        <v>435844</v>
      </c>
      <c r="AD1346" s="14">
        <v>24.622399999999999</v>
      </c>
      <c r="AF1346" s="14">
        <v>6.4</v>
      </c>
      <c r="AH1346" s="14">
        <v>31.022399999999998</v>
      </c>
      <c r="AI1346" s="13">
        <v>267.71294693877553</v>
      </c>
      <c r="AK1346" s="9">
        <v>320</v>
      </c>
    </row>
    <row r="1347" spans="1:37">
      <c r="A1347" s="9">
        <v>15</v>
      </c>
      <c r="B1347" s="9">
        <v>2024</v>
      </c>
      <c r="C1347" s="9" t="s">
        <v>46</v>
      </c>
      <c r="D1347" s="9" t="s">
        <v>47</v>
      </c>
      <c r="E1347" s="9" t="s">
        <v>47</v>
      </c>
      <c r="F1347" s="10">
        <v>45393</v>
      </c>
      <c r="G1347" s="9" t="s">
        <v>155</v>
      </c>
      <c r="H1347" s="9" t="s">
        <v>57</v>
      </c>
      <c r="I1347" s="9">
        <v>2</v>
      </c>
      <c r="J1347" s="9">
        <v>24</v>
      </c>
      <c r="K1347" s="9">
        <v>400</v>
      </c>
      <c r="L1347" s="9">
        <v>0.94</v>
      </c>
      <c r="M1347" s="9">
        <v>376</v>
      </c>
      <c r="N1347" s="9" t="s">
        <v>49</v>
      </c>
      <c r="Q1347" s="9">
        <f>IF(Auction_Sales[[#This Row],[Payment Date]]=0,"",-1+WEEKNUM(Auction_Sales[[#This Row],[Payment Date]]))</f>
        <v>16</v>
      </c>
      <c r="R1347" s="9">
        <v>-80</v>
      </c>
      <c r="S1347" s="9" t="s">
        <v>155</v>
      </c>
      <c r="T1347" s="9" t="s">
        <v>57</v>
      </c>
      <c r="U1347" s="9">
        <v>480</v>
      </c>
      <c r="V1347" s="13">
        <v>1.0549999999999999</v>
      </c>
      <c r="W1347" s="13">
        <v>506.4</v>
      </c>
      <c r="X1347" s="14">
        <v>-22.296979591836713</v>
      </c>
      <c r="Y1347" s="13">
        <v>484.10302040816327</v>
      </c>
      <c r="Z1347" s="10">
        <v>45406</v>
      </c>
      <c r="AA1347" s="9">
        <v>80</v>
      </c>
      <c r="AC1347" s="9">
        <v>435844</v>
      </c>
      <c r="AD1347" s="14">
        <v>49.244799999999998</v>
      </c>
      <c r="AF1347" s="14">
        <v>9.6</v>
      </c>
      <c r="AH1347" s="14">
        <v>58.844799999999999</v>
      </c>
      <c r="AI1347" s="13">
        <v>425.25822040816325</v>
      </c>
      <c r="AK1347" s="9">
        <v>480</v>
      </c>
    </row>
    <row r="1348" spans="1:37">
      <c r="A1348" s="9">
        <v>15</v>
      </c>
      <c r="B1348" s="9">
        <v>2024</v>
      </c>
      <c r="C1348" s="9" t="s">
        <v>46</v>
      </c>
      <c r="D1348" s="9" t="s">
        <v>47</v>
      </c>
      <c r="E1348" s="9" t="s">
        <v>47</v>
      </c>
      <c r="F1348" s="10">
        <v>45393</v>
      </c>
      <c r="G1348" s="9" t="s">
        <v>154</v>
      </c>
      <c r="H1348" s="9" t="s">
        <v>48</v>
      </c>
      <c r="I1348" s="9">
        <v>2</v>
      </c>
      <c r="J1348" s="9">
        <v>24</v>
      </c>
      <c r="K1348" s="9">
        <v>960</v>
      </c>
      <c r="L1348" s="9">
        <v>0.47</v>
      </c>
      <c r="M1348" s="9">
        <v>451.2</v>
      </c>
      <c r="N1348" s="9" t="s">
        <v>49</v>
      </c>
      <c r="Q1348" s="9">
        <f>IF(Auction_Sales[[#This Row],[Payment Date]]=0,"",-1+WEEKNUM(Auction_Sales[[#This Row],[Payment Date]]))</f>
        <v>16</v>
      </c>
      <c r="R1348" s="9">
        <v>0</v>
      </c>
      <c r="S1348" s="9" t="s">
        <v>154</v>
      </c>
      <c r="T1348" s="9" t="s">
        <v>48</v>
      </c>
      <c r="U1348" s="9">
        <v>960</v>
      </c>
      <c r="V1348" s="13">
        <v>0.51249999999999996</v>
      </c>
      <c r="W1348" s="13">
        <v>491.99999999999994</v>
      </c>
      <c r="X1348" s="14">
        <v>-44.593959183673427</v>
      </c>
      <c r="Y1348" s="13">
        <v>447.40604081632654</v>
      </c>
      <c r="Z1348" s="10">
        <v>45406</v>
      </c>
      <c r="AA1348" s="9">
        <v>0</v>
      </c>
      <c r="AC1348" s="9">
        <v>435844</v>
      </c>
      <c r="AD1348" s="14">
        <v>49.244799999999998</v>
      </c>
      <c r="AF1348" s="14">
        <v>19.2</v>
      </c>
      <c r="AH1348" s="14">
        <v>68.444800000000001</v>
      </c>
      <c r="AI1348" s="13">
        <v>378.96124081632655</v>
      </c>
      <c r="AK1348" s="9">
        <v>960</v>
      </c>
    </row>
    <row r="1349" spans="1:37">
      <c r="A1349" s="9">
        <v>15</v>
      </c>
      <c r="B1349" s="9">
        <v>2024</v>
      </c>
      <c r="C1349" s="9" t="s">
        <v>46</v>
      </c>
      <c r="D1349" s="9" t="s">
        <v>47</v>
      </c>
      <c r="E1349" s="9" t="s">
        <v>47</v>
      </c>
      <c r="F1349" s="10">
        <v>45393</v>
      </c>
      <c r="G1349" s="9" t="s">
        <v>154</v>
      </c>
      <c r="H1349" s="9" t="s">
        <v>56</v>
      </c>
      <c r="I1349" s="9">
        <v>1</v>
      </c>
      <c r="J1349" s="9">
        <v>12</v>
      </c>
      <c r="K1349" s="9">
        <v>240</v>
      </c>
      <c r="L1349" s="9">
        <v>0.75</v>
      </c>
      <c r="M1349" s="9">
        <v>180</v>
      </c>
      <c r="N1349" s="9" t="s">
        <v>49</v>
      </c>
      <c r="Q1349" s="9">
        <f>IF(Auction_Sales[[#This Row],[Payment Date]]=0,"",-1+WEEKNUM(Auction_Sales[[#This Row],[Payment Date]]))</f>
        <v>16</v>
      </c>
      <c r="R1349" s="9">
        <v>240</v>
      </c>
      <c r="S1349" s="9" t="s">
        <v>154</v>
      </c>
      <c r="T1349" s="9" t="s">
        <v>56</v>
      </c>
      <c r="W1349" s="13">
        <v>0</v>
      </c>
      <c r="X1349" s="14">
        <v>0</v>
      </c>
      <c r="Y1349" s="13">
        <v>0</v>
      </c>
      <c r="Z1349" s="10">
        <v>45406</v>
      </c>
      <c r="AA1349" s="9">
        <v>-240</v>
      </c>
      <c r="AC1349" s="9">
        <v>435844</v>
      </c>
      <c r="AD1349" s="14">
        <v>24.622399999999999</v>
      </c>
      <c r="AF1349" s="14">
        <v>0</v>
      </c>
      <c r="AH1349" s="14">
        <v>24.622399999999999</v>
      </c>
      <c r="AI1349" s="13">
        <v>-24.622399999999999</v>
      </c>
      <c r="AK1349" s="9">
        <v>0</v>
      </c>
    </row>
    <row r="1350" spans="1:37">
      <c r="A1350" s="9">
        <v>15</v>
      </c>
      <c r="B1350" s="9">
        <v>2024</v>
      </c>
      <c r="C1350" s="9" t="s">
        <v>46</v>
      </c>
      <c r="D1350" s="9" t="s">
        <v>47</v>
      </c>
      <c r="E1350" s="9" t="s">
        <v>47</v>
      </c>
      <c r="F1350" s="10">
        <v>45393</v>
      </c>
      <c r="G1350" s="9" t="s">
        <v>154</v>
      </c>
      <c r="H1350" s="9" t="s">
        <v>56</v>
      </c>
      <c r="I1350" s="9">
        <v>1</v>
      </c>
      <c r="J1350" s="9">
        <v>12</v>
      </c>
      <c r="K1350" s="9">
        <v>200</v>
      </c>
      <c r="L1350" s="9">
        <v>0.75</v>
      </c>
      <c r="M1350" s="9">
        <v>150</v>
      </c>
      <c r="N1350" s="9" t="s">
        <v>49</v>
      </c>
      <c r="Q1350" s="9">
        <f>IF(Auction_Sales[[#This Row],[Payment Date]]=0,"",-1+WEEKNUM(Auction_Sales[[#This Row],[Payment Date]]))</f>
        <v>16</v>
      </c>
      <c r="R1350" s="9">
        <v>-80</v>
      </c>
      <c r="S1350" s="9" t="s">
        <v>154</v>
      </c>
      <c r="T1350" s="9" t="s">
        <v>56</v>
      </c>
      <c r="U1350" s="9">
        <v>280</v>
      </c>
      <c r="V1350" s="13">
        <v>1.0528571428571429</v>
      </c>
      <c r="W1350" s="13">
        <v>294.8</v>
      </c>
      <c r="X1350" s="14">
        <v>-13.006571428571416</v>
      </c>
      <c r="Y1350" s="13">
        <v>281.79342857142859</v>
      </c>
      <c r="Z1350" s="10">
        <v>45406</v>
      </c>
      <c r="AA1350" s="9">
        <v>80</v>
      </c>
      <c r="AC1350" s="9">
        <v>435844</v>
      </c>
      <c r="AD1350" s="14">
        <v>24.622399999999999</v>
      </c>
      <c r="AF1350" s="14">
        <v>5.6000000000000005</v>
      </c>
      <c r="AH1350" s="14">
        <v>30.2224</v>
      </c>
      <c r="AI1350" s="13">
        <v>251.5710285714286</v>
      </c>
      <c r="AK1350" s="9">
        <v>280</v>
      </c>
    </row>
    <row r="1351" spans="1:37">
      <c r="A1351" s="9">
        <v>15</v>
      </c>
      <c r="B1351" s="9">
        <v>2024</v>
      </c>
      <c r="C1351" s="9" t="s">
        <v>46</v>
      </c>
      <c r="D1351" s="9" t="s">
        <v>47</v>
      </c>
      <c r="E1351" s="9" t="s">
        <v>47</v>
      </c>
      <c r="F1351" s="10">
        <v>45393</v>
      </c>
      <c r="G1351" s="9" t="s">
        <v>154</v>
      </c>
      <c r="H1351" s="9" t="s">
        <v>57</v>
      </c>
      <c r="I1351" s="9">
        <v>4</v>
      </c>
      <c r="J1351" s="9">
        <v>48</v>
      </c>
      <c r="K1351" s="9">
        <v>800</v>
      </c>
      <c r="L1351" s="9">
        <v>0.94</v>
      </c>
      <c r="M1351" s="9">
        <v>752</v>
      </c>
      <c r="N1351" s="9" t="s">
        <v>49</v>
      </c>
      <c r="Q1351" s="9">
        <f>IF(Auction_Sales[[#This Row],[Payment Date]]=0,"",-1+WEEKNUM(Auction_Sales[[#This Row],[Payment Date]]))</f>
        <v>16</v>
      </c>
      <c r="R1351" s="9">
        <v>0</v>
      </c>
      <c r="S1351" s="9" t="s">
        <v>154</v>
      </c>
      <c r="T1351" s="9" t="s">
        <v>57</v>
      </c>
      <c r="U1351" s="9">
        <v>800</v>
      </c>
      <c r="V1351" s="13">
        <v>0.99349999999999994</v>
      </c>
      <c r="W1351" s="13">
        <v>794.8</v>
      </c>
      <c r="X1351" s="14">
        <v>-37.16163265306119</v>
      </c>
      <c r="Y1351" s="13">
        <v>757.63836734693882</v>
      </c>
      <c r="Z1351" s="10">
        <v>45406</v>
      </c>
      <c r="AA1351" s="9">
        <v>0</v>
      </c>
      <c r="AC1351" s="9">
        <v>435844</v>
      </c>
      <c r="AD1351" s="14">
        <v>98.489599999999996</v>
      </c>
      <c r="AF1351" s="14">
        <v>16</v>
      </c>
      <c r="AH1351" s="14">
        <v>114.4896</v>
      </c>
      <c r="AI1351" s="13">
        <v>643.14876734693883</v>
      </c>
      <c r="AK1351" s="9">
        <v>800</v>
      </c>
    </row>
    <row r="1352" spans="1:37">
      <c r="A1352" s="9">
        <v>15</v>
      </c>
      <c r="B1352" s="9">
        <v>2024</v>
      </c>
      <c r="C1352" s="9" t="s">
        <v>46</v>
      </c>
      <c r="D1352" s="9" t="s">
        <v>47</v>
      </c>
      <c r="E1352" s="9" t="s">
        <v>47</v>
      </c>
      <c r="F1352" s="10">
        <v>45393</v>
      </c>
      <c r="G1352" s="9" t="s">
        <v>153</v>
      </c>
      <c r="H1352" s="9" t="s">
        <v>52</v>
      </c>
      <c r="I1352" s="9">
        <v>1</v>
      </c>
      <c r="J1352" s="9">
        <v>12</v>
      </c>
      <c r="K1352" s="9">
        <v>520</v>
      </c>
      <c r="L1352" s="9">
        <v>0.28000000000000003</v>
      </c>
      <c r="M1352" s="9">
        <v>145.6</v>
      </c>
      <c r="N1352" s="9" t="s">
        <v>49</v>
      </c>
      <c r="Q1352" s="9">
        <f>IF(Auction_Sales[[#This Row],[Payment Date]]=0,"",-1+WEEKNUM(Auction_Sales[[#This Row],[Payment Date]]))</f>
        <v>16</v>
      </c>
      <c r="R1352" s="9">
        <v>-640</v>
      </c>
      <c r="S1352" s="9" t="s">
        <v>153</v>
      </c>
      <c r="T1352" s="9" t="s">
        <v>52</v>
      </c>
      <c r="U1352" s="9">
        <v>1160</v>
      </c>
      <c r="V1352" s="13">
        <v>0.2906896551724138</v>
      </c>
      <c r="W1352" s="13">
        <v>337.2</v>
      </c>
      <c r="X1352" s="14">
        <v>-53.884367346938724</v>
      </c>
      <c r="Y1352" s="13">
        <v>283.31563265306124</v>
      </c>
      <c r="Z1352" s="10">
        <v>45406</v>
      </c>
      <c r="AA1352" s="9">
        <v>640</v>
      </c>
      <c r="AC1352" s="9">
        <v>435844</v>
      </c>
      <c r="AD1352" s="14">
        <v>24.622399999999999</v>
      </c>
      <c r="AF1352" s="14">
        <v>23.2</v>
      </c>
      <c r="AH1352" s="14">
        <v>47.822400000000002</v>
      </c>
      <c r="AI1352" s="13">
        <v>235.49323265306123</v>
      </c>
      <c r="AK1352" s="9">
        <v>1160</v>
      </c>
    </row>
    <row r="1353" spans="1:37">
      <c r="A1353" s="9">
        <v>15</v>
      </c>
      <c r="B1353" s="9">
        <v>2024</v>
      </c>
      <c r="C1353" s="9" t="s">
        <v>46</v>
      </c>
      <c r="D1353" s="9" t="s">
        <v>47</v>
      </c>
      <c r="E1353" s="9" t="s">
        <v>47</v>
      </c>
      <c r="F1353" s="10">
        <v>45393</v>
      </c>
      <c r="G1353" s="9" t="s">
        <v>153</v>
      </c>
      <c r="H1353" s="9" t="s">
        <v>54</v>
      </c>
      <c r="I1353" s="9">
        <v>1</v>
      </c>
      <c r="J1353" s="9">
        <v>12</v>
      </c>
      <c r="K1353" s="9">
        <v>480</v>
      </c>
      <c r="L1353" s="9">
        <v>0.33</v>
      </c>
      <c r="M1353" s="9">
        <v>158.4</v>
      </c>
      <c r="N1353" s="9" t="s">
        <v>49</v>
      </c>
      <c r="Q1353" s="9">
        <f>IF(Auction_Sales[[#This Row],[Payment Date]]=0,"",-1+WEEKNUM(Auction_Sales[[#This Row],[Payment Date]]))</f>
        <v>16</v>
      </c>
      <c r="R1353" s="9">
        <v>-240</v>
      </c>
      <c r="S1353" s="9" t="s">
        <v>153</v>
      </c>
      <c r="T1353" s="9" t="s">
        <v>54</v>
      </c>
      <c r="U1353" s="9">
        <v>720</v>
      </c>
      <c r="V1353" s="13">
        <v>0.41111111111111109</v>
      </c>
      <c r="W1353" s="13">
        <v>296</v>
      </c>
      <c r="X1353" s="14">
        <v>-33.445469387755068</v>
      </c>
      <c r="Y1353" s="13">
        <v>262.55453061224495</v>
      </c>
      <c r="Z1353" s="10">
        <v>45406</v>
      </c>
      <c r="AA1353" s="9">
        <v>240</v>
      </c>
      <c r="AC1353" s="9">
        <v>435844</v>
      </c>
      <c r="AD1353" s="14">
        <v>24.622399999999999</v>
      </c>
      <c r="AF1353" s="14">
        <v>14.4</v>
      </c>
      <c r="AH1353" s="14">
        <v>39.022399999999998</v>
      </c>
      <c r="AI1353" s="13">
        <v>223.53213061224494</v>
      </c>
      <c r="AK1353" s="9">
        <v>720</v>
      </c>
    </row>
    <row r="1354" spans="1:37">
      <c r="A1354" s="9">
        <v>15</v>
      </c>
      <c r="B1354" s="9">
        <v>2024</v>
      </c>
      <c r="C1354" s="9" t="s">
        <v>46</v>
      </c>
      <c r="D1354" s="9" t="s">
        <v>47</v>
      </c>
      <c r="E1354" s="9" t="s">
        <v>47</v>
      </c>
      <c r="F1354" s="10">
        <v>45393</v>
      </c>
      <c r="G1354" s="9" t="s">
        <v>153</v>
      </c>
      <c r="H1354" s="9" t="s">
        <v>56</v>
      </c>
      <c r="I1354" s="9">
        <v>1</v>
      </c>
      <c r="J1354" s="9">
        <v>12</v>
      </c>
      <c r="K1354" s="9">
        <v>440</v>
      </c>
      <c r="L1354" s="9">
        <v>0.38</v>
      </c>
      <c r="M1354" s="9">
        <v>167.2</v>
      </c>
      <c r="N1354" s="9" t="s">
        <v>49</v>
      </c>
      <c r="Q1354" s="9">
        <f>IF(Auction_Sales[[#This Row],[Payment Date]]=0,"",-1+WEEKNUM(Auction_Sales[[#This Row],[Payment Date]]))</f>
        <v>16</v>
      </c>
      <c r="R1354" s="9">
        <v>0</v>
      </c>
      <c r="S1354" s="9" t="s">
        <v>153</v>
      </c>
      <c r="T1354" s="9" t="s">
        <v>56</v>
      </c>
      <c r="U1354" s="9">
        <v>440</v>
      </c>
      <c r="V1354" s="13">
        <v>0.46272727272727271</v>
      </c>
      <c r="W1354" s="13">
        <v>203.6</v>
      </c>
      <c r="X1354" s="14">
        <v>-20.438897959183652</v>
      </c>
      <c r="Y1354" s="13">
        <v>183.16110204081633</v>
      </c>
      <c r="Z1354" s="10">
        <v>45406</v>
      </c>
      <c r="AA1354" s="9">
        <v>0</v>
      </c>
      <c r="AC1354" s="9">
        <v>435844</v>
      </c>
      <c r="AD1354" s="14">
        <v>24.622399999999999</v>
      </c>
      <c r="AF1354" s="14">
        <v>8.8000000000000007</v>
      </c>
      <c r="AH1354" s="14">
        <v>33.422399999999996</v>
      </c>
      <c r="AI1354" s="13">
        <v>149.73870204081635</v>
      </c>
      <c r="AK1354" s="9">
        <v>440</v>
      </c>
    </row>
    <row r="1355" spans="1:37">
      <c r="A1355" s="9">
        <v>15</v>
      </c>
      <c r="B1355" s="9">
        <v>2024</v>
      </c>
      <c r="C1355" s="9" t="s">
        <v>46</v>
      </c>
      <c r="D1355" s="9" t="s">
        <v>47</v>
      </c>
      <c r="E1355" s="9" t="s">
        <v>47</v>
      </c>
      <c r="F1355" s="10">
        <v>45393</v>
      </c>
      <c r="G1355" s="9" t="s">
        <v>153</v>
      </c>
      <c r="H1355" s="9" t="s">
        <v>57</v>
      </c>
      <c r="I1355" s="9">
        <v>1</v>
      </c>
      <c r="J1355" s="9">
        <v>12</v>
      </c>
      <c r="K1355" s="9">
        <v>320</v>
      </c>
      <c r="L1355" s="9">
        <v>0.47</v>
      </c>
      <c r="M1355" s="9">
        <v>150.4</v>
      </c>
      <c r="N1355" s="9" t="s">
        <v>49</v>
      </c>
      <c r="Q1355" s="9">
        <f>IF(Auction_Sales[[#This Row],[Payment Date]]=0,"",-1+WEEKNUM(Auction_Sales[[#This Row],[Payment Date]]))</f>
        <v>16</v>
      </c>
      <c r="R1355" s="9">
        <v>-160</v>
      </c>
      <c r="S1355" s="9" t="s">
        <v>153</v>
      </c>
      <c r="T1355" s="9" t="s">
        <v>57</v>
      </c>
      <c r="U1355" s="9">
        <v>480</v>
      </c>
      <c r="V1355" s="13">
        <v>0.55833333333333335</v>
      </c>
      <c r="W1355" s="13">
        <v>268</v>
      </c>
      <c r="X1355" s="14">
        <v>-22.296979591836713</v>
      </c>
      <c r="Y1355" s="13">
        <v>245.7030204081633</v>
      </c>
      <c r="Z1355" s="10">
        <v>45406</v>
      </c>
      <c r="AA1355" s="9">
        <v>160</v>
      </c>
      <c r="AC1355" s="9">
        <v>435844</v>
      </c>
      <c r="AD1355" s="14">
        <v>24.622399999999999</v>
      </c>
      <c r="AF1355" s="14">
        <v>9.6</v>
      </c>
      <c r="AH1355" s="14">
        <v>34.2224</v>
      </c>
      <c r="AI1355" s="13">
        <v>211.4806204081633</v>
      </c>
      <c r="AK1355" s="9">
        <v>480</v>
      </c>
    </row>
    <row r="1356" spans="1:37">
      <c r="A1356" s="9">
        <v>15</v>
      </c>
      <c r="B1356" s="9">
        <v>2024</v>
      </c>
      <c r="C1356" s="9" t="s">
        <v>46</v>
      </c>
      <c r="D1356" s="9" t="s">
        <v>47</v>
      </c>
      <c r="E1356" s="9" t="s">
        <v>47</v>
      </c>
      <c r="F1356" s="10">
        <v>45393</v>
      </c>
      <c r="G1356" s="9" t="s">
        <v>154</v>
      </c>
      <c r="H1356" s="9" t="s">
        <v>51</v>
      </c>
      <c r="I1356" s="9">
        <v>1</v>
      </c>
      <c r="J1356" s="9">
        <v>7.7142857142857153</v>
      </c>
      <c r="K1356" s="9">
        <v>360</v>
      </c>
      <c r="L1356" s="9">
        <v>0.38</v>
      </c>
      <c r="M1356" s="9">
        <v>136.80000000000001</v>
      </c>
      <c r="N1356" s="9" t="s">
        <v>49</v>
      </c>
      <c r="Q1356" s="9">
        <f>IF(Auction_Sales[[#This Row],[Payment Date]]=0,"",-1+WEEKNUM(Auction_Sales[[#This Row],[Payment Date]]))</f>
        <v>16</v>
      </c>
      <c r="R1356" s="9">
        <v>0</v>
      </c>
      <c r="S1356" s="9" t="s">
        <v>154</v>
      </c>
      <c r="T1356" s="9" t="s">
        <v>51</v>
      </c>
      <c r="U1356" s="9">
        <v>360</v>
      </c>
      <c r="V1356" s="13">
        <v>0.5477777777777777</v>
      </c>
      <c r="W1356" s="13">
        <v>197.19999999999996</v>
      </c>
      <c r="X1356" s="14">
        <v>-16.722734693877534</v>
      </c>
      <c r="Y1356" s="13">
        <v>180.47726530612243</v>
      </c>
      <c r="Z1356" s="10">
        <v>45406</v>
      </c>
      <c r="AA1356" s="9">
        <v>0</v>
      </c>
      <c r="AC1356" s="9">
        <v>435844</v>
      </c>
      <c r="AD1356" s="14">
        <v>15.828685714285715</v>
      </c>
      <c r="AF1356" s="14">
        <v>7.2</v>
      </c>
      <c r="AH1356" s="14">
        <v>23.028685714285714</v>
      </c>
      <c r="AI1356" s="13">
        <v>157.44857959183673</v>
      </c>
      <c r="AK1356" s="9">
        <v>360</v>
      </c>
    </row>
    <row r="1357" spans="1:37">
      <c r="A1357" s="9">
        <v>15</v>
      </c>
      <c r="B1357" s="9">
        <v>2024</v>
      </c>
      <c r="C1357" s="9" t="s">
        <v>46</v>
      </c>
      <c r="D1357" s="9" t="s">
        <v>47</v>
      </c>
      <c r="E1357" s="9" t="s">
        <v>47</v>
      </c>
      <c r="F1357" s="10">
        <v>45393</v>
      </c>
      <c r="G1357" s="9" t="s">
        <v>154</v>
      </c>
      <c r="H1357" s="9" t="s">
        <v>54</v>
      </c>
      <c r="J1357" s="9">
        <v>4.2857142857142856</v>
      </c>
      <c r="K1357" s="9">
        <v>200</v>
      </c>
      <c r="L1357" s="9">
        <v>0.56999999999999995</v>
      </c>
      <c r="M1357" s="9">
        <v>114</v>
      </c>
      <c r="N1357" s="9" t="s">
        <v>49</v>
      </c>
      <c r="Q1357" s="9">
        <f>IF(Auction_Sales[[#This Row],[Payment Date]]=0,"",-1+WEEKNUM(Auction_Sales[[#This Row],[Payment Date]]))</f>
        <v>16</v>
      </c>
      <c r="R1357" s="9">
        <v>0</v>
      </c>
      <c r="S1357" s="9" t="s">
        <v>154</v>
      </c>
      <c r="T1357" s="9" t="s">
        <v>54</v>
      </c>
      <c r="U1357" s="9">
        <v>200</v>
      </c>
      <c r="V1357" s="13">
        <v>1.1459999999999999</v>
      </c>
      <c r="W1357" s="13">
        <v>229.2</v>
      </c>
      <c r="X1357" s="14">
        <v>-9.2904081632652975</v>
      </c>
      <c r="Y1357" s="13">
        <v>219.90959183673471</v>
      </c>
      <c r="Z1357" s="10">
        <v>45406</v>
      </c>
      <c r="AA1357" s="9">
        <v>0</v>
      </c>
      <c r="AC1357" s="9">
        <v>435844</v>
      </c>
      <c r="AD1357" s="14">
        <v>8.7937142857142838</v>
      </c>
      <c r="AF1357" s="14">
        <v>4</v>
      </c>
      <c r="AH1357" s="14">
        <v>12.793714285714284</v>
      </c>
      <c r="AI1357" s="13">
        <v>207.11587755102042</v>
      </c>
      <c r="AK1357" s="9">
        <v>200</v>
      </c>
    </row>
    <row r="1358" spans="1:37">
      <c r="A1358" s="9">
        <v>15</v>
      </c>
      <c r="B1358" s="9">
        <v>2024</v>
      </c>
      <c r="C1358" s="9" t="s">
        <v>46</v>
      </c>
      <c r="D1358" s="9" t="s">
        <v>47</v>
      </c>
      <c r="E1358" s="9" t="s">
        <v>47</v>
      </c>
      <c r="F1358" s="10">
        <v>45393</v>
      </c>
      <c r="G1358" s="9" t="s">
        <v>153</v>
      </c>
      <c r="H1358" s="9" t="s">
        <v>54</v>
      </c>
      <c r="I1358" s="9">
        <v>1</v>
      </c>
      <c r="J1358" s="9">
        <v>4.8000000000000007</v>
      </c>
      <c r="K1358" s="9">
        <v>240</v>
      </c>
      <c r="L1358" s="9">
        <v>0.33</v>
      </c>
      <c r="M1358" s="9">
        <v>79.2</v>
      </c>
      <c r="N1358" s="9" t="s">
        <v>49</v>
      </c>
      <c r="Q1358" s="9">
        <f>IF(Auction_Sales[[#This Row],[Payment Date]]=0,"",-1+WEEKNUM(Auction_Sales[[#This Row],[Payment Date]]))</f>
        <v>16</v>
      </c>
      <c r="R1358" s="9">
        <v>240</v>
      </c>
      <c r="S1358" s="9" t="s">
        <v>153</v>
      </c>
      <c r="T1358" s="9" t="s">
        <v>54</v>
      </c>
      <c r="W1358" s="13">
        <v>0</v>
      </c>
      <c r="X1358" s="14">
        <v>0</v>
      </c>
      <c r="Y1358" s="13">
        <v>0</v>
      </c>
      <c r="Z1358" s="10">
        <v>45406</v>
      </c>
      <c r="AA1358" s="9">
        <v>-240</v>
      </c>
      <c r="AC1358" s="9">
        <v>435844</v>
      </c>
      <c r="AD1358" s="14">
        <v>9.8489600000000017</v>
      </c>
      <c r="AF1358" s="14">
        <v>0</v>
      </c>
      <c r="AH1358" s="14">
        <v>9.8489600000000017</v>
      </c>
      <c r="AI1358" s="13">
        <v>-9.8489600000000017</v>
      </c>
      <c r="AK1358" s="9">
        <v>0</v>
      </c>
    </row>
    <row r="1359" spans="1:37">
      <c r="A1359" s="9">
        <v>15</v>
      </c>
      <c r="B1359" s="9">
        <v>2024</v>
      </c>
      <c r="C1359" s="9" t="s">
        <v>46</v>
      </c>
      <c r="D1359" s="9" t="s">
        <v>47</v>
      </c>
      <c r="E1359" s="9" t="s">
        <v>47</v>
      </c>
      <c r="F1359" s="10">
        <v>45393</v>
      </c>
      <c r="G1359" s="9" t="s">
        <v>153</v>
      </c>
      <c r="H1359" s="9" t="s">
        <v>52</v>
      </c>
      <c r="J1359" s="9">
        <v>7.1999999999999993</v>
      </c>
      <c r="K1359" s="9">
        <v>360</v>
      </c>
      <c r="L1359" s="9">
        <v>0.28000000000000003</v>
      </c>
      <c r="M1359" s="9">
        <v>100.8</v>
      </c>
      <c r="N1359" s="9" t="s">
        <v>49</v>
      </c>
      <c r="Q1359" s="9">
        <f>IF(Auction_Sales[[#This Row],[Payment Date]]=0,"",-1+WEEKNUM(Auction_Sales[[#This Row],[Payment Date]]))</f>
        <v>16</v>
      </c>
      <c r="R1359" s="9">
        <v>360</v>
      </c>
      <c r="S1359" s="9" t="s">
        <v>153</v>
      </c>
      <c r="T1359" s="9" t="s">
        <v>52</v>
      </c>
      <c r="W1359" s="13">
        <v>0</v>
      </c>
      <c r="X1359" s="14">
        <v>0</v>
      </c>
      <c r="Y1359" s="13">
        <v>0</v>
      </c>
      <c r="Z1359" s="10">
        <v>45406</v>
      </c>
      <c r="AA1359" s="9">
        <v>-360</v>
      </c>
      <c r="AC1359" s="9">
        <v>435844</v>
      </c>
      <c r="AD1359" s="14">
        <v>14.773439999999997</v>
      </c>
      <c r="AF1359" s="14">
        <v>0</v>
      </c>
      <c r="AH1359" s="14">
        <v>14.773439999999997</v>
      </c>
      <c r="AI1359" s="13">
        <v>-14.773439999999997</v>
      </c>
      <c r="AK1359" s="9">
        <v>0</v>
      </c>
    </row>
    <row r="1360" spans="1:37">
      <c r="A1360" s="9">
        <v>15</v>
      </c>
      <c r="B1360" s="9">
        <v>2024</v>
      </c>
      <c r="C1360" s="9" t="s">
        <v>46</v>
      </c>
      <c r="D1360" s="9" t="s">
        <v>47</v>
      </c>
      <c r="E1360" s="9" t="s">
        <v>47</v>
      </c>
      <c r="F1360" s="10">
        <v>45393</v>
      </c>
      <c r="G1360" s="9" t="s">
        <v>154</v>
      </c>
      <c r="H1360" s="9" t="s">
        <v>52</v>
      </c>
      <c r="I1360" s="9">
        <v>1</v>
      </c>
      <c r="J1360" s="9">
        <v>10.5</v>
      </c>
      <c r="K1360" s="9">
        <v>280</v>
      </c>
      <c r="L1360" s="9">
        <v>0.52</v>
      </c>
      <c r="M1360" s="9">
        <v>145.6</v>
      </c>
      <c r="N1360" s="9" t="s">
        <v>49</v>
      </c>
      <c r="Q1360" s="9">
        <f>IF(Auction_Sales[[#This Row],[Payment Date]]=0,"",-1+WEEKNUM(Auction_Sales[[#This Row],[Payment Date]]))</f>
        <v>16</v>
      </c>
      <c r="R1360" s="9">
        <v>0</v>
      </c>
      <c r="S1360" s="9" t="s">
        <v>154</v>
      </c>
      <c r="T1360" s="9" t="s">
        <v>52</v>
      </c>
      <c r="U1360" s="9">
        <v>280</v>
      </c>
      <c r="V1360" s="13">
        <v>1.0071428571428571</v>
      </c>
      <c r="W1360" s="13">
        <v>282</v>
      </c>
      <c r="X1360" s="14">
        <v>-13.006571428571416</v>
      </c>
      <c r="Y1360" s="13">
        <v>268.99342857142858</v>
      </c>
      <c r="Z1360" s="10">
        <v>45406</v>
      </c>
      <c r="AA1360" s="9">
        <v>0</v>
      </c>
      <c r="AC1360" s="9">
        <v>435844</v>
      </c>
      <c r="AD1360" s="14">
        <v>21.544599999999999</v>
      </c>
      <c r="AF1360" s="14">
        <v>5.6000000000000005</v>
      </c>
      <c r="AH1360" s="14">
        <v>27.144600000000001</v>
      </c>
      <c r="AI1360" s="13">
        <v>241.84882857142858</v>
      </c>
      <c r="AK1360" s="9">
        <v>280</v>
      </c>
    </row>
    <row r="1361" spans="1:37">
      <c r="A1361" s="9">
        <v>15</v>
      </c>
      <c r="B1361" s="9">
        <v>2024</v>
      </c>
      <c r="C1361" s="9" t="s">
        <v>46</v>
      </c>
      <c r="D1361" s="9" t="s">
        <v>47</v>
      </c>
      <c r="E1361" s="9" t="s">
        <v>47</v>
      </c>
      <c r="F1361" s="10">
        <v>45393</v>
      </c>
      <c r="G1361" s="9" t="s">
        <v>154</v>
      </c>
      <c r="H1361" s="9" t="s">
        <v>56</v>
      </c>
      <c r="J1361" s="9">
        <v>1.5</v>
      </c>
      <c r="K1361" s="9">
        <v>40</v>
      </c>
      <c r="L1361" s="9">
        <v>0.75</v>
      </c>
      <c r="M1361" s="9">
        <v>30</v>
      </c>
      <c r="N1361" s="9" t="s">
        <v>49</v>
      </c>
      <c r="Q1361" s="9">
        <f>IF(Auction_Sales[[#This Row],[Payment Date]]=0,"",-1+WEEKNUM(Auction_Sales[[#This Row],[Payment Date]]))</f>
        <v>16</v>
      </c>
      <c r="R1361" s="9">
        <v>40</v>
      </c>
      <c r="S1361" s="9" t="s">
        <v>154</v>
      </c>
      <c r="T1361" s="9" t="s">
        <v>56</v>
      </c>
      <c r="W1361" s="13">
        <v>0</v>
      </c>
      <c r="X1361" s="14">
        <v>0</v>
      </c>
      <c r="Y1361" s="13">
        <v>0</v>
      </c>
      <c r="Z1361" s="10">
        <v>45406</v>
      </c>
      <c r="AA1361" s="9">
        <v>-40</v>
      </c>
      <c r="AC1361" s="9">
        <v>435844</v>
      </c>
      <c r="AD1361" s="14">
        <v>3.0777999999999999</v>
      </c>
      <c r="AF1361" s="14">
        <v>0</v>
      </c>
      <c r="AH1361" s="14">
        <v>3.0777999999999999</v>
      </c>
      <c r="AI1361" s="13">
        <v>-3.0777999999999999</v>
      </c>
      <c r="AK1361" s="9">
        <v>0</v>
      </c>
    </row>
    <row r="1362" spans="1:37">
      <c r="A1362" s="9">
        <v>15</v>
      </c>
      <c r="B1362" s="9">
        <v>2024</v>
      </c>
      <c r="C1362" s="9" t="s">
        <v>46</v>
      </c>
      <c r="D1362" s="9" t="s">
        <v>47</v>
      </c>
      <c r="E1362" s="9" t="s">
        <v>47</v>
      </c>
      <c r="F1362" s="10">
        <v>45393</v>
      </c>
      <c r="G1362" s="9" t="s">
        <v>155</v>
      </c>
      <c r="H1362" s="9" t="s">
        <v>54</v>
      </c>
      <c r="I1362" s="9">
        <v>1</v>
      </c>
      <c r="J1362" s="9">
        <v>7.1999999999999993</v>
      </c>
      <c r="K1362" s="9">
        <v>240</v>
      </c>
      <c r="L1362" s="9">
        <v>0.56999999999999995</v>
      </c>
      <c r="M1362" s="9">
        <v>136.80000000000001</v>
      </c>
      <c r="N1362" s="9" t="s">
        <v>49</v>
      </c>
      <c r="Q1362" s="9">
        <f>IF(Auction_Sales[[#This Row],[Payment Date]]=0,"",-1+WEEKNUM(Auction_Sales[[#This Row],[Payment Date]]))</f>
        <v>16</v>
      </c>
      <c r="R1362" s="9">
        <v>-40</v>
      </c>
      <c r="S1362" s="9" t="s">
        <v>155</v>
      </c>
      <c r="T1362" s="9" t="s">
        <v>54</v>
      </c>
      <c r="U1362" s="9">
        <v>280</v>
      </c>
      <c r="V1362" s="13">
        <v>1.0385714285714287</v>
      </c>
      <c r="W1362" s="13">
        <v>290.8</v>
      </c>
      <c r="X1362" s="14">
        <v>-13.006571428571416</v>
      </c>
      <c r="Y1362" s="13">
        <v>277.79342857142859</v>
      </c>
      <c r="Z1362" s="10">
        <v>45406</v>
      </c>
      <c r="AA1362" s="9">
        <v>40</v>
      </c>
      <c r="AC1362" s="9">
        <v>435844</v>
      </c>
      <c r="AD1362" s="14">
        <v>14.773439999999997</v>
      </c>
      <c r="AF1362" s="14">
        <v>5.6000000000000005</v>
      </c>
      <c r="AH1362" s="14">
        <v>20.373439999999999</v>
      </c>
      <c r="AI1362" s="13">
        <v>257.41998857142858</v>
      </c>
      <c r="AK1362" s="9">
        <v>280</v>
      </c>
    </row>
    <row r="1363" spans="1:37">
      <c r="A1363" s="9">
        <v>15</v>
      </c>
      <c r="B1363" s="9">
        <v>2024</v>
      </c>
      <c r="C1363" s="9" t="s">
        <v>46</v>
      </c>
      <c r="D1363" s="9" t="s">
        <v>47</v>
      </c>
      <c r="E1363" s="9" t="s">
        <v>47</v>
      </c>
      <c r="F1363" s="10">
        <v>45393</v>
      </c>
      <c r="G1363" s="9" t="s">
        <v>155</v>
      </c>
      <c r="H1363" s="9" t="s">
        <v>52</v>
      </c>
      <c r="J1363" s="9">
        <v>4.8000000000000007</v>
      </c>
      <c r="K1363" s="9">
        <v>160</v>
      </c>
      <c r="L1363" s="9">
        <v>0.52</v>
      </c>
      <c r="M1363" s="9">
        <v>83.2</v>
      </c>
      <c r="N1363" s="9" t="s">
        <v>49</v>
      </c>
      <c r="Q1363" s="9">
        <f>IF(Auction_Sales[[#This Row],[Payment Date]]=0,"",-1+WEEKNUM(Auction_Sales[[#This Row],[Payment Date]]))</f>
        <v>16</v>
      </c>
      <c r="R1363" s="9">
        <v>-320</v>
      </c>
      <c r="S1363" s="9" t="s">
        <v>155</v>
      </c>
      <c r="T1363" s="9" t="s">
        <v>52</v>
      </c>
      <c r="U1363" s="9">
        <v>480</v>
      </c>
      <c r="V1363" s="13">
        <v>0.65333333333333343</v>
      </c>
      <c r="W1363" s="13">
        <v>313.60000000000002</v>
      </c>
      <c r="X1363" s="14">
        <v>-22.296979591836713</v>
      </c>
      <c r="Y1363" s="13">
        <v>291.30302040816332</v>
      </c>
      <c r="Z1363" s="10">
        <v>45406</v>
      </c>
      <c r="AA1363" s="9">
        <v>320</v>
      </c>
      <c r="AC1363" s="9">
        <v>435844</v>
      </c>
      <c r="AD1363" s="14">
        <v>9.8489600000000017</v>
      </c>
      <c r="AF1363" s="14">
        <v>9.6</v>
      </c>
      <c r="AH1363" s="14">
        <v>19.44896</v>
      </c>
      <c r="AI1363" s="13">
        <v>271.85406040816332</v>
      </c>
      <c r="AK1363" s="9">
        <v>480</v>
      </c>
    </row>
    <row r="1364" spans="1:37">
      <c r="A1364" s="9">
        <v>15</v>
      </c>
      <c r="B1364" s="9">
        <v>2024</v>
      </c>
      <c r="C1364" s="9" t="s">
        <v>46</v>
      </c>
      <c r="D1364" s="9" t="s">
        <v>47</v>
      </c>
      <c r="E1364" s="9" t="s">
        <v>47</v>
      </c>
      <c r="F1364" s="10">
        <v>45393</v>
      </c>
      <c r="G1364" s="9" t="s">
        <v>155</v>
      </c>
      <c r="H1364" s="9" t="s">
        <v>48</v>
      </c>
      <c r="I1364" s="9">
        <v>1</v>
      </c>
      <c r="J1364" s="9">
        <v>5.1428571428571423</v>
      </c>
      <c r="K1364" s="9">
        <v>240</v>
      </c>
      <c r="L1364" s="9">
        <v>0.47</v>
      </c>
      <c r="M1364" s="9">
        <v>112.8</v>
      </c>
      <c r="N1364" s="9" t="s">
        <v>49</v>
      </c>
      <c r="Q1364" s="9">
        <f>IF(Auction_Sales[[#This Row],[Payment Date]]=0,"",-1+WEEKNUM(Auction_Sales[[#This Row],[Payment Date]]))</f>
        <v>16</v>
      </c>
      <c r="R1364" s="9">
        <v>240</v>
      </c>
      <c r="S1364" s="9" t="s">
        <v>155</v>
      </c>
      <c r="T1364" s="9" t="s">
        <v>48</v>
      </c>
      <c r="W1364" s="13">
        <v>0</v>
      </c>
      <c r="X1364" s="14">
        <v>0</v>
      </c>
      <c r="Y1364" s="13">
        <v>0</v>
      </c>
      <c r="Z1364" s="10">
        <v>45406</v>
      </c>
      <c r="AA1364" s="9">
        <v>-240</v>
      </c>
      <c r="AC1364" s="9">
        <v>435844</v>
      </c>
      <c r="AD1364" s="14">
        <v>10.55245714285714</v>
      </c>
      <c r="AF1364" s="14">
        <v>0</v>
      </c>
      <c r="AH1364" s="14">
        <v>10.55245714285714</v>
      </c>
      <c r="AI1364" s="13">
        <v>-10.55245714285714</v>
      </c>
      <c r="AK1364" s="9">
        <v>0</v>
      </c>
    </row>
    <row r="1365" spans="1:37">
      <c r="A1365" s="9">
        <v>15</v>
      </c>
      <c r="B1365" s="9">
        <v>2024</v>
      </c>
      <c r="C1365" s="9" t="s">
        <v>46</v>
      </c>
      <c r="D1365" s="9" t="s">
        <v>47</v>
      </c>
      <c r="E1365" s="9" t="s">
        <v>47</v>
      </c>
      <c r="F1365" s="10">
        <v>45393</v>
      </c>
      <c r="G1365" s="9" t="s">
        <v>155</v>
      </c>
      <c r="H1365" s="9" t="s">
        <v>52</v>
      </c>
      <c r="J1365" s="9">
        <v>6.8571428571428568</v>
      </c>
      <c r="K1365" s="9">
        <v>320</v>
      </c>
      <c r="L1365" s="9">
        <v>0.52</v>
      </c>
      <c r="M1365" s="9">
        <v>166.4</v>
      </c>
      <c r="N1365" s="9" t="s">
        <v>49</v>
      </c>
      <c r="Q1365" s="9">
        <f>IF(Auction_Sales[[#This Row],[Payment Date]]=0,"",-1+WEEKNUM(Auction_Sales[[#This Row],[Payment Date]]))</f>
        <v>16</v>
      </c>
      <c r="R1365" s="9">
        <v>320</v>
      </c>
      <c r="S1365" s="9" t="s">
        <v>155</v>
      </c>
      <c r="T1365" s="9" t="s">
        <v>52</v>
      </c>
      <c r="W1365" s="13">
        <v>0</v>
      </c>
      <c r="X1365" s="14">
        <v>0</v>
      </c>
      <c r="Y1365" s="13">
        <v>0</v>
      </c>
      <c r="Z1365" s="10">
        <v>45406</v>
      </c>
      <c r="AA1365" s="9">
        <v>-320</v>
      </c>
      <c r="AC1365" s="9">
        <v>435844</v>
      </c>
      <c r="AD1365" s="14">
        <v>14.069942857142856</v>
      </c>
      <c r="AF1365" s="14">
        <v>0</v>
      </c>
      <c r="AH1365" s="14">
        <v>14.069942857142856</v>
      </c>
      <c r="AI1365" s="13">
        <v>-14.069942857142856</v>
      </c>
      <c r="AK1365" s="9">
        <v>0</v>
      </c>
    </row>
    <row r="1366" spans="1:37">
      <c r="A1366" s="9">
        <v>15</v>
      </c>
      <c r="B1366" s="9">
        <v>2024</v>
      </c>
      <c r="C1366" s="9" t="s">
        <v>46</v>
      </c>
      <c r="D1366" s="9" t="s">
        <v>47</v>
      </c>
      <c r="E1366" s="9" t="s">
        <v>47</v>
      </c>
      <c r="F1366" s="10">
        <v>45393</v>
      </c>
      <c r="G1366" s="9" t="s">
        <v>153</v>
      </c>
      <c r="H1366" s="9" t="s">
        <v>57</v>
      </c>
      <c r="I1366" s="9">
        <v>1</v>
      </c>
      <c r="J1366" s="9">
        <v>4.8000000000000007</v>
      </c>
      <c r="K1366" s="9">
        <v>160</v>
      </c>
      <c r="L1366" s="9">
        <v>0.47</v>
      </c>
      <c r="M1366" s="9">
        <v>75.2</v>
      </c>
      <c r="N1366" s="9" t="s">
        <v>49</v>
      </c>
      <c r="Q1366" s="9">
        <f>IF(Auction_Sales[[#This Row],[Payment Date]]=0,"",-1+WEEKNUM(Auction_Sales[[#This Row],[Payment Date]]))</f>
        <v>16</v>
      </c>
      <c r="R1366" s="9">
        <v>160</v>
      </c>
      <c r="S1366" s="9" t="s">
        <v>153</v>
      </c>
      <c r="T1366" s="9" t="s">
        <v>57</v>
      </c>
      <c r="W1366" s="13">
        <v>0</v>
      </c>
      <c r="X1366" s="14">
        <v>0</v>
      </c>
      <c r="Y1366" s="13">
        <v>0</v>
      </c>
      <c r="Z1366" s="10">
        <v>45406</v>
      </c>
      <c r="AA1366" s="9">
        <v>-160</v>
      </c>
      <c r="AC1366" s="9">
        <v>435844</v>
      </c>
      <c r="AD1366" s="14">
        <v>9.8489600000000017</v>
      </c>
      <c r="AF1366" s="14">
        <v>0</v>
      </c>
      <c r="AH1366" s="14">
        <v>9.8489600000000017</v>
      </c>
      <c r="AI1366" s="13">
        <v>-9.8489600000000017</v>
      </c>
      <c r="AK1366" s="9">
        <v>0</v>
      </c>
    </row>
    <row r="1367" spans="1:37">
      <c r="A1367" s="9">
        <v>15</v>
      </c>
      <c r="B1367" s="9">
        <v>2024</v>
      </c>
      <c r="C1367" s="9" t="s">
        <v>46</v>
      </c>
      <c r="D1367" s="9" t="s">
        <v>47</v>
      </c>
      <c r="E1367" s="9" t="s">
        <v>47</v>
      </c>
      <c r="F1367" s="10">
        <v>45393</v>
      </c>
      <c r="G1367" s="9" t="s">
        <v>153</v>
      </c>
      <c r="H1367" s="9" t="s">
        <v>52</v>
      </c>
      <c r="J1367" s="9">
        <v>7.1999999999999993</v>
      </c>
      <c r="K1367" s="9">
        <v>240</v>
      </c>
      <c r="L1367" s="9">
        <v>0.28000000000000003</v>
      </c>
      <c r="M1367" s="9">
        <v>67.2</v>
      </c>
      <c r="N1367" s="9" t="s">
        <v>49</v>
      </c>
      <c r="Q1367" s="9">
        <f>IF(Auction_Sales[[#This Row],[Payment Date]]=0,"",-1+WEEKNUM(Auction_Sales[[#This Row],[Payment Date]]))</f>
        <v>16</v>
      </c>
      <c r="R1367" s="9">
        <v>240</v>
      </c>
      <c r="S1367" s="9" t="s">
        <v>153</v>
      </c>
      <c r="T1367" s="9" t="s">
        <v>52</v>
      </c>
      <c r="W1367" s="13">
        <v>0</v>
      </c>
      <c r="X1367" s="14">
        <v>0</v>
      </c>
      <c r="Y1367" s="13">
        <v>0</v>
      </c>
      <c r="Z1367" s="10">
        <v>45406</v>
      </c>
      <c r="AA1367" s="9">
        <v>-240</v>
      </c>
      <c r="AC1367" s="9">
        <v>435844</v>
      </c>
      <c r="AD1367" s="14">
        <v>14.773439999999997</v>
      </c>
      <c r="AF1367" s="14">
        <v>0</v>
      </c>
      <c r="AH1367" s="14">
        <v>14.773439999999997</v>
      </c>
      <c r="AI1367" s="13">
        <v>-14.773439999999997</v>
      </c>
      <c r="AK1367" s="9">
        <v>0</v>
      </c>
    </row>
    <row r="1368" spans="1:37">
      <c r="A1368" s="9">
        <v>16</v>
      </c>
      <c r="B1368" s="9">
        <v>2024</v>
      </c>
      <c r="C1368" s="9" t="s">
        <v>46</v>
      </c>
      <c r="D1368" s="9" t="s">
        <v>47</v>
      </c>
      <c r="E1368" s="9" t="s">
        <v>47</v>
      </c>
      <c r="F1368" s="10">
        <v>45395</v>
      </c>
      <c r="G1368" s="9" t="s">
        <v>155</v>
      </c>
      <c r="H1368" s="9" t="s">
        <v>48</v>
      </c>
      <c r="I1368" s="9">
        <v>4</v>
      </c>
      <c r="J1368" s="9">
        <v>48</v>
      </c>
      <c r="K1368" s="9">
        <v>2080</v>
      </c>
      <c r="L1368" s="9">
        <v>0.47</v>
      </c>
      <c r="M1368" s="9">
        <v>977.6</v>
      </c>
      <c r="N1368" s="9" t="s">
        <v>49</v>
      </c>
      <c r="Q1368" s="9">
        <f>IF(Auction_Sales[[#This Row],[Payment Date]]=0,"",-1+WEEKNUM(Auction_Sales[[#This Row],[Payment Date]]))</f>
        <v>16</v>
      </c>
      <c r="R1368" s="9">
        <v>0</v>
      </c>
      <c r="S1368" s="9" t="s">
        <v>155</v>
      </c>
      <c r="T1368" s="9" t="s">
        <v>48</v>
      </c>
      <c r="U1368" s="9">
        <v>2080</v>
      </c>
      <c r="V1368" s="13">
        <v>0.66807692307692301</v>
      </c>
      <c r="W1368" s="13">
        <v>1389.6</v>
      </c>
      <c r="X1368" s="14">
        <v>-102.07894339622642</v>
      </c>
      <c r="Y1368" s="13">
        <v>1287.5210566037736</v>
      </c>
      <c r="Z1368" s="10">
        <v>45406</v>
      </c>
      <c r="AA1368" s="9">
        <v>0</v>
      </c>
      <c r="AC1368" s="9">
        <v>436718</v>
      </c>
      <c r="AD1368" s="14">
        <v>169.82714285714283</v>
      </c>
      <c r="AF1368" s="14">
        <v>41.6</v>
      </c>
      <c r="AH1368" s="14">
        <v>211.42714285714283</v>
      </c>
      <c r="AI1368" s="13">
        <v>1076.0939137466307</v>
      </c>
      <c r="AK1368" s="9">
        <v>2080</v>
      </c>
    </row>
    <row r="1369" spans="1:37">
      <c r="A1369" s="9">
        <v>16</v>
      </c>
      <c r="B1369" s="9">
        <v>2024</v>
      </c>
      <c r="C1369" s="9" t="s">
        <v>46</v>
      </c>
      <c r="D1369" s="9" t="s">
        <v>47</v>
      </c>
      <c r="E1369" s="9" t="s">
        <v>47</v>
      </c>
      <c r="F1369" s="10">
        <v>45395</v>
      </c>
      <c r="G1369" s="9" t="s">
        <v>155</v>
      </c>
      <c r="H1369" s="9" t="s">
        <v>52</v>
      </c>
      <c r="I1369" s="9">
        <v>2</v>
      </c>
      <c r="J1369" s="9">
        <v>24</v>
      </c>
      <c r="K1369" s="9">
        <v>800</v>
      </c>
      <c r="L1369" s="9">
        <v>0.52</v>
      </c>
      <c r="M1369" s="9">
        <v>416</v>
      </c>
      <c r="N1369" s="9" t="s">
        <v>49</v>
      </c>
      <c r="Q1369" s="9">
        <f>IF(Auction_Sales[[#This Row],[Payment Date]]=0,"",-1+WEEKNUM(Auction_Sales[[#This Row],[Payment Date]]))</f>
        <v>16</v>
      </c>
      <c r="R1369" s="9">
        <v>-120</v>
      </c>
      <c r="S1369" s="9" t="s">
        <v>155</v>
      </c>
      <c r="T1369" s="9" t="s">
        <v>52</v>
      </c>
      <c r="U1369" s="9">
        <v>920</v>
      </c>
      <c r="V1369" s="13">
        <v>0.657391304347826</v>
      </c>
      <c r="W1369" s="13">
        <v>604.79999999999995</v>
      </c>
      <c r="X1369" s="14">
        <v>-45.150301886792455</v>
      </c>
      <c r="Y1369" s="13">
        <v>559.64969811320748</v>
      </c>
      <c r="Z1369" s="10">
        <v>45406</v>
      </c>
      <c r="AA1369" s="9">
        <v>120</v>
      </c>
      <c r="AC1369" s="9">
        <v>436718</v>
      </c>
      <c r="AD1369" s="14">
        <v>84.913571428571416</v>
      </c>
      <c r="AF1369" s="14">
        <v>18.400000000000002</v>
      </c>
      <c r="AH1369" s="14">
        <v>103.31357142857142</v>
      </c>
      <c r="AI1369" s="13">
        <v>456.33612668463604</v>
      </c>
      <c r="AK1369" s="9">
        <v>920</v>
      </c>
    </row>
    <row r="1370" spans="1:37">
      <c r="A1370" s="9">
        <v>16</v>
      </c>
      <c r="B1370" s="9">
        <v>2024</v>
      </c>
      <c r="C1370" s="9" t="s">
        <v>46</v>
      </c>
      <c r="D1370" s="9" t="s">
        <v>47</v>
      </c>
      <c r="E1370" s="9" t="s">
        <v>47</v>
      </c>
      <c r="F1370" s="10">
        <v>45395</v>
      </c>
      <c r="G1370" s="9" t="s">
        <v>155</v>
      </c>
      <c r="H1370" s="9" t="s">
        <v>54</v>
      </c>
      <c r="I1370" s="9">
        <v>2</v>
      </c>
      <c r="J1370" s="9">
        <v>24</v>
      </c>
      <c r="K1370" s="9">
        <v>640</v>
      </c>
      <c r="L1370" s="9">
        <v>0.56999999999999995</v>
      </c>
      <c r="M1370" s="9">
        <v>364.8</v>
      </c>
      <c r="N1370" s="9" t="s">
        <v>49</v>
      </c>
      <c r="Q1370" s="9">
        <f>IF(Auction_Sales[[#This Row],[Payment Date]]=0,"",-1+WEEKNUM(Auction_Sales[[#This Row],[Payment Date]]))</f>
        <v>16</v>
      </c>
      <c r="R1370" s="9">
        <v>-80</v>
      </c>
      <c r="S1370" s="9" t="s">
        <v>155</v>
      </c>
      <c r="T1370" s="9" t="s">
        <v>54</v>
      </c>
      <c r="U1370" s="9">
        <v>720</v>
      </c>
      <c r="V1370" s="13">
        <v>0.9850000000000001</v>
      </c>
      <c r="W1370" s="13">
        <v>709.2</v>
      </c>
      <c r="X1370" s="14">
        <v>-35.335018867924532</v>
      </c>
      <c r="Y1370" s="13">
        <v>673.86498113207551</v>
      </c>
      <c r="Z1370" s="10">
        <v>45406</v>
      </c>
      <c r="AA1370" s="9">
        <v>80</v>
      </c>
      <c r="AC1370" s="9">
        <v>436718</v>
      </c>
      <c r="AD1370" s="14">
        <v>84.913571428571416</v>
      </c>
      <c r="AF1370" s="14">
        <v>14.4</v>
      </c>
      <c r="AH1370" s="14">
        <v>99.313571428571422</v>
      </c>
      <c r="AI1370" s="13">
        <v>574.55140970350408</v>
      </c>
      <c r="AK1370" s="9">
        <v>720</v>
      </c>
    </row>
    <row r="1371" spans="1:37">
      <c r="A1371" s="9">
        <v>16</v>
      </c>
      <c r="B1371" s="9">
        <v>2024</v>
      </c>
      <c r="C1371" s="9" t="s">
        <v>46</v>
      </c>
      <c r="D1371" s="9" t="s">
        <v>47</v>
      </c>
      <c r="E1371" s="9" t="s">
        <v>47</v>
      </c>
      <c r="F1371" s="10">
        <v>45395</v>
      </c>
      <c r="G1371" s="9" t="s">
        <v>155</v>
      </c>
      <c r="H1371" s="9" t="s">
        <v>56</v>
      </c>
      <c r="I1371" s="9">
        <v>1</v>
      </c>
      <c r="J1371" s="9">
        <v>12</v>
      </c>
      <c r="K1371" s="9">
        <v>240</v>
      </c>
      <c r="L1371" s="9">
        <v>0.75</v>
      </c>
      <c r="M1371" s="9">
        <v>180</v>
      </c>
      <c r="N1371" s="9" t="s">
        <v>49</v>
      </c>
      <c r="Q1371" s="9">
        <f>IF(Auction_Sales[[#This Row],[Payment Date]]=0,"",-1+WEEKNUM(Auction_Sales[[#This Row],[Payment Date]]))</f>
        <v>16</v>
      </c>
      <c r="R1371" s="9">
        <v>-160</v>
      </c>
      <c r="S1371" s="9" t="s">
        <v>155</v>
      </c>
      <c r="T1371" s="9" t="s">
        <v>56</v>
      </c>
      <c r="U1371" s="9">
        <v>400</v>
      </c>
      <c r="V1371" s="13">
        <v>0.71400000000000008</v>
      </c>
      <c r="W1371" s="13">
        <v>285.60000000000002</v>
      </c>
      <c r="X1371" s="14">
        <v>-19.63056603773585</v>
      </c>
      <c r="Y1371" s="13">
        <v>265.96943396226419</v>
      </c>
      <c r="Z1371" s="10">
        <v>45406</v>
      </c>
      <c r="AA1371" s="9">
        <v>160</v>
      </c>
      <c r="AC1371" s="9">
        <v>436718</v>
      </c>
      <c r="AD1371" s="14">
        <v>42.456785714285708</v>
      </c>
      <c r="AF1371" s="14">
        <v>8</v>
      </c>
      <c r="AH1371" s="14">
        <v>50.456785714285708</v>
      </c>
      <c r="AI1371" s="13">
        <v>215.51264824797849</v>
      </c>
      <c r="AK1371" s="9">
        <v>400</v>
      </c>
    </row>
    <row r="1372" spans="1:37">
      <c r="A1372" s="9">
        <v>16</v>
      </c>
      <c r="B1372" s="9">
        <v>2024</v>
      </c>
      <c r="C1372" s="9" t="s">
        <v>46</v>
      </c>
      <c r="D1372" s="9" t="s">
        <v>47</v>
      </c>
      <c r="E1372" s="9" t="s">
        <v>47</v>
      </c>
      <c r="F1372" s="10">
        <v>45395</v>
      </c>
      <c r="G1372" s="9" t="s">
        <v>155</v>
      </c>
      <c r="H1372" s="9" t="s">
        <v>57</v>
      </c>
      <c r="I1372" s="9">
        <v>2</v>
      </c>
      <c r="J1372" s="9">
        <v>24</v>
      </c>
      <c r="K1372" s="9">
        <v>400</v>
      </c>
      <c r="L1372" s="9">
        <v>0.94</v>
      </c>
      <c r="M1372" s="9">
        <v>376</v>
      </c>
      <c r="N1372" s="9" t="s">
        <v>49</v>
      </c>
      <c r="Q1372" s="9">
        <f>IF(Auction_Sales[[#This Row],[Payment Date]]=0,"",-1+WEEKNUM(Auction_Sales[[#This Row],[Payment Date]]))</f>
        <v>16</v>
      </c>
      <c r="R1372" s="9">
        <v>-40</v>
      </c>
      <c r="S1372" s="9" t="s">
        <v>155</v>
      </c>
      <c r="T1372" s="9" t="s">
        <v>57</v>
      </c>
      <c r="U1372" s="9">
        <v>440</v>
      </c>
      <c r="V1372" s="13">
        <v>0.92818181818181811</v>
      </c>
      <c r="W1372" s="13">
        <v>408.4</v>
      </c>
      <c r="X1372" s="14">
        <v>-21.593622641509437</v>
      </c>
      <c r="Y1372" s="13">
        <v>386.80637735849052</v>
      </c>
      <c r="Z1372" s="10">
        <v>45406</v>
      </c>
      <c r="AA1372" s="9">
        <v>40</v>
      </c>
      <c r="AC1372" s="9">
        <v>436718</v>
      </c>
      <c r="AD1372" s="14">
        <v>84.913571428571416</v>
      </c>
      <c r="AF1372" s="14">
        <v>8.8000000000000007</v>
      </c>
      <c r="AH1372" s="14">
        <v>93.713571428571413</v>
      </c>
      <c r="AI1372" s="13">
        <v>293.09280592991911</v>
      </c>
      <c r="AK1372" s="9">
        <v>440</v>
      </c>
    </row>
    <row r="1373" spans="1:37">
      <c r="A1373" s="9">
        <v>16</v>
      </c>
      <c r="B1373" s="9">
        <v>2024</v>
      </c>
      <c r="C1373" s="9" t="s">
        <v>46</v>
      </c>
      <c r="D1373" s="9" t="s">
        <v>47</v>
      </c>
      <c r="E1373" s="9" t="s">
        <v>47</v>
      </c>
      <c r="F1373" s="10">
        <v>45395</v>
      </c>
      <c r="G1373" s="9" t="s">
        <v>154</v>
      </c>
      <c r="H1373" s="9" t="s">
        <v>48</v>
      </c>
      <c r="I1373" s="9">
        <v>1</v>
      </c>
      <c r="J1373" s="9">
        <v>12</v>
      </c>
      <c r="K1373" s="9">
        <v>480</v>
      </c>
      <c r="L1373" s="9">
        <v>0.47</v>
      </c>
      <c r="M1373" s="9">
        <v>225.6</v>
      </c>
      <c r="N1373" s="9" t="s">
        <v>49</v>
      </c>
      <c r="Q1373" s="9">
        <f>IF(Auction_Sales[[#This Row],[Payment Date]]=0,"",-1+WEEKNUM(Auction_Sales[[#This Row],[Payment Date]]))</f>
        <v>16</v>
      </c>
      <c r="R1373" s="9">
        <v>-120</v>
      </c>
      <c r="S1373" s="9" t="s">
        <v>154</v>
      </c>
      <c r="T1373" s="9" t="s">
        <v>48</v>
      </c>
      <c r="U1373" s="9">
        <v>600</v>
      </c>
      <c r="V1373" s="13">
        <v>0.59799999999999998</v>
      </c>
      <c r="W1373" s="13">
        <v>358.8</v>
      </c>
      <c r="X1373" s="14">
        <v>-29.445849056603773</v>
      </c>
      <c r="Y1373" s="13">
        <v>329.35415094339623</v>
      </c>
      <c r="Z1373" s="10">
        <v>45406</v>
      </c>
      <c r="AA1373" s="9">
        <v>120</v>
      </c>
      <c r="AC1373" s="9">
        <v>436718</v>
      </c>
      <c r="AD1373" s="14">
        <v>42.456785714285708</v>
      </c>
      <c r="AF1373" s="14">
        <v>12</v>
      </c>
      <c r="AH1373" s="14">
        <v>54.456785714285708</v>
      </c>
      <c r="AI1373" s="13">
        <v>274.89736522911051</v>
      </c>
      <c r="AK1373" s="9">
        <v>600</v>
      </c>
    </row>
    <row r="1374" spans="1:37">
      <c r="A1374" s="9">
        <v>16</v>
      </c>
      <c r="B1374" s="9">
        <v>2024</v>
      </c>
      <c r="C1374" s="9" t="s">
        <v>46</v>
      </c>
      <c r="D1374" s="9" t="s">
        <v>47</v>
      </c>
      <c r="E1374" s="9" t="s">
        <v>47</v>
      </c>
      <c r="F1374" s="10">
        <v>45395</v>
      </c>
      <c r="G1374" s="9" t="s">
        <v>154</v>
      </c>
      <c r="H1374" s="9" t="s">
        <v>52</v>
      </c>
      <c r="I1374" s="9">
        <v>2</v>
      </c>
      <c r="J1374" s="9">
        <v>24</v>
      </c>
      <c r="K1374" s="9">
        <v>800</v>
      </c>
      <c r="L1374" s="9">
        <v>0.52</v>
      </c>
      <c r="M1374" s="9">
        <v>416</v>
      </c>
      <c r="N1374" s="9" t="s">
        <v>49</v>
      </c>
      <c r="Q1374" s="9">
        <f>IF(Auction_Sales[[#This Row],[Payment Date]]=0,"",-1+WEEKNUM(Auction_Sales[[#This Row],[Payment Date]]))</f>
        <v>16</v>
      </c>
      <c r="R1374" s="9">
        <v>-120</v>
      </c>
      <c r="S1374" s="9" t="s">
        <v>154</v>
      </c>
      <c r="T1374" s="9" t="s">
        <v>52</v>
      </c>
      <c r="U1374" s="9">
        <v>920</v>
      </c>
      <c r="V1374" s="13">
        <v>0.67565217391304355</v>
      </c>
      <c r="W1374" s="13">
        <v>621.6</v>
      </c>
      <c r="X1374" s="14">
        <v>-45.150301886792455</v>
      </c>
      <c r="Y1374" s="13">
        <v>576.44969811320755</v>
      </c>
      <c r="Z1374" s="10">
        <v>45406</v>
      </c>
      <c r="AA1374" s="9">
        <v>120</v>
      </c>
      <c r="AC1374" s="9">
        <v>436718</v>
      </c>
      <c r="AD1374" s="14">
        <v>84.913571428571416</v>
      </c>
      <c r="AF1374" s="14">
        <v>18.400000000000002</v>
      </c>
      <c r="AH1374" s="14">
        <v>103.31357142857142</v>
      </c>
      <c r="AI1374" s="13">
        <v>473.13612668463611</v>
      </c>
      <c r="AK1374" s="9">
        <v>920</v>
      </c>
    </row>
    <row r="1375" spans="1:37">
      <c r="A1375" s="9">
        <v>16</v>
      </c>
      <c r="B1375" s="9">
        <v>2024</v>
      </c>
      <c r="C1375" s="9" t="s">
        <v>46</v>
      </c>
      <c r="D1375" s="9" t="s">
        <v>47</v>
      </c>
      <c r="E1375" s="9" t="s">
        <v>47</v>
      </c>
      <c r="F1375" s="10">
        <v>45395</v>
      </c>
      <c r="G1375" s="9" t="s">
        <v>154</v>
      </c>
      <c r="H1375" s="9" t="s">
        <v>54</v>
      </c>
      <c r="I1375" s="9">
        <v>1</v>
      </c>
      <c r="J1375" s="9">
        <v>12</v>
      </c>
      <c r="K1375" s="9">
        <v>320</v>
      </c>
      <c r="L1375" s="9">
        <v>0.56999999999999995</v>
      </c>
      <c r="M1375" s="9">
        <v>182.4</v>
      </c>
      <c r="N1375" s="9" t="s">
        <v>49</v>
      </c>
      <c r="Q1375" s="9">
        <f>IF(Auction_Sales[[#This Row],[Payment Date]]=0,"",-1+WEEKNUM(Auction_Sales[[#This Row],[Payment Date]]))</f>
        <v>16</v>
      </c>
      <c r="R1375" s="9">
        <v>320</v>
      </c>
      <c r="S1375" s="9" t="s">
        <v>154</v>
      </c>
      <c r="T1375" s="9" t="s">
        <v>54</v>
      </c>
      <c r="W1375" s="13">
        <v>0</v>
      </c>
      <c r="X1375" s="14">
        <v>0</v>
      </c>
      <c r="Y1375" s="13">
        <v>0</v>
      </c>
      <c r="Z1375" s="10">
        <v>45406</v>
      </c>
      <c r="AA1375" s="9">
        <v>-320</v>
      </c>
      <c r="AC1375" s="9">
        <v>436718</v>
      </c>
      <c r="AD1375" s="14">
        <v>42.456785714285708</v>
      </c>
      <c r="AF1375" s="14">
        <v>0</v>
      </c>
      <c r="AH1375" s="14">
        <v>42.456785714285708</v>
      </c>
      <c r="AI1375" s="13">
        <v>-42.456785714285708</v>
      </c>
      <c r="AK1375" s="9">
        <v>0</v>
      </c>
    </row>
    <row r="1376" spans="1:37">
      <c r="A1376" s="9">
        <v>16</v>
      </c>
      <c r="B1376" s="9">
        <v>2024</v>
      </c>
      <c r="C1376" s="9" t="s">
        <v>46</v>
      </c>
      <c r="D1376" s="9" t="s">
        <v>47</v>
      </c>
      <c r="E1376" s="9" t="s">
        <v>47</v>
      </c>
      <c r="F1376" s="10">
        <v>45395</v>
      </c>
      <c r="G1376" s="9" t="s">
        <v>154</v>
      </c>
      <c r="H1376" s="9" t="s">
        <v>56</v>
      </c>
      <c r="I1376" s="9">
        <v>2</v>
      </c>
      <c r="J1376" s="9">
        <v>24</v>
      </c>
      <c r="K1376" s="9">
        <v>480</v>
      </c>
      <c r="L1376" s="9">
        <v>0.75</v>
      </c>
      <c r="M1376" s="9">
        <v>360</v>
      </c>
      <c r="N1376" s="9" t="s">
        <v>49</v>
      </c>
      <c r="Q1376" s="9">
        <f>IF(Auction_Sales[[#This Row],[Payment Date]]=0,"",-1+WEEKNUM(Auction_Sales[[#This Row],[Payment Date]]))</f>
        <v>16</v>
      </c>
      <c r="R1376" s="9">
        <v>-80</v>
      </c>
      <c r="S1376" s="9" t="s">
        <v>154</v>
      </c>
      <c r="T1376" s="9" t="s">
        <v>56</v>
      </c>
      <c r="U1376" s="9">
        <v>560</v>
      </c>
      <c r="V1376" s="13">
        <v>0.62428571428571433</v>
      </c>
      <c r="W1376" s="13">
        <v>349.6</v>
      </c>
      <c r="X1376" s="14">
        <v>-27.482792452830193</v>
      </c>
      <c r="Y1376" s="13">
        <v>322.11720754716981</v>
      </c>
      <c r="Z1376" s="10">
        <v>45406</v>
      </c>
      <c r="AA1376" s="9">
        <v>80</v>
      </c>
      <c r="AC1376" s="9">
        <v>436718</v>
      </c>
      <c r="AD1376" s="14">
        <v>84.913571428571416</v>
      </c>
      <c r="AF1376" s="14">
        <v>11.200000000000001</v>
      </c>
      <c r="AH1376" s="14">
        <v>96.113571428571419</v>
      </c>
      <c r="AI1376" s="13">
        <v>226.00363611859839</v>
      </c>
      <c r="AK1376" s="9">
        <v>560</v>
      </c>
    </row>
    <row r="1377" spans="1:37">
      <c r="A1377" s="9">
        <v>16</v>
      </c>
      <c r="B1377" s="9">
        <v>2024</v>
      </c>
      <c r="C1377" s="9" t="s">
        <v>46</v>
      </c>
      <c r="D1377" s="9" t="s">
        <v>47</v>
      </c>
      <c r="E1377" s="9" t="s">
        <v>47</v>
      </c>
      <c r="F1377" s="10">
        <v>45395</v>
      </c>
      <c r="G1377" s="9" t="s">
        <v>154</v>
      </c>
      <c r="H1377" s="9" t="s">
        <v>57</v>
      </c>
      <c r="I1377" s="9">
        <v>2</v>
      </c>
      <c r="J1377" s="9">
        <v>24</v>
      </c>
      <c r="K1377" s="9">
        <v>400</v>
      </c>
      <c r="L1377" s="9">
        <v>0.94</v>
      </c>
      <c r="M1377" s="9">
        <v>376</v>
      </c>
      <c r="N1377" s="9" t="s">
        <v>49</v>
      </c>
      <c r="Q1377" s="9">
        <f>IF(Auction_Sales[[#This Row],[Payment Date]]=0,"",-1+WEEKNUM(Auction_Sales[[#This Row],[Payment Date]]))</f>
        <v>16</v>
      </c>
      <c r="R1377" s="9">
        <v>-40</v>
      </c>
      <c r="S1377" s="9" t="s">
        <v>154</v>
      </c>
      <c r="T1377" s="9" t="s">
        <v>57</v>
      </c>
      <c r="U1377" s="9">
        <v>440</v>
      </c>
      <c r="V1377" s="13">
        <v>0.72</v>
      </c>
      <c r="W1377" s="13">
        <v>316.8</v>
      </c>
      <c r="X1377" s="14">
        <v>-21.593622641509437</v>
      </c>
      <c r="Y1377" s="13">
        <v>295.20637735849056</v>
      </c>
      <c r="Z1377" s="10">
        <v>45406</v>
      </c>
      <c r="AA1377" s="9">
        <v>40</v>
      </c>
      <c r="AC1377" s="9">
        <v>436718</v>
      </c>
      <c r="AD1377" s="14">
        <v>84.913571428571416</v>
      </c>
      <c r="AF1377" s="14">
        <v>8.8000000000000007</v>
      </c>
      <c r="AH1377" s="14">
        <v>93.713571428571413</v>
      </c>
      <c r="AI1377" s="13">
        <v>201.49280592991914</v>
      </c>
      <c r="AK1377" s="9">
        <v>440</v>
      </c>
    </row>
    <row r="1378" spans="1:37">
      <c r="A1378" s="9">
        <v>16</v>
      </c>
      <c r="B1378" s="9">
        <v>2024</v>
      </c>
      <c r="C1378" s="9" t="s">
        <v>46</v>
      </c>
      <c r="D1378" s="9" t="s">
        <v>47</v>
      </c>
      <c r="E1378" s="9" t="s">
        <v>47</v>
      </c>
      <c r="F1378" s="10">
        <v>45395</v>
      </c>
      <c r="G1378" s="9" t="s">
        <v>153</v>
      </c>
      <c r="H1378" s="9" t="s">
        <v>56</v>
      </c>
      <c r="I1378" s="9">
        <v>1</v>
      </c>
      <c r="J1378" s="9">
        <v>12</v>
      </c>
      <c r="K1378" s="9">
        <v>360</v>
      </c>
      <c r="L1378" s="9">
        <v>0.38</v>
      </c>
      <c r="M1378" s="9">
        <v>136.80000000000001</v>
      </c>
      <c r="N1378" s="9" t="s">
        <v>49</v>
      </c>
      <c r="Q1378" s="9">
        <f>IF(Auction_Sales[[#This Row],[Payment Date]]=0,"",-1+WEEKNUM(Auction_Sales[[#This Row],[Payment Date]]))</f>
        <v>16</v>
      </c>
      <c r="R1378" s="9">
        <v>0</v>
      </c>
      <c r="S1378" s="9" t="s">
        <v>153</v>
      </c>
      <c r="T1378" s="9" t="s">
        <v>56</v>
      </c>
      <c r="U1378" s="9">
        <v>360</v>
      </c>
      <c r="V1378" s="13">
        <v>0.63555555555555554</v>
      </c>
      <c r="W1378" s="13">
        <v>228.79999999999998</v>
      </c>
      <c r="X1378" s="14">
        <v>-17.667509433962266</v>
      </c>
      <c r="Y1378" s="13">
        <v>211.13249056603772</v>
      </c>
      <c r="Z1378" s="10">
        <v>45406</v>
      </c>
      <c r="AA1378" s="9">
        <v>0</v>
      </c>
      <c r="AC1378" s="9">
        <v>436718</v>
      </c>
      <c r="AD1378" s="14">
        <v>42.456785714285708</v>
      </c>
      <c r="AF1378" s="14">
        <v>7.2</v>
      </c>
      <c r="AH1378" s="14">
        <v>49.656785714285711</v>
      </c>
      <c r="AI1378" s="13">
        <v>161.475704851752</v>
      </c>
      <c r="AK1378" s="9">
        <v>360</v>
      </c>
    </row>
    <row r="1379" spans="1:37">
      <c r="A1379" s="9">
        <v>16</v>
      </c>
      <c r="B1379" s="9">
        <v>2024</v>
      </c>
      <c r="C1379" s="9" t="s">
        <v>46</v>
      </c>
      <c r="D1379" s="9" t="s">
        <v>47</v>
      </c>
      <c r="E1379" s="9" t="s">
        <v>47</v>
      </c>
      <c r="F1379" s="10">
        <v>45395</v>
      </c>
      <c r="G1379" s="9" t="s">
        <v>153</v>
      </c>
      <c r="H1379" s="9" t="s">
        <v>54</v>
      </c>
      <c r="I1379" s="9">
        <v>1</v>
      </c>
      <c r="J1379" s="9">
        <v>12</v>
      </c>
      <c r="K1379" s="9">
        <v>400</v>
      </c>
      <c r="L1379" s="9">
        <v>0.33</v>
      </c>
      <c r="M1379" s="9">
        <v>132</v>
      </c>
      <c r="N1379" s="9" t="s">
        <v>49</v>
      </c>
      <c r="Q1379" s="9">
        <f>IF(Auction_Sales[[#This Row],[Payment Date]]=0,"",-1+WEEKNUM(Auction_Sales[[#This Row],[Payment Date]]))</f>
        <v>16</v>
      </c>
      <c r="R1379" s="9">
        <v>400</v>
      </c>
      <c r="S1379" s="9" t="s">
        <v>153</v>
      </c>
      <c r="T1379" s="9" t="s">
        <v>54</v>
      </c>
      <c r="W1379" s="13">
        <v>0</v>
      </c>
      <c r="X1379" s="14">
        <v>0</v>
      </c>
      <c r="Y1379" s="13">
        <v>0</v>
      </c>
      <c r="Z1379" s="10">
        <v>45406</v>
      </c>
      <c r="AA1379" s="9">
        <v>-400</v>
      </c>
      <c r="AC1379" s="9">
        <v>436718</v>
      </c>
      <c r="AD1379" s="14">
        <v>42.456785714285708</v>
      </c>
      <c r="AF1379" s="14">
        <v>0</v>
      </c>
      <c r="AH1379" s="14">
        <v>42.456785714285708</v>
      </c>
      <c r="AI1379" s="13">
        <v>-42.456785714285708</v>
      </c>
      <c r="AK1379" s="9">
        <v>0</v>
      </c>
    </row>
    <row r="1380" spans="1:37">
      <c r="A1380" s="9">
        <v>16</v>
      </c>
      <c r="B1380" s="9">
        <v>2024</v>
      </c>
      <c r="C1380" s="9" t="s">
        <v>46</v>
      </c>
      <c r="D1380" s="9" t="s">
        <v>47</v>
      </c>
      <c r="E1380" s="9" t="s">
        <v>47</v>
      </c>
      <c r="F1380" s="10">
        <v>45395</v>
      </c>
      <c r="G1380" s="9" t="s">
        <v>153</v>
      </c>
      <c r="H1380" s="9" t="s">
        <v>54</v>
      </c>
      <c r="I1380" s="9">
        <v>1</v>
      </c>
      <c r="J1380" s="9">
        <v>12</v>
      </c>
      <c r="K1380" s="9">
        <v>480</v>
      </c>
      <c r="L1380" s="9">
        <v>0.33</v>
      </c>
      <c r="M1380" s="9">
        <v>158.4</v>
      </c>
      <c r="N1380" s="9" t="s">
        <v>49</v>
      </c>
      <c r="Q1380" s="9">
        <f>IF(Auction_Sales[[#This Row],[Payment Date]]=0,"",-1+WEEKNUM(Auction_Sales[[#This Row],[Payment Date]]))</f>
        <v>16</v>
      </c>
      <c r="R1380" s="9">
        <v>-400</v>
      </c>
      <c r="S1380" s="9" t="s">
        <v>153</v>
      </c>
      <c r="T1380" s="9" t="s">
        <v>54</v>
      </c>
      <c r="U1380" s="9">
        <v>880</v>
      </c>
      <c r="V1380" s="13">
        <v>0.36954545454545451</v>
      </c>
      <c r="W1380" s="13">
        <v>325.2</v>
      </c>
      <c r="X1380" s="14">
        <v>-43.187245283018875</v>
      </c>
      <c r="Y1380" s="13">
        <v>282.01275471698114</v>
      </c>
      <c r="Z1380" s="10">
        <v>45406</v>
      </c>
      <c r="AA1380" s="9">
        <v>400</v>
      </c>
      <c r="AC1380" s="9">
        <v>436718</v>
      </c>
      <c r="AD1380" s="14">
        <v>42.456785714285708</v>
      </c>
      <c r="AF1380" s="14">
        <v>17.600000000000001</v>
      </c>
      <c r="AH1380" s="14">
        <v>60.056785714285709</v>
      </c>
      <c r="AI1380" s="13">
        <v>221.95596900269544</v>
      </c>
      <c r="AK1380" s="9">
        <v>880</v>
      </c>
    </row>
    <row r="1381" spans="1:37">
      <c r="A1381" s="9">
        <v>16</v>
      </c>
      <c r="B1381" s="9">
        <v>2024</v>
      </c>
      <c r="C1381" s="9" t="s">
        <v>46</v>
      </c>
      <c r="D1381" s="9" t="s">
        <v>47</v>
      </c>
      <c r="E1381" s="9" t="s">
        <v>47</v>
      </c>
      <c r="F1381" s="10">
        <v>45395</v>
      </c>
      <c r="G1381" s="9" t="s">
        <v>153</v>
      </c>
      <c r="H1381" s="9" t="s">
        <v>52</v>
      </c>
      <c r="I1381" s="9">
        <v>1</v>
      </c>
      <c r="J1381" s="9">
        <v>12</v>
      </c>
      <c r="K1381" s="9">
        <v>520</v>
      </c>
      <c r="L1381" s="9">
        <v>0.28000000000000003</v>
      </c>
      <c r="M1381" s="9">
        <v>145.6</v>
      </c>
      <c r="N1381" s="9" t="s">
        <v>49</v>
      </c>
      <c r="Q1381" s="9">
        <f>IF(Auction_Sales[[#This Row],[Payment Date]]=0,"",-1+WEEKNUM(Auction_Sales[[#This Row],[Payment Date]]))</f>
        <v>16</v>
      </c>
      <c r="R1381" s="9">
        <v>-480</v>
      </c>
      <c r="S1381" s="9" t="s">
        <v>153</v>
      </c>
      <c r="T1381" s="9" t="s">
        <v>52</v>
      </c>
      <c r="U1381" s="9">
        <v>1000</v>
      </c>
      <c r="V1381" s="13">
        <v>0.32200000000000001</v>
      </c>
      <c r="W1381" s="13">
        <v>322</v>
      </c>
      <c r="X1381" s="14">
        <v>-49.07641509433963</v>
      </c>
      <c r="Y1381" s="13">
        <v>272.92358490566039</v>
      </c>
      <c r="Z1381" s="10">
        <v>45406</v>
      </c>
      <c r="AA1381" s="9">
        <v>480</v>
      </c>
      <c r="AC1381" s="9">
        <v>436718</v>
      </c>
      <c r="AD1381" s="14">
        <v>42.456785714285708</v>
      </c>
      <c r="AF1381" s="14">
        <v>20</v>
      </c>
      <c r="AH1381" s="14">
        <v>62.456785714285708</v>
      </c>
      <c r="AI1381" s="13">
        <v>210.46679919137469</v>
      </c>
      <c r="AK1381" s="9">
        <v>1000</v>
      </c>
    </row>
    <row r="1382" spans="1:37">
      <c r="A1382" s="9">
        <v>16</v>
      </c>
      <c r="B1382" s="9">
        <v>2024</v>
      </c>
      <c r="C1382" s="9" t="s">
        <v>46</v>
      </c>
      <c r="D1382" s="9" t="s">
        <v>47</v>
      </c>
      <c r="E1382" s="9" t="s">
        <v>47</v>
      </c>
      <c r="F1382" s="10">
        <v>45395</v>
      </c>
      <c r="G1382" s="9" t="s">
        <v>153</v>
      </c>
      <c r="H1382" s="9" t="s">
        <v>54</v>
      </c>
      <c r="I1382" s="9">
        <v>1</v>
      </c>
      <c r="J1382" s="9">
        <v>8.5714285714285712</v>
      </c>
      <c r="K1382" s="9">
        <v>400</v>
      </c>
      <c r="L1382" s="9">
        <v>0.33</v>
      </c>
      <c r="M1382" s="9">
        <v>132</v>
      </c>
      <c r="N1382" s="9" t="s">
        <v>49</v>
      </c>
      <c r="Q1382" s="9">
        <f>IF(Auction_Sales[[#This Row],[Payment Date]]=0,"",-1+WEEKNUM(Auction_Sales[[#This Row],[Payment Date]]))</f>
        <v>16</v>
      </c>
      <c r="R1382" s="9">
        <v>400</v>
      </c>
      <c r="S1382" s="9" t="s">
        <v>153</v>
      </c>
      <c r="T1382" s="9" t="s">
        <v>54</v>
      </c>
      <c r="W1382" s="13">
        <v>0</v>
      </c>
      <c r="X1382" s="14">
        <v>0</v>
      </c>
      <c r="Y1382" s="13">
        <v>0</v>
      </c>
      <c r="Z1382" s="10">
        <v>45406</v>
      </c>
      <c r="AA1382" s="9">
        <v>-400</v>
      </c>
      <c r="AC1382" s="9">
        <v>436718</v>
      </c>
      <c r="AD1382" s="14">
        <v>30.326275510204081</v>
      </c>
      <c r="AF1382" s="14">
        <v>0</v>
      </c>
      <c r="AH1382" s="14">
        <v>30.326275510204081</v>
      </c>
      <c r="AI1382" s="13">
        <v>-30.326275510204081</v>
      </c>
      <c r="AK1382" s="9">
        <v>0</v>
      </c>
    </row>
    <row r="1383" spans="1:37">
      <c r="A1383" s="9">
        <v>16</v>
      </c>
      <c r="B1383" s="9">
        <v>2024</v>
      </c>
      <c r="C1383" s="9" t="s">
        <v>46</v>
      </c>
      <c r="D1383" s="9" t="s">
        <v>47</v>
      </c>
      <c r="E1383" s="9" t="s">
        <v>47</v>
      </c>
      <c r="F1383" s="10">
        <v>45395</v>
      </c>
      <c r="G1383" s="9" t="s">
        <v>153</v>
      </c>
      <c r="H1383" s="9" t="s">
        <v>52</v>
      </c>
      <c r="J1383" s="9">
        <v>3.4285714285714284</v>
      </c>
      <c r="K1383" s="9">
        <v>160</v>
      </c>
      <c r="L1383" s="9">
        <v>0.28000000000000003</v>
      </c>
      <c r="M1383" s="9">
        <v>44.8</v>
      </c>
      <c r="N1383" s="9" t="s">
        <v>49</v>
      </c>
      <c r="Q1383" s="9">
        <f>IF(Auction_Sales[[#This Row],[Payment Date]]=0,"",-1+WEEKNUM(Auction_Sales[[#This Row],[Payment Date]]))</f>
        <v>16</v>
      </c>
      <c r="R1383" s="9">
        <v>160</v>
      </c>
      <c r="S1383" s="9" t="s">
        <v>153</v>
      </c>
      <c r="T1383" s="9" t="s">
        <v>52</v>
      </c>
      <c r="W1383" s="13">
        <v>0</v>
      </c>
      <c r="X1383" s="14">
        <v>0</v>
      </c>
      <c r="Y1383" s="13">
        <v>0</v>
      </c>
      <c r="Z1383" s="10">
        <v>45406</v>
      </c>
      <c r="AA1383" s="9">
        <v>-160</v>
      </c>
      <c r="AC1383" s="9">
        <v>436718</v>
      </c>
      <c r="AD1383" s="14">
        <v>12.130510204081631</v>
      </c>
      <c r="AF1383" s="14">
        <v>0</v>
      </c>
      <c r="AH1383" s="14">
        <v>12.130510204081631</v>
      </c>
      <c r="AI1383" s="13">
        <v>-12.130510204081631</v>
      </c>
      <c r="AK1383" s="9">
        <v>0</v>
      </c>
    </row>
    <row r="1384" spans="1:37">
      <c r="A1384" s="9">
        <v>16</v>
      </c>
      <c r="B1384" s="9">
        <v>2024</v>
      </c>
      <c r="C1384" s="9" t="s">
        <v>46</v>
      </c>
      <c r="D1384" s="9" t="s">
        <v>47</v>
      </c>
      <c r="E1384" s="9" t="s">
        <v>47</v>
      </c>
      <c r="F1384" s="10">
        <v>45395</v>
      </c>
      <c r="G1384" s="9" t="s">
        <v>154</v>
      </c>
      <c r="H1384" s="9" t="s">
        <v>52</v>
      </c>
      <c r="I1384" s="9">
        <v>1</v>
      </c>
      <c r="J1384" s="9">
        <v>6</v>
      </c>
      <c r="K1384" s="9">
        <v>120</v>
      </c>
      <c r="L1384" s="9">
        <v>0.52</v>
      </c>
      <c r="M1384" s="9">
        <v>62.4</v>
      </c>
      <c r="N1384" s="9" t="s">
        <v>49</v>
      </c>
      <c r="Q1384" s="9">
        <f>IF(Auction_Sales[[#This Row],[Payment Date]]=0,"",-1+WEEKNUM(Auction_Sales[[#This Row],[Payment Date]]))</f>
        <v>16</v>
      </c>
      <c r="R1384" s="9">
        <v>120</v>
      </c>
      <c r="S1384" s="9" t="s">
        <v>154</v>
      </c>
      <c r="T1384" s="9" t="s">
        <v>52</v>
      </c>
      <c r="W1384" s="13">
        <v>0</v>
      </c>
      <c r="X1384" s="14">
        <v>0</v>
      </c>
      <c r="Y1384" s="13">
        <v>0</v>
      </c>
      <c r="Z1384" s="10">
        <v>45406</v>
      </c>
      <c r="AA1384" s="9">
        <v>-120</v>
      </c>
      <c r="AC1384" s="9">
        <v>436718</v>
      </c>
      <c r="AD1384" s="14">
        <v>21.228392857142854</v>
      </c>
      <c r="AF1384" s="14">
        <v>0</v>
      </c>
      <c r="AH1384" s="14">
        <v>21.228392857142854</v>
      </c>
      <c r="AI1384" s="13">
        <v>-21.228392857142854</v>
      </c>
      <c r="AK1384" s="9">
        <v>0</v>
      </c>
    </row>
    <row r="1385" spans="1:37">
      <c r="A1385" s="9">
        <v>16</v>
      </c>
      <c r="B1385" s="9">
        <v>2024</v>
      </c>
      <c r="C1385" s="9" t="s">
        <v>46</v>
      </c>
      <c r="D1385" s="9" t="s">
        <v>47</v>
      </c>
      <c r="E1385" s="9" t="s">
        <v>47</v>
      </c>
      <c r="F1385" s="10">
        <v>45395</v>
      </c>
      <c r="G1385" s="9" t="s">
        <v>154</v>
      </c>
      <c r="H1385" s="9" t="s">
        <v>54</v>
      </c>
      <c r="J1385" s="9">
        <v>6</v>
      </c>
      <c r="K1385" s="9">
        <v>120</v>
      </c>
      <c r="L1385" s="9">
        <v>0.56999999999999995</v>
      </c>
      <c r="M1385" s="9">
        <v>68.400000000000006</v>
      </c>
      <c r="N1385" s="9" t="s">
        <v>49</v>
      </c>
      <c r="Q1385" s="9">
        <f>IF(Auction_Sales[[#This Row],[Payment Date]]=0,"",-1+WEEKNUM(Auction_Sales[[#This Row],[Payment Date]]))</f>
        <v>16</v>
      </c>
      <c r="R1385" s="9">
        <v>-320</v>
      </c>
      <c r="S1385" s="9" t="s">
        <v>154</v>
      </c>
      <c r="T1385" s="9" t="s">
        <v>54</v>
      </c>
      <c r="U1385" s="9">
        <v>440</v>
      </c>
      <c r="V1385" s="13">
        <v>0.77</v>
      </c>
      <c r="W1385" s="13">
        <v>338.8</v>
      </c>
      <c r="X1385" s="14">
        <v>-21.593622641509437</v>
      </c>
      <c r="Y1385" s="13">
        <v>317.20637735849056</v>
      </c>
      <c r="Z1385" s="10">
        <v>45406</v>
      </c>
      <c r="AA1385" s="9">
        <v>320</v>
      </c>
      <c r="AC1385" s="9">
        <v>436718</v>
      </c>
      <c r="AD1385" s="14">
        <v>21.228392857142854</v>
      </c>
      <c r="AF1385" s="14">
        <v>8.8000000000000007</v>
      </c>
      <c r="AH1385" s="14">
        <v>30.028392857142855</v>
      </c>
      <c r="AI1385" s="13">
        <v>287.17798450134768</v>
      </c>
      <c r="AK1385" s="9">
        <v>440</v>
      </c>
    </row>
    <row r="1386" spans="1:37">
      <c r="A1386" s="9">
        <v>16</v>
      </c>
      <c r="B1386" s="9">
        <v>2024</v>
      </c>
      <c r="C1386" s="9" t="s">
        <v>46</v>
      </c>
      <c r="D1386" s="9" t="s">
        <v>47</v>
      </c>
      <c r="E1386" s="9" t="s">
        <v>47</v>
      </c>
      <c r="F1386" s="10">
        <v>45395</v>
      </c>
      <c r="G1386" s="9" t="s">
        <v>154</v>
      </c>
      <c r="H1386" s="9" t="s">
        <v>56</v>
      </c>
      <c r="I1386" s="9">
        <v>1</v>
      </c>
      <c r="J1386" s="9">
        <v>2</v>
      </c>
      <c r="K1386" s="9">
        <v>80</v>
      </c>
      <c r="L1386" s="9">
        <v>0.75</v>
      </c>
      <c r="M1386" s="9">
        <v>60</v>
      </c>
      <c r="N1386" s="9" t="s">
        <v>49</v>
      </c>
      <c r="Q1386" s="9">
        <f>IF(Auction_Sales[[#This Row],[Payment Date]]=0,"",-1+WEEKNUM(Auction_Sales[[#This Row],[Payment Date]]))</f>
        <v>16</v>
      </c>
      <c r="R1386" s="9">
        <v>80</v>
      </c>
      <c r="S1386" s="9" t="s">
        <v>154</v>
      </c>
      <c r="T1386" s="9" t="s">
        <v>56</v>
      </c>
      <c r="W1386" s="13">
        <v>0</v>
      </c>
      <c r="X1386" s="14">
        <v>0</v>
      </c>
      <c r="Y1386" s="13">
        <v>0</v>
      </c>
      <c r="Z1386" s="10">
        <v>45406</v>
      </c>
      <c r="AA1386" s="9">
        <v>-80</v>
      </c>
      <c r="AC1386" s="9">
        <v>436718</v>
      </c>
      <c r="AD1386" s="14">
        <v>7.0761309523809519</v>
      </c>
      <c r="AF1386" s="14">
        <v>0</v>
      </c>
      <c r="AH1386" s="14">
        <v>7.0761309523809519</v>
      </c>
      <c r="AI1386" s="13">
        <v>-7.0761309523809519</v>
      </c>
      <c r="AK1386" s="9">
        <v>0</v>
      </c>
    </row>
    <row r="1387" spans="1:37">
      <c r="A1387" s="9">
        <v>16</v>
      </c>
      <c r="B1387" s="9">
        <v>2024</v>
      </c>
      <c r="C1387" s="9" t="s">
        <v>46</v>
      </c>
      <c r="D1387" s="9" t="s">
        <v>47</v>
      </c>
      <c r="E1387" s="9" t="s">
        <v>47</v>
      </c>
      <c r="F1387" s="10">
        <v>45395</v>
      </c>
      <c r="G1387" s="9" t="s">
        <v>154</v>
      </c>
      <c r="H1387" s="9" t="s">
        <v>51</v>
      </c>
      <c r="J1387" s="9">
        <v>7</v>
      </c>
      <c r="K1387" s="9">
        <v>280</v>
      </c>
      <c r="L1387" s="9">
        <v>0.38</v>
      </c>
      <c r="M1387" s="9">
        <v>106.4</v>
      </c>
      <c r="N1387" s="9" t="s">
        <v>49</v>
      </c>
      <c r="Q1387" s="9">
        <f>IF(Auction_Sales[[#This Row],[Payment Date]]=0,"",-1+WEEKNUM(Auction_Sales[[#This Row],[Payment Date]]))</f>
        <v>16</v>
      </c>
      <c r="R1387" s="9">
        <v>0</v>
      </c>
      <c r="S1387" s="9" t="s">
        <v>154</v>
      </c>
      <c r="T1387" s="9" t="s">
        <v>51</v>
      </c>
      <c r="U1387" s="9">
        <v>280</v>
      </c>
      <c r="V1387" s="13">
        <v>0.26999999999999996</v>
      </c>
      <c r="W1387" s="13">
        <v>75.599999999999994</v>
      </c>
      <c r="X1387" s="14">
        <v>-13.741396226415096</v>
      </c>
      <c r="Y1387" s="13">
        <v>61.858603773584896</v>
      </c>
      <c r="Z1387" s="10">
        <v>45406</v>
      </c>
      <c r="AA1387" s="9">
        <v>0</v>
      </c>
      <c r="AC1387" s="9">
        <v>436718</v>
      </c>
      <c r="AD1387" s="14">
        <v>24.766458333333333</v>
      </c>
      <c r="AF1387" s="14">
        <v>5.6000000000000005</v>
      </c>
      <c r="AH1387" s="14">
        <v>30.366458333333334</v>
      </c>
      <c r="AI1387" s="13">
        <v>31.492145440251562</v>
      </c>
      <c r="AK1387" s="9">
        <v>280</v>
      </c>
    </row>
    <row r="1388" spans="1:37">
      <c r="A1388" s="9">
        <v>16</v>
      </c>
      <c r="B1388" s="9">
        <v>2024</v>
      </c>
      <c r="C1388" s="9" t="s">
        <v>46</v>
      </c>
      <c r="D1388" s="9" t="s">
        <v>47</v>
      </c>
      <c r="E1388" s="9" t="s">
        <v>47</v>
      </c>
      <c r="F1388" s="10">
        <v>45395</v>
      </c>
      <c r="G1388" s="9" t="s">
        <v>154</v>
      </c>
      <c r="H1388" s="9" t="s">
        <v>48</v>
      </c>
      <c r="J1388" s="9">
        <v>3</v>
      </c>
      <c r="K1388" s="9">
        <v>120</v>
      </c>
      <c r="L1388" s="9">
        <v>0.47</v>
      </c>
      <c r="M1388" s="9">
        <v>56.4</v>
      </c>
      <c r="N1388" s="9" t="s">
        <v>49</v>
      </c>
      <c r="Q1388" s="9">
        <f>IF(Auction_Sales[[#This Row],[Payment Date]]=0,"",-1+WEEKNUM(Auction_Sales[[#This Row],[Payment Date]]))</f>
        <v>16</v>
      </c>
      <c r="R1388" s="9">
        <v>120</v>
      </c>
      <c r="S1388" s="9" t="s">
        <v>154</v>
      </c>
      <c r="T1388" s="9" t="s">
        <v>48</v>
      </c>
      <c r="W1388" s="13">
        <v>0</v>
      </c>
      <c r="X1388" s="14">
        <v>0</v>
      </c>
      <c r="Y1388" s="13">
        <v>0</v>
      </c>
      <c r="Z1388" s="10">
        <v>45406</v>
      </c>
      <c r="AA1388" s="9">
        <v>-120</v>
      </c>
      <c r="AC1388" s="9">
        <v>436718</v>
      </c>
      <c r="AD1388" s="14">
        <v>10.614196428571427</v>
      </c>
      <c r="AF1388" s="14">
        <v>0</v>
      </c>
      <c r="AH1388" s="14">
        <v>10.614196428571427</v>
      </c>
      <c r="AI1388" s="13">
        <v>-10.614196428571427</v>
      </c>
      <c r="AK1388" s="9">
        <v>0</v>
      </c>
    </row>
    <row r="1389" spans="1:37">
      <c r="A1389" s="9">
        <v>16</v>
      </c>
      <c r="B1389" s="9">
        <v>2024</v>
      </c>
      <c r="C1389" s="9" t="s">
        <v>46</v>
      </c>
      <c r="D1389" s="9" t="s">
        <v>47</v>
      </c>
      <c r="E1389" s="9" t="s">
        <v>47</v>
      </c>
      <c r="F1389" s="10">
        <v>45395</v>
      </c>
      <c r="G1389" s="9" t="s">
        <v>154</v>
      </c>
      <c r="H1389" s="9" t="s">
        <v>57</v>
      </c>
      <c r="I1389" s="9">
        <v>1</v>
      </c>
      <c r="J1389" s="9">
        <v>0.75</v>
      </c>
      <c r="K1389" s="9">
        <v>40</v>
      </c>
      <c r="L1389" s="9">
        <v>0.94</v>
      </c>
      <c r="M1389" s="9">
        <v>37.6</v>
      </c>
      <c r="N1389" s="9" t="s">
        <v>49</v>
      </c>
      <c r="Q1389" s="9">
        <f>IF(Auction_Sales[[#This Row],[Payment Date]]=0,"",-1+WEEKNUM(Auction_Sales[[#This Row],[Payment Date]]))</f>
        <v>16</v>
      </c>
      <c r="R1389" s="9">
        <v>40</v>
      </c>
      <c r="S1389" s="9" t="s">
        <v>154</v>
      </c>
      <c r="T1389" s="9" t="s">
        <v>57</v>
      </c>
      <c r="W1389" s="13">
        <v>0</v>
      </c>
      <c r="X1389" s="14">
        <v>0</v>
      </c>
      <c r="Y1389" s="13">
        <v>0</v>
      </c>
      <c r="Z1389" s="10">
        <v>45406</v>
      </c>
      <c r="AA1389" s="9">
        <v>-40</v>
      </c>
      <c r="AC1389" s="9">
        <v>436718</v>
      </c>
      <c r="AD1389" s="14">
        <v>2.6535491071428567</v>
      </c>
      <c r="AF1389" s="14">
        <v>0</v>
      </c>
      <c r="AH1389" s="14">
        <v>2.6535491071428567</v>
      </c>
      <c r="AI1389" s="13">
        <v>-2.6535491071428567</v>
      </c>
      <c r="AK1389" s="9">
        <v>0</v>
      </c>
    </row>
    <row r="1390" spans="1:37">
      <c r="A1390" s="9">
        <v>16</v>
      </c>
      <c r="B1390" s="9">
        <v>2024</v>
      </c>
      <c r="C1390" s="9" t="s">
        <v>46</v>
      </c>
      <c r="D1390" s="9" t="s">
        <v>47</v>
      </c>
      <c r="E1390" s="9" t="s">
        <v>47</v>
      </c>
      <c r="F1390" s="10">
        <v>45395</v>
      </c>
      <c r="G1390" s="9" t="s">
        <v>155</v>
      </c>
      <c r="H1390" s="9" t="s">
        <v>51</v>
      </c>
      <c r="J1390" s="9">
        <v>7.5</v>
      </c>
      <c r="K1390" s="9">
        <v>400</v>
      </c>
      <c r="L1390" s="9">
        <v>0.38</v>
      </c>
      <c r="M1390" s="9">
        <v>152</v>
      </c>
      <c r="N1390" s="9" t="s">
        <v>49</v>
      </c>
      <c r="Q1390" s="9">
        <f>IF(Auction_Sales[[#This Row],[Payment Date]]=0,"",-1+WEEKNUM(Auction_Sales[[#This Row],[Payment Date]]))</f>
        <v>16</v>
      </c>
      <c r="R1390" s="9">
        <v>0</v>
      </c>
      <c r="S1390" s="9" t="s">
        <v>155</v>
      </c>
      <c r="T1390" s="9" t="s">
        <v>51</v>
      </c>
      <c r="U1390" s="9">
        <v>400</v>
      </c>
      <c r="V1390" s="13">
        <v>0.42799999999999999</v>
      </c>
      <c r="W1390" s="13">
        <v>171.2</v>
      </c>
      <c r="X1390" s="14">
        <v>-19.63056603773585</v>
      </c>
      <c r="Y1390" s="13">
        <v>151.56943396226413</v>
      </c>
      <c r="Z1390" s="10">
        <v>45406</v>
      </c>
      <c r="AA1390" s="9">
        <v>0</v>
      </c>
      <c r="AC1390" s="9">
        <v>436718</v>
      </c>
      <c r="AD1390" s="14">
        <v>26.53549107142857</v>
      </c>
      <c r="AF1390" s="14">
        <v>8</v>
      </c>
      <c r="AH1390" s="14">
        <v>34.535491071428567</v>
      </c>
      <c r="AI1390" s="13">
        <v>117.03394289083556</v>
      </c>
      <c r="AK1390" s="9">
        <v>400</v>
      </c>
    </row>
    <row r="1391" spans="1:37">
      <c r="A1391" s="9">
        <v>16</v>
      </c>
      <c r="B1391" s="9">
        <v>2024</v>
      </c>
      <c r="C1391" s="9" t="s">
        <v>46</v>
      </c>
      <c r="D1391" s="9" t="s">
        <v>47</v>
      </c>
      <c r="E1391" s="9" t="s">
        <v>47</v>
      </c>
      <c r="F1391" s="10">
        <v>45395</v>
      </c>
      <c r="G1391" s="9" t="s">
        <v>155</v>
      </c>
      <c r="H1391" s="9" t="s">
        <v>52</v>
      </c>
      <c r="J1391" s="9">
        <v>2.25</v>
      </c>
      <c r="K1391" s="9">
        <v>120</v>
      </c>
      <c r="L1391" s="9">
        <v>0.52</v>
      </c>
      <c r="M1391" s="9">
        <v>62.4</v>
      </c>
      <c r="N1391" s="9" t="s">
        <v>49</v>
      </c>
      <c r="Q1391" s="9">
        <f>IF(Auction_Sales[[#This Row],[Payment Date]]=0,"",-1+WEEKNUM(Auction_Sales[[#This Row],[Payment Date]]))</f>
        <v>16</v>
      </c>
      <c r="R1391" s="9">
        <v>120</v>
      </c>
      <c r="S1391" s="9" t="s">
        <v>155</v>
      </c>
      <c r="T1391" s="9" t="s">
        <v>52</v>
      </c>
      <c r="W1391" s="13">
        <v>0</v>
      </c>
      <c r="X1391" s="14">
        <v>0</v>
      </c>
      <c r="Y1391" s="13">
        <v>0</v>
      </c>
      <c r="Z1391" s="10">
        <v>45406</v>
      </c>
      <c r="AA1391" s="9">
        <v>-120</v>
      </c>
      <c r="AC1391" s="9">
        <v>436718</v>
      </c>
      <c r="AD1391" s="14">
        <v>7.9606473214285707</v>
      </c>
      <c r="AF1391" s="14">
        <v>0</v>
      </c>
      <c r="AH1391" s="14">
        <v>7.9606473214285707</v>
      </c>
      <c r="AI1391" s="13">
        <v>-7.9606473214285707</v>
      </c>
      <c r="AK1391" s="9">
        <v>0</v>
      </c>
    </row>
    <row r="1392" spans="1:37">
      <c r="A1392" s="9">
        <v>16</v>
      </c>
      <c r="B1392" s="9">
        <v>2024</v>
      </c>
      <c r="C1392" s="9" t="s">
        <v>46</v>
      </c>
      <c r="D1392" s="9" t="s">
        <v>47</v>
      </c>
      <c r="E1392" s="9" t="s">
        <v>47</v>
      </c>
      <c r="F1392" s="10">
        <v>45395</v>
      </c>
      <c r="G1392" s="9" t="s">
        <v>155</v>
      </c>
      <c r="H1392" s="9" t="s">
        <v>54</v>
      </c>
      <c r="J1392" s="9">
        <v>1.5</v>
      </c>
      <c r="K1392" s="9">
        <v>80</v>
      </c>
      <c r="L1392" s="9">
        <v>0.56999999999999995</v>
      </c>
      <c r="M1392" s="9">
        <v>45.6</v>
      </c>
      <c r="N1392" s="9" t="s">
        <v>49</v>
      </c>
      <c r="Q1392" s="9">
        <f>IF(Auction_Sales[[#This Row],[Payment Date]]=0,"",-1+WEEKNUM(Auction_Sales[[#This Row],[Payment Date]]))</f>
        <v>16</v>
      </c>
      <c r="R1392" s="9">
        <v>80</v>
      </c>
      <c r="S1392" s="9" t="s">
        <v>155</v>
      </c>
      <c r="T1392" s="9" t="s">
        <v>54</v>
      </c>
      <c r="W1392" s="13">
        <v>0</v>
      </c>
      <c r="X1392" s="14">
        <v>0</v>
      </c>
      <c r="Y1392" s="13">
        <v>0</v>
      </c>
      <c r="Z1392" s="10">
        <v>45406</v>
      </c>
      <c r="AA1392" s="9">
        <v>-80</v>
      </c>
      <c r="AC1392" s="9">
        <v>436718</v>
      </c>
      <c r="AD1392" s="14">
        <v>5.3070982142857135</v>
      </c>
      <c r="AF1392" s="14">
        <v>0</v>
      </c>
      <c r="AH1392" s="14">
        <v>5.3070982142857135</v>
      </c>
      <c r="AI1392" s="13">
        <v>-5.3070982142857135</v>
      </c>
      <c r="AK1392" s="9">
        <v>0</v>
      </c>
    </row>
    <row r="1393" spans="1:37">
      <c r="A1393" s="9">
        <v>16</v>
      </c>
      <c r="B1393" s="9">
        <v>2024</v>
      </c>
      <c r="C1393" s="9" t="s">
        <v>46</v>
      </c>
      <c r="D1393" s="9" t="s">
        <v>47</v>
      </c>
      <c r="E1393" s="9" t="s">
        <v>47</v>
      </c>
      <c r="F1393" s="10">
        <v>45395</v>
      </c>
      <c r="G1393" s="9" t="s">
        <v>155</v>
      </c>
      <c r="H1393" s="9" t="s">
        <v>56</v>
      </c>
      <c r="I1393" s="9">
        <v>1</v>
      </c>
      <c r="J1393" s="9">
        <v>9.6000000000000014</v>
      </c>
      <c r="K1393" s="9">
        <v>160</v>
      </c>
      <c r="L1393" s="9">
        <v>0.75</v>
      </c>
      <c r="M1393" s="9">
        <v>120</v>
      </c>
      <c r="N1393" s="9" t="s">
        <v>49</v>
      </c>
      <c r="Q1393" s="9">
        <f>IF(Auction_Sales[[#This Row],[Payment Date]]=0,"",-1+WEEKNUM(Auction_Sales[[#This Row],[Payment Date]]))</f>
        <v>16</v>
      </c>
      <c r="R1393" s="9">
        <v>160</v>
      </c>
      <c r="S1393" s="9" t="s">
        <v>155</v>
      </c>
      <c r="T1393" s="9" t="s">
        <v>56</v>
      </c>
      <c r="W1393" s="13">
        <v>0</v>
      </c>
      <c r="X1393" s="14">
        <v>0</v>
      </c>
      <c r="Y1393" s="13">
        <v>0</v>
      </c>
      <c r="Z1393" s="10">
        <v>45406</v>
      </c>
      <c r="AA1393" s="9">
        <v>-160</v>
      </c>
      <c r="AC1393" s="9">
        <v>436718</v>
      </c>
      <c r="AD1393" s="14">
        <v>33.965428571428575</v>
      </c>
      <c r="AF1393" s="14">
        <v>0</v>
      </c>
      <c r="AH1393" s="14">
        <v>33.965428571428575</v>
      </c>
      <c r="AI1393" s="13">
        <v>-33.965428571428575</v>
      </c>
      <c r="AK1393" s="9">
        <v>0</v>
      </c>
    </row>
    <row r="1394" spans="1:37">
      <c r="A1394" s="9">
        <v>16</v>
      </c>
      <c r="B1394" s="9">
        <v>2024</v>
      </c>
      <c r="C1394" s="9" t="s">
        <v>46</v>
      </c>
      <c r="D1394" s="9" t="s">
        <v>47</v>
      </c>
      <c r="E1394" s="9" t="s">
        <v>47</v>
      </c>
      <c r="F1394" s="10">
        <v>45395</v>
      </c>
      <c r="G1394" s="9" t="s">
        <v>155</v>
      </c>
      <c r="H1394" s="9" t="s">
        <v>57</v>
      </c>
      <c r="J1394" s="9">
        <v>2.4000000000000004</v>
      </c>
      <c r="K1394" s="9">
        <v>40</v>
      </c>
      <c r="L1394" s="9">
        <v>0.94</v>
      </c>
      <c r="M1394" s="9">
        <v>37.599999999999994</v>
      </c>
      <c r="N1394" s="9" t="s">
        <v>49</v>
      </c>
      <c r="Q1394" s="9">
        <f>IF(Auction_Sales[[#This Row],[Payment Date]]=0,"",-1+WEEKNUM(Auction_Sales[[#This Row],[Payment Date]]))</f>
        <v>16</v>
      </c>
      <c r="R1394" s="9">
        <v>40</v>
      </c>
      <c r="S1394" s="9" t="s">
        <v>155</v>
      </c>
      <c r="T1394" s="9" t="s">
        <v>57</v>
      </c>
      <c r="W1394" s="13">
        <v>0</v>
      </c>
      <c r="X1394" s="14">
        <v>0</v>
      </c>
      <c r="Y1394" s="13">
        <v>0</v>
      </c>
      <c r="Z1394" s="10">
        <v>45406</v>
      </c>
      <c r="AA1394" s="9">
        <v>-40</v>
      </c>
      <c r="AC1394" s="9">
        <v>436718</v>
      </c>
      <c r="AD1394" s="14">
        <v>8.4913571428571437</v>
      </c>
      <c r="AF1394" s="14">
        <v>0</v>
      </c>
      <c r="AH1394" s="14">
        <v>8.4913571428571437</v>
      </c>
      <c r="AI1394" s="13">
        <v>-8.4913571428571437</v>
      </c>
      <c r="AK1394" s="9">
        <v>0</v>
      </c>
    </row>
    <row r="1395" spans="1:37">
      <c r="A1395" s="9">
        <v>16</v>
      </c>
      <c r="B1395" s="9">
        <v>2024</v>
      </c>
      <c r="C1395" s="9" t="s">
        <v>46</v>
      </c>
      <c r="D1395" s="9" t="s">
        <v>47</v>
      </c>
      <c r="E1395" s="9" t="s">
        <v>47</v>
      </c>
      <c r="F1395" s="10">
        <v>45395</v>
      </c>
      <c r="G1395" s="9" t="s">
        <v>153</v>
      </c>
      <c r="H1395" s="9" t="s">
        <v>57</v>
      </c>
      <c r="N1395" s="9" t="s">
        <v>49</v>
      </c>
      <c r="Q1395" s="9">
        <f>IF(Auction_Sales[[#This Row],[Payment Date]]=0,"",-1+WEEKNUM(Auction_Sales[[#This Row],[Payment Date]]))</f>
        <v>16</v>
      </c>
      <c r="R1395" s="9">
        <v>-160</v>
      </c>
      <c r="S1395" s="9" t="s">
        <v>153</v>
      </c>
      <c r="T1395" s="9" t="s">
        <v>57</v>
      </c>
      <c r="U1395" s="9">
        <v>160</v>
      </c>
      <c r="V1395" s="13">
        <v>0.79500000000000004</v>
      </c>
      <c r="W1395" s="13">
        <v>127.2</v>
      </c>
      <c r="X1395" s="14">
        <v>-7.8522264150943402</v>
      </c>
      <c r="Y1395" s="13">
        <v>119.34777358490567</v>
      </c>
      <c r="Z1395" s="10">
        <v>45406</v>
      </c>
      <c r="AA1395" s="9">
        <v>160</v>
      </c>
      <c r="AC1395" s="9">
        <v>436718</v>
      </c>
      <c r="AD1395" s="14">
        <v>0</v>
      </c>
      <c r="AF1395" s="14">
        <v>3.2</v>
      </c>
      <c r="AH1395" s="14">
        <v>3.2</v>
      </c>
      <c r="AI1395" s="13">
        <v>116.14777358490566</v>
      </c>
      <c r="AK1395" s="9">
        <v>160</v>
      </c>
    </row>
    <row r="1396" spans="1:37">
      <c r="A1396" s="9">
        <v>16</v>
      </c>
      <c r="B1396" s="9">
        <v>2024</v>
      </c>
      <c r="C1396" s="9" t="s">
        <v>46</v>
      </c>
      <c r="D1396" s="9" t="s">
        <v>47</v>
      </c>
      <c r="E1396" s="9" t="s">
        <v>47</v>
      </c>
      <c r="F1396" s="10">
        <v>45397</v>
      </c>
      <c r="G1396" s="9" t="s">
        <v>155</v>
      </c>
      <c r="H1396" s="9" t="s">
        <v>51</v>
      </c>
      <c r="I1396" s="9">
        <v>2</v>
      </c>
      <c r="J1396" s="9">
        <v>24</v>
      </c>
      <c r="K1396" s="9">
        <v>1520</v>
      </c>
      <c r="L1396" s="9">
        <v>0.38</v>
      </c>
      <c r="M1396" s="9">
        <v>577.6</v>
      </c>
      <c r="N1396" s="9" t="s">
        <v>49</v>
      </c>
      <c r="Q1396" s="9">
        <f>IF(Auction_Sales[[#This Row],[Payment Date]]=0,"",-1+WEEKNUM(Auction_Sales[[#This Row],[Payment Date]]))</f>
        <v>16</v>
      </c>
      <c r="R1396" s="9">
        <v>-360</v>
      </c>
      <c r="S1396" s="9" t="s">
        <v>155</v>
      </c>
      <c r="T1396" s="9" t="s">
        <v>51</v>
      </c>
      <c r="U1396" s="9">
        <v>1880</v>
      </c>
      <c r="V1396" s="13">
        <v>0.36</v>
      </c>
      <c r="W1396" s="13">
        <v>676.8</v>
      </c>
      <c r="X1396" s="14">
        <v>-79.710192307692225</v>
      </c>
      <c r="Y1396" s="13">
        <v>597.08980769230777</v>
      </c>
      <c r="Z1396" s="10">
        <v>45406</v>
      </c>
      <c r="AA1396" s="9">
        <v>360</v>
      </c>
      <c r="AC1396" s="9" t="s">
        <v>97</v>
      </c>
      <c r="AD1396" s="14">
        <v>90.525333333333336</v>
      </c>
      <c r="AF1396" s="14">
        <v>37.6</v>
      </c>
      <c r="AH1396" s="14">
        <v>128.12533333333334</v>
      </c>
      <c r="AI1396" s="13">
        <v>468.96447435897443</v>
      </c>
      <c r="AK1396" s="9">
        <v>1880</v>
      </c>
    </row>
    <row r="1397" spans="1:37">
      <c r="A1397" s="9">
        <v>16</v>
      </c>
      <c r="B1397" s="9">
        <v>2024</v>
      </c>
      <c r="C1397" s="9" t="s">
        <v>46</v>
      </c>
      <c r="D1397" s="9" t="s">
        <v>47</v>
      </c>
      <c r="E1397" s="9" t="s">
        <v>47</v>
      </c>
      <c r="F1397" s="10">
        <v>45397</v>
      </c>
      <c r="G1397" s="9" t="s">
        <v>155</v>
      </c>
      <c r="H1397" s="9" t="s">
        <v>48</v>
      </c>
      <c r="I1397" s="9">
        <v>3</v>
      </c>
      <c r="J1397" s="9">
        <v>36</v>
      </c>
      <c r="K1397" s="9">
        <v>1560</v>
      </c>
      <c r="L1397" s="9">
        <v>0.47</v>
      </c>
      <c r="M1397" s="9">
        <v>733.2</v>
      </c>
      <c r="N1397" s="9" t="s">
        <v>49</v>
      </c>
      <c r="Q1397" s="9">
        <f>IF(Auction_Sales[[#This Row],[Payment Date]]=0,"",-1+WEEKNUM(Auction_Sales[[#This Row],[Payment Date]]))</f>
        <v>16</v>
      </c>
      <c r="R1397" s="9">
        <v>-240</v>
      </c>
      <c r="S1397" s="9" t="s">
        <v>155</v>
      </c>
      <c r="T1397" s="9" t="s">
        <v>48</v>
      </c>
      <c r="U1397" s="9">
        <v>1800</v>
      </c>
      <c r="V1397" s="13">
        <v>0.4811111111111111</v>
      </c>
      <c r="W1397" s="13">
        <v>866</v>
      </c>
      <c r="X1397" s="14">
        <v>-76.318269230769147</v>
      </c>
      <c r="Y1397" s="13">
        <v>789.68173076923085</v>
      </c>
      <c r="Z1397" s="10">
        <v>45406</v>
      </c>
      <c r="AA1397" s="9">
        <v>240</v>
      </c>
      <c r="AC1397" s="9" t="s">
        <v>97</v>
      </c>
      <c r="AD1397" s="14">
        <v>135.78800000000001</v>
      </c>
      <c r="AF1397" s="14">
        <v>36</v>
      </c>
      <c r="AH1397" s="14">
        <v>171.78800000000001</v>
      </c>
      <c r="AI1397" s="13">
        <v>617.89373076923084</v>
      </c>
      <c r="AK1397" s="9">
        <v>1800</v>
      </c>
    </row>
    <row r="1398" spans="1:37">
      <c r="A1398" s="9">
        <v>16</v>
      </c>
      <c r="B1398" s="9">
        <v>2024</v>
      </c>
      <c r="C1398" s="9" t="s">
        <v>46</v>
      </c>
      <c r="D1398" s="9" t="s">
        <v>47</v>
      </c>
      <c r="E1398" s="9" t="s">
        <v>47</v>
      </c>
      <c r="F1398" s="10">
        <v>45397</v>
      </c>
      <c r="G1398" s="9" t="s">
        <v>155</v>
      </c>
      <c r="H1398" s="9" t="s">
        <v>52</v>
      </c>
      <c r="I1398" s="9">
        <v>2</v>
      </c>
      <c r="J1398" s="9">
        <v>24</v>
      </c>
      <c r="K1398" s="9">
        <v>800</v>
      </c>
      <c r="L1398" s="9">
        <v>0.52</v>
      </c>
      <c r="M1398" s="9">
        <v>416</v>
      </c>
      <c r="N1398" s="9" t="s">
        <v>49</v>
      </c>
      <c r="Q1398" s="9">
        <f>IF(Auction_Sales[[#This Row],[Payment Date]]=0,"",-1+WEEKNUM(Auction_Sales[[#This Row],[Payment Date]]))</f>
        <v>16</v>
      </c>
      <c r="R1398" s="9">
        <v>-240</v>
      </c>
      <c r="S1398" s="9" t="s">
        <v>155</v>
      </c>
      <c r="T1398" s="9" t="s">
        <v>52</v>
      </c>
      <c r="U1398" s="9">
        <v>1040</v>
      </c>
      <c r="V1398" s="13">
        <v>0.62384615384615383</v>
      </c>
      <c r="W1398" s="13">
        <v>648.79999999999995</v>
      </c>
      <c r="X1398" s="14">
        <v>-44.094999999999949</v>
      </c>
      <c r="Y1398" s="13">
        <v>604.70500000000004</v>
      </c>
      <c r="Z1398" s="10">
        <v>45406</v>
      </c>
      <c r="AA1398" s="9">
        <v>240</v>
      </c>
      <c r="AC1398" s="9" t="s">
        <v>97</v>
      </c>
      <c r="AD1398" s="14">
        <v>90.525333333333336</v>
      </c>
      <c r="AF1398" s="14">
        <v>20.8</v>
      </c>
      <c r="AH1398" s="14">
        <v>111.32533333333333</v>
      </c>
      <c r="AI1398" s="13">
        <v>493.37966666666671</v>
      </c>
      <c r="AK1398" s="9">
        <v>1040</v>
      </c>
    </row>
    <row r="1399" spans="1:37">
      <c r="A1399" s="9">
        <v>16</v>
      </c>
      <c r="B1399" s="9">
        <v>2024</v>
      </c>
      <c r="C1399" s="9" t="s">
        <v>46</v>
      </c>
      <c r="D1399" s="9" t="s">
        <v>47</v>
      </c>
      <c r="E1399" s="9" t="s">
        <v>47</v>
      </c>
      <c r="F1399" s="10">
        <v>45397</v>
      </c>
      <c r="G1399" s="9" t="s">
        <v>155</v>
      </c>
      <c r="H1399" s="9" t="s">
        <v>54</v>
      </c>
      <c r="I1399" s="9">
        <v>2</v>
      </c>
      <c r="J1399" s="9">
        <v>24</v>
      </c>
      <c r="K1399" s="9">
        <v>640</v>
      </c>
      <c r="L1399" s="9">
        <v>0.56999999999999995</v>
      </c>
      <c r="M1399" s="9">
        <v>364.8</v>
      </c>
      <c r="N1399" s="9" t="s">
        <v>49</v>
      </c>
      <c r="Q1399" s="9">
        <f>IF(Auction_Sales[[#This Row],[Payment Date]]=0,"",-1+WEEKNUM(Auction_Sales[[#This Row],[Payment Date]]))</f>
        <v>16</v>
      </c>
      <c r="R1399" s="9">
        <v>-40</v>
      </c>
      <c r="S1399" s="9" t="s">
        <v>155</v>
      </c>
      <c r="T1399" s="9" t="s">
        <v>54</v>
      </c>
      <c r="U1399" s="9">
        <v>680</v>
      </c>
      <c r="V1399" s="13">
        <v>0.86764705882352944</v>
      </c>
      <c r="W1399" s="13">
        <v>590</v>
      </c>
      <c r="X1399" s="14">
        <v>-28.831346153846123</v>
      </c>
      <c r="Y1399" s="13">
        <v>561.16865384615392</v>
      </c>
      <c r="Z1399" s="10">
        <v>45406</v>
      </c>
      <c r="AA1399" s="9">
        <v>40</v>
      </c>
      <c r="AC1399" s="9" t="s">
        <v>97</v>
      </c>
      <c r="AD1399" s="14">
        <v>90.525333333333336</v>
      </c>
      <c r="AF1399" s="14">
        <v>13.6</v>
      </c>
      <c r="AH1399" s="14">
        <v>104.12533333333333</v>
      </c>
      <c r="AI1399" s="13">
        <v>457.04332051282057</v>
      </c>
      <c r="AK1399" s="9">
        <v>680</v>
      </c>
    </row>
    <row r="1400" spans="1:37">
      <c r="A1400" s="9">
        <v>16</v>
      </c>
      <c r="B1400" s="9">
        <v>2024</v>
      </c>
      <c r="C1400" s="9" t="s">
        <v>46</v>
      </c>
      <c r="D1400" s="9" t="s">
        <v>47</v>
      </c>
      <c r="E1400" s="9" t="s">
        <v>47</v>
      </c>
      <c r="F1400" s="10">
        <v>45397</v>
      </c>
      <c r="G1400" s="9" t="s">
        <v>155</v>
      </c>
      <c r="H1400" s="9" t="s">
        <v>56</v>
      </c>
      <c r="I1400" s="9">
        <v>1</v>
      </c>
      <c r="J1400" s="9">
        <v>12</v>
      </c>
      <c r="K1400" s="9">
        <v>240</v>
      </c>
      <c r="L1400" s="9">
        <v>0.75</v>
      </c>
      <c r="M1400" s="9">
        <v>180</v>
      </c>
      <c r="N1400" s="9" t="s">
        <v>49</v>
      </c>
      <c r="Q1400" s="9">
        <f>IF(Auction_Sales[[#This Row],[Payment Date]]=0,"",-1+WEEKNUM(Auction_Sales[[#This Row],[Payment Date]]))</f>
        <v>16</v>
      </c>
      <c r="R1400" s="9">
        <v>-80</v>
      </c>
      <c r="S1400" s="9" t="s">
        <v>155</v>
      </c>
      <c r="T1400" s="9" t="s">
        <v>56</v>
      </c>
      <c r="U1400" s="9">
        <v>320</v>
      </c>
      <c r="V1400" s="13">
        <v>1.3374999999999999</v>
      </c>
      <c r="W1400" s="13">
        <v>428</v>
      </c>
      <c r="X1400" s="14">
        <v>-13.567692307692292</v>
      </c>
      <c r="Y1400" s="13">
        <v>414.43230769230769</v>
      </c>
      <c r="Z1400" s="10">
        <v>45406</v>
      </c>
      <c r="AA1400" s="9">
        <v>80</v>
      </c>
      <c r="AC1400" s="9" t="s">
        <v>97</v>
      </c>
      <c r="AD1400" s="14">
        <v>45.262666666666668</v>
      </c>
      <c r="AF1400" s="14">
        <v>6.4</v>
      </c>
      <c r="AH1400" s="14">
        <v>51.662666666666667</v>
      </c>
      <c r="AI1400" s="13">
        <v>362.76964102564102</v>
      </c>
      <c r="AK1400" s="9">
        <v>320</v>
      </c>
    </row>
    <row r="1401" spans="1:37">
      <c r="A1401" s="9">
        <v>16</v>
      </c>
      <c r="B1401" s="9">
        <v>2024</v>
      </c>
      <c r="C1401" s="9" t="s">
        <v>46</v>
      </c>
      <c r="D1401" s="9" t="s">
        <v>47</v>
      </c>
      <c r="E1401" s="9" t="s">
        <v>47</v>
      </c>
      <c r="F1401" s="10">
        <v>45397</v>
      </c>
      <c r="G1401" s="9" t="s">
        <v>155</v>
      </c>
      <c r="H1401" s="9" t="s">
        <v>57</v>
      </c>
      <c r="I1401" s="9">
        <v>2</v>
      </c>
      <c r="J1401" s="9">
        <v>24</v>
      </c>
      <c r="K1401" s="9">
        <v>400</v>
      </c>
      <c r="L1401" s="9">
        <v>0.94</v>
      </c>
      <c r="M1401" s="9">
        <v>376</v>
      </c>
      <c r="N1401" s="9" t="s">
        <v>49</v>
      </c>
      <c r="Q1401" s="9">
        <f>IF(Auction_Sales[[#This Row],[Payment Date]]=0,"",-1+WEEKNUM(Auction_Sales[[#This Row],[Payment Date]]))</f>
        <v>16</v>
      </c>
      <c r="R1401" s="9">
        <v>-40</v>
      </c>
      <c r="S1401" s="9" t="s">
        <v>155</v>
      </c>
      <c r="T1401" s="9" t="s">
        <v>57</v>
      </c>
      <c r="U1401" s="9">
        <v>440</v>
      </c>
      <c r="V1401" s="13">
        <v>0.79454545454545455</v>
      </c>
      <c r="W1401" s="13">
        <v>349.6</v>
      </c>
      <c r="X1401" s="14">
        <v>-18.655576923076904</v>
      </c>
      <c r="Y1401" s="13">
        <v>330.9444230769231</v>
      </c>
      <c r="Z1401" s="10">
        <v>45406</v>
      </c>
      <c r="AA1401" s="9">
        <v>40</v>
      </c>
      <c r="AC1401" s="9" t="s">
        <v>97</v>
      </c>
      <c r="AD1401" s="14">
        <v>90.525333333333336</v>
      </c>
      <c r="AF1401" s="14">
        <v>8.8000000000000007</v>
      </c>
      <c r="AH1401" s="14">
        <v>99.325333333333333</v>
      </c>
      <c r="AI1401" s="13">
        <v>231.61908974358977</v>
      </c>
      <c r="AK1401" s="9">
        <v>440</v>
      </c>
    </row>
    <row r="1402" spans="1:37">
      <c r="A1402" s="9">
        <v>16</v>
      </c>
      <c r="B1402" s="9">
        <v>2024</v>
      </c>
      <c r="C1402" s="9" t="s">
        <v>46</v>
      </c>
      <c r="D1402" s="9" t="s">
        <v>47</v>
      </c>
      <c r="E1402" s="9" t="s">
        <v>47</v>
      </c>
      <c r="F1402" s="10">
        <v>45397</v>
      </c>
      <c r="G1402" s="9" t="s">
        <v>154</v>
      </c>
      <c r="H1402" s="9" t="s">
        <v>51</v>
      </c>
      <c r="I1402" s="9">
        <v>1</v>
      </c>
      <c r="J1402" s="9">
        <v>12</v>
      </c>
      <c r="K1402" s="9">
        <v>520</v>
      </c>
      <c r="L1402" s="9">
        <v>0.38</v>
      </c>
      <c r="M1402" s="9">
        <v>197.6</v>
      </c>
      <c r="N1402" s="9" t="s">
        <v>49</v>
      </c>
      <c r="Q1402" s="9">
        <f>IF(Auction_Sales[[#This Row],[Payment Date]]=0,"",-1+WEEKNUM(Auction_Sales[[#This Row],[Payment Date]]))</f>
        <v>16</v>
      </c>
      <c r="R1402" s="9">
        <v>-80</v>
      </c>
      <c r="S1402" s="9" t="s">
        <v>154</v>
      </c>
      <c r="T1402" s="9" t="s">
        <v>51</v>
      </c>
      <c r="U1402" s="9">
        <v>600</v>
      </c>
      <c r="V1402" s="13">
        <v>0.22733333333333333</v>
      </c>
      <c r="W1402" s="13">
        <v>136.4</v>
      </c>
      <c r="X1402" s="14">
        <v>-25.439423076923049</v>
      </c>
      <c r="Y1402" s="13">
        <v>110.96057692307696</v>
      </c>
      <c r="Z1402" s="10">
        <v>45406</v>
      </c>
      <c r="AA1402" s="9">
        <v>80</v>
      </c>
      <c r="AC1402" s="9" t="s">
        <v>97</v>
      </c>
      <c r="AD1402" s="14">
        <v>45.262666666666668</v>
      </c>
      <c r="AF1402" s="14">
        <v>12</v>
      </c>
      <c r="AH1402" s="14">
        <v>57.262666666666668</v>
      </c>
      <c r="AI1402" s="13">
        <v>53.697910256410289</v>
      </c>
      <c r="AK1402" s="9">
        <v>600</v>
      </c>
    </row>
    <row r="1403" spans="1:37">
      <c r="A1403" s="9">
        <v>16</v>
      </c>
      <c r="B1403" s="9">
        <v>2024</v>
      </c>
      <c r="C1403" s="9" t="s">
        <v>46</v>
      </c>
      <c r="D1403" s="9" t="s">
        <v>47</v>
      </c>
      <c r="E1403" s="9" t="s">
        <v>47</v>
      </c>
      <c r="F1403" s="10">
        <v>45397</v>
      </c>
      <c r="G1403" s="9" t="s">
        <v>154</v>
      </c>
      <c r="H1403" s="9" t="s">
        <v>48</v>
      </c>
      <c r="I1403" s="9">
        <v>2</v>
      </c>
      <c r="J1403" s="9">
        <v>24</v>
      </c>
      <c r="K1403" s="9">
        <v>960</v>
      </c>
      <c r="L1403" s="9">
        <v>0.47</v>
      </c>
      <c r="M1403" s="9">
        <v>451.2</v>
      </c>
      <c r="N1403" s="9" t="s">
        <v>49</v>
      </c>
      <c r="Q1403" s="9">
        <f>IF(Auction_Sales[[#This Row],[Payment Date]]=0,"",-1+WEEKNUM(Auction_Sales[[#This Row],[Payment Date]]))</f>
        <v>16</v>
      </c>
      <c r="R1403" s="9">
        <v>0</v>
      </c>
      <c r="S1403" s="9" t="s">
        <v>154</v>
      </c>
      <c r="T1403" s="9" t="s">
        <v>48</v>
      </c>
      <c r="U1403" s="9">
        <v>960</v>
      </c>
      <c r="V1403" s="13">
        <v>0.40666666666666662</v>
      </c>
      <c r="W1403" s="13">
        <v>390.4</v>
      </c>
      <c r="X1403" s="14">
        <v>-40.703076923076878</v>
      </c>
      <c r="Y1403" s="13">
        <v>349.6969230769231</v>
      </c>
      <c r="Z1403" s="10">
        <v>45406</v>
      </c>
      <c r="AA1403" s="9">
        <v>0</v>
      </c>
      <c r="AC1403" s="9" t="s">
        <v>97</v>
      </c>
      <c r="AD1403" s="14">
        <v>90.525333333333336</v>
      </c>
      <c r="AF1403" s="14">
        <v>19.2</v>
      </c>
      <c r="AH1403" s="14">
        <v>109.72533333333334</v>
      </c>
      <c r="AI1403" s="13">
        <v>239.97158974358976</v>
      </c>
      <c r="AK1403" s="9">
        <v>960</v>
      </c>
    </row>
    <row r="1404" spans="1:37">
      <c r="A1404" s="9">
        <v>16</v>
      </c>
      <c r="B1404" s="9">
        <v>2024</v>
      </c>
      <c r="C1404" s="9" t="s">
        <v>46</v>
      </c>
      <c r="D1404" s="9" t="s">
        <v>47</v>
      </c>
      <c r="E1404" s="9" t="s">
        <v>47</v>
      </c>
      <c r="F1404" s="10">
        <v>45397</v>
      </c>
      <c r="G1404" s="9" t="s">
        <v>154</v>
      </c>
      <c r="H1404" s="9" t="s">
        <v>52</v>
      </c>
      <c r="I1404" s="9">
        <v>2</v>
      </c>
      <c r="J1404" s="9">
        <v>24</v>
      </c>
      <c r="K1404" s="9">
        <v>800</v>
      </c>
      <c r="L1404" s="9">
        <v>0.52</v>
      </c>
      <c r="M1404" s="9">
        <v>416</v>
      </c>
      <c r="N1404" s="9" t="s">
        <v>49</v>
      </c>
      <c r="Q1404" s="9">
        <f>IF(Auction_Sales[[#This Row],[Payment Date]]=0,"",-1+WEEKNUM(Auction_Sales[[#This Row],[Payment Date]]))</f>
        <v>16</v>
      </c>
      <c r="R1404" s="9">
        <v>-40</v>
      </c>
      <c r="S1404" s="9" t="s">
        <v>154</v>
      </c>
      <c r="T1404" s="9" t="s">
        <v>52</v>
      </c>
      <c r="U1404" s="9">
        <v>840</v>
      </c>
      <c r="V1404" s="13">
        <v>0.49000000000000005</v>
      </c>
      <c r="W1404" s="13">
        <v>411.6</v>
      </c>
      <c r="X1404" s="14">
        <v>-35.615192307692269</v>
      </c>
      <c r="Y1404" s="13">
        <v>375.98480769230775</v>
      </c>
      <c r="Z1404" s="10">
        <v>45406</v>
      </c>
      <c r="AA1404" s="9">
        <v>40</v>
      </c>
      <c r="AC1404" s="9" t="s">
        <v>97</v>
      </c>
      <c r="AD1404" s="14">
        <v>90.525333333333336</v>
      </c>
      <c r="AF1404" s="14">
        <v>16.8</v>
      </c>
      <c r="AH1404" s="14">
        <v>107.32533333333333</v>
      </c>
      <c r="AI1404" s="13">
        <v>268.65947435897442</v>
      </c>
      <c r="AK1404" s="9">
        <v>840</v>
      </c>
    </row>
    <row r="1405" spans="1:37">
      <c r="A1405" s="9">
        <v>16</v>
      </c>
      <c r="B1405" s="9">
        <v>2024</v>
      </c>
      <c r="C1405" s="9" t="s">
        <v>46</v>
      </c>
      <c r="D1405" s="9" t="s">
        <v>47</v>
      </c>
      <c r="E1405" s="9" t="s">
        <v>47</v>
      </c>
      <c r="F1405" s="10">
        <v>45397</v>
      </c>
      <c r="G1405" s="9" t="s">
        <v>154</v>
      </c>
      <c r="H1405" s="9" t="s">
        <v>56</v>
      </c>
      <c r="I1405" s="9">
        <v>1</v>
      </c>
      <c r="J1405" s="9">
        <v>12</v>
      </c>
      <c r="K1405" s="9">
        <v>240</v>
      </c>
      <c r="L1405" s="9">
        <v>0.75</v>
      </c>
      <c r="M1405" s="9">
        <v>180</v>
      </c>
      <c r="N1405" s="9" t="s">
        <v>49</v>
      </c>
      <c r="Q1405" s="9">
        <f>IF(Auction_Sales[[#This Row],[Payment Date]]=0,"",-1+WEEKNUM(Auction_Sales[[#This Row],[Payment Date]]))</f>
        <v>16</v>
      </c>
      <c r="R1405" s="9">
        <v>0</v>
      </c>
      <c r="S1405" s="9" t="s">
        <v>154</v>
      </c>
      <c r="T1405" s="9" t="s">
        <v>56</v>
      </c>
      <c r="U1405" s="9">
        <v>240</v>
      </c>
      <c r="V1405" s="13">
        <v>0.5033333333333333</v>
      </c>
      <c r="W1405" s="13">
        <v>120.8</v>
      </c>
      <c r="X1405" s="14">
        <v>-10.17576923076922</v>
      </c>
      <c r="Y1405" s="13">
        <v>110.62423076923078</v>
      </c>
      <c r="Z1405" s="10">
        <v>45406</v>
      </c>
      <c r="AA1405" s="9">
        <v>0</v>
      </c>
      <c r="AC1405" s="9" t="s">
        <v>97</v>
      </c>
      <c r="AD1405" s="14">
        <v>45.262666666666668</v>
      </c>
      <c r="AF1405" s="14">
        <v>4.8</v>
      </c>
      <c r="AH1405" s="14">
        <v>50.062666666666665</v>
      </c>
      <c r="AI1405" s="13">
        <v>60.561564102564112</v>
      </c>
      <c r="AK1405" s="9">
        <v>240</v>
      </c>
    </row>
    <row r="1406" spans="1:37">
      <c r="A1406" s="9">
        <v>16</v>
      </c>
      <c r="B1406" s="9">
        <v>2024</v>
      </c>
      <c r="C1406" s="9" t="s">
        <v>46</v>
      </c>
      <c r="D1406" s="9" t="s">
        <v>47</v>
      </c>
      <c r="E1406" s="9" t="s">
        <v>47</v>
      </c>
      <c r="F1406" s="10">
        <v>45397</v>
      </c>
      <c r="G1406" s="9" t="s">
        <v>154</v>
      </c>
      <c r="H1406" s="9" t="s">
        <v>57</v>
      </c>
      <c r="I1406" s="9">
        <v>2</v>
      </c>
      <c r="J1406" s="9">
        <v>24</v>
      </c>
      <c r="K1406" s="9">
        <v>400</v>
      </c>
      <c r="L1406" s="9">
        <v>0.94</v>
      </c>
      <c r="M1406" s="9">
        <v>376</v>
      </c>
      <c r="N1406" s="9" t="s">
        <v>49</v>
      </c>
      <c r="Q1406" s="9">
        <f>IF(Auction_Sales[[#This Row],[Payment Date]]=0,"",-1+WEEKNUM(Auction_Sales[[#This Row],[Payment Date]]))</f>
        <v>16</v>
      </c>
      <c r="R1406" s="9">
        <v>-80</v>
      </c>
      <c r="S1406" s="9" t="s">
        <v>154</v>
      </c>
      <c r="T1406" s="9" t="s">
        <v>57</v>
      </c>
      <c r="U1406" s="9">
        <v>480</v>
      </c>
      <c r="V1406" s="13">
        <v>0.68166666666666664</v>
      </c>
      <c r="W1406" s="13">
        <v>327.2</v>
      </c>
      <c r="X1406" s="14">
        <v>-20.351538461538439</v>
      </c>
      <c r="Y1406" s="13">
        <v>306.84846153846155</v>
      </c>
      <c r="Z1406" s="10">
        <v>45406</v>
      </c>
      <c r="AA1406" s="9">
        <v>80</v>
      </c>
      <c r="AC1406" s="9" t="s">
        <v>97</v>
      </c>
      <c r="AD1406" s="14">
        <v>90.525333333333336</v>
      </c>
      <c r="AF1406" s="14">
        <v>9.6</v>
      </c>
      <c r="AH1406" s="14">
        <v>100.12533333333333</v>
      </c>
      <c r="AI1406" s="13">
        <v>206.72312820512821</v>
      </c>
      <c r="AK1406" s="9">
        <v>480</v>
      </c>
    </row>
    <row r="1407" spans="1:37">
      <c r="A1407" s="9">
        <v>16</v>
      </c>
      <c r="B1407" s="9">
        <v>2024</v>
      </c>
      <c r="C1407" s="9" t="s">
        <v>46</v>
      </c>
      <c r="D1407" s="9" t="s">
        <v>47</v>
      </c>
      <c r="E1407" s="9" t="s">
        <v>47</v>
      </c>
      <c r="F1407" s="10">
        <v>45397</v>
      </c>
      <c r="G1407" s="9" t="s">
        <v>153</v>
      </c>
      <c r="H1407" s="9" t="s">
        <v>57</v>
      </c>
      <c r="I1407" s="9">
        <v>1</v>
      </c>
      <c r="J1407" s="9">
        <v>12</v>
      </c>
      <c r="K1407" s="9">
        <v>320</v>
      </c>
      <c r="L1407" s="9">
        <v>0.47</v>
      </c>
      <c r="M1407" s="9">
        <v>150.4</v>
      </c>
      <c r="N1407" s="9" t="s">
        <v>49</v>
      </c>
      <c r="Q1407" s="9">
        <f>IF(Auction_Sales[[#This Row],[Payment Date]]=0,"",-1+WEEKNUM(Auction_Sales[[#This Row],[Payment Date]]))</f>
        <v>16</v>
      </c>
      <c r="R1407" s="9">
        <v>-160</v>
      </c>
      <c r="S1407" s="9" t="s">
        <v>153</v>
      </c>
      <c r="T1407" s="9" t="s">
        <v>57</v>
      </c>
      <c r="U1407" s="9">
        <v>480</v>
      </c>
      <c r="V1407" s="13">
        <v>0.67749999999999999</v>
      </c>
      <c r="W1407" s="13">
        <v>325.2</v>
      </c>
      <c r="X1407" s="14">
        <v>-20.351538461538439</v>
      </c>
      <c r="Y1407" s="13">
        <v>304.84846153846155</v>
      </c>
      <c r="Z1407" s="10">
        <v>45406</v>
      </c>
      <c r="AA1407" s="9">
        <v>160</v>
      </c>
      <c r="AC1407" s="9" t="s">
        <v>97</v>
      </c>
      <c r="AD1407" s="14">
        <v>45.262666666666668</v>
      </c>
      <c r="AF1407" s="14">
        <v>9.6</v>
      </c>
      <c r="AH1407" s="14">
        <v>54.862666666666669</v>
      </c>
      <c r="AI1407" s="13">
        <v>249.98579487179489</v>
      </c>
      <c r="AK1407" s="9">
        <v>480</v>
      </c>
    </row>
    <row r="1408" spans="1:37">
      <c r="A1408" s="9">
        <v>16</v>
      </c>
      <c r="B1408" s="9">
        <v>2024</v>
      </c>
      <c r="C1408" s="9" t="s">
        <v>46</v>
      </c>
      <c r="D1408" s="9" t="s">
        <v>47</v>
      </c>
      <c r="E1408" s="9" t="s">
        <v>47</v>
      </c>
      <c r="F1408" s="10">
        <v>45397</v>
      </c>
      <c r="G1408" s="9" t="s">
        <v>153</v>
      </c>
      <c r="H1408" s="9" t="s">
        <v>52</v>
      </c>
      <c r="I1408" s="9">
        <v>1</v>
      </c>
      <c r="J1408" s="9">
        <v>12</v>
      </c>
      <c r="K1408" s="9">
        <v>520</v>
      </c>
      <c r="L1408" s="9">
        <v>0.28000000000000003</v>
      </c>
      <c r="M1408" s="9">
        <v>145.6</v>
      </c>
      <c r="N1408" s="9" t="s">
        <v>49</v>
      </c>
      <c r="Q1408" s="9">
        <f>IF(Auction_Sales[[#This Row],[Payment Date]]=0,"",-1+WEEKNUM(Auction_Sales[[#This Row],[Payment Date]]))</f>
        <v>16</v>
      </c>
      <c r="R1408" s="9">
        <v>-320</v>
      </c>
      <c r="S1408" s="9" t="s">
        <v>153</v>
      </c>
      <c r="T1408" s="9" t="s">
        <v>52</v>
      </c>
      <c r="U1408" s="9">
        <v>840</v>
      </c>
      <c r="V1408" s="13">
        <v>0.36285714285714288</v>
      </c>
      <c r="W1408" s="13">
        <v>304.8</v>
      </c>
      <c r="X1408" s="14">
        <v>-35.615192307692269</v>
      </c>
      <c r="Y1408" s="13">
        <v>269.18480769230774</v>
      </c>
      <c r="Z1408" s="10">
        <v>45406</v>
      </c>
      <c r="AA1408" s="9">
        <v>320</v>
      </c>
      <c r="AC1408" s="9" t="s">
        <v>97</v>
      </c>
      <c r="AD1408" s="14">
        <v>45.262666666666668</v>
      </c>
      <c r="AF1408" s="14">
        <v>16.8</v>
      </c>
      <c r="AH1408" s="14">
        <v>62.062666666666672</v>
      </c>
      <c r="AI1408" s="13">
        <v>207.12214102564107</v>
      </c>
      <c r="AK1408" s="9">
        <v>840</v>
      </c>
    </row>
    <row r="1409" spans="1:37">
      <c r="A1409" s="9">
        <v>16</v>
      </c>
      <c r="B1409" s="9">
        <v>2024</v>
      </c>
      <c r="C1409" s="9" t="s">
        <v>46</v>
      </c>
      <c r="D1409" s="9" t="s">
        <v>47</v>
      </c>
      <c r="E1409" s="9" t="s">
        <v>47</v>
      </c>
      <c r="F1409" s="10">
        <v>45397</v>
      </c>
      <c r="G1409" s="9" t="s">
        <v>153</v>
      </c>
      <c r="H1409" s="9" t="s">
        <v>54</v>
      </c>
      <c r="I1409" s="9">
        <v>1</v>
      </c>
      <c r="J1409" s="9">
        <v>12</v>
      </c>
      <c r="K1409" s="9">
        <v>480</v>
      </c>
      <c r="L1409" s="9">
        <v>0.33</v>
      </c>
      <c r="M1409" s="9">
        <v>158.4</v>
      </c>
      <c r="N1409" s="9" t="s">
        <v>49</v>
      </c>
      <c r="Q1409" s="9">
        <f>IF(Auction_Sales[[#This Row],[Payment Date]]=0,"",-1+WEEKNUM(Auction_Sales[[#This Row],[Payment Date]]))</f>
        <v>16</v>
      </c>
      <c r="R1409" s="9">
        <v>-320</v>
      </c>
      <c r="S1409" s="9" t="s">
        <v>153</v>
      </c>
      <c r="T1409" s="9" t="s">
        <v>54</v>
      </c>
      <c r="U1409" s="9">
        <v>800</v>
      </c>
      <c r="V1409" s="13">
        <v>0.47649999999999998</v>
      </c>
      <c r="W1409" s="13">
        <v>381.2</v>
      </c>
      <c r="X1409" s="14">
        <v>-33.91923076923073</v>
      </c>
      <c r="Y1409" s="13">
        <v>347.28076923076924</v>
      </c>
      <c r="Z1409" s="10">
        <v>45406</v>
      </c>
      <c r="AA1409" s="9">
        <v>320</v>
      </c>
      <c r="AC1409" s="9" t="s">
        <v>97</v>
      </c>
      <c r="AD1409" s="14">
        <v>45.262666666666668</v>
      </c>
      <c r="AF1409" s="14">
        <v>16</v>
      </c>
      <c r="AH1409" s="14">
        <v>61.262666666666668</v>
      </c>
      <c r="AI1409" s="13">
        <v>286.01810256410255</v>
      </c>
      <c r="AK1409" s="9">
        <v>800</v>
      </c>
    </row>
    <row r="1410" spans="1:37">
      <c r="A1410" s="9">
        <v>16</v>
      </c>
      <c r="B1410" s="9">
        <v>2024</v>
      </c>
      <c r="C1410" s="9" t="s">
        <v>46</v>
      </c>
      <c r="D1410" s="9" t="s">
        <v>47</v>
      </c>
      <c r="E1410" s="9" t="s">
        <v>47</v>
      </c>
      <c r="F1410" s="10">
        <v>45397</v>
      </c>
      <c r="G1410" s="9" t="s">
        <v>153</v>
      </c>
      <c r="H1410" s="9" t="s">
        <v>56</v>
      </c>
      <c r="I1410" s="9">
        <v>1</v>
      </c>
      <c r="J1410" s="9">
        <v>12</v>
      </c>
      <c r="K1410" s="9">
        <v>400</v>
      </c>
      <c r="L1410" s="9">
        <v>0.38</v>
      </c>
      <c r="M1410" s="9">
        <v>152</v>
      </c>
      <c r="N1410" s="9" t="s">
        <v>49</v>
      </c>
      <c r="Q1410" s="9">
        <f>IF(Auction_Sales[[#This Row],[Payment Date]]=0,"",-1+WEEKNUM(Auction_Sales[[#This Row],[Payment Date]]))</f>
        <v>16</v>
      </c>
      <c r="R1410" s="9">
        <v>-160</v>
      </c>
      <c r="S1410" s="9" t="s">
        <v>153</v>
      </c>
      <c r="T1410" s="9" t="s">
        <v>56</v>
      </c>
      <c r="U1410" s="9">
        <v>560</v>
      </c>
      <c r="V1410" s="13">
        <v>0.44857142857142857</v>
      </c>
      <c r="W1410" s="13">
        <v>251.2</v>
      </c>
      <c r="X1410" s="14">
        <v>-23.743461538461514</v>
      </c>
      <c r="Y1410" s="13">
        <v>227.45653846153849</v>
      </c>
      <c r="Z1410" s="10">
        <v>45406</v>
      </c>
      <c r="AA1410" s="9">
        <v>160</v>
      </c>
      <c r="AC1410" s="9" t="s">
        <v>97</v>
      </c>
      <c r="AD1410" s="14">
        <v>45.262666666666668</v>
      </c>
      <c r="AF1410" s="14">
        <v>11.200000000000001</v>
      </c>
      <c r="AH1410" s="14">
        <v>56.462666666666671</v>
      </c>
      <c r="AI1410" s="13">
        <v>170.99387179487181</v>
      </c>
      <c r="AK1410" s="9">
        <v>560</v>
      </c>
    </row>
    <row r="1411" spans="1:37">
      <c r="A1411" s="9">
        <v>16</v>
      </c>
      <c r="B1411" s="9">
        <v>2024</v>
      </c>
      <c r="C1411" s="9" t="s">
        <v>46</v>
      </c>
      <c r="D1411" s="9" t="s">
        <v>47</v>
      </c>
      <c r="E1411" s="9" t="s">
        <v>47</v>
      </c>
      <c r="F1411" s="10">
        <v>45397</v>
      </c>
      <c r="G1411" s="9" t="s">
        <v>155</v>
      </c>
      <c r="H1411" s="9" t="s">
        <v>57</v>
      </c>
      <c r="I1411" s="9">
        <v>1</v>
      </c>
      <c r="J1411" s="9">
        <v>1.3333333333333333</v>
      </c>
      <c r="K1411" s="9">
        <v>40</v>
      </c>
      <c r="L1411" s="9">
        <v>0.94</v>
      </c>
      <c r="M1411" s="9">
        <v>37.6</v>
      </c>
      <c r="N1411" s="9" t="s">
        <v>49</v>
      </c>
      <c r="Q1411" s="9">
        <f>IF(Auction_Sales[[#This Row],[Payment Date]]=0,"",-1+WEEKNUM(Auction_Sales[[#This Row],[Payment Date]]))</f>
        <v>16</v>
      </c>
      <c r="R1411" s="9">
        <v>40</v>
      </c>
      <c r="S1411" s="9" t="s">
        <v>155</v>
      </c>
      <c r="T1411" s="9" t="s">
        <v>57</v>
      </c>
      <c r="W1411" s="13">
        <v>0</v>
      </c>
      <c r="X1411" s="14">
        <v>0</v>
      </c>
      <c r="Y1411" s="13">
        <v>0</v>
      </c>
      <c r="Z1411" s="10">
        <v>45406</v>
      </c>
      <c r="AA1411" s="9">
        <v>-40</v>
      </c>
      <c r="AC1411" s="9" t="s">
        <v>97</v>
      </c>
      <c r="AD1411" s="14">
        <v>5.0291851851851854</v>
      </c>
      <c r="AF1411" s="14">
        <v>0</v>
      </c>
      <c r="AH1411" s="14">
        <v>5.0291851851851854</v>
      </c>
      <c r="AI1411" s="13">
        <v>-5.0291851851851854</v>
      </c>
      <c r="AK1411" s="9">
        <v>0</v>
      </c>
    </row>
    <row r="1412" spans="1:37">
      <c r="A1412" s="9">
        <v>16</v>
      </c>
      <c r="B1412" s="9">
        <v>2024</v>
      </c>
      <c r="C1412" s="9" t="s">
        <v>46</v>
      </c>
      <c r="D1412" s="9" t="s">
        <v>47</v>
      </c>
      <c r="E1412" s="9" t="s">
        <v>47</v>
      </c>
      <c r="F1412" s="10">
        <v>45397</v>
      </c>
      <c r="G1412" s="9" t="s">
        <v>155</v>
      </c>
      <c r="H1412" s="9" t="s">
        <v>52</v>
      </c>
      <c r="J1412" s="9">
        <v>8</v>
      </c>
      <c r="K1412" s="9">
        <v>240</v>
      </c>
      <c r="L1412" s="9">
        <v>0.52</v>
      </c>
      <c r="M1412" s="9">
        <v>124.8</v>
      </c>
      <c r="N1412" s="9" t="s">
        <v>49</v>
      </c>
      <c r="Q1412" s="9">
        <f>IF(Auction_Sales[[#This Row],[Payment Date]]=0,"",-1+WEEKNUM(Auction_Sales[[#This Row],[Payment Date]]))</f>
        <v>16</v>
      </c>
      <c r="R1412" s="9">
        <v>240</v>
      </c>
      <c r="S1412" s="9" t="s">
        <v>155</v>
      </c>
      <c r="T1412" s="9" t="s">
        <v>52</v>
      </c>
      <c r="W1412" s="13">
        <v>0</v>
      </c>
      <c r="X1412" s="14">
        <v>0</v>
      </c>
      <c r="Y1412" s="13">
        <v>0</v>
      </c>
      <c r="Z1412" s="10">
        <v>45406</v>
      </c>
      <c r="AA1412" s="9">
        <v>-240</v>
      </c>
      <c r="AC1412" s="9" t="s">
        <v>97</v>
      </c>
      <c r="AD1412" s="14">
        <v>30.175111111111114</v>
      </c>
      <c r="AF1412" s="14">
        <v>0</v>
      </c>
      <c r="AH1412" s="14">
        <v>30.175111111111114</v>
      </c>
      <c r="AI1412" s="13">
        <v>-30.175111111111114</v>
      </c>
      <c r="AK1412" s="9">
        <v>0</v>
      </c>
    </row>
    <row r="1413" spans="1:37">
      <c r="A1413" s="9">
        <v>16</v>
      </c>
      <c r="B1413" s="9">
        <v>2024</v>
      </c>
      <c r="C1413" s="9" t="s">
        <v>46</v>
      </c>
      <c r="D1413" s="9" t="s">
        <v>47</v>
      </c>
      <c r="E1413" s="9" t="s">
        <v>47</v>
      </c>
      <c r="F1413" s="10">
        <v>45397</v>
      </c>
      <c r="G1413" s="9" t="s">
        <v>155</v>
      </c>
      <c r="H1413" s="9" t="s">
        <v>56</v>
      </c>
      <c r="J1413" s="9">
        <v>2.6666666666666665</v>
      </c>
      <c r="K1413" s="9">
        <v>80</v>
      </c>
      <c r="L1413" s="9">
        <v>0.75</v>
      </c>
      <c r="M1413" s="9">
        <v>60</v>
      </c>
      <c r="N1413" s="9" t="s">
        <v>49</v>
      </c>
      <c r="Q1413" s="9">
        <f>IF(Auction_Sales[[#This Row],[Payment Date]]=0,"",-1+WEEKNUM(Auction_Sales[[#This Row],[Payment Date]]))</f>
        <v>16</v>
      </c>
      <c r="R1413" s="9">
        <v>80</v>
      </c>
      <c r="S1413" s="9" t="s">
        <v>155</v>
      </c>
      <c r="T1413" s="9" t="s">
        <v>56</v>
      </c>
      <c r="W1413" s="13">
        <v>0</v>
      </c>
      <c r="X1413" s="14">
        <v>0</v>
      </c>
      <c r="Y1413" s="13">
        <v>0</v>
      </c>
      <c r="Z1413" s="10">
        <v>45406</v>
      </c>
      <c r="AA1413" s="9">
        <v>-80</v>
      </c>
      <c r="AC1413" s="9" t="s">
        <v>97</v>
      </c>
      <c r="AD1413" s="14">
        <v>10.058370370370371</v>
      </c>
      <c r="AF1413" s="14">
        <v>0</v>
      </c>
      <c r="AH1413" s="14">
        <v>10.058370370370371</v>
      </c>
      <c r="AI1413" s="13">
        <v>-10.058370370370371</v>
      </c>
      <c r="AK1413" s="9">
        <v>0</v>
      </c>
    </row>
    <row r="1414" spans="1:37">
      <c r="A1414" s="9">
        <v>16</v>
      </c>
      <c r="B1414" s="9">
        <v>2024</v>
      </c>
      <c r="C1414" s="9" t="s">
        <v>46</v>
      </c>
      <c r="D1414" s="9" t="s">
        <v>47</v>
      </c>
      <c r="E1414" s="9" t="s">
        <v>47</v>
      </c>
      <c r="F1414" s="10">
        <v>45397</v>
      </c>
      <c r="G1414" s="9" t="s">
        <v>153</v>
      </c>
      <c r="H1414" s="9" t="s">
        <v>56</v>
      </c>
      <c r="I1414" s="9">
        <v>1</v>
      </c>
      <c r="J1414" s="9">
        <v>4</v>
      </c>
      <c r="K1414" s="9">
        <v>160</v>
      </c>
      <c r="L1414" s="9">
        <v>0.38</v>
      </c>
      <c r="M1414" s="9">
        <v>60.8</v>
      </c>
      <c r="N1414" s="9" t="s">
        <v>49</v>
      </c>
      <c r="Q1414" s="9">
        <f>IF(Auction_Sales[[#This Row],[Payment Date]]=0,"",-1+WEEKNUM(Auction_Sales[[#This Row],[Payment Date]]))</f>
        <v>16</v>
      </c>
      <c r="R1414" s="9">
        <v>160</v>
      </c>
      <c r="S1414" s="9" t="s">
        <v>153</v>
      </c>
      <c r="T1414" s="9" t="s">
        <v>56</v>
      </c>
      <c r="W1414" s="13">
        <v>0</v>
      </c>
      <c r="X1414" s="14">
        <v>0</v>
      </c>
      <c r="Y1414" s="13">
        <v>0</v>
      </c>
      <c r="Z1414" s="10">
        <v>45406</v>
      </c>
      <c r="AA1414" s="9">
        <v>-160</v>
      </c>
      <c r="AC1414" s="9" t="s">
        <v>97</v>
      </c>
      <c r="AD1414" s="14">
        <v>15.087555555555557</v>
      </c>
      <c r="AF1414" s="14">
        <v>0</v>
      </c>
      <c r="AH1414" s="14">
        <v>15.087555555555557</v>
      </c>
      <c r="AI1414" s="13">
        <v>-15.087555555555557</v>
      </c>
      <c r="AK1414" s="9">
        <v>0</v>
      </c>
    </row>
    <row r="1415" spans="1:37">
      <c r="A1415" s="9">
        <v>16</v>
      </c>
      <c r="B1415" s="9">
        <v>2024</v>
      </c>
      <c r="C1415" s="9" t="s">
        <v>46</v>
      </c>
      <c r="D1415" s="9" t="s">
        <v>47</v>
      </c>
      <c r="E1415" s="9" t="s">
        <v>47</v>
      </c>
      <c r="F1415" s="10">
        <v>45397</v>
      </c>
      <c r="G1415" s="9" t="s">
        <v>153</v>
      </c>
      <c r="H1415" s="9" t="s">
        <v>54</v>
      </c>
      <c r="J1415" s="9">
        <v>8</v>
      </c>
      <c r="K1415" s="9">
        <v>320</v>
      </c>
      <c r="L1415" s="9">
        <v>0.33</v>
      </c>
      <c r="M1415" s="9">
        <v>105.6</v>
      </c>
      <c r="N1415" s="9" t="s">
        <v>49</v>
      </c>
      <c r="Q1415" s="9">
        <f>IF(Auction_Sales[[#This Row],[Payment Date]]=0,"",-1+WEEKNUM(Auction_Sales[[#This Row],[Payment Date]]))</f>
        <v>16</v>
      </c>
      <c r="R1415" s="9">
        <v>320</v>
      </c>
      <c r="S1415" s="9" t="s">
        <v>153</v>
      </c>
      <c r="T1415" s="9" t="s">
        <v>54</v>
      </c>
      <c r="W1415" s="13">
        <v>0</v>
      </c>
      <c r="X1415" s="14">
        <v>0</v>
      </c>
      <c r="Y1415" s="13">
        <v>0</v>
      </c>
      <c r="Z1415" s="10">
        <v>45406</v>
      </c>
      <c r="AA1415" s="9">
        <v>-320</v>
      </c>
      <c r="AC1415" s="9" t="s">
        <v>97</v>
      </c>
      <c r="AD1415" s="14">
        <v>30.175111111111114</v>
      </c>
      <c r="AF1415" s="14">
        <v>0</v>
      </c>
      <c r="AH1415" s="14">
        <v>30.175111111111114</v>
      </c>
      <c r="AI1415" s="13">
        <v>-30.175111111111114</v>
      </c>
      <c r="AK1415" s="9">
        <v>0</v>
      </c>
    </row>
    <row r="1416" spans="1:37">
      <c r="A1416" s="9">
        <v>16</v>
      </c>
      <c r="B1416" s="9">
        <v>2024</v>
      </c>
      <c r="C1416" s="9" t="s">
        <v>46</v>
      </c>
      <c r="D1416" s="9" t="s">
        <v>47</v>
      </c>
      <c r="E1416" s="9" t="s">
        <v>47</v>
      </c>
      <c r="F1416" s="10">
        <v>45397</v>
      </c>
      <c r="G1416" s="9" t="s">
        <v>154</v>
      </c>
      <c r="H1416" s="9" t="s">
        <v>54</v>
      </c>
      <c r="I1416" s="9">
        <v>1</v>
      </c>
      <c r="J1416" s="9">
        <v>5.333333333333333</v>
      </c>
      <c r="K1416" s="9">
        <v>160</v>
      </c>
      <c r="L1416" s="9">
        <v>0.56999999999999995</v>
      </c>
      <c r="M1416" s="9">
        <v>91.2</v>
      </c>
      <c r="N1416" s="9" t="s">
        <v>49</v>
      </c>
      <c r="Q1416" s="9">
        <f>IF(Auction_Sales[[#This Row],[Payment Date]]=0,"",-1+WEEKNUM(Auction_Sales[[#This Row],[Payment Date]]))</f>
        <v>16</v>
      </c>
      <c r="R1416" s="9">
        <v>0</v>
      </c>
      <c r="S1416" s="9" t="s">
        <v>154</v>
      </c>
      <c r="T1416" s="9" t="s">
        <v>54</v>
      </c>
      <c r="U1416" s="9">
        <v>160</v>
      </c>
      <c r="V1416" s="13">
        <v>0.63</v>
      </c>
      <c r="W1416" s="13">
        <v>100.8</v>
      </c>
      <c r="X1416" s="14">
        <v>-6.7838461538461461</v>
      </c>
      <c r="Y1416" s="13">
        <v>94.016153846153856</v>
      </c>
      <c r="Z1416" s="10">
        <v>45406</v>
      </c>
      <c r="AA1416" s="9">
        <v>0</v>
      </c>
      <c r="AC1416" s="9" t="s">
        <v>97</v>
      </c>
      <c r="AD1416" s="14">
        <v>20.116740740740742</v>
      </c>
      <c r="AF1416" s="14">
        <v>3.2</v>
      </c>
      <c r="AH1416" s="14">
        <v>23.316740740740741</v>
      </c>
      <c r="AI1416" s="13">
        <v>70.699413105413115</v>
      </c>
      <c r="AK1416" s="9">
        <v>160</v>
      </c>
    </row>
    <row r="1417" spans="1:37">
      <c r="A1417" s="9">
        <v>16</v>
      </c>
      <c r="B1417" s="9">
        <v>2024</v>
      </c>
      <c r="C1417" s="9" t="s">
        <v>46</v>
      </c>
      <c r="D1417" s="9" t="s">
        <v>47</v>
      </c>
      <c r="E1417" s="9" t="s">
        <v>47</v>
      </c>
      <c r="F1417" s="10">
        <v>45397</v>
      </c>
      <c r="G1417" s="9" t="s">
        <v>154</v>
      </c>
      <c r="H1417" s="9" t="s">
        <v>57</v>
      </c>
      <c r="J1417" s="9">
        <v>2.6666666666666665</v>
      </c>
      <c r="K1417" s="9">
        <v>80</v>
      </c>
      <c r="L1417" s="9">
        <v>0.94</v>
      </c>
      <c r="M1417" s="9">
        <v>75.2</v>
      </c>
      <c r="N1417" s="9" t="s">
        <v>49</v>
      </c>
      <c r="Q1417" s="9">
        <f>IF(Auction_Sales[[#This Row],[Payment Date]]=0,"",-1+WEEKNUM(Auction_Sales[[#This Row],[Payment Date]]))</f>
        <v>16</v>
      </c>
      <c r="R1417" s="9">
        <v>80</v>
      </c>
      <c r="S1417" s="9" t="s">
        <v>154</v>
      </c>
      <c r="T1417" s="9" t="s">
        <v>57</v>
      </c>
      <c r="W1417" s="13">
        <v>0</v>
      </c>
      <c r="X1417" s="14">
        <v>0</v>
      </c>
      <c r="Y1417" s="13">
        <v>0</v>
      </c>
      <c r="Z1417" s="10">
        <v>45406</v>
      </c>
      <c r="AA1417" s="9">
        <v>-80</v>
      </c>
      <c r="AC1417" s="9" t="s">
        <v>97</v>
      </c>
      <c r="AD1417" s="14">
        <v>10.058370370370371</v>
      </c>
      <c r="AF1417" s="14">
        <v>0</v>
      </c>
      <c r="AH1417" s="14">
        <v>10.058370370370371</v>
      </c>
      <c r="AI1417" s="13">
        <v>-10.058370370370371</v>
      </c>
      <c r="AK1417" s="9">
        <v>0</v>
      </c>
    </row>
    <row r="1418" spans="1:37">
      <c r="A1418" s="9">
        <v>16</v>
      </c>
      <c r="B1418" s="9">
        <v>2024</v>
      </c>
      <c r="C1418" s="9" t="s">
        <v>46</v>
      </c>
      <c r="D1418" s="9" t="s">
        <v>47</v>
      </c>
      <c r="E1418" s="9" t="s">
        <v>47</v>
      </c>
      <c r="F1418" s="10">
        <v>45397</v>
      </c>
      <c r="G1418" s="9" t="s">
        <v>154</v>
      </c>
      <c r="H1418" s="9" t="s">
        <v>51</v>
      </c>
      <c r="J1418" s="9">
        <v>2.6666666666666665</v>
      </c>
      <c r="K1418" s="9">
        <v>80</v>
      </c>
      <c r="L1418" s="9">
        <v>0.38</v>
      </c>
      <c r="M1418" s="9">
        <v>30.4</v>
      </c>
      <c r="N1418" s="9" t="s">
        <v>49</v>
      </c>
      <c r="Q1418" s="9">
        <f>IF(Auction_Sales[[#This Row],[Payment Date]]=0,"",-1+WEEKNUM(Auction_Sales[[#This Row],[Payment Date]]))</f>
        <v>16</v>
      </c>
      <c r="R1418" s="9">
        <v>80</v>
      </c>
      <c r="S1418" s="9" t="s">
        <v>154</v>
      </c>
      <c r="T1418" s="9" t="s">
        <v>51</v>
      </c>
      <c r="W1418" s="13">
        <v>0</v>
      </c>
      <c r="X1418" s="14">
        <v>0</v>
      </c>
      <c r="Y1418" s="13">
        <v>0</v>
      </c>
      <c r="Z1418" s="10">
        <v>45406</v>
      </c>
      <c r="AA1418" s="9">
        <v>-80</v>
      </c>
      <c r="AC1418" s="9" t="s">
        <v>97</v>
      </c>
      <c r="AD1418" s="14">
        <v>10.058370370370371</v>
      </c>
      <c r="AF1418" s="14">
        <v>0</v>
      </c>
      <c r="AH1418" s="14">
        <v>10.058370370370371</v>
      </c>
      <c r="AI1418" s="13">
        <v>-10.058370370370371</v>
      </c>
      <c r="AK1418" s="9">
        <v>0</v>
      </c>
    </row>
    <row r="1419" spans="1:37">
      <c r="A1419" s="9">
        <v>16</v>
      </c>
      <c r="B1419" s="9">
        <v>2024</v>
      </c>
      <c r="C1419" s="9" t="s">
        <v>46</v>
      </c>
      <c r="D1419" s="9" t="s">
        <v>47</v>
      </c>
      <c r="E1419" s="9" t="s">
        <v>47</v>
      </c>
      <c r="F1419" s="10">
        <v>45397</v>
      </c>
      <c r="G1419" s="9" t="s">
        <v>154</v>
      </c>
      <c r="H1419" s="9" t="s">
        <v>52</v>
      </c>
      <c r="J1419" s="9">
        <v>1.3333333333333333</v>
      </c>
      <c r="K1419" s="9">
        <v>40</v>
      </c>
      <c r="L1419" s="9">
        <v>0.52</v>
      </c>
      <c r="M1419" s="9">
        <v>20.8</v>
      </c>
      <c r="N1419" s="9" t="s">
        <v>49</v>
      </c>
      <c r="Q1419" s="9">
        <f>IF(Auction_Sales[[#This Row],[Payment Date]]=0,"",-1+WEEKNUM(Auction_Sales[[#This Row],[Payment Date]]))</f>
        <v>16</v>
      </c>
      <c r="R1419" s="9">
        <v>40</v>
      </c>
      <c r="S1419" s="9" t="s">
        <v>154</v>
      </c>
      <c r="T1419" s="9" t="s">
        <v>52</v>
      </c>
      <c r="W1419" s="13">
        <v>0</v>
      </c>
      <c r="X1419" s="14">
        <v>0</v>
      </c>
      <c r="Y1419" s="13">
        <v>0</v>
      </c>
      <c r="Z1419" s="10">
        <v>45406</v>
      </c>
      <c r="AA1419" s="9">
        <v>-40</v>
      </c>
      <c r="AC1419" s="9" t="s">
        <v>97</v>
      </c>
      <c r="AD1419" s="14">
        <v>5.0291851851851854</v>
      </c>
      <c r="AF1419" s="14">
        <v>0</v>
      </c>
      <c r="AH1419" s="14">
        <v>5.0291851851851854</v>
      </c>
      <c r="AI1419" s="13">
        <v>-5.0291851851851854</v>
      </c>
      <c r="AK1419" s="9">
        <v>0</v>
      </c>
    </row>
    <row r="1420" spans="1:37">
      <c r="A1420" s="9">
        <v>16</v>
      </c>
      <c r="B1420" s="9">
        <v>2024</v>
      </c>
      <c r="C1420" s="9" t="s">
        <v>46</v>
      </c>
      <c r="D1420" s="9" t="s">
        <v>47</v>
      </c>
      <c r="E1420" s="9" t="s">
        <v>47</v>
      </c>
      <c r="F1420" s="10">
        <v>45397</v>
      </c>
      <c r="G1420" s="9" t="s">
        <v>153</v>
      </c>
      <c r="H1420" s="9" t="s">
        <v>52</v>
      </c>
      <c r="I1420" s="9">
        <v>1</v>
      </c>
      <c r="J1420" s="9">
        <v>8</v>
      </c>
      <c r="K1420" s="9">
        <v>320</v>
      </c>
      <c r="L1420" s="9">
        <v>0.28000000000000003</v>
      </c>
      <c r="M1420" s="9">
        <v>89.6</v>
      </c>
      <c r="N1420" s="9" t="s">
        <v>49</v>
      </c>
      <c r="Q1420" s="9">
        <f>IF(Auction_Sales[[#This Row],[Payment Date]]=0,"",-1+WEEKNUM(Auction_Sales[[#This Row],[Payment Date]]))</f>
        <v>16</v>
      </c>
      <c r="R1420" s="9">
        <v>320</v>
      </c>
      <c r="S1420" s="9" t="s">
        <v>153</v>
      </c>
      <c r="T1420" s="9" t="s">
        <v>52</v>
      </c>
      <c r="W1420" s="13">
        <v>0</v>
      </c>
      <c r="X1420" s="14">
        <v>0</v>
      </c>
      <c r="Y1420" s="13">
        <v>0</v>
      </c>
      <c r="Z1420" s="10">
        <v>45406</v>
      </c>
      <c r="AA1420" s="9">
        <v>-320</v>
      </c>
      <c r="AC1420" s="9" t="s">
        <v>97</v>
      </c>
      <c r="AD1420" s="14">
        <v>30.175111111111114</v>
      </c>
      <c r="AF1420" s="14">
        <v>0</v>
      </c>
      <c r="AH1420" s="14">
        <v>30.175111111111114</v>
      </c>
      <c r="AI1420" s="13">
        <v>-30.175111111111114</v>
      </c>
      <c r="AK1420" s="9">
        <v>0</v>
      </c>
    </row>
    <row r="1421" spans="1:37">
      <c r="A1421" s="9">
        <v>16</v>
      </c>
      <c r="B1421" s="9">
        <v>2024</v>
      </c>
      <c r="C1421" s="9" t="s">
        <v>46</v>
      </c>
      <c r="D1421" s="9" t="s">
        <v>47</v>
      </c>
      <c r="E1421" s="9" t="s">
        <v>47</v>
      </c>
      <c r="F1421" s="10">
        <v>45397</v>
      </c>
      <c r="G1421" s="9" t="s">
        <v>153</v>
      </c>
      <c r="H1421" s="9" t="s">
        <v>57</v>
      </c>
      <c r="J1421" s="9">
        <v>4</v>
      </c>
      <c r="K1421" s="9">
        <v>160</v>
      </c>
      <c r="L1421" s="9">
        <v>0.47</v>
      </c>
      <c r="M1421" s="9">
        <v>75.2</v>
      </c>
      <c r="N1421" s="9" t="s">
        <v>49</v>
      </c>
      <c r="Q1421" s="9">
        <f>IF(Auction_Sales[[#This Row],[Payment Date]]=0,"",-1+WEEKNUM(Auction_Sales[[#This Row],[Payment Date]]))</f>
        <v>16</v>
      </c>
      <c r="R1421" s="9">
        <v>160</v>
      </c>
      <c r="S1421" s="9" t="s">
        <v>153</v>
      </c>
      <c r="T1421" s="9" t="s">
        <v>57</v>
      </c>
      <c r="W1421" s="13">
        <v>0</v>
      </c>
      <c r="X1421" s="14">
        <v>0</v>
      </c>
      <c r="Y1421" s="13">
        <v>0</v>
      </c>
      <c r="Z1421" s="10">
        <v>45406</v>
      </c>
      <c r="AA1421" s="9">
        <v>-160</v>
      </c>
      <c r="AC1421" s="9" t="s">
        <v>97</v>
      </c>
      <c r="AD1421" s="14">
        <v>15.087555555555557</v>
      </c>
      <c r="AF1421" s="14">
        <v>0</v>
      </c>
      <c r="AH1421" s="14">
        <v>15.087555555555557</v>
      </c>
      <c r="AI1421" s="13">
        <v>-15.087555555555557</v>
      </c>
      <c r="AK1421" s="9">
        <v>0</v>
      </c>
    </row>
    <row r="1422" spans="1:37">
      <c r="A1422" s="9">
        <v>16</v>
      </c>
      <c r="B1422" s="9">
        <v>2024</v>
      </c>
      <c r="C1422" s="9" t="s">
        <v>46</v>
      </c>
      <c r="D1422" s="9" t="s">
        <v>47</v>
      </c>
      <c r="E1422" s="9" t="s">
        <v>47</v>
      </c>
      <c r="F1422" s="10">
        <v>45397</v>
      </c>
      <c r="G1422" s="9" t="s">
        <v>155</v>
      </c>
      <c r="H1422" s="9" t="s">
        <v>48</v>
      </c>
      <c r="I1422" s="9">
        <v>1</v>
      </c>
      <c r="J1422" s="9">
        <v>4.5</v>
      </c>
      <c r="K1422" s="9">
        <v>240</v>
      </c>
      <c r="L1422" s="9">
        <v>0.47</v>
      </c>
      <c r="M1422" s="9">
        <v>112.8</v>
      </c>
      <c r="N1422" s="9" t="s">
        <v>49</v>
      </c>
      <c r="Q1422" s="9">
        <f>IF(Auction_Sales[[#This Row],[Payment Date]]=0,"",-1+WEEKNUM(Auction_Sales[[#This Row],[Payment Date]]))</f>
        <v>16</v>
      </c>
      <c r="R1422" s="9">
        <v>240</v>
      </c>
      <c r="S1422" s="9" t="s">
        <v>155</v>
      </c>
      <c r="T1422" s="9" t="s">
        <v>48</v>
      </c>
      <c r="W1422" s="13">
        <v>0</v>
      </c>
      <c r="X1422" s="14">
        <v>0</v>
      </c>
      <c r="Y1422" s="13">
        <v>0</v>
      </c>
      <c r="Z1422" s="10">
        <v>45406</v>
      </c>
      <c r="AA1422" s="9">
        <v>-240</v>
      </c>
      <c r="AC1422" s="9" t="s">
        <v>97</v>
      </c>
      <c r="AD1422" s="14">
        <v>16.973500000000001</v>
      </c>
      <c r="AF1422" s="14">
        <v>0</v>
      </c>
      <c r="AH1422" s="14">
        <v>16.973500000000001</v>
      </c>
      <c r="AI1422" s="13">
        <v>-16.973500000000001</v>
      </c>
      <c r="AK1422" s="9">
        <v>0</v>
      </c>
    </row>
    <row r="1423" spans="1:37">
      <c r="A1423" s="9">
        <v>16</v>
      </c>
      <c r="B1423" s="9">
        <v>2024</v>
      </c>
      <c r="C1423" s="9" t="s">
        <v>46</v>
      </c>
      <c r="D1423" s="9" t="s">
        <v>47</v>
      </c>
      <c r="E1423" s="9" t="s">
        <v>47</v>
      </c>
      <c r="F1423" s="10">
        <v>45397</v>
      </c>
      <c r="G1423" s="9" t="s">
        <v>155</v>
      </c>
      <c r="H1423" s="9" t="s">
        <v>51</v>
      </c>
      <c r="J1423" s="9">
        <v>6.75</v>
      </c>
      <c r="K1423" s="9">
        <v>360</v>
      </c>
      <c r="L1423" s="9">
        <v>0.38</v>
      </c>
      <c r="M1423" s="9">
        <v>136.80000000000001</v>
      </c>
      <c r="N1423" s="9" t="s">
        <v>49</v>
      </c>
      <c r="Q1423" s="9">
        <f>IF(Auction_Sales[[#This Row],[Payment Date]]=0,"",-1+WEEKNUM(Auction_Sales[[#This Row],[Payment Date]]))</f>
        <v>16</v>
      </c>
      <c r="R1423" s="9">
        <v>360</v>
      </c>
      <c r="S1423" s="9" t="s">
        <v>155</v>
      </c>
      <c r="T1423" s="9" t="s">
        <v>51</v>
      </c>
      <c r="W1423" s="13">
        <v>0</v>
      </c>
      <c r="X1423" s="14">
        <v>0</v>
      </c>
      <c r="Y1423" s="13">
        <v>0</v>
      </c>
      <c r="Z1423" s="10">
        <v>45406</v>
      </c>
      <c r="AA1423" s="9">
        <v>-360</v>
      </c>
      <c r="AC1423" s="9" t="s">
        <v>97</v>
      </c>
      <c r="AD1423" s="14">
        <v>25.460250000000002</v>
      </c>
      <c r="AF1423" s="14">
        <v>0</v>
      </c>
      <c r="AH1423" s="14">
        <v>25.460250000000002</v>
      </c>
      <c r="AI1423" s="13">
        <v>-25.460250000000002</v>
      </c>
      <c r="AK1423" s="9">
        <v>0</v>
      </c>
    </row>
    <row r="1424" spans="1:37">
      <c r="A1424" s="9">
        <v>16</v>
      </c>
      <c r="B1424" s="9">
        <v>2024</v>
      </c>
      <c r="C1424" s="9" t="s">
        <v>46</v>
      </c>
      <c r="D1424" s="9" t="s">
        <v>47</v>
      </c>
      <c r="E1424" s="9" t="s">
        <v>47</v>
      </c>
      <c r="F1424" s="10">
        <v>45397</v>
      </c>
      <c r="G1424" s="9" t="s">
        <v>155</v>
      </c>
      <c r="H1424" s="9" t="s">
        <v>54</v>
      </c>
      <c r="J1424" s="9">
        <v>0.75</v>
      </c>
      <c r="K1424" s="9">
        <v>40</v>
      </c>
      <c r="L1424" s="9">
        <v>0.56999999999999995</v>
      </c>
      <c r="M1424" s="9">
        <v>22.8</v>
      </c>
      <c r="N1424" s="9" t="s">
        <v>49</v>
      </c>
      <c r="Q1424" s="9">
        <f>IF(Auction_Sales[[#This Row],[Payment Date]]=0,"",-1+WEEKNUM(Auction_Sales[[#This Row],[Payment Date]]))</f>
        <v>16</v>
      </c>
      <c r="R1424" s="9">
        <v>40</v>
      </c>
      <c r="S1424" s="9" t="s">
        <v>155</v>
      </c>
      <c r="T1424" s="9" t="s">
        <v>54</v>
      </c>
      <c r="W1424" s="13">
        <v>0</v>
      </c>
      <c r="X1424" s="14">
        <v>0</v>
      </c>
      <c r="Y1424" s="13">
        <v>0</v>
      </c>
      <c r="Z1424" s="10">
        <v>45406</v>
      </c>
      <c r="AA1424" s="9">
        <v>-40</v>
      </c>
      <c r="AC1424" s="9" t="s">
        <v>97</v>
      </c>
      <c r="AD1424" s="14">
        <v>2.8289166666666667</v>
      </c>
      <c r="AF1424" s="14">
        <v>0</v>
      </c>
      <c r="AH1424" s="14">
        <v>2.8289166666666667</v>
      </c>
      <c r="AI1424" s="13">
        <v>-2.8289166666666667</v>
      </c>
      <c r="AK1424" s="9">
        <v>0</v>
      </c>
    </row>
    <row r="1425" spans="1:37">
      <c r="A1425" s="9">
        <v>16</v>
      </c>
      <c r="B1425" s="9">
        <v>2024</v>
      </c>
      <c r="C1425" s="9" t="s">
        <v>46</v>
      </c>
      <c r="D1425" s="9" t="s">
        <v>47</v>
      </c>
      <c r="E1425" s="9" t="s">
        <v>47</v>
      </c>
      <c r="F1425" s="10">
        <v>45397</v>
      </c>
      <c r="G1425" s="9" t="s">
        <v>157</v>
      </c>
      <c r="H1425" s="9" t="s">
        <v>48</v>
      </c>
      <c r="I1425" s="9">
        <v>1</v>
      </c>
      <c r="J1425" s="9">
        <v>4</v>
      </c>
      <c r="K1425" s="9">
        <v>120</v>
      </c>
      <c r="L1425" s="9">
        <v>0.24</v>
      </c>
      <c r="M1425" s="9">
        <v>28.8</v>
      </c>
      <c r="N1425" s="9" t="s">
        <v>49</v>
      </c>
      <c r="Q1425" s="9">
        <f>IF(Auction_Sales[[#This Row],[Payment Date]]=0,"",-1+WEEKNUM(Auction_Sales[[#This Row],[Payment Date]]))</f>
        <v>16</v>
      </c>
      <c r="R1425" s="9">
        <v>0</v>
      </c>
      <c r="S1425" s="9" t="s">
        <v>157</v>
      </c>
      <c r="T1425" s="9" t="s">
        <v>48</v>
      </c>
      <c r="U1425" s="9">
        <v>120</v>
      </c>
      <c r="V1425" s="13">
        <v>0.38</v>
      </c>
      <c r="W1425" s="13">
        <v>45.6</v>
      </c>
      <c r="X1425" s="14">
        <v>-5.0878846153846098</v>
      </c>
      <c r="Y1425" s="13">
        <v>40.512115384615392</v>
      </c>
      <c r="Z1425" s="10">
        <v>45406</v>
      </c>
      <c r="AA1425" s="9">
        <v>0</v>
      </c>
      <c r="AC1425" s="9" t="s">
        <v>97</v>
      </c>
      <c r="AD1425" s="14">
        <v>15.087555555555557</v>
      </c>
      <c r="AF1425" s="14">
        <v>2.4</v>
      </c>
      <c r="AH1425" s="14">
        <v>17.487555555555556</v>
      </c>
      <c r="AI1425" s="13">
        <v>23.024559829059836</v>
      </c>
      <c r="AK1425" s="9">
        <v>120</v>
      </c>
    </row>
    <row r="1426" spans="1:37">
      <c r="A1426" s="9">
        <v>16</v>
      </c>
      <c r="B1426" s="9">
        <v>2024</v>
      </c>
      <c r="C1426" s="9" t="s">
        <v>46</v>
      </c>
      <c r="D1426" s="9" t="s">
        <v>47</v>
      </c>
      <c r="E1426" s="9" t="s">
        <v>47</v>
      </c>
      <c r="F1426" s="10">
        <v>45397</v>
      </c>
      <c r="G1426" s="9" t="s">
        <v>157</v>
      </c>
      <c r="H1426" s="9" t="s">
        <v>52</v>
      </c>
      <c r="J1426" s="9">
        <v>4</v>
      </c>
      <c r="K1426" s="9">
        <v>120</v>
      </c>
      <c r="L1426" s="9">
        <v>0.28000000000000003</v>
      </c>
      <c r="M1426" s="9">
        <v>33.6</v>
      </c>
      <c r="N1426" s="9" t="s">
        <v>49</v>
      </c>
      <c r="Q1426" s="9">
        <f>IF(Auction_Sales[[#This Row],[Payment Date]]=0,"",-1+WEEKNUM(Auction_Sales[[#This Row],[Payment Date]]))</f>
        <v>16</v>
      </c>
      <c r="R1426" s="9">
        <v>0</v>
      </c>
      <c r="S1426" s="9" t="s">
        <v>157</v>
      </c>
      <c r="T1426" s="9" t="s">
        <v>52</v>
      </c>
      <c r="U1426" s="9">
        <v>120</v>
      </c>
      <c r="V1426" s="13">
        <v>0.44</v>
      </c>
      <c r="W1426" s="13">
        <v>52.8</v>
      </c>
      <c r="X1426" s="14">
        <v>-5.0878846153846098</v>
      </c>
      <c r="Y1426" s="13">
        <v>47.712115384615387</v>
      </c>
      <c r="Z1426" s="10">
        <v>45406</v>
      </c>
      <c r="AA1426" s="9">
        <v>0</v>
      </c>
      <c r="AC1426" s="9" t="s">
        <v>97</v>
      </c>
      <c r="AD1426" s="14">
        <v>15.087555555555557</v>
      </c>
      <c r="AF1426" s="14">
        <v>2.4</v>
      </c>
      <c r="AH1426" s="14">
        <v>17.487555555555556</v>
      </c>
      <c r="AI1426" s="13">
        <v>30.224559829059832</v>
      </c>
      <c r="AK1426" s="9">
        <v>120</v>
      </c>
    </row>
    <row r="1427" spans="1:37">
      <c r="A1427" s="9">
        <v>16</v>
      </c>
      <c r="B1427" s="9">
        <v>2024</v>
      </c>
      <c r="C1427" s="9" t="s">
        <v>46</v>
      </c>
      <c r="D1427" s="9" t="s">
        <v>47</v>
      </c>
      <c r="E1427" s="9" t="s">
        <v>47</v>
      </c>
      <c r="F1427" s="10">
        <v>45397</v>
      </c>
      <c r="G1427" s="9" t="s">
        <v>157</v>
      </c>
      <c r="H1427" s="9" t="s">
        <v>54</v>
      </c>
      <c r="J1427" s="9">
        <v>2.6666666666666665</v>
      </c>
      <c r="K1427" s="9">
        <v>80</v>
      </c>
      <c r="L1427" s="9">
        <v>0.33</v>
      </c>
      <c r="M1427" s="9">
        <v>26.4</v>
      </c>
      <c r="N1427" s="9" t="s">
        <v>49</v>
      </c>
      <c r="Q1427" s="9">
        <f>IF(Auction_Sales[[#This Row],[Payment Date]]=0,"",-1+WEEKNUM(Auction_Sales[[#This Row],[Payment Date]]))</f>
        <v>16</v>
      </c>
      <c r="R1427" s="9">
        <v>0</v>
      </c>
      <c r="S1427" s="9" t="s">
        <v>157</v>
      </c>
      <c r="T1427" s="9" t="s">
        <v>54</v>
      </c>
      <c r="U1427" s="9">
        <v>80</v>
      </c>
      <c r="V1427" s="13">
        <v>0.47000000000000003</v>
      </c>
      <c r="W1427" s="13">
        <v>37.6</v>
      </c>
      <c r="X1427" s="14">
        <v>-3.391923076923073</v>
      </c>
      <c r="Y1427" s="13">
        <v>34.208076923076931</v>
      </c>
      <c r="Z1427" s="10">
        <v>45406</v>
      </c>
      <c r="AA1427" s="9">
        <v>0</v>
      </c>
      <c r="AC1427" s="9" t="s">
        <v>97</v>
      </c>
      <c r="AD1427" s="14">
        <v>10.058370370370371</v>
      </c>
      <c r="AF1427" s="14">
        <v>1.6</v>
      </c>
      <c r="AH1427" s="14">
        <v>11.65837037037037</v>
      </c>
      <c r="AI1427" s="13">
        <v>22.54970655270656</v>
      </c>
      <c r="AK1427" s="9">
        <v>80</v>
      </c>
    </row>
    <row r="1428" spans="1:37">
      <c r="A1428" s="9">
        <v>16</v>
      </c>
      <c r="B1428" s="9">
        <v>2024</v>
      </c>
      <c r="C1428" s="9" t="s">
        <v>46</v>
      </c>
      <c r="D1428" s="9" t="s">
        <v>47</v>
      </c>
      <c r="E1428" s="9" t="s">
        <v>47</v>
      </c>
      <c r="F1428" s="10">
        <v>45397</v>
      </c>
      <c r="G1428" s="9" t="s">
        <v>157</v>
      </c>
      <c r="H1428" s="9" t="s">
        <v>56</v>
      </c>
      <c r="J1428" s="9">
        <v>1.3333333333333333</v>
      </c>
      <c r="K1428" s="9">
        <v>40</v>
      </c>
      <c r="L1428" s="9">
        <v>0.38</v>
      </c>
      <c r="M1428" s="9">
        <v>15.2</v>
      </c>
      <c r="N1428" s="9" t="s">
        <v>49</v>
      </c>
      <c r="Q1428" s="9">
        <f>IF(Auction_Sales[[#This Row],[Payment Date]]=0,"",-1+WEEKNUM(Auction_Sales[[#This Row],[Payment Date]]))</f>
        <v>16</v>
      </c>
      <c r="R1428" s="9">
        <v>0</v>
      </c>
      <c r="S1428" s="9" t="s">
        <v>157</v>
      </c>
      <c r="T1428" s="9" t="s">
        <v>56</v>
      </c>
      <c r="U1428" s="9">
        <v>40</v>
      </c>
      <c r="V1428" s="13">
        <v>0.44000000000000006</v>
      </c>
      <c r="W1428" s="13">
        <v>17.600000000000001</v>
      </c>
      <c r="X1428" s="14">
        <v>-1.6959615384615365</v>
      </c>
      <c r="Y1428" s="13">
        <v>15.904038461538464</v>
      </c>
      <c r="Z1428" s="10">
        <v>45406</v>
      </c>
      <c r="AA1428" s="9">
        <v>0</v>
      </c>
      <c r="AC1428" s="9" t="s">
        <v>97</v>
      </c>
      <c r="AD1428" s="14">
        <v>5.0291851851851854</v>
      </c>
      <c r="AF1428" s="14">
        <v>0.8</v>
      </c>
      <c r="AH1428" s="14">
        <v>5.8291851851851852</v>
      </c>
      <c r="AI1428" s="13">
        <v>10.074853276353279</v>
      </c>
      <c r="AK1428" s="9">
        <v>40</v>
      </c>
    </row>
    <row r="1429" spans="1:37">
      <c r="A1429" s="9">
        <v>16</v>
      </c>
      <c r="B1429" s="9">
        <v>2024</v>
      </c>
      <c r="C1429" s="9" t="s">
        <v>46</v>
      </c>
      <c r="D1429" s="9" t="s">
        <v>47</v>
      </c>
      <c r="E1429" s="9" t="s">
        <v>47</v>
      </c>
      <c r="F1429" s="10">
        <v>45400</v>
      </c>
      <c r="G1429" s="9" t="s">
        <v>154</v>
      </c>
      <c r="H1429" s="9" t="s">
        <v>51</v>
      </c>
      <c r="I1429" s="9">
        <v>1</v>
      </c>
      <c r="J1429" s="9">
        <v>12</v>
      </c>
      <c r="K1429" s="9">
        <v>520</v>
      </c>
      <c r="L1429" s="9">
        <v>0.38</v>
      </c>
      <c r="M1429" s="9">
        <v>197.6</v>
      </c>
      <c r="N1429" s="9" t="s">
        <v>49</v>
      </c>
      <c r="Q1429" s="9">
        <f>IF(Auction_Sales[[#This Row],[Payment Date]]=0,"",-1+WEEKNUM(Auction_Sales[[#This Row],[Payment Date]]))</f>
        <v>17</v>
      </c>
      <c r="R1429" s="9">
        <v>0</v>
      </c>
      <c r="S1429" s="9" t="s">
        <v>154</v>
      </c>
      <c r="T1429" s="9" t="s">
        <v>51</v>
      </c>
      <c r="U1429" s="9">
        <v>520</v>
      </c>
      <c r="V1429" s="13">
        <v>0.2</v>
      </c>
      <c r="W1429" s="13">
        <v>104</v>
      </c>
      <c r="X1429" s="14">
        <v>-20.449675324675351</v>
      </c>
      <c r="Y1429" s="13">
        <v>83.550324675324646</v>
      </c>
      <c r="Z1429" s="10">
        <v>45413</v>
      </c>
      <c r="AA1429" s="9">
        <v>0</v>
      </c>
      <c r="AC1429" s="9">
        <v>437514</v>
      </c>
      <c r="AD1429" s="14">
        <v>43.504444444444445</v>
      </c>
      <c r="AF1429" s="14">
        <v>10.4</v>
      </c>
      <c r="AH1429" s="14">
        <v>53.904444444444444</v>
      </c>
      <c r="AI1429" s="13">
        <v>29.645880230880202</v>
      </c>
      <c r="AK1429" s="9">
        <v>520</v>
      </c>
    </row>
    <row r="1430" spans="1:37">
      <c r="A1430" s="9">
        <v>16</v>
      </c>
      <c r="B1430" s="9">
        <v>2024</v>
      </c>
      <c r="C1430" s="9" t="s">
        <v>46</v>
      </c>
      <c r="D1430" s="9" t="s">
        <v>47</v>
      </c>
      <c r="E1430" s="9" t="s">
        <v>47</v>
      </c>
      <c r="F1430" s="10">
        <v>45400</v>
      </c>
      <c r="G1430" s="9" t="s">
        <v>154</v>
      </c>
      <c r="H1430" s="9" t="s">
        <v>48</v>
      </c>
      <c r="I1430" s="9">
        <v>2</v>
      </c>
      <c r="J1430" s="9">
        <v>24</v>
      </c>
      <c r="K1430" s="9">
        <v>960</v>
      </c>
      <c r="L1430" s="9">
        <v>0.47</v>
      </c>
      <c r="M1430" s="9">
        <v>451.2</v>
      </c>
      <c r="N1430" s="9" t="s">
        <v>49</v>
      </c>
      <c r="Q1430" s="9">
        <f>IF(Auction_Sales[[#This Row],[Payment Date]]=0,"",-1+WEEKNUM(Auction_Sales[[#This Row],[Payment Date]]))</f>
        <v>17</v>
      </c>
      <c r="R1430" s="9">
        <v>0</v>
      </c>
      <c r="S1430" s="9" t="s">
        <v>154</v>
      </c>
      <c r="T1430" s="9" t="s">
        <v>48</v>
      </c>
      <c r="U1430" s="9">
        <v>960</v>
      </c>
      <c r="V1430" s="13">
        <v>0.28833333333333333</v>
      </c>
      <c r="W1430" s="13">
        <v>276.8</v>
      </c>
      <c r="X1430" s="14">
        <v>-37.753246753246806</v>
      </c>
      <c r="Y1430" s="13">
        <v>239.04675324675321</v>
      </c>
      <c r="Z1430" s="10">
        <v>45413</v>
      </c>
      <c r="AA1430" s="9">
        <v>0</v>
      </c>
      <c r="AC1430" s="9">
        <v>437514</v>
      </c>
      <c r="AD1430" s="14">
        <v>87.00888888888889</v>
      </c>
      <c r="AF1430" s="14">
        <v>19.2</v>
      </c>
      <c r="AH1430" s="14">
        <v>106.20888888888889</v>
      </c>
      <c r="AI1430" s="13">
        <v>132.83786435786431</v>
      </c>
      <c r="AK1430" s="9">
        <v>960</v>
      </c>
    </row>
    <row r="1431" spans="1:37">
      <c r="A1431" s="9">
        <v>16</v>
      </c>
      <c r="B1431" s="9">
        <v>2024</v>
      </c>
      <c r="C1431" s="9" t="s">
        <v>46</v>
      </c>
      <c r="D1431" s="9" t="s">
        <v>47</v>
      </c>
      <c r="E1431" s="9" t="s">
        <v>47</v>
      </c>
      <c r="F1431" s="10">
        <v>45400</v>
      </c>
      <c r="G1431" s="9" t="s">
        <v>154</v>
      </c>
      <c r="H1431" s="9" t="s">
        <v>52</v>
      </c>
      <c r="I1431" s="9">
        <v>3</v>
      </c>
      <c r="J1431" s="9">
        <v>36</v>
      </c>
      <c r="K1431" s="9">
        <v>1200</v>
      </c>
      <c r="L1431" s="9">
        <v>0.52</v>
      </c>
      <c r="M1431" s="9">
        <v>624</v>
      </c>
      <c r="N1431" s="9" t="s">
        <v>49</v>
      </c>
      <c r="Q1431" s="9">
        <f>IF(Auction_Sales[[#This Row],[Payment Date]]=0,"",-1+WEEKNUM(Auction_Sales[[#This Row],[Payment Date]]))</f>
        <v>17</v>
      </c>
      <c r="R1431" s="9">
        <v>0</v>
      </c>
      <c r="S1431" s="9" t="s">
        <v>154</v>
      </c>
      <c r="T1431" s="9" t="s">
        <v>52</v>
      </c>
      <c r="U1431" s="9">
        <v>1200</v>
      </c>
      <c r="V1431" s="13">
        <v>0.6246666666666667</v>
      </c>
      <c r="W1431" s="13">
        <v>749.6</v>
      </c>
      <c r="X1431" s="14">
        <v>-47.191558441558499</v>
      </c>
      <c r="Y1431" s="13">
        <v>702.4084415584415</v>
      </c>
      <c r="Z1431" s="10">
        <v>45413</v>
      </c>
      <c r="AA1431" s="9">
        <v>0</v>
      </c>
      <c r="AC1431" s="9">
        <v>437514</v>
      </c>
      <c r="AD1431" s="14">
        <v>130.51333333333332</v>
      </c>
      <c r="AF1431" s="14">
        <v>24</v>
      </c>
      <c r="AH1431" s="14">
        <v>154.51333333333332</v>
      </c>
      <c r="AI1431" s="13">
        <v>547.89510822510817</v>
      </c>
      <c r="AK1431" s="9">
        <v>1200</v>
      </c>
    </row>
    <row r="1432" spans="1:37">
      <c r="A1432" s="9">
        <v>16</v>
      </c>
      <c r="B1432" s="9">
        <v>2024</v>
      </c>
      <c r="C1432" s="9" t="s">
        <v>46</v>
      </c>
      <c r="D1432" s="9" t="s">
        <v>47</v>
      </c>
      <c r="E1432" s="9" t="s">
        <v>47</v>
      </c>
      <c r="F1432" s="10">
        <v>45400</v>
      </c>
      <c r="G1432" s="9" t="s">
        <v>154</v>
      </c>
      <c r="H1432" s="9" t="s">
        <v>54</v>
      </c>
      <c r="I1432" s="9">
        <v>4</v>
      </c>
      <c r="J1432" s="9">
        <v>48</v>
      </c>
      <c r="K1432" s="9">
        <v>1280</v>
      </c>
      <c r="L1432" s="9">
        <v>0.56999999999999995</v>
      </c>
      <c r="M1432" s="9">
        <v>729.6</v>
      </c>
      <c r="N1432" s="9" t="s">
        <v>49</v>
      </c>
      <c r="Q1432" s="9">
        <f>IF(Auction_Sales[[#This Row],[Payment Date]]=0,"",-1+WEEKNUM(Auction_Sales[[#This Row],[Payment Date]]))</f>
        <v>17</v>
      </c>
      <c r="R1432" s="9">
        <v>0</v>
      </c>
      <c r="S1432" s="9" t="s">
        <v>154</v>
      </c>
      <c r="T1432" s="9" t="s">
        <v>54</v>
      </c>
      <c r="U1432" s="9">
        <v>1280</v>
      </c>
      <c r="V1432" s="13">
        <v>0.76218750000000002</v>
      </c>
      <c r="W1432" s="13">
        <v>975.6</v>
      </c>
      <c r="X1432" s="14">
        <v>-50.337662337662401</v>
      </c>
      <c r="Y1432" s="13">
        <v>925.26233766233759</v>
      </c>
      <c r="Z1432" s="10">
        <v>45413</v>
      </c>
      <c r="AA1432" s="9">
        <v>0</v>
      </c>
      <c r="AC1432" s="9">
        <v>437514</v>
      </c>
      <c r="AD1432" s="14">
        <v>174.01777777777778</v>
      </c>
      <c r="AF1432" s="14">
        <v>25.6</v>
      </c>
      <c r="AH1432" s="14">
        <v>199.61777777777777</v>
      </c>
      <c r="AI1432" s="13">
        <v>725.64455988455984</v>
      </c>
      <c r="AK1432" s="9">
        <v>1280</v>
      </c>
    </row>
    <row r="1433" spans="1:37">
      <c r="A1433" s="9">
        <v>16</v>
      </c>
      <c r="B1433" s="9">
        <v>2024</v>
      </c>
      <c r="C1433" s="9" t="s">
        <v>46</v>
      </c>
      <c r="D1433" s="9" t="s">
        <v>47</v>
      </c>
      <c r="E1433" s="9" t="s">
        <v>47</v>
      </c>
      <c r="F1433" s="10">
        <v>45400</v>
      </c>
      <c r="G1433" s="9" t="s">
        <v>154</v>
      </c>
      <c r="H1433" s="9" t="s">
        <v>56</v>
      </c>
      <c r="I1433" s="9">
        <v>2</v>
      </c>
      <c r="J1433" s="9">
        <v>24</v>
      </c>
      <c r="K1433" s="9">
        <v>480</v>
      </c>
      <c r="L1433" s="9">
        <v>0.75</v>
      </c>
      <c r="M1433" s="9">
        <v>360</v>
      </c>
      <c r="N1433" s="9" t="s">
        <v>49</v>
      </c>
      <c r="Q1433" s="9">
        <f>IF(Auction_Sales[[#This Row],[Payment Date]]=0,"",-1+WEEKNUM(Auction_Sales[[#This Row],[Payment Date]]))</f>
        <v>17</v>
      </c>
      <c r="R1433" s="9">
        <v>480</v>
      </c>
      <c r="S1433" s="9" t="s">
        <v>154</v>
      </c>
      <c r="T1433" s="9" t="s">
        <v>56</v>
      </c>
      <c r="W1433" s="13">
        <v>0</v>
      </c>
      <c r="X1433" s="14">
        <v>0</v>
      </c>
      <c r="Y1433" s="13">
        <v>0</v>
      </c>
      <c r="Z1433" s="10">
        <v>45413</v>
      </c>
      <c r="AA1433" s="9">
        <v>-480</v>
      </c>
      <c r="AC1433" s="9">
        <v>437514</v>
      </c>
      <c r="AD1433" s="14">
        <v>87.00888888888889</v>
      </c>
      <c r="AF1433" s="14">
        <v>0</v>
      </c>
      <c r="AH1433" s="14">
        <v>87.00888888888889</v>
      </c>
      <c r="AI1433" s="13">
        <v>-87.00888888888889</v>
      </c>
      <c r="AK1433" s="9">
        <v>0</v>
      </c>
    </row>
    <row r="1434" spans="1:37">
      <c r="A1434" s="9">
        <v>16</v>
      </c>
      <c r="B1434" s="9">
        <v>2024</v>
      </c>
      <c r="C1434" s="9" t="s">
        <v>46</v>
      </c>
      <c r="D1434" s="9" t="s">
        <v>47</v>
      </c>
      <c r="E1434" s="9" t="s">
        <v>47</v>
      </c>
      <c r="F1434" s="10">
        <v>45400</v>
      </c>
      <c r="G1434" s="9" t="s">
        <v>154</v>
      </c>
      <c r="H1434" s="9" t="s">
        <v>57</v>
      </c>
      <c r="I1434" s="9">
        <v>1</v>
      </c>
      <c r="J1434" s="9">
        <v>12</v>
      </c>
      <c r="K1434" s="9">
        <v>200</v>
      </c>
      <c r="L1434" s="9">
        <v>0.94</v>
      </c>
      <c r="M1434" s="9">
        <v>188</v>
      </c>
      <c r="N1434" s="9" t="s">
        <v>49</v>
      </c>
      <c r="Q1434" s="9">
        <f>IF(Auction_Sales[[#This Row],[Payment Date]]=0,"",-1+WEEKNUM(Auction_Sales[[#This Row],[Payment Date]]))</f>
        <v>17</v>
      </c>
      <c r="R1434" s="9">
        <v>200</v>
      </c>
      <c r="S1434" s="9" t="s">
        <v>154</v>
      </c>
      <c r="T1434" s="9" t="s">
        <v>57</v>
      </c>
      <c r="W1434" s="13">
        <v>0</v>
      </c>
      <c r="X1434" s="14">
        <v>0</v>
      </c>
      <c r="Y1434" s="13">
        <v>0</v>
      </c>
      <c r="Z1434" s="10">
        <v>45413</v>
      </c>
      <c r="AA1434" s="9">
        <v>-200</v>
      </c>
      <c r="AC1434" s="9">
        <v>437514</v>
      </c>
      <c r="AD1434" s="14">
        <v>43.504444444444445</v>
      </c>
      <c r="AF1434" s="14">
        <v>0</v>
      </c>
      <c r="AH1434" s="14">
        <v>43.504444444444445</v>
      </c>
      <c r="AI1434" s="13">
        <v>-43.504444444444445</v>
      </c>
      <c r="AK1434" s="9">
        <v>0</v>
      </c>
    </row>
    <row r="1435" spans="1:37">
      <c r="A1435" s="9">
        <v>16</v>
      </c>
      <c r="B1435" s="9">
        <v>2024</v>
      </c>
      <c r="C1435" s="9" t="s">
        <v>46</v>
      </c>
      <c r="D1435" s="9" t="s">
        <v>47</v>
      </c>
      <c r="E1435" s="9" t="s">
        <v>47</v>
      </c>
      <c r="F1435" s="10">
        <v>45400</v>
      </c>
      <c r="G1435" s="9" t="s">
        <v>155</v>
      </c>
      <c r="H1435" s="9" t="s">
        <v>51</v>
      </c>
      <c r="I1435" s="9">
        <v>3</v>
      </c>
      <c r="J1435" s="9">
        <v>36</v>
      </c>
      <c r="K1435" s="9">
        <v>2280</v>
      </c>
      <c r="L1435" s="9">
        <v>0.38</v>
      </c>
      <c r="M1435" s="9">
        <v>866.4</v>
      </c>
      <c r="N1435" s="9" t="s">
        <v>49</v>
      </c>
      <c r="Q1435" s="9">
        <f>IF(Auction_Sales[[#This Row],[Payment Date]]=0,"",-1+WEEKNUM(Auction_Sales[[#This Row],[Payment Date]]))</f>
        <v>17</v>
      </c>
      <c r="R1435" s="9">
        <v>-360</v>
      </c>
      <c r="S1435" s="9" t="s">
        <v>155</v>
      </c>
      <c r="T1435" s="9" t="s">
        <v>51</v>
      </c>
      <c r="U1435" s="9">
        <v>2640</v>
      </c>
      <c r="V1435" s="13">
        <v>0.29924242424242425</v>
      </c>
      <c r="W1435" s="13">
        <v>790</v>
      </c>
      <c r="X1435" s="14">
        <v>-103.8214285714287</v>
      </c>
      <c r="Y1435" s="13">
        <v>686.17857142857133</v>
      </c>
      <c r="Z1435" s="10">
        <v>45413</v>
      </c>
      <c r="AA1435" s="9">
        <v>360</v>
      </c>
      <c r="AC1435" s="9">
        <v>437514</v>
      </c>
      <c r="AD1435" s="14">
        <v>130.51333333333332</v>
      </c>
      <c r="AF1435" s="14">
        <v>52.800000000000004</v>
      </c>
      <c r="AH1435" s="14">
        <v>183.31333333333333</v>
      </c>
      <c r="AI1435" s="13">
        <v>502.865238095238</v>
      </c>
      <c r="AK1435" s="9">
        <v>2640</v>
      </c>
    </row>
    <row r="1436" spans="1:37">
      <c r="A1436" s="9">
        <v>16</v>
      </c>
      <c r="B1436" s="9">
        <v>2024</v>
      </c>
      <c r="C1436" s="9" t="s">
        <v>46</v>
      </c>
      <c r="D1436" s="9" t="s">
        <v>47</v>
      </c>
      <c r="E1436" s="9" t="s">
        <v>47</v>
      </c>
      <c r="F1436" s="10">
        <v>45400</v>
      </c>
      <c r="G1436" s="9" t="s">
        <v>155</v>
      </c>
      <c r="H1436" s="9" t="s">
        <v>48</v>
      </c>
      <c r="I1436" s="9">
        <v>1</v>
      </c>
      <c r="J1436" s="9">
        <v>12</v>
      </c>
      <c r="K1436" s="9">
        <v>480</v>
      </c>
      <c r="L1436" s="9">
        <v>0.47</v>
      </c>
      <c r="M1436" s="9">
        <v>225.6</v>
      </c>
      <c r="N1436" s="9" t="s">
        <v>49</v>
      </c>
      <c r="Q1436" s="9">
        <f>IF(Auction_Sales[[#This Row],[Payment Date]]=0,"",-1+WEEKNUM(Auction_Sales[[#This Row],[Payment Date]]))</f>
        <v>17</v>
      </c>
      <c r="R1436" s="9">
        <v>480</v>
      </c>
      <c r="S1436" s="9" t="s">
        <v>155</v>
      </c>
      <c r="T1436" s="9" t="s">
        <v>48</v>
      </c>
      <c r="W1436" s="13">
        <v>0</v>
      </c>
      <c r="X1436" s="14">
        <v>0</v>
      </c>
      <c r="Y1436" s="13">
        <v>0</v>
      </c>
      <c r="Z1436" s="10">
        <v>45413</v>
      </c>
      <c r="AA1436" s="9">
        <v>-480</v>
      </c>
      <c r="AC1436" s="9">
        <v>437514</v>
      </c>
      <c r="AD1436" s="14">
        <v>43.504444444444445</v>
      </c>
      <c r="AF1436" s="14">
        <v>0</v>
      </c>
      <c r="AH1436" s="14">
        <v>43.504444444444445</v>
      </c>
      <c r="AI1436" s="13">
        <v>-43.504444444444445</v>
      </c>
      <c r="AK1436" s="9">
        <v>0</v>
      </c>
    </row>
    <row r="1437" spans="1:37">
      <c r="A1437" s="9">
        <v>16</v>
      </c>
      <c r="B1437" s="9">
        <v>2024</v>
      </c>
      <c r="C1437" s="9" t="s">
        <v>46</v>
      </c>
      <c r="D1437" s="9" t="s">
        <v>47</v>
      </c>
      <c r="E1437" s="9" t="s">
        <v>47</v>
      </c>
      <c r="F1437" s="10">
        <v>45400</v>
      </c>
      <c r="G1437" s="9" t="s">
        <v>155</v>
      </c>
      <c r="H1437" s="9" t="s">
        <v>48</v>
      </c>
      <c r="I1437" s="9">
        <v>5</v>
      </c>
      <c r="J1437" s="9">
        <v>60</v>
      </c>
      <c r="K1437" s="9">
        <v>2600</v>
      </c>
      <c r="L1437" s="9">
        <v>0.47</v>
      </c>
      <c r="M1437" s="9">
        <v>1222</v>
      </c>
      <c r="N1437" s="9" t="s">
        <v>49</v>
      </c>
      <c r="Q1437" s="9">
        <f>IF(Auction_Sales[[#This Row],[Payment Date]]=0,"",-1+WEEKNUM(Auction_Sales[[#This Row],[Payment Date]]))</f>
        <v>17</v>
      </c>
      <c r="R1437" s="9">
        <v>-520</v>
      </c>
      <c r="S1437" s="9" t="s">
        <v>155</v>
      </c>
      <c r="T1437" s="9" t="s">
        <v>48</v>
      </c>
      <c r="U1437" s="9">
        <v>3120</v>
      </c>
      <c r="V1437" s="13">
        <v>0.49884615384615388</v>
      </c>
      <c r="W1437" s="13">
        <v>1556.4</v>
      </c>
      <c r="X1437" s="14">
        <v>-122.6980519480521</v>
      </c>
      <c r="Y1437" s="13">
        <v>1433.701948051948</v>
      </c>
      <c r="Z1437" s="10">
        <v>45413</v>
      </c>
      <c r="AA1437" s="9">
        <v>520</v>
      </c>
      <c r="AC1437" s="9">
        <v>437514</v>
      </c>
      <c r="AD1437" s="14">
        <v>217.52222222222221</v>
      </c>
      <c r="AF1437" s="14">
        <v>62.4</v>
      </c>
      <c r="AH1437" s="14">
        <v>279.92222222222222</v>
      </c>
      <c r="AI1437" s="13">
        <v>1153.7797258297257</v>
      </c>
      <c r="AK1437" s="9">
        <v>3120</v>
      </c>
    </row>
    <row r="1438" spans="1:37">
      <c r="A1438" s="9">
        <v>16</v>
      </c>
      <c r="B1438" s="9">
        <v>2024</v>
      </c>
      <c r="C1438" s="9" t="s">
        <v>46</v>
      </c>
      <c r="D1438" s="9" t="s">
        <v>47</v>
      </c>
      <c r="E1438" s="9" t="s">
        <v>47</v>
      </c>
      <c r="F1438" s="10">
        <v>45400</v>
      </c>
      <c r="G1438" s="9" t="s">
        <v>155</v>
      </c>
      <c r="H1438" s="9" t="s">
        <v>52</v>
      </c>
      <c r="I1438" s="9">
        <v>4</v>
      </c>
      <c r="J1438" s="9">
        <v>48</v>
      </c>
      <c r="K1438" s="9">
        <v>1600</v>
      </c>
      <c r="L1438" s="9">
        <v>0.52</v>
      </c>
      <c r="M1438" s="9">
        <v>832</v>
      </c>
      <c r="N1438" s="9" t="s">
        <v>49</v>
      </c>
      <c r="Q1438" s="9">
        <f>IF(Auction_Sales[[#This Row],[Payment Date]]=0,"",-1+WEEKNUM(Auction_Sales[[#This Row],[Payment Date]]))</f>
        <v>17</v>
      </c>
      <c r="R1438" s="9">
        <v>0</v>
      </c>
      <c r="S1438" s="9" t="s">
        <v>155</v>
      </c>
      <c r="T1438" s="9" t="s">
        <v>52</v>
      </c>
      <c r="U1438" s="9">
        <v>1600</v>
      </c>
      <c r="V1438" s="13">
        <v>0.38524999999999998</v>
      </c>
      <c r="W1438" s="13">
        <v>616.4</v>
      </c>
      <c r="X1438" s="14">
        <v>-62.922077922077996</v>
      </c>
      <c r="Y1438" s="13">
        <v>553.47792207792202</v>
      </c>
      <c r="Z1438" s="10">
        <v>45413</v>
      </c>
      <c r="AA1438" s="9">
        <v>0</v>
      </c>
      <c r="AC1438" s="9">
        <v>437514</v>
      </c>
      <c r="AD1438" s="14">
        <v>174.01777777777778</v>
      </c>
      <c r="AF1438" s="14">
        <v>32</v>
      </c>
      <c r="AH1438" s="14">
        <v>206.01777777777778</v>
      </c>
      <c r="AI1438" s="13">
        <v>347.46014430014424</v>
      </c>
      <c r="AK1438" s="9">
        <v>1600</v>
      </c>
    </row>
    <row r="1439" spans="1:37">
      <c r="A1439" s="9">
        <v>16</v>
      </c>
      <c r="B1439" s="9">
        <v>2024</v>
      </c>
      <c r="C1439" s="9" t="s">
        <v>46</v>
      </c>
      <c r="D1439" s="9" t="s">
        <v>47</v>
      </c>
      <c r="E1439" s="9" t="s">
        <v>47</v>
      </c>
      <c r="F1439" s="10">
        <v>45400</v>
      </c>
      <c r="G1439" s="9" t="s">
        <v>155</v>
      </c>
      <c r="H1439" s="9" t="s">
        <v>54</v>
      </c>
      <c r="I1439" s="9">
        <v>3</v>
      </c>
      <c r="J1439" s="9">
        <v>36</v>
      </c>
      <c r="K1439" s="9">
        <v>960</v>
      </c>
      <c r="L1439" s="9">
        <v>0.56999999999999995</v>
      </c>
      <c r="M1439" s="9">
        <v>547.20000000000005</v>
      </c>
      <c r="N1439" s="9" t="s">
        <v>49</v>
      </c>
      <c r="Q1439" s="9">
        <f>IF(Auction_Sales[[#This Row],[Payment Date]]=0,"",-1+WEEKNUM(Auction_Sales[[#This Row],[Payment Date]]))</f>
        <v>17</v>
      </c>
      <c r="R1439" s="9">
        <v>-160</v>
      </c>
      <c r="S1439" s="9" t="s">
        <v>155</v>
      </c>
      <c r="T1439" s="9" t="s">
        <v>54</v>
      </c>
      <c r="U1439" s="9">
        <v>1120</v>
      </c>
      <c r="V1439" s="13">
        <v>0.75107142857142861</v>
      </c>
      <c r="W1439" s="13">
        <v>841.2</v>
      </c>
      <c r="X1439" s="14">
        <v>-44.045454545454604</v>
      </c>
      <c r="Y1439" s="13">
        <v>797.15454545454543</v>
      </c>
      <c r="Z1439" s="10">
        <v>45413</v>
      </c>
      <c r="AA1439" s="9">
        <v>160</v>
      </c>
      <c r="AC1439" s="9">
        <v>437514</v>
      </c>
      <c r="AD1439" s="14">
        <v>130.51333333333332</v>
      </c>
      <c r="AF1439" s="14">
        <v>22.400000000000002</v>
      </c>
      <c r="AH1439" s="14">
        <v>152.91333333333333</v>
      </c>
      <c r="AI1439" s="13">
        <v>644.24121212121213</v>
      </c>
      <c r="AK1439" s="9">
        <v>1120</v>
      </c>
    </row>
    <row r="1440" spans="1:37">
      <c r="A1440" s="9">
        <v>16</v>
      </c>
      <c r="B1440" s="9">
        <v>2024</v>
      </c>
      <c r="C1440" s="9" t="s">
        <v>46</v>
      </c>
      <c r="D1440" s="9" t="s">
        <v>47</v>
      </c>
      <c r="E1440" s="9" t="s">
        <v>47</v>
      </c>
      <c r="F1440" s="10">
        <v>45400</v>
      </c>
      <c r="G1440" s="9" t="s">
        <v>155</v>
      </c>
      <c r="H1440" s="9" t="s">
        <v>56</v>
      </c>
      <c r="I1440" s="9">
        <v>3</v>
      </c>
      <c r="J1440" s="9">
        <v>36</v>
      </c>
      <c r="K1440" s="9">
        <v>720</v>
      </c>
      <c r="L1440" s="9">
        <v>0.75</v>
      </c>
      <c r="M1440" s="9">
        <v>540</v>
      </c>
      <c r="N1440" s="9" t="s">
        <v>49</v>
      </c>
      <c r="Q1440" s="9">
        <f>IF(Auction_Sales[[#This Row],[Payment Date]]=0,"",-1+WEEKNUM(Auction_Sales[[#This Row],[Payment Date]]))</f>
        <v>17</v>
      </c>
      <c r="R1440" s="9">
        <v>0</v>
      </c>
      <c r="S1440" s="9" t="s">
        <v>155</v>
      </c>
      <c r="T1440" s="9" t="s">
        <v>56</v>
      </c>
      <c r="U1440" s="9">
        <v>720</v>
      </c>
      <c r="V1440" s="13">
        <v>0.51111111111111107</v>
      </c>
      <c r="W1440" s="13">
        <v>368</v>
      </c>
      <c r="X1440" s="14">
        <v>-28.314935064935099</v>
      </c>
      <c r="Y1440" s="13">
        <v>339.68506493506493</v>
      </c>
      <c r="Z1440" s="10">
        <v>45413</v>
      </c>
      <c r="AA1440" s="9">
        <v>0</v>
      </c>
      <c r="AC1440" s="9">
        <v>437514</v>
      </c>
      <c r="AD1440" s="14">
        <v>130.51333333333332</v>
      </c>
      <c r="AF1440" s="14">
        <v>14.4</v>
      </c>
      <c r="AH1440" s="14">
        <v>144.91333333333333</v>
      </c>
      <c r="AI1440" s="13">
        <v>194.7717316017316</v>
      </c>
      <c r="AK1440" s="9">
        <v>720</v>
      </c>
    </row>
    <row r="1441" spans="1:37">
      <c r="A1441" s="9">
        <v>16</v>
      </c>
      <c r="B1441" s="9">
        <v>2024</v>
      </c>
      <c r="C1441" s="9" t="s">
        <v>46</v>
      </c>
      <c r="D1441" s="9" t="s">
        <v>47</v>
      </c>
      <c r="E1441" s="9" t="s">
        <v>47</v>
      </c>
      <c r="F1441" s="10">
        <v>45400</v>
      </c>
      <c r="G1441" s="9" t="s">
        <v>155</v>
      </c>
      <c r="H1441" s="9" t="s">
        <v>57</v>
      </c>
      <c r="I1441" s="9">
        <v>1</v>
      </c>
      <c r="J1441" s="9">
        <v>12</v>
      </c>
      <c r="K1441" s="9">
        <v>200</v>
      </c>
      <c r="L1441" s="9">
        <v>0.94</v>
      </c>
      <c r="M1441" s="9">
        <v>188</v>
      </c>
      <c r="N1441" s="9" t="s">
        <v>49</v>
      </c>
      <c r="Q1441" s="9">
        <f>IF(Auction_Sales[[#This Row],[Payment Date]]=0,"",-1+WEEKNUM(Auction_Sales[[#This Row],[Payment Date]]))</f>
        <v>17</v>
      </c>
      <c r="R1441" s="9">
        <v>-160</v>
      </c>
      <c r="S1441" s="9" t="s">
        <v>155</v>
      </c>
      <c r="T1441" s="9" t="s">
        <v>57</v>
      </c>
      <c r="U1441" s="9">
        <v>360</v>
      </c>
      <c r="V1441" s="13">
        <v>0.67777777777777781</v>
      </c>
      <c r="W1441" s="13">
        <v>244</v>
      </c>
      <c r="X1441" s="14">
        <v>-14.15746753246755</v>
      </c>
      <c r="Y1441" s="13">
        <v>229.84253246753246</v>
      </c>
      <c r="Z1441" s="10">
        <v>45413</v>
      </c>
      <c r="AA1441" s="9">
        <v>160</v>
      </c>
      <c r="AC1441" s="9">
        <v>437514</v>
      </c>
      <c r="AD1441" s="14">
        <v>43.504444444444445</v>
      </c>
      <c r="AF1441" s="14">
        <v>7.2</v>
      </c>
      <c r="AH1441" s="14">
        <v>50.704444444444448</v>
      </c>
      <c r="AI1441" s="13">
        <v>179.13808802308802</v>
      </c>
      <c r="AK1441" s="9">
        <v>360</v>
      </c>
    </row>
    <row r="1442" spans="1:37">
      <c r="A1442" s="9">
        <v>16</v>
      </c>
      <c r="B1442" s="9">
        <v>2024</v>
      </c>
      <c r="C1442" s="9" t="s">
        <v>46</v>
      </c>
      <c r="D1442" s="9" t="s">
        <v>47</v>
      </c>
      <c r="E1442" s="9" t="s">
        <v>47</v>
      </c>
      <c r="F1442" s="10">
        <v>45400</v>
      </c>
      <c r="G1442" s="9" t="s">
        <v>155</v>
      </c>
      <c r="H1442" s="9" t="s">
        <v>57</v>
      </c>
      <c r="I1442" s="9">
        <v>1</v>
      </c>
      <c r="J1442" s="9">
        <v>12</v>
      </c>
      <c r="K1442" s="9">
        <v>160</v>
      </c>
      <c r="L1442" s="9">
        <v>0.94</v>
      </c>
      <c r="M1442" s="9">
        <v>150.4</v>
      </c>
      <c r="N1442" s="9" t="s">
        <v>49</v>
      </c>
      <c r="Q1442" s="9">
        <f>IF(Auction_Sales[[#This Row],[Payment Date]]=0,"",-1+WEEKNUM(Auction_Sales[[#This Row],[Payment Date]]))</f>
        <v>17</v>
      </c>
      <c r="R1442" s="9">
        <v>160</v>
      </c>
      <c r="S1442" s="9" t="s">
        <v>155</v>
      </c>
      <c r="T1442" s="9" t="s">
        <v>57</v>
      </c>
      <c r="W1442" s="13">
        <v>0</v>
      </c>
      <c r="X1442" s="14">
        <v>0</v>
      </c>
      <c r="Y1442" s="13">
        <v>0</v>
      </c>
      <c r="Z1442" s="10">
        <v>45413</v>
      </c>
      <c r="AA1442" s="9">
        <v>-160</v>
      </c>
      <c r="AC1442" s="9">
        <v>437514</v>
      </c>
      <c r="AD1442" s="14">
        <v>43.504444444444445</v>
      </c>
      <c r="AF1442" s="14">
        <v>0</v>
      </c>
      <c r="AH1442" s="14">
        <v>43.504444444444445</v>
      </c>
      <c r="AI1442" s="13">
        <v>-43.504444444444445</v>
      </c>
      <c r="AK1442" s="9">
        <v>0</v>
      </c>
    </row>
    <row r="1443" spans="1:37">
      <c r="A1443" s="9">
        <v>16</v>
      </c>
      <c r="B1443" s="9">
        <v>2024</v>
      </c>
      <c r="C1443" s="9" t="s">
        <v>46</v>
      </c>
      <c r="D1443" s="9" t="s">
        <v>47</v>
      </c>
      <c r="E1443" s="9" t="s">
        <v>47</v>
      </c>
      <c r="F1443" s="10">
        <v>45400</v>
      </c>
      <c r="G1443" s="9" t="s">
        <v>153</v>
      </c>
      <c r="H1443" s="9" t="s">
        <v>52</v>
      </c>
      <c r="I1443" s="9">
        <v>2</v>
      </c>
      <c r="J1443" s="9">
        <v>24</v>
      </c>
      <c r="K1443" s="9">
        <v>1040</v>
      </c>
      <c r="L1443" s="9">
        <v>0.28000000000000003</v>
      </c>
      <c r="M1443" s="9">
        <v>291.2</v>
      </c>
      <c r="N1443" s="9" t="s">
        <v>49</v>
      </c>
      <c r="Q1443" s="9">
        <f>IF(Auction_Sales[[#This Row],[Payment Date]]=0,"",-1+WEEKNUM(Auction_Sales[[#This Row],[Payment Date]]))</f>
        <v>17</v>
      </c>
      <c r="R1443" s="9">
        <v>0</v>
      </c>
      <c r="S1443" s="9" t="s">
        <v>153</v>
      </c>
      <c r="T1443" s="9" t="s">
        <v>52</v>
      </c>
      <c r="U1443" s="9">
        <v>1040</v>
      </c>
      <c r="V1443" s="13">
        <v>0.3792307692307692</v>
      </c>
      <c r="W1443" s="13">
        <v>394.4</v>
      </c>
      <c r="X1443" s="14">
        <v>-40.899350649350701</v>
      </c>
      <c r="Y1443" s="13">
        <v>353.50064935064927</v>
      </c>
      <c r="Z1443" s="10">
        <v>45413</v>
      </c>
      <c r="AA1443" s="9">
        <v>0</v>
      </c>
      <c r="AC1443" s="9">
        <v>437514</v>
      </c>
      <c r="AD1443" s="14">
        <v>87.00888888888889</v>
      </c>
      <c r="AF1443" s="14">
        <v>20.8</v>
      </c>
      <c r="AH1443" s="14">
        <v>107.80888888888889</v>
      </c>
      <c r="AI1443" s="13">
        <v>245.6917604617604</v>
      </c>
      <c r="AK1443" s="9">
        <v>1040</v>
      </c>
    </row>
    <row r="1444" spans="1:37">
      <c r="A1444" s="9">
        <v>16</v>
      </c>
      <c r="B1444" s="9">
        <v>2024</v>
      </c>
      <c r="C1444" s="9" t="s">
        <v>46</v>
      </c>
      <c r="D1444" s="9" t="s">
        <v>47</v>
      </c>
      <c r="E1444" s="9" t="s">
        <v>47</v>
      </c>
      <c r="F1444" s="10">
        <v>45400</v>
      </c>
      <c r="G1444" s="9" t="s">
        <v>153</v>
      </c>
      <c r="H1444" s="9" t="s">
        <v>54</v>
      </c>
      <c r="I1444" s="9">
        <v>2</v>
      </c>
      <c r="J1444" s="9">
        <v>24</v>
      </c>
      <c r="K1444" s="9">
        <v>960</v>
      </c>
      <c r="L1444" s="9">
        <v>0.33</v>
      </c>
      <c r="M1444" s="9">
        <v>316.8</v>
      </c>
      <c r="N1444" s="9" t="s">
        <v>49</v>
      </c>
      <c r="Q1444" s="9">
        <f>IF(Auction_Sales[[#This Row],[Payment Date]]=0,"",-1+WEEKNUM(Auction_Sales[[#This Row],[Payment Date]]))</f>
        <v>17</v>
      </c>
      <c r="R1444" s="9">
        <v>-160</v>
      </c>
      <c r="S1444" s="9" t="s">
        <v>153</v>
      </c>
      <c r="T1444" s="9" t="s">
        <v>54</v>
      </c>
      <c r="U1444" s="9">
        <v>1120</v>
      </c>
      <c r="V1444" s="13">
        <v>0.31107142857142855</v>
      </c>
      <c r="W1444" s="13">
        <v>348.4</v>
      </c>
      <c r="X1444" s="14">
        <v>-44.045454545454604</v>
      </c>
      <c r="Y1444" s="13">
        <v>304.35454545454536</v>
      </c>
      <c r="Z1444" s="10">
        <v>45413</v>
      </c>
      <c r="AA1444" s="9">
        <v>160</v>
      </c>
      <c r="AC1444" s="9">
        <v>437514</v>
      </c>
      <c r="AD1444" s="14">
        <v>87.00888888888889</v>
      </c>
      <c r="AF1444" s="14">
        <v>22.400000000000002</v>
      </c>
      <c r="AH1444" s="14">
        <v>109.4088888888889</v>
      </c>
      <c r="AI1444" s="13">
        <v>194.94565656565646</v>
      </c>
      <c r="AK1444" s="9">
        <v>1120</v>
      </c>
    </row>
    <row r="1445" spans="1:37">
      <c r="A1445" s="9">
        <v>16</v>
      </c>
      <c r="B1445" s="9">
        <v>2024</v>
      </c>
      <c r="C1445" s="9" t="s">
        <v>46</v>
      </c>
      <c r="D1445" s="9" t="s">
        <v>47</v>
      </c>
      <c r="E1445" s="9" t="s">
        <v>47</v>
      </c>
      <c r="F1445" s="10">
        <v>45400</v>
      </c>
      <c r="G1445" s="9" t="s">
        <v>153</v>
      </c>
      <c r="H1445" s="9" t="s">
        <v>56</v>
      </c>
      <c r="I1445" s="9">
        <v>2</v>
      </c>
      <c r="J1445" s="9">
        <v>24</v>
      </c>
      <c r="K1445" s="9">
        <v>880</v>
      </c>
      <c r="L1445" s="9">
        <v>0.38</v>
      </c>
      <c r="M1445" s="9">
        <v>334.4</v>
      </c>
      <c r="N1445" s="9" t="s">
        <v>49</v>
      </c>
      <c r="Q1445" s="9">
        <f>IF(Auction_Sales[[#This Row],[Payment Date]]=0,"",-1+WEEKNUM(Auction_Sales[[#This Row],[Payment Date]]))</f>
        <v>17</v>
      </c>
      <c r="R1445" s="9">
        <v>0</v>
      </c>
      <c r="S1445" s="9" t="s">
        <v>153</v>
      </c>
      <c r="T1445" s="9" t="s">
        <v>56</v>
      </c>
      <c r="U1445" s="9">
        <v>880</v>
      </c>
      <c r="V1445" s="13">
        <v>0.31045454545454543</v>
      </c>
      <c r="W1445" s="13">
        <v>273.2</v>
      </c>
      <c r="X1445" s="14">
        <v>-34.607142857142904</v>
      </c>
      <c r="Y1445" s="13">
        <v>238.5928571428571</v>
      </c>
      <c r="Z1445" s="10">
        <v>45413</v>
      </c>
      <c r="AA1445" s="9">
        <v>0</v>
      </c>
      <c r="AC1445" s="9">
        <v>437514</v>
      </c>
      <c r="AD1445" s="14">
        <v>87.00888888888889</v>
      </c>
      <c r="AF1445" s="14">
        <v>17.600000000000001</v>
      </c>
      <c r="AH1445" s="14">
        <v>104.60888888888888</v>
      </c>
      <c r="AI1445" s="13">
        <v>133.98396825396821</v>
      </c>
      <c r="AK1445" s="9">
        <v>880</v>
      </c>
    </row>
    <row r="1446" spans="1:37">
      <c r="A1446" s="9">
        <v>16</v>
      </c>
      <c r="B1446" s="9">
        <v>2024</v>
      </c>
      <c r="C1446" s="9" t="s">
        <v>46</v>
      </c>
      <c r="D1446" s="9" t="s">
        <v>47</v>
      </c>
      <c r="E1446" s="9" t="s">
        <v>47</v>
      </c>
      <c r="F1446" s="10">
        <v>45400</v>
      </c>
      <c r="G1446" s="9" t="s">
        <v>156</v>
      </c>
      <c r="H1446" s="9" t="s">
        <v>51</v>
      </c>
      <c r="I1446" s="9">
        <v>1</v>
      </c>
      <c r="J1446" s="9">
        <v>6</v>
      </c>
      <c r="K1446" s="9">
        <v>200</v>
      </c>
      <c r="L1446" s="9">
        <v>0.42</v>
      </c>
      <c r="M1446" s="9">
        <v>84</v>
      </c>
      <c r="N1446" s="9" t="s">
        <v>49</v>
      </c>
      <c r="Q1446" s="9">
        <f>IF(Auction_Sales[[#This Row],[Payment Date]]=0,"",-1+WEEKNUM(Auction_Sales[[#This Row],[Payment Date]]))</f>
        <v>17</v>
      </c>
      <c r="R1446" s="9">
        <v>0</v>
      </c>
      <c r="S1446" s="9" t="s">
        <v>156</v>
      </c>
      <c r="T1446" s="9" t="s">
        <v>51</v>
      </c>
      <c r="U1446" s="9">
        <v>200</v>
      </c>
      <c r="V1446" s="13">
        <v>0.45</v>
      </c>
      <c r="W1446" s="13">
        <v>90</v>
      </c>
      <c r="X1446" s="14">
        <v>-7.8652597402597495</v>
      </c>
      <c r="Y1446" s="13">
        <v>82.134740259740255</v>
      </c>
      <c r="Z1446" s="10">
        <v>45413</v>
      </c>
      <c r="AA1446" s="9">
        <v>0</v>
      </c>
      <c r="AC1446" s="9">
        <v>437514</v>
      </c>
      <c r="AD1446" s="14">
        <v>21.752222222222223</v>
      </c>
      <c r="AF1446" s="14">
        <v>4</v>
      </c>
      <c r="AH1446" s="14">
        <v>25.752222222222223</v>
      </c>
      <c r="AI1446" s="13">
        <v>56.382518037518032</v>
      </c>
      <c r="AK1446" s="9">
        <v>200</v>
      </c>
    </row>
    <row r="1447" spans="1:37">
      <c r="A1447" s="9">
        <v>16</v>
      </c>
      <c r="B1447" s="9">
        <v>2024</v>
      </c>
      <c r="C1447" s="9" t="s">
        <v>46</v>
      </c>
      <c r="D1447" s="9" t="s">
        <v>47</v>
      </c>
      <c r="E1447" s="9" t="s">
        <v>47</v>
      </c>
      <c r="F1447" s="10">
        <v>45400</v>
      </c>
      <c r="G1447" s="9" t="s">
        <v>156</v>
      </c>
      <c r="H1447" s="9" t="s">
        <v>57</v>
      </c>
      <c r="J1447" s="9">
        <v>4.8000000000000007</v>
      </c>
      <c r="K1447" s="9">
        <v>160</v>
      </c>
      <c r="L1447" s="9">
        <v>1.04</v>
      </c>
      <c r="M1447" s="9">
        <v>166.4</v>
      </c>
      <c r="N1447" s="9" t="s">
        <v>49</v>
      </c>
      <c r="Q1447" s="9">
        <f>IF(Auction_Sales[[#This Row],[Payment Date]]=0,"",-1+WEEKNUM(Auction_Sales[[#This Row],[Payment Date]]))</f>
        <v>17</v>
      </c>
      <c r="R1447" s="9">
        <v>0</v>
      </c>
      <c r="S1447" s="9" t="s">
        <v>156</v>
      </c>
      <c r="T1447" s="9" t="s">
        <v>57</v>
      </c>
      <c r="U1447" s="9">
        <v>160</v>
      </c>
      <c r="V1447" s="13">
        <v>1.01</v>
      </c>
      <c r="W1447" s="13">
        <v>161.6</v>
      </c>
      <c r="X1447" s="14">
        <v>-6.2922077922078001</v>
      </c>
      <c r="Y1447" s="13">
        <v>155.3077922077922</v>
      </c>
      <c r="Z1447" s="10">
        <v>45413</v>
      </c>
      <c r="AA1447" s="9">
        <v>0</v>
      </c>
      <c r="AC1447" s="9">
        <v>437514</v>
      </c>
      <c r="AD1447" s="14">
        <v>17.401777777777781</v>
      </c>
      <c r="AF1447" s="14">
        <v>3.2</v>
      </c>
      <c r="AH1447" s="14">
        <v>20.60177777777778</v>
      </c>
      <c r="AI1447" s="13">
        <v>134.70601443001442</v>
      </c>
      <c r="AK1447" s="9">
        <v>160</v>
      </c>
    </row>
    <row r="1448" spans="1:37">
      <c r="A1448" s="9">
        <v>16</v>
      </c>
      <c r="B1448" s="9">
        <v>2024</v>
      </c>
      <c r="C1448" s="9" t="s">
        <v>46</v>
      </c>
      <c r="D1448" s="9" t="s">
        <v>47</v>
      </c>
      <c r="E1448" s="9" t="s">
        <v>47</v>
      </c>
      <c r="F1448" s="10">
        <v>45400</v>
      </c>
      <c r="G1448" s="9" t="s">
        <v>156</v>
      </c>
      <c r="H1448" s="9" t="s">
        <v>56</v>
      </c>
      <c r="J1448" s="9">
        <v>1.2000000000000002</v>
      </c>
      <c r="K1448" s="9">
        <v>40</v>
      </c>
      <c r="L1448" s="9">
        <v>0.85</v>
      </c>
      <c r="M1448" s="9">
        <v>34</v>
      </c>
      <c r="N1448" s="9" t="s">
        <v>49</v>
      </c>
      <c r="Q1448" s="9">
        <f>IF(Auction_Sales[[#This Row],[Payment Date]]=0,"",-1+WEEKNUM(Auction_Sales[[#This Row],[Payment Date]]))</f>
        <v>17</v>
      </c>
      <c r="R1448" s="9">
        <v>0</v>
      </c>
      <c r="S1448" s="9" t="s">
        <v>156</v>
      </c>
      <c r="T1448" s="9" t="s">
        <v>56</v>
      </c>
      <c r="U1448" s="9">
        <v>40</v>
      </c>
      <c r="V1448" s="13">
        <v>0.90999999999999992</v>
      </c>
      <c r="W1448" s="13">
        <v>36.4</v>
      </c>
      <c r="X1448" s="14">
        <v>-1.57305194805195</v>
      </c>
      <c r="Y1448" s="13">
        <v>34.826948051948051</v>
      </c>
      <c r="Z1448" s="10">
        <v>45413</v>
      </c>
      <c r="AA1448" s="9">
        <v>0</v>
      </c>
      <c r="AC1448" s="9">
        <v>437514</v>
      </c>
      <c r="AD1448" s="14">
        <v>4.3504444444444452</v>
      </c>
      <c r="AF1448" s="14">
        <v>0.8</v>
      </c>
      <c r="AH1448" s="14">
        <v>5.150444444444445</v>
      </c>
      <c r="AI1448" s="13">
        <v>29.676503607503605</v>
      </c>
      <c r="AK1448" s="9">
        <v>40</v>
      </c>
    </row>
    <row r="1449" spans="1:37">
      <c r="A1449" s="9">
        <v>16</v>
      </c>
      <c r="B1449" s="9">
        <v>2024</v>
      </c>
      <c r="C1449" s="9" t="s">
        <v>46</v>
      </c>
      <c r="D1449" s="9" t="s">
        <v>47</v>
      </c>
      <c r="E1449" s="9" t="s">
        <v>47</v>
      </c>
      <c r="F1449" s="10">
        <v>45400</v>
      </c>
      <c r="G1449" s="9" t="s">
        <v>154</v>
      </c>
      <c r="H1449" s="9" t="s">
        <v>56</v>
      </c>
      <c r="I1449" s="9">
        <v>1</v>
      </c>
      <c r="J1449" s="9">
        <v>10.285714285714285</v>
      </c>
      <c r="K1449" s="9">
        <v>240</v>
      </c>
      <c r="L1449" s="9">
        <v>0.75</v>
      </c>
      <c r="M1449" s="9">
        <v>180</v>
      </c>
      <c r="N1449" s="9" t="s">
        <v>49</v>
      </c>
      <c r="Q1449" s="9">
        <f>IF(Auction_Sales[[#This Row],[Payment Date]]=0,"",-1+WEEKNUM(Auction_Sales[[#This Row],[Payment Date]]))</f>
        <v>17</v>
      </c>
      <c r="R1449" s="9">
        <v>-440</v>
      </c>
      <c r="S1449" s="9" t="s">
        <v>154</v>
      </c>
      <c r="T1449" s="9" t="s">
        <v>56</v>
      </c>
      <c r="U1449" s="9">
        <v>680</v>
      </c>
      <c r="V1449" s="13">
        <v>0.63411764705882356</v>
      </c>
      <c r="W1449" s="13">
        <v>431.20000000000005</v>
      </c>
      <c r="X1449" s="14">
        <v>-26.741883116883152</v>
      </c>
      <c r="Y1449" s="13">
        <v>404.45811688311687</v>
      </c>
      <c r="Z1449" s="10">
        <v>45413</v>
      </c>
      <c r="AA1449" s="9">
        <v>440</v>
      </c>
      <c r="AC1449" s="9">
        <v>437514</v>
      </c>
      <c r="AD1449" s="14">
        <v>37.289523809523807</v>
      </c>
      <c r="AF1449" s="14">
        <v>13.6</v>
      </c>
      <c r="AH1449" s="14">
        <v>50.889523809523808</v>
      </c>
      <c r="AI1449" s="13">
        <v>353.56859307359309</v>
      </c>
      <c r="AK1449" s="9">
        <v>680</v>
      </c>
    </row>
    <row r="1450" spans="1:37">
      <c r="A1450" s="9">
        <v>16</v>
      </c>
      <c r="B1450" s="9">
        <v>2024</v>
      </c>
      <c r="C1450" s="9" t="s">
        <v>46</v>
      </c>
      <c r="D1450" s="9" t="s">
        <v>47</v>
      </c>
      <c r="E1450" s="9" t="s">
        <v>47</v>
      </c>
      <c r="F1450" s="10">
        <v>45400</v>
      </c>
      <c r="G1450" s="9" t="s">
        <v>154</v>
      </c>
      <c r="H1450" s="9" t="s">
        <v>57</v>
      </c>
      <c r="J1450" s="9">
        <v>1.7142857142857142</v>
      </c>
      <c r="K1450" s="9">
        <v>40</v>
      </c>
      <c r="L1450" s="9">
        <v>0.94</v>
      </c>
      <c r="M1450" s="9">
        <v>37.6</v>
      </c>
      <c r="N1450" s="9" t="s">
        <v>49</v>
      </c>
      <c r="Q1450" s="9">
        <f>IF(Auction_Sales[[#This Row],[Payment Date]]=0,"",-1+WEEKNUM(Auction_Sales[[#This Row],[Payment Date]]))</f>
        <v>17</v>
      </c>
      <c r="R1450" s="9">
        <v>-200</v>
      </c>
      <c r="S1450" s="9" t="s">
        <v>154</v>
      </c>
      <c r="T1450" s="9" t="s">
        <v>57</v>
      </c>
      <c r="U1450" s="9">
        <v>240</v>
      </c>
      <c r="V1450" s="13">
        <v>0.76666666666666672</v>
      </c>
      <c r="W1450" s="13">
        <v>184</v>
      </c>
      <c r="X1450" s="14">
        <v>-9.4383116883117015</v>
      </c>
      <c r="Y1450" s="13">
        <v>174.5616883116883</v>
      </c>
      <c r="Z1450" s="10">
        <v>45413</v>
      </c>
      <c r="AA1450" s="9">
        <v>200</v>
      </c>
      <c r="AC1450" s="9">
        <v>437514</v>
      </c>
      <c r="AD1450" s="14">
        <v>6.2149206349206354</v>
      </c>
      <c r="AF1450" s="14">
        <v>4.8</v>
      </c>
      <c r="AH1450" s="14">
        <v>11.014920634920635</v>
      </c>
      <c r="AI1450" s="13">
        <v>163.54676767676767</v>
      </c>
      <c r="AK1450" s="9">
        <v>240</v>
      </c>
    </row>
    <row r="1451" spans="1:37">
      <c r="A1451" s="9">
        <v>16</v>
      </c>
      <c r="B1451" s="9">
        <v>2024</v>
      </c>
      <c r="C1451" s="9" t="s">
        <v>46</v>
      </c>
      <c r="D1451" s="9" t="s">
        <v>47</v>
      </c>
      <c r="E1451" s="9" t="s">
        <v>47</v>
      </c>
      <c r="F1451" s="10">
        <v>45400</v>
      </c>
      <c r="G1451" s="9" t="s">
        <v>153</v>
      </c>
      <c r="H1451" s="9" t="s">
        <v>48</v>
      </c>
      <c r="I1451" s="9">
        <v>1</v>
      </c>
      <c r="J1451" s="9">
        <v>8</v>
      </c>
      <c r="K1451" s="9">
        <v>320</v>
      </c>
      <c r="L1451" s="9">
        <v>0.24</v>
      </c>
      <c r="M1451" s="9">
        <v>76.8</v>
      </c>
      <c r="N1451" s="9" t="s">
        <v>49</v>
      </c>
      <c r="Q1451" s="9">
        <f>IF(Auction_Sales[[#This Row],[Payment Date]]=0,"",-1+WEEKNUM(Auction_Sales[[#This Row],[Payment Date]]))</f>
        <v>17</v>
      </c>
      <c r="R1451" s="9">
        <v>0</v>
      </c>
      <c r="S1451" s="9" t="s">
        <v>153</v>
      </c>
      <c r="T1451" s="9" t="s">
        <v>48</v>
      </c>
      <c r="U1451" s="9">
        <v>320</v>
      </c>
      <c r="V1451" s="13">
        <v>0.39374999999999999</v>
      </c>
      <c r="W1451" s="13">
        <v>126</v>
      </c>
      <c r="X1451" s="14">
        <v>-12.5844155844156</v>
      </c>
      <c r="Y1451" s="13">
        <v>113.41558441558441</v>
      </c>
      <c r="Z1451" s="10">
        <v>45413</v>
      </c>
      <c r="AA1451" s="9">
        <v>0</v>
      </c>
      <c r="AC1451" s="9">
        <v>437514</v>
      </c>
      <c r="AD1451" s="14">
        <v>29.002962962962965</v>
      </c>
      <c r="AF1451" s="14">
        <v>6.4</v>
      </c>
      <c r="AH1451" s="14">
        <v>35.402962962962967</v>
      </c>
      <c r="AI1451" s="13">
        <v>78.012621452621431</v>
      </c>
      <c r="AK1451" s="9">
        <v>320</v>
      </c>
    </row>
    <row r="1452" spans="1:37">
      <c r="A1452" s="9">
        <v>16</v>
      </c>
      <c r="B1452" s="9">
        <v>2024</v>
      </c>
      <c r="C1452" s="9" t="s">
        <v>46</v>
      </c>
      <c r="D1452" s="9" t="s">
        <v>47</v>
      </c>
      <c r="E1452" s="9" t="s">
        <v>47</v>
      </c>
      <c r="F1452" s="10">
        <v>45400</v>
      </c>
      <c r="G1452" s="9" t="s">
        <v>153</v>
      </c>
      <c r="H1452" s="9" t="s">
        <v>54</v>
      </c>
      <c r="J1452" s="9">
        <v>4</v>
      </c>
      <c r="K1452" s="9">
        <v>160</v>
      </c>
      <c r="L1452" s="9">
        <v>0.33</v>
      </c>
      <c r="M1452" s="9">
        <v>52.8</v>
      </c>
      <c r="N1452" s="9" t="s">
        <v>49</v>
      </c>
      <c r="Q1452" s="9">
        <f>IF(Auction_Sales[[#This Row],[Payment Date]]=0,"",-1+WEEKNUM(Auction_Sales[[#This Row],[Payment Date]]))</f>
        <v>17</v>
      </c>
      <c r="R1452" s="9">
        <v>160</v>
      </c>
      <c r="S1452" s="9" t="s">
        <v>153</v>
      </c>
      <c r="T1452" s="9" t="s">
        <v>54</v>
      </c>
      <c r="W1452" s="13">
        <v>0</v>
      </c>
      <c r="X1452" s="14">
        <v>0</v>
      </c>
      <c r="Y1452" s="13">
        <v>0</v>
      </c>
      <c r="Z1452" s="10">
        <v>45413</v>
      </c>
      <c r="AA1452" s="9">
        <v>-160</v>
      </c>
      <c r="AC1452" s="9">
        <v>437514</v>
      </c>
      <c r="AD1452" s="14">
        <v>14.501481481481482</v>
      </c>
      <c r="AF1452" s="14">
        <v>0</v>
      </c>
      <c r="AH1452" s="14">
        <v>14.501481481481482</v>
      </c>
      <c r="AI1452" s="13">
        <v>-14.501481481481482</v>
      </c>
      <c r="AK1452" s="9">
        <v>0</v>
      </c>
    </row>
    <row r="1453" spans="1:37">
      <c r="A1453" s="9">
        <v>16</v>
      </c>
      <c r="B1453" s="9">
        <v>2024</v>
      </c>
      <c r="C1453" s="9" t="s">
        <v>46</v>
      </c>
      <c r="D1453" s="9" t="s">
        <v>47</v>
      </c>
      <c r="E1453" s="9" t="s">
        <v>47</v>
      </c>
      <c r="F1453" s="10">
        <v>45400</v>
      </c>
      <c r="G1453" s="9" t="s">
        <v>155</v>
      </c>
      <c r="H1453" s="9" t="s">
        <v>51</v>
      </c>
      <c r="I1453" s="9">
        <v>1</v>
      </c>
      <c r="J1453" s="9">
        <v>7.7142857142857153</v>
      </c>
      <c r="K1453" s="9">
        <v>360</v>
      </c>
      <c r="L1453" s="9">
        <v>0.38</v>
      </c>
      <c r="M1453" s="9">
        <v>136.80000000000001</v>
      </c>
      <c r="N1453" s="9" t="s">
        <v>49</v>
      </c>
      <c r="Q1453" s="9">
        <f>IF(Auction_Sales[[#This Row],[Payment Date]]=0,"",-1+WEEKNUM(Auction_Sales[[#This Row],[Payment Date]]))</f>
        <v>17</v>
      </c>
      <c r="R1453" s="9">
        <v>360</v>
      </c>
      <c r="S1453" s="9" t="s">
        <v>155</v>
      </c>
      <c r="T1453" s="9" t="s">
        <v>51</v>
      </c>
      <c r="W1453" s="13">
        <v>0</v>
      </c>
      <c r="X1453" s="14">
        <v>0</v>
      </c>
      <c r="Y1453" s="13">
        <v>0</v>
      </c>
      <c r="Z1453" s="10">
        <v>45413</v>
      </c>
      <c r="AA1453" s="9">
        <v>-360</v>
      </c>
      <c r="AC1453" s="9">
        <v>437514</v>
      </c>
      <c r="AD1453" s="14">
        <v>27.967142857142861</v>
      </c>
      <c r="AF1453" s="14">
        <v>0</v>
      </c>
      <c r="AH1453" s="14">
        <v>27.967142857142861</v>
      </c>
      <c r="AI1453" s="13">
        <v>-27.967142857142861</v>
      </c>
      <c r="AK1453" s="9">
        <v>0</v>
      </c>
    </row>
    <row r="1454" spans="1:37">
      <c r="A1454" s="9">
        <v>16</v>
      </c>
      <c r="B1454" s="9">
        <v>2024</v>
      </c>
      <c r="C1454" s="9" t="s">
        <v>46</v>
      </c>
      <c r="D1454" s="9" t="s">
        <v>47</v>
      </c>
      <c r="E1454" s="9" t="s">
        <v>47</v>
      </c>
      <c r="F1454" s="10">
        <v>45400</v>
      </c>
      <c r="G1454" s="9" t="s">
        <v>155</v>
      </c>
      <c r="H1454" s="9" t="s">
        <v>54</v>
      </c>
      <c r="J1454" s="9">
        <v>3.4285714285714284</v>
      </c>
      <c r="K1454" s="9">
        <v>160</v>
      </c>
      <c r="L1454" s="9">
        <v>0.56999999999999995</v>
      </c>
      <c r="M1454" s="9">
        <v>91.2</v>
      </c>
      <c r="N1454" s="9" t="s">
        <v>49</v>
      </c>
      <c r="Q1454" s="9">
        <f>IF(Auction_Sales[[#This Row],[Payment Date]]=0,"",-1+WEEKNUM(Auction_Sales[[#This Row],[Payment Date]]))</f>
        <v>17</v>
      </c>
      <c r="R1454" s="9">
        <v>160</v>
      </c>
      <c r="S1454" s="9" t="s">
        <v>155</v>
      </c>
      <c r="T1454" s="9" t="s">
        <v>54</v>
      </c>
      <c r="W1454" s="13">
        <v>0</v>
      </c>
      <c r="X1454" s="14">
        <v>0</v>
      </c>
      <c r="Y1454" s="13">
        <v>0</v>
      </c>
      <c r="Z1454" s="10">
        <v>45413</v>
      </c>
      <c r="AA1454" s="9">
        <v>-160</v>
      </c>
      <c r="AC1454" s="9">
        <v>437514</v>
      </c>
      <c r="AD1454" s="14">
        <v>12.429841269841271</v>
      </c>
      <c r="AF1454" s="14">
        <v>0</v>
      </c>
      <c r="AH1454" s="14">
        <v>12.429841269841271</v>
      </c>
      <c r="AI1454" s="13">
        <v>-12.429841269841271</v>
      </c>
      <c r="AK1454" s="9">
        <v>0</v>
      </c>
    </row>
    <row r="1455" spans="1:37">
      <c r="A1455" s="9">
        <v>16</v>
      </c>
      <c r="B1455" s="9">
        <v>2024</v>
      </c>
      <c r="C1455" s="9" t="s">
        <v>46</v>
      </c>
      <c r="D1455" s="9" t="s">
        <v>47</v>
      </c>
      <c r="E1455" s="9" t="s">
        <v>47</v>
      </c>
      <c r="F1455" s="10">
        <v>45400</v>
      </c>
      <c r="G1455" s="9" t="s">
        <v>155</v>
      </c>
      <c r="H1455" s="9" t="s">
        <v>52</v>
      </c>
      <c r="J1455" s="9">
        <v>0.8571428571428571</v>
      </c>
      <c r="K1455" s="9">
        <v>40</v>
      </c>
      <c r="L1455" s="9">
        <v>0.52</v>
      </c>
      <c r="M1455" s="9">
        <v>20.8</v>
      </c>
      <c r="N1455" s="9" t="s">
        <v>49</v>
      </c>
      <c r="Q1455" s="9">
        <f>IF(Auction_Sales[[#This Row],[Payment Date]]=0,"",-1+WEEKNUM(Auction_Sales[[#This Row],[Payment Date]]))</f>
        <v>17</v>
      </c>
      <c r="R1455" s="9">
        <v>40</v>
      </c>
      <c r="S1455" s="9" t="s">
        <v>155</v>
      </c>
      <c r="T1455" s="9" t="s">
        <v>52</v>
      </c>
      <c r="W1455" s="13">
        <v>0</v>
      </c>
      <c r="X1455" s="14">
        <v>0</v>
      </c>
      <c r="Y1455" s="13">
        <v>0</v>
      </c>
      <c r="Z1455" s="10">
        <v>45413</v>
      </c>
      <c r="AA1455" s="9">
        <v>-40</v>
      </c>
      <c r="AC1455" s="9">
        <v>437514</v>
      </c>
      <c r="AD1455" s="14">
        <v>3.1074603174603177</v>
      </c>
      <c r="AF1455" s="14">
        <v>0</v>
      </c>
      <c r="AH1455" s="14">
        <v>3.1074603174603177</v>
      </c>
      <c r="AI1455" s="13">
        <v>-3.1074603174603177</v>
      </c>
      <c r="AK1455" s="9">
        <v>0</v>
      </c>
    </row>
    <row r="1456" spans="1:37">
      <c r="A1456" s="9">
        <v>16</v>
      </c>
      <c r="B1456" s="9">
        <v>2024</v>
      </c>
      <c r="C1456" s="9" t="s">
        <v>46</v>
      </c>
      <c r="D1456" s="9" t="s">
        <v>47</v>
      </c>
      <c r="E1456" s="9" t="s">
        <v>47</v>
      </c>
      <c r="F1456" s="10">
        <v>45400</v>
      </c>
      <c r="G1456" s="9" t="s">
        <v>153</v>
      </c>
      <c r="H1456" s="9" t="s">
        <v>57</v>
      </c>
      <c r="I1456" s="9">
        <v>1</v>
      </c>
      <c r="J1456" s="9">
        <v>8.5714285714285712</v>
      </c>
      <c r="K1456" s="9">
        <v>200</v>
      </c>
      <c r="L1456" s="9">
        <v>0.47</v>
      </c>
      <c r="M1456" s="9">
        <v>94</v>
      </c>
      <c r="N1456" s="9" t="s">
        <v>49</v>
      </c>
      <c r="Q1456" s="9">
        <f>IF(Auction_Sales[[#This Row],[Payment Date]]=0,"",-1+WEEKNUM(Auction_Sales[[#This Row],[Payment Date]]))</f>
        <v>17</v>
      </c>
      <c r="R1456" s="9">
        <v>0</v>
      </c>
      <c r="S1456" s="9" t="s">
        <v>153</v>
      </c>
      <c r="T1456" s="9" t="s">
        <v>57</v>
      </c>
      <c r="U1456" s="9">
        <v>200</v>
      </c>
      <c r="V1456" s="13">
        <v>0.48</v>
      </c>
      <c r="W1456" s="13">
        <v>96</v>
      </c>
      <c r="X1456" s="14">
        <v>-7.8652597402597495</v>
      </c>
      <c r="Y1456" s="13">
        <v>88.134740259740255</v>
      </c>
      <c r="Z1456" s="10">
        <v>45413</v>
      </c>
      <c r="AA1456" s="9">
        <v>0</v>
      </c>
      <c r="AC1456" s="9">
        <v>437514</v>
      </c>
      <c r="AD1456" s="14">
        <v>31.074603174603173</v>
      </c>
      <c r="AF1456" s="14">
        <v>4</v>
      </c>
      <c r="AH1456" s="14">
        <v>35.074603174603169</v>
      </c>
      <c r="AI1456" s="13">
        <v>53.060137085137086</v>
      </c>
      <c r="AK1456" s="9">
        <v>200</v>
      </c>
    </row>
    <row r="1457" spans="1:37">
      <c r="A1457" s="9">
        <v>16</v>
      </c>
      <c r="B1457" s="9">
        <v>2024</v>
      </c>
      <c r="C1457" s="9" t="s">
        <v>46</v>
      </c>
      <c r="D1457" s="9" t="s">
        <v>47</v>
      </c>
      <c r="E1457" s="9" t="s">
        <v>47</v>
      </c>
      <c r="F1457" s="10">
        <v>45400</v>
      </c>
      <c r="G1457" s="9" t="s">
        <v>153</v>
      </c>
      <c r="H1457" s="9" t="s">
        <v>51</v>
      </c>
      <c r="J1457" s="9">
        <v>3.4285714285714284</v>
      </c>
      <c r="K1457" s="9">
        <v>80</v>
      </c>
      <c r="L1457" s="9">
        <v>0.14000000000000001</v>
      </c>
      <c r="M1457" s="9">
        <v>11.2</v>
      </c>
      <c r="N1457" s="9" t="s">
        <v>49</v>
      </c>
      <c r="Q1457" s="9">
        <f>IF(Auction_Sales[[#This Row],[Payment Date]]=0,"",-1+WEEKNUM(Auction_Sales[[#This Row],[Payment Date]]))</f>
        <v>17</v>
      </c>
      <c r="R1457" s="9">
        <v>0</v>
      </c>
      <c r="S1457" s="9" t="s">
        <v>153</v>
      </c>
      <c r="T1457" s="9" t="s">
        <v>51</v>
      </c>
      <c r="U1457" s="9">
        <v>80</v>
      </c>
      <c r="V1457" s="13">
        <v>0.1</v>
      </c>
      <c r="W1457" s="13">
        <v>8</v>
      </c>
      <c r="X1457" s="14">
        <v>-3.1461038961039001</v>
      </c>
      <c r="Y1457" s="13">
        <v>4.8538961038960995</v>
      </c>
      <c r="Z1457" s="10">
        <v>45413</v>
      </c>
      <c r="AA1457" s="9">
        <v>0</v>
      </c>
      <c r="AC1457" s="9">
        <v>437514</v>
      </c>
      <c r="AD1457" s="14">
        <v>12.429841269841271</v>
      </c>
      <c r="AF1457" s="14">
        <v>1.6</v>
      </c>
      <c r="AH1457" s="14">
        <v>14.02984126984127</v>
      </c>
      <c r="AI1457" s="13">
        <v>-9.175945165945171</v>
      </c>
      <c r="AK1457" s="9">
        <v>80</v>
      </c>
    </row>
    <row r="1458" spans="1:37">
      <c r="A1458" s="9">
        <v>17</v>
      </c>
      <c r="B1458" s="9">
        <v>2024</v>
      </c>
      <c r="C1458" s="9" t="s">
        <v>46</v>
      </c>
      <c r="D1458" s="9" t="s">
        <v>47</v>
      </c>
      <c r="E1458" s="9" t="s">
        <v>47</v>
      </c>
      <c r="F1458" s="10">
        <v>45402</v>
      </c>
      <c r="G1458" s="9" t="s">
        <v>154</v>
      </c>
      <c r="H1458" s="9" t="s">
        <v>48</v>
      </c>
      <c r="I1458" s="9">
        <v>1</v>
      </c>
      <c r="J1458" s="9">
        <v>12</v>
      </c>
      <c r="K1458" s="9">
        <v>480</v>
      </c>
      <c r="L1458" s="9">
        <v>0.47</v>
      </c>
      <c r="M1458" s="9">
        <v>225.6</v>
      </c>
      <c r="N1458" s="9" t="s">
        <v>49</v>
      </c>
      <c r="Q1458" s="9">
        <f>IF(Auction_Sales[[#This Row],[Payment Date]]=0,"",-1+WEEKNUM(Auction_Sales[[#This Row],[Payment Date]]))</f>
        <v>17</v>
      </c>
      <c r="R1458" s="9">
        <v>-120</v>
      </c>
      <c r="S1458" s="9" t="s">
        <v>154</v>
      </c>
      <c r="T1458" s="9" t="s">
        <v>48</v>
      </c>
      <c r="U1458" s="9">
        <v>600</v>
      </c>
      <c r="V1458" s="13">
        <v>0.66399999999999992</v>
      </c>
      <c r="W1458" s="13">
        <v>398.4</v>
      </c>
      <c r="X1458" s="14">
        <v>-25.486111111111111</v>
      </c>
      <c r="Y1458" s="13">
        <v>372.91388888888889</v>
      </c>
      <c r="Z1458" s="10">
        <v>45413</v>
      </c>
      <c r="AA1458" s="9">
        <v>120</v>
      </c>
      <c r="AC1458" s="9">
        <v>437508</v>
      </c>
      <c r="AD1458" s="14">
        <v>45.775294117647057</v>
      </c>
      <c r="AF1458" s="14">
        <v>12</v>
      </c>
      <c r="AH1458" s="14">
        <v>57.775294117647057</v>
      </c>
      <c r="AI1458" s="13">
        <v>315.13859477124186</v>
      </c>
      <c r="AK1458" s="9">
        <v>600</v>
      </c>
    </row>
    <row r="1459" spans="1:37">
      <c r="A1459" s="9">
        <v>17</v>
      </c>
      <c r="B1459" s="9">
        <v>2024</v>
      </c>
      <c r="C1459" s="9" t="s">
        <v>46</v>
      </c>
      <c r="D1459" s="9" t="s">
        <v>47</v>
      </c>
      <c r="E1459" s="9" t="s">
        <v>47</v>
      </c>
      <c r="F1459" s="10">
        <v>45402</v>
      </c>
      <c r="G1459" s="9" t="s">
        <v>154</v>
      </c>
      <c r="H1459" s="9" t="s">
        <v>57</v>
      </c>
      <c r="I1459" s="9">
        <v>1</v>
      </c>
      <c r="J1459" s="9">
        <v>12</v>
      </c>
      <c r="K1459" s="9">
        <v>200</v>
      </c>
      <c r="L1459" s="9">
        <v>0.94</v>
      </c>
      <c r="M1459" s="9">
        <v>188</v>
      </c>
      <c r="N1459" s="9" t="s">
        <v>49</v>
      </c>
      <c r="Q1459" s="9">
        <f>IF(Auction_Sales[[#This Row],[Payment Date]]=0,"",-1+WEEKNUM(Auction_Sales[[#This Row],[Payment Date]]))</f>
        <v>17</v>
      </c>
      <c r="R1459" s="9">
        <v>-160</v>
      </c>
      <c r="S1459" s="9" t="s">
        <v>154</v>
      </c>
      <c r="T1459" s="9" t="s">
        <v>57</v>
      </c>
      <c r="U1459" s="9">
        <v>360</v>
      </c>
      <c r="V1459" s="13">
        <v>0.84222222222222221</v>
      </c>
      <c r="W1459" s="13">
        <v>303.2</v>
      </c>
      <c r="X1459" s="14">
        <v>-15.291666666666666</v>
      </c>
      <c r="Y1459" s="13">
        <v>287.9083333333333</v>
      </c>
      <c r="Z1459" s="10">
        <v>45413</v>
      </c>
      <c r="AA1459" s="9">
        <v>160</v>
      </c>
      <c r="AC1459" s="9">
        <v>437508</v>
      </c>
      <c r="AD1459" s="14">
        <v>45.775294117647057</v>
      </c>
      <c r="AF1459" s="14">
        <v>7.2</v>
      </c>
      <c r="AH1459" s="14">
        <v>52.97529411764706</v>
      </c>
      <c r="AI1459" s="13">
        <v>234.93303921568625</v>
      </c>
      <c r="AK1459" s="9">
        <v>360</v>
      </c>
    </row>
    <row r="1460" spans="1:37">
      <c r="A1460" s="9">
        <v>17</v>
      </c>
      <c r="B1460" s="9">
        <v>2024</v>
      </c>
      <c r="C1460" s="9" t="s">
        <v>46</v>
      </c>
      <c r="D1460" s="9" t="s">
        <v>47</v>
      </c>
      <c r="E1460" s="9" t="s">
        <v>47</v>
      </c>
      <c r="F1460" s="10">
        <v>45402</v>
      </c>
      <c r="G1460" s="9" t="s">
        <v>154</v>
      </c>
      <c r="H1460" s="9" t="s">
        <v>57</v>
      </c>
      <c r="I1460" s="9">
        <v>1</v>
      </c>
      <c r="J1460" s="9">
        <v>12</v>
      </c>
      <c r="K1460" s="9">
        <v>160</v>
      </c>
      <c r="L1460" s="9">
        <v>0.94</v>
      </c>
      <c r="M1460" s="9">
        <v>150.4</v>
      </c>
      <c r="N1460" s="9" t="s">
        <v>49</v>
      </c>
      <c r="Q1460" s="9">
        <f>IF(Auction_Sales[[#This Row],[Payment Date]]=0,"",-1+WEEKNUM(Auction_Sales[[#This Row],[Payment Date]]))</f>
        <v>17</v>
      </c>
      <c r="R1460" s="9">
        <v>160</v>
      </c>
      <c r="S1460" s="9" t="s">
        <v>154</v>
      </c>
      <c r="T1460" s="9" t="s">
        <v>57</v>
      </c>
      <c r="W1460" s="13">
        <v>0</v>
      </c>
      <c r="X1460" s="14">
        <v>0</v>
      </c>
      <c r="Y1460" s="13">
        <v>0</v>
      </c>
      <c r="Z1460" s="10">
        <v>45413</v>
      </c>
      <c r="AA1460" s="9">
        <v>-160</v>
      </c>
      <c r="AC1460" s="9">
        <v>437508</v>
      </c>
      <c r="AD1460" s="14">
        <v>45.775294117647057</v>
      </c>
      <c r="AF1460" s="14">
        <v>0</v>
      </c>
      <c r="AH1460" s="14">
        <v>45.775294117647057</v>
      </c>
      <c r="AI1460" s="13">
        <v>-45.775294117647057</v>
      </c>
      <c r="AK1460" s="9">
        <v>0</v>
      </c>
    </row>
    <row r="1461" spans="1:37">
      <c r="A1461" s="9">
        <v>17</v>
      </c>
      <c r="B1461" s="9">
        <v>2024</v>
      </c>
      <c r="C1461" s="9" t="s">
        <v>46</v>
      </c>
      <c r="D1461" s="9" t="s">
        <v>47</v>
      </c>
      <c r="E1461" s="9" t="s">
        <v>47</v>
      </c>
      <c r="F1461" s="10">
        <v>45402</v>
      </c>
      <c r="G1461" s="9" t="s">
        <v>153</v>
      </c>
      <c r="H1461" s="9" t="s">
        <v>54</v>
      </c>
      <c r="I1461" s="9">
        <v>1</v>
      </c>
      <c r="J1461" s="9">
        <v>12</v>
      </c>
      <c r="K1461" s="9">
        <v>480</v>
      </c>
      <c r="L1461" s="9">
        <v>0.33</v>
      </c>
      <c r="M1461" s="9">
        <v>158.4</v>
      </c>
      <c r="N1461" s="9" t="s">
        <v>49</v>
      </c>
      <c r="Q1461" s="9">
        <f>IF(Auction_Sales[[#This Row],[Payment Date]]=0,"",-1+WEEKNUM(Auction_Sales[[#This Row],[Payment Date]]))</f>
        <v>17</v>
      </c>
      <c r="R1461" s="9">
        <v>-240</v>
      </c>
      <c r="S1461" s="9" t="s">
        <v>153</v>
      </c>
      <c r="T1461" s="9" t="s">
        <v>54</v>
      </c>
      <c r="U1461" s="9">
        <v>720</v>
      </c>
      <c r="V1461" s="13">
        <v>0.30222222222222223</v>
      </c>
      <c r="W1461" s="13">
        <v>217.6</v>
      </c>
      <c r="X1461" s="14">
        <v>-30.583333333333332</v>
      </c>
      <c r="Y1461" s="13">
        <v>187.01666666666665</v>
      </c>
      <c r="Z1461" s="10">
        <v>45413</v>
      </c>
      <c r="AA1461" s="9">
        <v>240</v>
      </c>
      <c r="AC1461" s="9">
        <v>437508</v>
      </c>
      <c r="AD1461" s="14">
        <v>45.775294117647057</v>
      </c>
      <c r="AF1461" s="14">
        <v>14.4</v>
      </c>
      <c r="AH1461" s="14">
        <v>60.175294117647056</v>
      </c>
      <c r="AI1461" s="13">
        <v>126.8413725490196</v>
      </c>
      <c r="AK1461" s="9">
        <v>720</v>
      </c>
    </row>
    <row r="1462" spans="1:37">
      <c r="A1462" s="9">
        <v>17</v>
      </c>
      <c r="B1462" s="9">
        <v>2024</v>
      </c>
      <c r="C1462" s="9" t="s">
        <v>46</v>
      </c>
      <c r="D1462" s="9" t="s">
        <v>47</v>
      </c>
      <c r="E1462" s="9" t="s">
        <v>47</v>
      </c>
      <c r="F1462" s="10">
        <v>45402</v>
      </c>
      <c r="G1462" s="9" t="s">
        <v>153</v>
      </c>
      <c r="H1462" s="9" t="s">
        <v>56</v>
      </c>
      <c r="I1462" s="9">
        <v>1</v>
      </c>
      <c r="J1462" s="9">
        <v>12</v>
      </c>
      <c r="K1462" s="9">
        <v>440</v>
      </c>
      <c r="L1462" s="9">
        <v>0.38</v>
      </c>
      <c r="M1462" s="9">
        <v>167.2</v>
      </c>
      <c r="N1462" s="9" t="s">
        <v>49</v>
      </c>
      <c r="Q1462" s="9">
        <f>IF(Auction_Sales[[#This Row],[Payment Date]]=0,"",-1+WEEKNUM(Auction_Sales[[#This Row],[Payment Date]]))</f>
        <v>17</v>
      </c>
      <c r="R1462" s="9">
        <v>120</v>
      </c>
      <c r="S1462" s="9" t="s">
        <v>153</v>
      </c>
      <c r="T1462" s="9" t="s">
        <v>56</v>
      </c>
      <c r="U1462" s="9">
        <v>320</v>
      </c>
      <c r="V1462" s="13">
        <v>0.28375</v>
      </c>
      <c r="W1462" s="13">
        <v>90.8</v>
      </c>
      <c r="X1462" s="14">
        <v>-13.592592592592593</v>
      </c>
      <c r="Y1462" s="13">
        <v>77.207407407407402</v>
      </c>
      <c r="Z1462" s="10">
        <v>45413</v>
      </c>
      <c r="AA1462" s="9">
        <v>-120</v>
      </c>
      <c r="AC1462" s="9">
        <v>437508</v>
      </c>
      <c r="AD1462" s="14">
        <v>45.775294117647057</v>
      </c>
      <c r="AF1462" s="14">
        <v>6.4</v>
      </c>
      <c r="AH1462" s="14">
        <v>52.175294117647056</v>
      </c>
      <c r="AI1462" s="13">
        <v>25.032113289760346</v>
      </c>
      <c r="AK1462" s="9">
        <v>320</v>
      </c>
    </row>
    <row r="1463" spans="1:37">
      <c r="A1463" s="9">
        <v>17</v>
      </c>
      <c r="B1463" s="9">
        <v>2024</v>
      </c>
      <c r="C1463" s="9" t="s">
        <v>46</v>
      </c>
      <c r="D1463" s="9" t="s">
        <v>47</v>
      </c>
      <c r="E1463" s="9" t="s">
        <v>47</v>
      </c>
      <c r="F1463" s="10">
        <v>45402</v>
      </c>
      <c r="G1463" s="9" t="s">
        <v>153</v>
      </c>
      <c r="H1463" s="9" t="s">
        <v>57</v>
      </c>
      <c r="I1463" s="9">
        <v>1</v>
      </c>
      <c r="J1463" s="9">
        <v>12</v>
      </c>
      <c r="K1463" s="9">
        <v>360</v>
      </c>
      <c r="L1463" s="9">
        <v>0.47</v>
      </c>
      <c r="M1463" s="9">
        <v>169.2</v>
      </c>
      <c r="N1463" s="9" t="s">
        <v>49</v>
      </c>
      <c r="Q1463" s="9">
        <f>IF(Auction_Sales[[#This Row],[Payment Date]]=0,"",-1+WEEKNUM(Auction_Sales[[#This Row],[Payment Date]]))</f>
        <v>17</v>
      </c>
      <c r="R1463" s="9">
        <v>-40</v>
      </c>
      <c r="S1463" s="9" t="s">
        <v>153</v>
      </c>
      <c r="T1463" s="9" t="s">
        <v>57</v>
      </c>
      <c r="U1463" s="9">
        <v>400</v>
      </c>
      <c r="V1463" s="13">
        <v>0.47</v>
      </c>
      <c r="W1463" s="13">
        <v>188</v>
      </c>
      <c r="X1463" s="14">
        <v>-16.99074074074074</v>
      </c>
      <c r="Y1463" s="13">
        <v>171.00925925925927</v>
      </c>
      <c r="Z1463" s="10">
        <v>45413</v>
      </c>
      <c r="AA1463" s="9">
        <v>40</v>
      </c>
      <c r="AC1463" s="9">
        <v>437508</v>
      </c>
      <c r="AD1463" s="14">
        <v>45.775294117647057</v>
      </c>
      <c r="AF1463" s="14">
        <v>8</v>
      </c>
      <c r="AH1463" s="14">
        <v>53.775294117647057</v>
      </c>
      <c r="AI1463" s="13">
        <v>117.2339651416122</v>
      </c>
      <c r="AK1463" s="9">
        <v>400</v>
      </c>
    </row>
    <row r="1464" spans="1:37">
      <c r="A1464" s="9">
        <v>17</v>
      </c>
      <c r="B1464" s="9">
        <v>2024</v>
      </c>
      <c r="C1464" s="9" t="s">
        <v>46</v>
      </c>
      <c r="D1464" s="9" t="s">
        <v>47</v>
      </c>
      <c r="E1464" s="9" t="s">
        <v>47</v>
      </c>
      <c r="F1464" s="10">
        <v>45402</v>
      </c>
      <c r="G1464" s="9" t="s">
        <v>155</v>
      </c>
      <c r="H1464" s="9" t="s">
        <v>51</v>
      </c>
      <c r="I1464" s="9">
        <v>1</v>
      </c>
      <c r="J1464" s="9">
        <v>12</v>
      </c>
      <c r="K1464" s="9">
        <v>760</v>
      </c>
      <c r="L1464" s="9">
        <v>0.38</v>
      </c>
      <c r="M1464" s="9">
        <v>288.8</v>
      </c>
      <c r="N1464" s="9" t="s">
        <v>49</v>
      </c>
      <c r="Q1464" s="9">
        <f>IF(Auction_Sales[[#This Row],[Payment Date]]=0,"",-1+WEEKNUM(Auction_Sales[[#This Row],[Payment Date]]))</f>
        <v>17</v>
      </c>
      <c r="R1464" s="9">
        <v>-40</v>
      </c>
      <c r="S1464" s="9" t="s">
        <v>155</v>
      </c>
      <c r="T1464" s="9" t="s">
        <v>51</v>
      </c>
      <c r="U1464" s="9">
        <v>800</v>
      </c>
      <c r="V1464" s="13">
        <v>0.26</v>
      </c>
      <c r="W1464" s="13">
        <v>208</v>
      </c>
      <c r="X1464" s="14">
        <v>-33.981481481481481</v>
      </c>
      <c r="Y1464" s="13">
        <v>174.01851851851853</v>
      </c>
      <c r="Z1464" s="10">
        <v>45413</v>
      </c>
      <c r="AA1464" s="9">
        <v>40</v>
      </c>
      <c r="AC1464" s="9">
        <v>437508</v>
      </c>
      <c r="AD1464" s="14">
        <v>45.775294117647057</v>
      </c>
      <c r="AF1464" s="14">
        <v>16</v>
      </c>
      <c r="AH1464" s="14">
        <v>61.775294117647057</v>
      </c>
      <c r="AI1464" s="13">
        <v>112.24322440087147</v>
      </c>
      <c r="AK1464" s="9">
        <v>800</v>
      </c>
    </row>
    <row r="1465" spans="1:37">
      <c r="A1465" s="9">
        <v>17</v>
      </c>
      <c r="B1465" s="9">
        <v>2024</v>
      </c>
      <c r="C1465" s="9" t="s">
        <v>46</v>
      </c>
      <c r="D1465" s="9" t="s">
        <v>47</v>
      </c>
      <c r="E1465" s="9" t="s">
        <v>47</v>
      </c>
      <c r="F1465" s="10">
        <v>45402</v>
      </c>
      <c r="G1465" s="9" t="s">
        <v>155</v>
      </c>
      <c r="H1465" s="9" t="s">
        <v>48</v>
      </c>
      <c r="I1465" s="9">
        <v>1</v>
      </c>
      <c r="J1465" s="9">
        <v>12</v>
      </c>
      <c r="K1465" s="9">
        <v>520</v>
      </c>
      <c r="L1465" s="9">
        <v>0.47</v>
      </c>
      <c r="M1465" s="9">
        <v>244.4</v>
      </c>
      <c r="N1465" s="9" t="s">
        <v>49</v>
      </c>
      <c r="Q1465" s="9">
        <f>IF(Auction_Sales[[#This Row],[Payment Date]]=0,"",-1+WEEKNUM(Auction_Sales[[#This Row],[Payment Date]]))</f>
        <v>17</v>
      </c>
      <c r="R1465" s="9">
        <v>0</v>
      </c>
      <c r="S1465" s="9" t="s">
        <v>155</v>
      </c>
      <c r="T1465" s="9" t="s">
        <v>48</v>
      </c>
      <c r="U1465" s="9">
        <v>520</v>
      </c>
      <c r="V1465" s="13">
        <v>0.53538461538461535</v>
      </c>
      <c r="W1465" s="13">
        <v>278.39999999999998</v>
      </c>
      <c r="X1465" s="14">
        <v>-22.087962962962962</v>
      </c>
      <c r="Y1465" s="13">
        <v>256.31203703703704</v>
      </c>
      <c r="Z1465" s="10">
        <v>45413</v>
      </c>
      <c r="AA1465" s="9">
        <v>0</v>
      </c>
      <c r="AC1465" s="9">
        <v>437508</v>
      </c>
      <c r="AD1465" s="14">
        <v>45.775294117647057</v>
      </c>
      <c r="AF1465" s="14">
        <v>10.4</v>
      </c>
      <c r="AH1465" s="14">
        <v>56.175294117647056</v>
      </c>
      <c r="AI1465" s="13">
        <v>200.13674291938997</v>
      </c>
      <c r="AK1465" s="9">
        <v>520</v>
      </c>
    </row>
    <row r="1466" spans="1:37">
      <c r="A1466" s="9">
        <v>17</v>
      </c>
      <c r="B1466" s="9">
        <v>2024</v>
      </c>
      <c r="C1466" s="9" t="s">
        <v>46</v>
      </c>
      <c r="D1466" s="9" t="s">
        <v>47</v>
      </c>
      <c r="E1466" s="9" t="s">
        <v>47</v>
      </c>
      <c r="F1466" s="10">
        <v>45402</v>
      </c>
      <c r="G1466" s="9" t="s">
        <v>153</v>
      </c>
      <c r="H1466" s="9" t="s">
        <v>52</v>
      </c>
      <c r="I1466" s="9">
        <v>1</v>
      </c>
      <c r="J1466" s="9">
        <v>12</v>
      </c>
      <c r="K1466" s="9">
        <v>520</v>
      </c>
      <c r="L1466" s="9">
        <v>0.28000000000000003</v>
      </c>
      <c r="M1466" s="9">
        <v>145.6</v>
      </c>
      <c r="N1466" s="9" t="s">
        <v>49</v>
      </c>
      <c r="Q1466" s="9">
        <f>IF(Auction_Sales[[#This Row],[Payment Date]]=0,"",-1+WEEKNUM(Auction_Sales[[#This Row],[Payment Date]]))</f>
        <v>17</v>
      </c>
      <c r="R1466" s="9">
        <v>-240</v>
      </c>
      <c r="S1466" s="9" t="s">
        <v>153</v>
      </c>
      <c r="T1466" s="9" t="s">
        <v>52</v>
      </c>
      <c r="U1466" s="9">
        <v>760</v>
      </c>
      <c r="V1466" s="13">
        <v>0.27789473684210525</v>
      </c>
      <c r="W1466" s="13">
        <v>211.2</v>
      </c>
      <c r="X1466" s="14">
        <v>-32.282407407407405</v>
      </c>
      <c r="Y1466" s="13">
        <v>178.9175925925926</v>
      </c>
      <c r="Z1466" s="10">
        <v>45413</v>
      </c>
      <c r="AA1466" s="9">
        <v>240</v>
      </c>
      <c r="AC1466" s="9">
        <v>437508</v>
      </c>
      <c r="AD1466" s="14">
        <v>45.775294117647057</v>
      </c>
      <c r="AF1466" s="14">
        <v>15.200000000000001</v>
      </c>
      <c r="AH1466" s="14">
        <v>60.97529411764706</v>
      </c>
      <c r="AI1466" s="13">
        <v>117.94229847494555</v>
      </c>
      <c r="AK1466" s="9">
        <v>760</v>
      </c>
    </row>
    <row r="1467" spans="1:37">
      <c r="A1467" s="9">
        <v>17</v>
      </c>
      <c r="B1467" s="9">
        <v>2024</v>
      </c>
      <c r="C1467" s="9" t="s">
        <v>46</v>
      </c>
      <c r="D1467" s="9" t="s">
        <v>47</v>
      </c>
      <c r="E1467" s="9" t="s">
        <v>47</v>
      </c>
      <c r="F1467" s="10">
        <v>45402</v>
      </c>
      <c r="G1467" s="9" t="s">
        <v>155</v>
      </c>
      <c r="H1467" s="9" t="s">
        <v>52</v>
      </c>
      <c r="I1467" s="9">
        <v>1</v>
      </c>
      <c r="J1467" s="9">
        <v>12</v>
      </c>
      <c r="K1467" s="9">
        <v>400</v>
      </c>
      <c r="L1467" s="9">
        <v>0.52</v>
      </c>
      <c r="M1467" s="9">
        <v>208</v>
      </c>
      <c r="N1467" s="9" t="s">
        <v>49</v>
      </c>
      <c r="Q1467" s="9">
        <f>IF(Auction_Sales[[#This Row],[Payment Date]]=0,"",-1+WEEKNUM(Auction_Sales[[#This Row],[Payment Date]]))</f>
        <v>17</v>
      </c>
      <c r="R1467" s="9">
        <v>0</v>
      </c>
      <c r="S1467" s="9" t="s">
        <v>155</v>
      </c>
      <c r="T1467" s="9" t="s">
        <v>52</v>
      </c>
      <c r="U1467" s="9">
        <v>400</v>
      </c>
      <c r="V1467" s="13">
        <v>0.61699999999999999</v>
      </c>
      <c r="W1467" s="13">
        <v>246.8</v>
      </c>
      <c r="X1467" s="14">
        <v>-16.99074074074074</v>
      </c>
      <c r="Y1467" s="13">
        <v>229.80925925925928</v>
      </c>
      <c r="Z1467" s="10">
        <v>45413</v>
      </c>
      <c r="AA1467" s="9">
        <v>0</v>
      </c>
      <c r="AC1467" s="9">
        <v>437508</v>
      </c>
      <c r="AD1467" s="14">
        <v>45.775294117647057</v>
      </c>
      <c r="AF1467" s="14">
        <v>8</v>
      </c>
      <c r="AH1467" s="14">
        <v>53.775294117647057</v>
      </c>
      <c r="AI1467" s="13">
        <v>176.03396514161221</v>
      </c>
      <c r="AK1467" s="9">
        <v>400</v>
      </c>
    </row>
    <row r="1468" spans="1:37">
      <c r="A1468" s="9">
        <v>17</v>
      </c>
      <c r="B1468" s="9">
        <v>2024</v>
      </c>
      <c r="C1468" s="9" t="s">
        <v>46</v>
      </c>
      <c r="D1468" s="9" t="s">
        <v>47</v>
      </c>
      <c r="E1468" s="9" t="s">
        <v>47</v>
      </c>
      <c r="F1468" s="10">
        <v>45402</v>
      </c>
      <c r="G1468" s="9" t="s">
        <v>155</v>
      </c>
      <c r="H1468" s="9" t="s">
        <v>54</v>
      </c>
      <c r="I1468" s="9">
        <v>2</v>
      </c>
      <c r="J1468" s="9">
        <v>24</v>
      </c>
      <c r="K1468" s="9">
        <v>640</v>
      </c>
      <c r="L1468" s="9">
        <v>0.56999999999999995</v>
      </c>
      <c r="M1468" s="9">
        <v>364.8</v>
      </c>
      <c r="N1468" s="9" t="s">
        <v>49</v>
      </c>
      <c r="Q1468" s="9">
        <f>IF(Auction_Sales[[#This Row],[Payment Date]]=0,"",-1+WEEKNUM(Auction_Sales[[#This Row],[Payment Date]]))</f>
        <v>17</v>
      </c>
      <c r="R1468" s="9">
        <v>0</v>
      </c>
      <c r="S1468" s="9" t="s">
        <v>155</v>
      </c>
      <c r="T1468" s="9" t="s">
        <v>54</v>
      </c>
      <c r="U1468" s="9">
        <v>640</v>
      </c>
      <c r="V1468" s="13">
        <v>0.64687499999999998</v>
      </c>
      <c r="W1468" s="13">
        <v>414</v>
      </c>
      <c r="X1468" s="14">
        <v>-27.185185185185187</v>
      </c>
      <c r="Y1468" s="13">
        <v>386.81481481481484</v>
      </c>
      <c r="Z1468" s="10">
        <v>45413</v>
      </c>
      <c r="AA1468" s="9">
        <v>0</v>
      </c>
      <c r="AC1468" s="9">
        <v>437508</v>
      </c>
      <c r="AD1468" s="14">
        <v>91.550588235294114</v>
      </c>
      <c r="AF1468" s="14">
        <v>12.8</v>
      </c>
      <c r="AH1468" s="14">
        <v>104.35058823529411</v>
      </c>
      <c r="AI1468" s="13">
        <v>282.46422657952075</v>
      </c>
      <c r="AK1468" s="9">
        <v>640</v>
      </c>
    </row>
    <row r="1469" spans="1:37">
      <c r="A1469" s="9">
        <v>17</v>
      </c>
      <c r="B1469" s="9">
        <v>2024</v>
      </c>
      <c r="C1469" s="9" t="s">
        <v>46</v>
      </c>
      <c r="D1469" s="9" t="s">
        <v>47</v>
      </c>
      <c r="E1469" s="9" t="s">
        <v>47</v>
      </c>
      <c r="F1469" s="10">
        <v>45402</v>
      </c>
      <c r="G1469" s="9" t="s">
        <v>155</v>
      </c>
      <c r="H1469" s="9" t="s">
        <v>56</v>
      </c>
      <c r="I1469" s="9">
        <v>1</v>
      </c>
      <c r="J1469" s="9">
        <v>12</v>
      </c>
      <c r="K1469" s="9">
        <v>240</v>
      </c>
      <c r="L1469" s="9">
        <v>0.75</v>
      </c>
      <c r="M1469" s="9">
        <v>180</v>
      </c>
      <c r="N1469" s="9" t="s">
        <v>49</v>
      </c>
      <c r="Q1469" s="9">
        <f>IF(Auction_Sales[[#This Row],[Payment Date]]=0,"",-1+WEEKNUM(Auction_Sales[[#This Row],[Payment Date]]))</f>
        <v>17</v>
      </c>
      <c r="R1469" s="9">
        <v>-160</v>
      </c>
      <c r="S1469" s="9" t="s">
        <v>155</v>
      </c>
      <c r="T1469" s="9" t="s">
        <v>56</v>
      </c>
      <c r="U1469" s="9">
        <v>400</v>
      </c>
      <c r="V1469" s="13">
        <v>0.5</v>
      </c>
      <c r="W1469" s="13">
        <v>200</v>
      </c>
      <c r="X1469" s="14">
        <v>-16.99074074074074</v>
      </c>
      <c r="Y1469" s="13">
        <v>183.00925925925927</v>
      </c>
      <c r="Z1469" s="10">
        <v>45413</v>
      </c>
      <c r="AA1469" s="9">
        <v>160</v>
      </c>
      <c r="AC1469" s="9">
        <v>437508</v>
      </c>
      <c r="AD1469" s="14">
        <v>45.775294117647057</v>
      </c>
      <c r="AF1469" s="14">
        <v>8</v>
      </c>
      <c r="AH1469" s="14">
        <v>53.775294117647057</v>
      </c>
      <c r="AI1469" s="13">
        <v>129.2339651416122</v>
      </c>
      <c r="AK1469" s="9">
        <v>400</v>
      </c>
    </row>
    <row r="1470" spans="1:37">
      <c r="A1470" s="9">
        <v>17</v>
      </c>
      <c r="B1470" s="9">
        <v>2024</v>
      </c>
      <c r="C1470" s="9" t="s">
        <v>46</v>
      </c>
      <c r="D1470" s="9" t="s">
        <v>47</v>
      </c>
      <c r="E1470" s="9" t="s">
        <v>47</v>
      </c>
      <c r="F1470" s="10">
        <v>45402</v>
      </c>
      <c r="G1470" s="9" t="s">
        <v>155</v>
      </c>
      <c r="H1470" s="9" t="s">
        <v>57</v>
      </c>
      <c r="I1470" s="9">
        <v>1</v>
      </c>
      <c r="J1470" s="9">
        <v>12</v>
      </c>
      <c r="K1470" s="9">
        <v>160</v>
      </c>
      <c r="L1470" s="9">
        <v>0.94</v>
      </c>
      <c r="M1470" s="9">
        <v>150.4</v>
      </c>
      <c r="N1470" s="9" t="s">
        <v>49</v>
      </c>
      <c r="Q1470" s="9">
        <f>IF(Auction_Sales[[#This Row],[Payment Date]]=0,"",-1+WEEKNUM(Auction_Sales[[#This Row],[Payment Date]]))</f>
        <v>17</v>
      </c>
      <c r="R1470" s="9">
        <v>160</v>
      </c>
      <c r="S1470" s="9" t="s">
        <v>155</v>
      </c>
      <c r="T1470" s="9" t="s">
        <v>57</v>
      </c>
      <c r="W1470" s="13">
        <v>0</v>
      </c>
      <c r="X1470" s="14">
        <v>0</v>
      </c>
      <c r="Y1470" s="13">
        <v>0</v>
      </c>
      <c r="Z1470" s="10">
        <v>45413</v>
      </c>
      <c r="AA1470" s="9">
        <v>-160</v>
      </c>
      <c r="AC1470" s="9">
        <v>437508</v>
      </c>
      <c r="AD1470" s="14">
        <v>45.775294117647057</v>
      </c>
      <c r="AF1470" s="14">
        <v>0</v>
      </c>
      <c r="AH1470" s="14">
        <v>45.775294117647057</v>
      </c>
      <c r="AI1470" s="13">
        <v>-45.775294117647057</v>
      </c>
      <c r="AK1470" s="9">
        <v>0</v>
      </c>
    </row>
    <row r="1471" spans="1:37">
      <c r="A1471" s="9">
        <v>17</v>
      </c>
      <c r="B1471" s="9">
        <v>2024</v>
      </c>
      <c r="C1471" s="9" t="s">
        <v>46</v>
      </c>
      <c r="D1471" s="9" t="s">
        <v>47</v>
      </c>
      <c r="E1471" s="9" t="s">
        <v>47</v>
      </c>
      <c r="F1471" s="10">
        <v>45402</v>
      </c>
      <c r="G1471" s="9" t="s">
        <v>155</v>
      </c>
      <c r="H1471" s="9" t="s">
        <v>57</v>
      </c>
      <c r="I1471" s="9">
        <v>1</v>
      </c>
      <c r="J1471" s="9">
        <v>12</v>
      </c>
      <c r="K1471" s="9">
        <v>200</v>
      </c>
      <c r="L1471" s="9">
        <v>0.94</v>
      </c>
      <c r="M1471" s="9">
        <v>188</v>
      </c>
      <c r="N1471" s="9" t="s">
        <v>49</v>
      </c>
      <c r="Q1471" s="9">
        <f>IF(Auction_Sales[[#This Row],[Payment Date]]=0,"",-1+WEEKNUM(Auction_Sales[[#This Row],[Payment Date]]))</f>
        <v>17</v>
      </c>
      <c r="R1471" s="9">
        <v>0</v>
      </c>
      <c r="S1471" s="9" t="s">
        <v>155</v>
      </c>
      <c r="T1471" s="9" t="s">
        <v>57</v>
      </c>
      <c r="U1471" s="9">
        <v>200</v>
      </c>
      <c r="V1471" s="13">
        <v>0.53400000000000003</v>
      </c>
      <c r="W1471" s="13">
        <v>106.80000000000001</v>
      </c>
      <c r="X1471" s="14">
        <v>-8.4953703703703702</v>
      </c>
      <c r="Y1471" s="13">
        <v>98.304629629629645</v>
      </c>
      <c r="Z1471" s="10">
        <v>45413</v>
      </c>
      <c r="AA1471" s="9">
        <v>0</v>
      </c>
      <c r="AC1471" s="9">
        <v>437508</v>
      </c>
      <c r="AD1471" s="14">
        <v>45.775294117647057</v>
      </c>
      <c r="AF1471" s="14">
        <v>4</v>
      </c>
      <c r="AH1471" s="14">
        <v>49.775294117647057</v>
      </c>
      <c r="AI1471" s="13">
        <v>48.529335511982588</v>
      </c>
      <c r="AK1471" s="9">
        <v>200</v>
      </c>
    </row>
    <row r="1472" spans="1:37">
      <c r="A1472" s="9">
        <v>17</v>
      </c>
      <c r="B1472" s="9">
        <v>2024</v>
      </c>
      <c r="C1472" s="9" t="s">
        <v>46</v>
      </c>
      <c r="D1472" s="9" t="s">
        <v>47</v>
      </c>
      <c r="E1472" s="9" t="s">
        <v>47</v>
      </c>
      <c r="F1472" s="10">
        <v>45402</v>
      </c>
      <c r="G1472" s="9" t="s">
        <v>153</v>
      </c>
      <c r="H1472" s="9" t="s">
        <v>52</v>
      </c>
      <c r="I1472" s="9">
        <v>1</v>
      </c>
      <c r="J1472" s="9">
        <v>4.6153846153846159</v>
      </c>
      <c r="K1472" s="9">
        <v>200</v>
      </c>
      <c r="L1472" s="9">
        <v>0.28000000000000003</v>
      </c>
      <c r="M1472" s="9">
        <v>56</v>
      </c>
      <c r="N1472" s="9" t="s">
        <v>49</v>
      </c>
      <c r="Q1472" s="9">
        <f>IF(Auction_Sales[[#This Row],[Payment Date]]=0,"",-1+WEEKNUM(Auction_Sales[[#This Row],[Payment Date]]))</f>
        <v>17</v>
      </c>
      <c r="R1472" s="9">
        <v>200</v>
      </c>
      <c r="S1472" s="9" t="s">
        <v>153</v>
      </c>
      <c r="T1472" s="9" t="s">
        <v>52</v>
      </c>
      <c r="W1472" s="13">
        <v>0</v>
      </c>
      <c r="X1472" s="14">
        <v>0</v>
      </c>
      <c r="Y1472" s="13">
        <v>0</v>
      </c>
      <c r="Z1472" s="10">
        <v>45413</v>
      </c>
      <c r="AA1472" s="9">
        <v>-200</v>
      </c>
      <c r="AC1472" s="9">
        <v>437508</v>
      </c>
      <c r="AD1472" s="14">
        <v>17.605882352941176</v>
      </c>
      <c r="AF1472" s="14">
        <v>0</v>
      </c>
      <c r="AH1472" s="14">
        <v>17.605882352941176</v>
      </c>
      <c r="AI1472" s="13">
        <v>-17.605882352941176</v>
      </c>
      <c r="AK1472" s="9">
        <v>0</v>
      </c>
    </row>
    <row r="1473" spans="1:37">
      <c r="A1473" s="9">
        <v>17</v>
      </c>
      <c r="B1473" s="9">
        <v>2024</v>
      </c>
      <c r="C1473" s="9" t="s">
        <v>46</v>
      </c>
      <c r="D1473" s="9" t="s">
        <v>47</v>
      </c>
      <c r="E1473" s="9" t="s">
        <v>47</v>
      </c>
      <c r="F1473" s="10">
        <v>45402</v>
      </c>
      <c r="G1473" s="9" t="s">
        <v>153</v>
      </c>
      <c r="H1473" s="9" t="s">
        <v>57</v>
      </c>
      <c r="J1473" s="9">
        <v>0.92307692307692313</v>
      </c>
      <c r="K1473" s="9">
        <v>40</v>
      </c>
      <c r="L1473" s="9">
        <v>0.47</v>
      </c>
      <c r="M1473" s="9">
        <v>18.8</v>
      </c>
      <c r="N1473" s="9" t="s">
        <v>49</v>
      </c>
      <c r="Q1473" s="9">
        <f>IF(Auction_Sales[[#This Row],[Payment Date]]=0,"",-1+WEEKNUM(Auction_Sales[[#This Row],[Payment Date]]))</f>
        <v>17</v>
      </c>
      <c r="R1473" s="9">
        <v>40</v>
      </c>
      <c r="S1473" s="9" t="s">
        <v>153</v>
      </c>
      <c r="T1473" s="9" t="s">
        <v>57</v>
      </c>
      <c r="W1473" s="13">
        <v>0</v>
      </c>
      <c r="X1473" s="14">
        <v>0</v>
      </c>
      <c r="Y1473" s="13">
        <v>0</v>
      </c>
      <c r="Z1473" s="10">
        <v>45413</v>
      </c>
      <c r="AA1473" s="9">
        <v>-40</v>
      </c>
      <c r="AC1473" s="9">
        <v>437508</v>
      </c>
      <c r="AD1473" s="14">
        <v>3.5211764705882356</v>
      </c>
      <c r="AF1473" s="14">
        <v>0</v>
      </c>
      <c r="AH1473" s="14">
        <v>3.5211764705882356</v>
      </c>
      <c r="AI1473" s="13">
        <v>-3.5211764705882356</v>
      </c>
      <c r="AK1473" s="9">
        <v>0</v>
      </c>
    </row>
    <row r="1474" spans="1:37">
      <c r="A1474" s="9">
        <v>17</v>
      </c>
      <c r="B1474" s="9">
        <v>2024</v>
      </c>
      <c r="C1474" s="9" t="s">
        <v>46</v>
      </c>
      <c r="D1474" s="9" t="s">
        <v>47</v>
      </c>
      <c r="E1474" s="9" t="s">
        <v>47</v>
      </c>
      <c r="F1474" s="10">
        <v>45402</v>
      </c>
      <c r="G1474" s="9" t="s">
        <v>153</v>
      </c>
      <c r="H1474" s="9" t="s">
        <v>54</v>
      </c>
      <c r="J1474" s="9">
        <v>6.4615384615384617</v>
      </c>
      <c r="K1474" s="9">
        <v>280</v>
      </c>
      <c r="L1474" s="9">
        <v>0.33</v>
      </c>
      <c r="M1474" s="9">
        <v>92.4</v>
      </c>
      <c r="N1474" s="9" t="s">
        <v>49</v>
      </c>
      <c r="Q1474" s="9">
        <f>IF(Auction_Sales[[#This Row],[Payment Date]]=0,"",-1+WEEKNUM(Auction_Sales[[#This Row],[Payment Date]]))</f>
        <v>17</v>
      </c>
      <c r="R1474" s="9">
        <v>280</v>
      </c>
      <c r="S1474" s="9" t="s">
        <v>153</v>
      </c>
      <c r="T1474" s="9" t="s">
        <v>54</v>
      </c>
      <c r="W1474" s="13">
        <v>0</v>
      </c>
      <c r="X1474" s="14">
        <v>0</v>
      </c>
      <c r="Y1474" s="13">
        <v>0</v>
      </c>
      <c r="Z1474" s="10">
        <v>45413</v>
      </c>
      <c r="AA1474" s="9">
        <v>-280</v>
      </c>
      <c r="AC1474" s="9">
        <v>437508</v>
      </c>
      <c r="AD1474" s="14">
        <v>24.648235294117644</v>
      </c>
      <c r="AF1474" s="14">
        <v>0</v>
      </c>
      <c r="AH1474" s="14">
        <v>24.648235294117644</v>
      </c>
      <c r="AI1474" s="13">
        <v>-24.648235294117644</v>
      </c>
      <c r="AK1474" s="9">
        <v>0</v>
      </c>
    </row>
    <row r="1475" spans="1:37">
      <c r="A1475" s="9">
        <v>17</v>
      </c>
      <c r="B1475" s="9">
        <v>2024</v>
      </c>
      <c r="C1475" s="9" t="s">
        <v>46</v>
      </c>
      <c r="D1475" s="9" t="s">
        <v>47</v>
      </c>
      <c r="E1475" s="9" t="s">
        <v>47</v>
      </c>
      <c r="F1475" s="10">
        <v>45402</v>
      </c>
      <c r="G1475" s="9" t="s">
        <v>154</v>
      </c>
      <c r="H1475" s="9" t="s">
        <v>51</v>
      </c>
      <c r="I1475" s="9">
        <v>1</v>
      </c>
      <c r="J1475" s="9">
        <v>5.4545454545454541</v>
      </c>
      <c r="K1475" s="9">
        <v>200</v>
      </c>
      <c r="L1475" s="9">
        <v>0.38</v>
      </c>
      <c r="M1475" s="9">
        <v>76</v>
      </c>
      <c r="N1475" s="9" t="s">
        <v>49</v>
      </c>
      <c r="Q1475" s="9">
        <f>IF(Auction_Sales[[#This Row],[Payment Date]]=0,"",-1+WEEKNUM(Auction_Sales[[#This Row],[Payment Date]]))</f>
        <v>17</v>
      </c>
      <c r="R1475" s="9">
        <v>0</v>
      </c>
      <c r="S1475" s="9" t="s">
        <v>154</v>
      </c>
      <c r="T1475" s="9" t="s">
        <v>51</v>
      </c>
      <c r="U1475" s="9">
        <v>200</v>
      </c>
      <c r="V1475" s="13">
        <v>0.2</v>
      </c>
      <c r="W1475" s="13">
        <v>40</v>
      </c>
      <c r="X1475" s="14">
        <v>-8.4953703703703702</v>
      </c>
      <c r="Y1475" s="13">
        <v>31.50462962962963</v>
      </c>
      <c r="Z1475" s="10">
        <v>45413</v>
      </c>
      <c r="AA1475" s="9">
        <v>0</v>
      </c>
      <c r="AC1475" s="9">
        <v>437508</v>
      </c>
      <c r="AD1475" s="14">
        <v>20.806951871657752</v>
      </c>
      <c r="AF1475" s="14">
        <v>4</v>
      </c>
      <c r="AH1475" s="14">
        <v>24.806951871657752</v>
      </c>
      <c r="AI1475" s="13">
        <v>6.6976777579718778</v>
      </c>
      <c r="AK1475" s="9">
        <v>200</v>
      </c>
    </row>
    <row r="1476" spans="1:37">
      <c r="A1476" s="9">
        <v>17</v>
      </c>
      <c r="B1476" s="9">
        <v>2024</v>
      </c>
      <c r="C1476" s="9" t="s">
        <v>46</v>
      </c>
      <c r="D1476" s="9" t="s">
        <v>47</v>
      </c>
      <c r="E1476" s="9" t="s">
        <v>47</v>
      </c>
      <c r="F1476" s="10">
        <v>45402</v>
      </c>
      <c r="G1476" s="9" t="s">
        <v>154</v>
      </c>
      <c r="H1476" s="9" t="s">
        <v>48</v>
      </c>
      <c r="J1476" s="9">
        <v>3.2727272727272725</v>
      </c>
      <c r="K1476" s="9">
        <v>120</v>
      </c>
      <c r="L1476" s="9">
        <v>0.47</v>
      </c>
      <c r="M1476" s="9">
        <v>56.4</v>
      </c>
      <c r="N1476" s="9" t="s">
        <v>49</v>
      </c>
      <c r="Q1476" s="9">
        <f>IF(Auction_Sales[[#This Row],[Payment Date]]=0,"",-1+WEEKNUM(Auction_Sales[[#This Row],[Payment Date]]))</f>
        <v>17</v>
      </c>
      <c r="R1476" s="9">
        <v>120</v>
      </c>
      <c r="S1476" s="9" t="s">
        <v>154</v>
      </c>
      <c r="T1476" s="9" t="s">
        <v>48</v>
      </c>
      <c r="W1476" s="13">
        <v>0</v>
      </c>
      <c r="X1476" s="14">
        <v>0</v>
      </c>
      <c r="Y1476" s="13">
        <v>0</v>
      </c>
      <c r="Z1476" s="10">
        <v>45413</v>
      </c>
      <c r="AA1476" s="9">
        <v>-120</v>
      </c>
      <c r="AC1476" s="9">
        <v>437508</v>
      </c>
      <c r="AD1476" s="14">
        <v>12.484171122994651</v>
      </c>
      <c r="AF1476" s="14">
        <v>0</v>
      </c>
      <c r="AH1476" s="14">
        <v>12.484171122994651</v>
      </c>
      <c r="AI1476" s="13">
        <v>-12.484171122994651</v>
      </c>
      <c r="AK1476" s="9">
        <v>0</v>
      </c>
    </row>
    <row r="1477" spans="1:37">
      <c r="A1477" s="9">
        <v>17</v>
      </c>
      <c r="B1477" s="9">
        <v>2024</v>
      </c>
      <c r="C1477" s="9" t="s">
        <v>46</v>
      </c>
      <c r="D1477" s="9" t="s">
        <v>47</v>
      </c>
      <c r="E1477" s="9" t="s">
        <v>47</v>
      </c>
      <c r="F1477" s="10">
        <v>45402</v>
      </c>
      <c r="G1477" s="9" t="s">
        <v>154</v>
      </c>
      <c r="H1477" s="9" t="s">
        <v>52</v>
      </c>
      <c r="J1477" s="9">
        <v>2.1818181818181817</v>
      </c>
      <c r="K1477" s="9">
        <v>80</v>
      </c>
      <c r="L1477" s="9">
        <v>0.52</v>
      </c>
      <c r="M1477" s="9">
        <v>41.6</v>
      </c>
      <c r="N1477" s="9" t="s">
        <v>49</v>
      </c>
      <c r="Q1477" s="9">
        <f>IF(Auction_Sales[[#This Row],[Payment Date]]=0,"",-1+WEEKNUM(Auction_Sales[[#This Row],[Payment Date]]))</f>
        <v>17</v>
      </c>
      <c r="R1477" s="9">
        <v>0</v>
      </c>
      <c r="S1477" s="9" t="s">
        <v>154</v>
      </c>
      <c r="T1477" s="9" t="s">
        <v>52</v>
      </c>
      <c r="U1477" s="9">
        <v>80</v>
      </c>
      <c r="V1477" s="13">
        <v>0.77500000000000002</v>
      </c>
      <c r="W1477" s="13">
        <v>62</v>
      </c>
      <c r="X1477" s="14">
        <v>-3.3981481481481484</v>
      </c>
      <c r="Y1477" s="13">
        <v>58.601851851851855</v>
      </c>
      <c r="Z1477" s="10">
        <v>45413</v>
      </c>
      <c r="AA1477" s="9">
        <v>0</v>
      </c>
      <c r="AC1477" s="9">
        <v>437508</v>
      </c>
      <c r="AD1477" s="14">
        <v>8.3227807486631011</v>
      </c>
      <c r="AF1477" s="14">
        <v>1.6</v>
      </c>
      <c r="AH1477" s="14">
        <v>9.9227807486631008</v>
      </c>
      <c r="AI1477" s="13">
        <v>48.679071103188754</v>
      </c>
      <c r="AK1477" s="9">
        <v>80</v>
      </c>
    </row>
    <row r="1478" spans="1:37">
      <c r="A1478" s="9">
        <v>17</v>
      </c>
      <c r="B1478" s="9">
        <v>2024</v>
      </c>
      <c r="C1478" s="9" t="s">
        <v>46</v>
      </c>
      <c r="D1478" s="9" t="s">
        <v>47</v>
      </c>
      <c r="E1478" s="9" t="s">
        <v>47</v>
      </c>
      <c r="F1478" s="10">
        <v>45402</v>
      </c>
      <c r="G1478" s="9" t="s">
        <v>154</v>
      </c>
      <c r="H1478" s="9" t="s">
        <v>54</v>
      </c>
      <c r="N1478" s="9" t="s">
        <v>49</v>
      </c>
      <c r="Q1478" s="9">
        <f>IF(Auction_Sales[[#This Row],[Payment Date]]=0,"",-1+WEEKNUM(Auction_Sales[[#This Row],[Payment Date]]))</f>
        <v>17</v>
      </c>
      <c r="R1478" s="9">
        <v>-40</v>
      </c>
      <c r="S1478" s="9" t="s">
        <v>154</v>
      </c>
      <c r="T1478" s="9" t="s">
        <v>54</v>
      </c>
      <c r="U1478" s="9">
        <v>40</v>
      </c>
      <c r="V1478" s="13">
        <v>0.72</v>
      </c>
      <c r="W1478" s="13">
        <v>28.799999999999997</v>
      </c>
      <c r="X1478" s="14">
        <v>-1.6990740740740742</v>
      </c>
      <c r="Y1478" s="13">
        <v>27.100925925925925</v>
      </c>
      <c r="Z1478" s="10">
        <v>45413</v>
      </c>
      <c r="AA1478" s="9">
        <v>40</v>
      </c>
      <c r="AC1478" s="9">
        <v>437508</v>
      </c>
      <c r="AD1478" s="14">
        <v>0</v>
      </c>
      <c r="AF1478" s="14">
        <v>0.8</v>
      </c>
      <c r="AH1478" s="14">
        <v>0.8</v>
      </c>
      <c r="AI1478" s="13">
        <v>26.300925925925924</v>
      </c>
      <c r="AK1478" s="9">
        <v>40</v>
      </c>
    </row>
    <row r="1479" spans="1:37">
      <c r="A1479" s="9">
        <v>17</v>
      </c>
      <c r="B1479" s="9">
        <v>2024</v>
      </c>
      <c r="C1479" s="9" t="s">
        <v>46</v>
      </c>
      <c r="D1479" s="9" t="s">
        <v>47</v>
      </c>
      <c r="E1479" s="9" t="s">
        <v>47</v>
      </c>
      <c r="F1479" s="10">
        <v>45402</v>
      </c>
      <c r="G1479" s="9" t="s">
        <v>154</v>
      </c>
      <c r="H1479" s="9" t="s">
        <v>56</v>
      </c>
      <c r="J1479" s="9">
        <v>1.0909090909090908</v>
      </c>
      <c r="K1479" s="9">
        <v>40</v>
      </c>
      <c r="L1479" s="9">
        <v>0.75</v>
      </c>
      <c r="M1479" s="9">
        <v>30</v>
      </c>
      <c r="N1479" s="9" t="s">
        <v>49</v>
      </c>
      <c r="Q1479" s="9">
        <f>IF(Auction_Sales[[#This Row],[Payment Date]]=0,"",-1+WEEKNUM(Auction_Sales[[#This Row],[Payment Date]]))</f>
        <v>17</v>
      </c>
      <c r="R1479" s="9">
        <v>0</v>
      </c>
      <c r="S1479" s="9" t="s">
        <v>154</v>
      </c>
      <c r="T1479" s="9" t="s">
        <v>56</v>
      </c>
      <c r="U1479" s="9">
        <v>40</v>
      </c>
      <c r="V1479" s="13">
        <v>0.72</v>
      </c>
      <c r="W1479" s="13">
        <v>28.799999999999997</v>
      </c>
      <c r="X1479" s="14">
        <v>-1.6990740740740742</v>
      </c>
      <c r="Y1479" s="13">
        <v>27.100925925925925</v>
      </c>
      <c r="Z1479" s="10">
        <v>45413</v>
      </c>
      <c r="AA1479" s="9">
        <v>0</v>
      </c>
      <c r="AC1479" s="9">
        <v>437508</v>
      </c>
      <c r="AD1479" s="14">
        <v>4.1613903743315506</v>
      </c>
      <c r="AF1479" s="14">
        <v>0.8</v>
      </c>
      <c r="AH1479" s="14">
        <v>4.9613903743315504</v>
      </c>
      <c r="AI1479" s="13">
        <v>22.139535551594374</v>
      </c>
      <c r="AK1479" s="9">
        <v>40</v>
      </c>
    </row>
    <row r="1480" spans="1:37">
      <c r="A1480" s="9">
        <v>17</v>
      </c>
      <c r="B1480" s="9">
        <v>2024</v>
      </c>
      <c r="C1480" s="9" t="s">
        <v>46</v>
      </c>
      <c r="D1480" s="9" t="s">
        <v>47</v>
      </c>
      <c r="E1480" s="9" t="s">
        <v>47</v>
      </c>
      <c r="F1480" s="10">
        <v>45402</v>
      </c>
      <c r="G1480" s="9" t="s">
        <v>155</v>
      </c>
      <c r="H1480" s="9" t="s">
        <v>51</v>
      </c>
      <c r="N1480" s="9" t="s">
        <v>49</v>
      </c>
      <c r="Q1480" s="9">
        <f>IF(Auction_Sales[[#This Row],[Payment Date]]=0,"",-1+WEEKNUM(Auction_Sales[[#This Row],[Payment Date]]))</f>
        <v>17</v>
      </c>
      <c r="R1480" s="9">
        <v>-1240</v>
      </c>
      <c r="S1480" s="9" t="s">
        <v>155</v>
      </c>
      <c r="T1480" s="9" t="s">
        <v>51</v>
      </c>
      <c r="U1480" s="9">
        <v>1240</v>
      </c>
      <c r="V1480" s="13">
        <v>0.13999999999999999</v>
      </c>
      <c r="W1480" s="13">
        <v>173.6</v>
      </c>
      <c r="X1480" s="14">
        <v>-16.448787878787869</v>
      </c>
      <c r="Y1480" s="13">
        <v>157.15121212121213</v>
      </c>
      <c r="Z1480" s="10">
        <v>45413</v>
      </c>
      <c r="AA1480" s="9">
        <v>1240</v>
      </c>
      <c r="AC1480" s="9">
        <v>437508</v>
      </c>
      <c r="AD1480" s="14">
        <v>0</v>
      </c>
      <c r="AF1480" s="14">
        <v>24.8</v>
      </c>
      <c r="AH1480" s="14">
        <v>24.8</v>
      </c>
      <c r="AI1480" s="13">
        <v>132.35121212121211</v>
      </c>
      <c r="AK1480" s="9">
        <v>1240</v>
      </c>
    </row>
    <row r="1481" spans="1:37">
      <c r="A1481" s="9">
        <v>17</v>
      </c>
      <c r="B1481" s="9">
        <v>2024</v>
      </c>
      <c r="C1481" s="9" t="s">
        <v>46</v>
      </c>
      <c r="D1481" s="9" t="s">
        <v>47</v>
      </c>
      <c r="E1481" s="9" t="s">
        <v>47</v>
      </c>
      <c r="F1481" s="10">
        <v>45402</v>
      </c>
      <c r="G1481" s="9" t="s">
        <v>155</v>
      </c>
      <c r="H1481" s="9" t="s">
        <v>51</v>
      </c>
      <c r="N1481" s="9" t="s">
        <v>49</v>
      </c>
      <c r="Q1481" s="9">
        <f>IF(Auction_Sales[[#This Row],[Payment Date]]=0,"",-1+WEEKNUM(Auction_Sales[[#This Row],[Payment Date]]))</f>
        <v>17</v>
      </c>
      <c r="R1481" s="9">
        <v>1240</v>
      </c>
      <c r="S1481" s="9" t="s">
        <v>155</v>
      </c>
      <c r="T1481" s="9" t="s">
        <v>51</v>
      </c>
      <c r="U1481" s="9">
        <v>-1240</v>
      </c>
      <c r="V1481" s="13">
        <v>0.42645161290322575</v>
      </c>
      <c r="W1481" s="13">
        <v>-528.79999999999995</v>
      </c>
      <c r="X1481" s="14">
        <v>-7.4284848484848442</v>
      </c>
      <c r="Y1481" s="13">
        <v>-536.22848484848475</v>
      </c>
      <c r="Z1481" s="10">
        <v>45413</v>
      </c>
      <c r="AA1481" s="9">
        <v>-1240</v>
      </c>
      <c r="AC1481" s="9">
        <v>437508</v>
      </c>
      <c r="AD1481" s="14">
        <v>0</v>
      </c>
      <c r="AF1481" s="14">
        <v>-24.8</v>
      </c>
      <c r="AH1481" s="14">
        <v>-24.8</v>
      </c>
      <c r="AI1481" s="13">
        <v>-511.42848484848474</v>
      </c>
      <c r="AK1481" s="9">
        <v>-1240</v>
      </c>
    </row>
    <row r="1482" spans="1:37">
      <c r="A1482" s="9">
        <v>17</v>
      </c>
      <c r="B1482" s="9">
        <v>2024</v>
      </c>
      <c r="C1482" s="9" t="s">
        <v>46</v>
      </c>
      <c r="D1482" s="9" t="s">
        <v>47</v>
      </c>
      <c r="E1482" s="9" t="s">
        <v>47</v>
      </c>
      <c r="F1482" s="10">
        <v>45402</v>
      </c>
      <c r="G1482" s="9" t="s">
        <v>154</v>
      </c>
      <c r="H1482" s="9" t="s">
        <v>48</v>
      </c>
      <c r="N1482" s="9" t="s">
        <v>49</v>
      </c>
      <c r="Q1482" s="9">
        <f>IF(Auction_Sales[[#This Row],[Payment Date]]=0,"",-1+WEEKNUM(Auction_Sales[[#This Row],[Payment Date]]))</f>
        <v>17</v>
      </c>
      <c r="R1482" s="9">
        <v>0</v>
      </c>
      <c r="S1482" s="9" t="s">
        <v>154</v>
      </c>
      <c r="T1482" s="9" t="s">
        <v>48</v>
      </c>
      <c r="V1482" s="13">
        <v>0.26</v>
      </c>
      <c r="W1482" s="13">
        <v>-83.2</v>
      </c>
      <c r="X1482" s="14">
        <v>-4.2448484848484824</v>
      </c>
      <c r="Y1482" s="13">
        <v>-87.444848484848478</v>
      </c>
      <c r="Z1482" s="10">
        <v>45413</v>
      </c>
      <c r="AA1482" s="9">
        <v>0</v>
      </c>
      <c r="AC1482" s="9">
        <v>437508</v>
      </c>
      <c r="AD1482" s="14">
        <v>0</v>
      </c>
      <c r="AF1482" s="14">
        <v>0</v>
      </c>
      <c r="AH1482" s="14">
        <v>0</v>
      </c>
      <c r="AI1482" s="13">
        <v>-87.444848484848478</v>
      </c>
      <c r="AK1482" s="9">
        <v>0</v>
      </c>
    </row>
    <row r="1483" spans="1:37">
      <c r="A1483" s="9">
        <v>17</v>
      </c>
      <c r="B1483" s="9">
        <v>2024</v>
      </c>
      <c r="C1483" s="9" t="s">
        <v>46</v>
      </c>
      <c r="D1483" s="9" t="s">
        <v>47</v>
      </c>
      <c r="E1483" s="9" t="s">
        <v>47</v>
      </c>
      <c r="F1483" s="10">
        <v>45402</v>
      </c>
      <c r="G1483" s="9" t="s">
        <v>154</v>
      </c>
      <c r="H1483" s="9" t="s">
        <v>51</v>
      </c>
      <c r="N1483" s="9" t="s">
        <v>49</v>
      </c>
      <c r="Q1483" s="9">
        <f>IF(Auction_Sales[[#This Row],[Payment Date]]=0,"",-1+WEEKNUM(Auction_Sales[[#This Row],[Payment Date]]))</f>
        <v>17</v>
      </c>
      <c r="R1483" s="9">
        <v>0</v>
      </c>
      <c r="S1483" s="9" t="s">
        <v>154</v>
      </c>
      <c r="T1483" s="9" t="s">
        <v>51</v>
      </c>
      <c r="V1483" s="13">
        <v>0.2</v>
      </c>
      <c r="W1483" s="13">
        <v>-104</v>
      </c>
      <c r="X1483" s="14">
        <v>-6.8978787878787839</v>
      </c>
      <c r="Y1483" s="13">
        <v>-110.89787878787878</v>
      </c>
      <c r="Z1483" s="10">
        <v>45413</v>
      </c>
      <c r="AA1483" s="9">
        <v>0</v>
      </c>
      <c r="AC1483" s="9">
        <v>437508</v>
      </c>
      <c r="AD1483" s="14">
        <v>0</v>
      </c>
      <c r="AF1483" s="14">
        <v>0</v>
      </c>
      <c r="AH1483" s="14">
        <v>0</v>
      </c>
      <c r="AI1483" s="13">
        <v>-110.89787878787878</v>
      </c>
      <c r="AK1483" s="9">
        <v>0</v>
      </c>
    </row>
    <row r="1484" spans="1:37">
      <c r="A1484" s="9">
        <v>17</v>
      </c>
      <c r="B1484" s="9">
        <v>2024</v>
      </c>
      <c r="C1484" s="9" t="s">
        <v>46</v>
      </c>
      <c r="D1484" s="9" t="s">
        <v>47</v>
      </c>
      <c r="E1484" s="9" t="s">
        <v>47</v>
      </c>
      <c r="F1484" s="10">
        <v>45404</v>
      </c>
      <c r="G1484" s="9" t="s">
        <v>155</v>
      </c>
      <c r="H1484" s="9" t="s">
        <v>48</v>
      </c>
      <c r="I1484" s="9">
        <v>3</v>
      </c>
      <c r="J1484" s="9">
        <v>36</v>
      </c>
      <c r="K1484" s="9">
        <v>1560</v>
      </c>
      <c r="L1484" s="9">
        <v>0.47</v>
      </c>
      <c r="M1484" s="9">
        <v>733.2</v>
      </c>
      <c r="N1484" s="9" t="s">
        <v>49</v>
      </c>
      <c r="Q1484" s="9">
        <f>IF(Auction_Sales[[#This Row],[Payment Date]]=0,"",-1+WEEKNUM(Auction_Sales[[#This Row],[Payment Date]]))</f>
        <v>17</v>
      </c>
      <c r="R1484" s="9">
        <v>-160</v>
      </c>
      <c r="S1484" s="9" t="s">
        <v>155</v>
      </c>
      <c r="T1484" s="9" t="s">
        <v>48</v>
      </c>
      <c r="U1484" s="9">
        <v>1720</v>
      </c>
      <c r="V1484" s="13">
        <v>0.51255813953488372</v>
      </c>
      <c r="W1484" s="13">
        <v>881.6</v>
      </c>
      <c r="X1484" s="14">
        <v>-80.642951456310698</v>
      </c>
      <c r="Y1484" s="13">
        <v>800.95704854368933</v>
      </c>
      <c r="Z1484" s="10">
        <v>45413</v>
      </c>
      <c r="AA1484" s="9">
        <v>160</v>
      </c>
      <c r="AC1484" s="9" t="s">
        <v>98</v>
      </c>
      <c r="AD1484" s="14">
        <v>134.52839999999998</v>
      </c>
      <c r="AF1484" s="14">
        <v>34.4</v>
      </c>
      <c r="AH1484" s="14">
        <v>168.92839999999998</v>
      </c>
      <c r="AI1484" s="13">
        <v>632.02864854368931</v>
      </c>
      <c r="AK1484" s="9">
        <v>1720</v>
      </c>
    </row>
    <row r="1485" spans="1:37">
      <c r="A1485" s="9">
        <v>17</v>
      </c>
      <c r="B1485" s="9">
        <v>2024</v>
      </c>
      <c r="C1485" s="9" t="s">
        <v>46</v>
      </c>
      <c r="D1485" s="9" t="s">
        <v>47</v>
      </c>
      <c r="E1485" s="9" t="s">
        <v>47</v>
      </c>
      <c r="F1485" s="10">
        <v>45404</v>
      </c>
      <c r="G1485" s="9" t="s">
        <v>155</v>
      </c>
      <c r="H1485" s="9" t="s">
        <v>54</v>
      </c>
      <c r="I1485" s="9">
        <v>1</v>
      </c>
      <c r="J1485" s="9">
        <v>12</v>
      </c>
      <c r="K1485" s="9">
        <v>320</v>
      </c>
      <c r="L1485" s="9">
        <v>0.56999999999999995</v>
      </c>
      <c r="M1485" s="9">
        <v>182.4</v>
      </c>
      <c r="N1485" s="9" t="s">
        <v>49</v>
      </c>
      <c r="Q1485" s="9">
        <f>IF(Auction_Sales[[#This Row],[Payment Date]]=0,"",-1+WEEKNUM(Auction_Sales[[#This Row],[Payment Date]]))</f>
        <v>17</v>
      </c>
      <c r="R1485" s="9">
        <v>0</v>
      </c>
      <c r="S1485" s="9" t="s">
        <v>155</v>
      </c>
      <c r="T1485" s="9" t="s">
        <v>54</v>
      </c>
      <c r="U1485" s="9">
        <v>320</v>
      </c>
      <c r="V1485" s="13">
        <v>0.51249999999999996</v>
      </c>
      <c r="W1485" s="13">
        <v>164</v>
      </c>
      <c r="X1485" s="14">
        <v>-15.003339805825245</v>
      </c>
      <c r="Y1485" s="13">
        <v>148.99666019417475</v>
      </c>
      <c r="Z1485" s="10">
        <v>45413</v>
      </c>
      <c r="AA1485" s="9">
        <v>0</v>
      </c>
      <c r="AC1485" s="9" t="s">
        <v>98</v>
      </c>
      <c r="AD1485" s="14">
        <v>44.842799999999997</v>
      </c>
      <c r="AF1485" s="14">
        <v>6.4</v>
      </c>
      <c r="AH1485" s="14">
        <v>51.242799999999995</v>
      </c>
      <c r="AI1485" s="13">
        <v>97.753860194174763</v>
      </c>
      <c r="AK1485" s="9">
        <v>320</v>
      </c>
    </row>
    <row r="1486" spans="1:37">
      <c r="A1486" s="9">
        <v>17</v>
      </c>
      <c r="B1486" s="9">
        <v>2024</v>
      </c>
      <c r="C1486" s="9" t="s">
        <v>46</v>
      </c>
      <c r="D1486" s="9" t="s">
        <v>47</v>
      </c>
      <c r="E1486" s="9" t="s">
        <v>47</v>
      </c>
      <c r="F1486" s="10">
        <v>45404</v>
      </c>
      <c r="G1486" s="9" t="s">
        <v>155</v>
      </c>
      <c r="H1486" s="9" t="s">
        <v>52</v>
      </c>
      <c r="I1486" s="9">
        <v>2</v>
      </c>
      <c r="J1486" s="9">
        <v>24</v>
      </c>
      <c r="K1486" s="9">
        <v>800</v>
      </c>
      <c r="L1486" s="9">
        <v>0.52</v>
      </c>
      <c r="M1486" s="9">
        <v>416</v>
      </c>
      <c r="N1486" s="9" t="s">
        <v>49</v>
      </c>
      <c r="Q1486" s="9">
        <f>IF(Auction_Sales[[#This Row],[Payment Date]]=0,"",-1+WEEKNUM(Auction_Sales[[#This Row],[Payment Date]]))</f>
        <v>17</v>
      </c>
      <c r="R1486" s="9">
        <v>-200</v>
      </c>
      <c r="S1486" s="9" t="s">
        <v>155</v>
      </c>
      <c r="T1486" s="9" t="s">
        <v>52</v>
      </c>
      <c r="U1486" s="9">
        <v>1000</v>
      </c>
      <c r="V1486" s="13">
        <v>0.65879999999999994</v>
      </c>
      <c r="W1486" s="13">
        <v>658.8</v>
      </c>
      <c r="X1486" s="14">
        <v>-46.885436893203888</v>
      </c>
      <c r="Y1486" s="13">
        <v>611.91456310679609</v>
      </c>
      <c r="Z1486" s="10">
        <v>45413</v>
      </c>
      <c r="AA1486" s="9">
        <v>200</v>
      </c>
      <c r="AC1486" s="9" t="s">
        <v>98</v>
      </c>
      <c r="AD1486" s="14">
        <v>89.685599999999994</v>
      </c>
      <c r="AF1486" s="14">
        <v>20</v>
      </c>
      <c r="AH1486" s="14">
        <v>109.68559999999999</v>
      </c>
      <c r="AI1486" s="13">
        <v>502.22896310679607</v>
      </c>
      <c r="AK1486" s="9">
        <v>1000</v>
      </c>
    </row>
    <row r="1487" spans="1:37">
      <c r="A1487" s="9">
        <v>17</v>
      </c>
      <c r="B1487" s="9">
        <v>2024</v>
      </c>
      <c r="C1487" s="9" t="s">
        <v>46</v>
      </c>
      <c r="D1487" s="9" t="s">
        <v>47</v>
      </c>
      <c r="E1487" s="9" t="s">
        <v>47</v>
      </c>
      <c r="F1487" s="10">
        <v>45404</v>
      </c>
      <c r="G1487" s="9" t="s">
        <v>155</v>
      </c>
      <c r="H1487" s="9" t="s">
        <v>57</v>
      </c>
      <c r="I1487" s="9">
        <v>1</v>
      </c>
      <c r="J1487" s="9">
        <v>12</v>
      </c>
      <c r="K1487" s="9">
        <v>200</v>
      </c>
      <c r="L1487" s="9">
        <v>0.94</v>
      </c>
      <c r="M1487" s="9">
        <v>188</v>
      </c>
      <c r="N1487" s="9" t="s">
        <v>49</v>
      </c>
      <c r="Q1487" s="9">
        <f>IF(Auction_Sales[[#This Row],[Payment Date]]=0,"",-1+WEEKNUM(Auction_Sales[[#This Row],[Payment Date]]))</f>
        <v>17</v>
      </c>
      <c r="R1487" s="9">
        <v>200</v>
      </c>
      <c r="S1487" s="9" t="s">
        <v>155</v>
      </c>
      <c r="T1487" s="9" t="s">
        <v>57</v>
      </c>
      <c r="W1487" s="13">
        <v>0</v>
      </c>
      <c r="X1487" s="14">
        <v>0</v>
      </c>
      <c r="Y1487" s="13">
        <v>0</v>
      </c>
      <c r="Z1487" s="10">
        <v>45413</v>
      </c>
      <c r="AA1487" s="9">
        <v>-200</v>
      </c>
      <c r="AC1487" s="9" t="s">
        <v>98</v>
      </c>
      <c r="AD1487" s="14">
        <v>44.842799999999997</v>
      </c>
      <c r="AF1487" s="14">
        <v>0</v>
      </c>
      <c r="AH1487" s="14">
        <v>44.842799999999997</v>
      </c>
      <c r="AI1487" s="13">
        <v>-44.842799999999997</v>
      </c>
      <c r="AK1487" s="9">
        <v>0</v>
      </c>
    </row>
    <row r="1488" spans="1:37">
      <c r="A1488" s="9">
        <v>17</v>
      </c>
      <c r="B1488" s="9">
        <v>2024</v>
      </c>
      <c r="C1488" s="9" t="s">
        <v>46</v>
      </c>
      <c r="D1488" s="9" t="s">
        <v>47</v>
      </c>
      <c r="E1488" s="9" t="s">
        <v>47</v>
      </c>
      <c r="F1488" s="10">
        <v>45404</v>
      </c>
      <c r="G1488" s="9" t="s">
        <v>154</v>
      </c>
      <c r="H1488" s="9" t="s">
        <v>51</v>
      </c>
      <c r="I1488" s="9">
        <v>1</v>
      </c>
      <c r="J1488" s="9">
        <v>12</v>
      </c>
      <c r="K1488" s="9">
        <v>520</v>
      </c>
      <c r="L1488" s="9">
        <v>0.38</v>
      </c>
      <c r="M1488" s="9">
        <v>197.6</v>
      </c>
      <c r="N1488" s="9" t="s">
        <v>49</v>
      </c>
      <c r="Q1488" s="9">
        <f>IF(Auction_Sales[[#This Row],[Payment Date]]=0,"",-1+WEEKNUM(Auction_Sales[[#This Row],[Payment Date]]))</f>
        <v>17</v>
      </c>
      <c r="R1488" s="9">
        <v>-280</v>
      </c>
      <c r="S1488" s="9" t="s">
        <v>154</v>
      </c>
      <c r="T1488" s="9" t="s">
        <v>51</v>
      </c>
      <c r="U1488" s="9">
        <v>800</v>
      </c>
      <c r="V1488" s="13">
        <v>0.28000000000000003</v>
      </c>
      <c r="W1488" s="13">
        <v>224.00000000000003</v>
      </c>
      <c r="X1488" s="14">
        <v>-37.508349514563115</v>
      </c>
      <c r="Y1488" s="13">
        <v>186.49165048543691</v>
      </c>
      <c r="Z1488" s="10">
        <v>45413</v>
      </c>
      <c r="AA1488" s="9">
        <v>280</v>
      </c>
      <c r="AC1488" s="9" t="s">
        <v>98</v>
      </c>
      <c r="AD1488" s="14">
        <v>44.842799999999997</v>
      </c>
      <c r="AF1488" s="14">
        <v>16</v>
      </c>
      <c r="AH1488" s="14">
        <v>60.842799999999997</v>
      </c>
      <c r="AI1488" s="13">
        <v>125.64885048543691</v>
      </c>
      <c r="AK1488" s="9">
        <v>800</v>
      </c>
    </row>
    <row r="1489" spans="1:37">
      <c r="A1489" s="9">
        <v>17</v>
      </c>
      <c r="B1489" s="9">
        <v>2024</v>
      </c>
      <c r="C1489" s="9" t="s">
        <v>46</v>
      </c>
      <c r="D1489" s="9" t="s">
        <v>47</v>
      </c>
      <c r="E1489" s="9" t="s">
        <v>47</v>
      </c>
      <c r="F1489" s="10">
        <v>45404</v>
      </c>
      <c r="G1489" s="9" t="s">
        <v>154</v>
      </c>
      <c r="H1489" s="9" t="s">
        <v>48</v>
      </c>
      <c r="I1489" s="9">
        <v>2</v>
      </c>
      <c r="J1489" s="9">
        <v>24</v>
      </c>
      <c r="K1489" s="9">
        <v>960</v>
      </c>
      <c r="L1489" s="9">
        <v>0.47</v>
      </c>
      <c r="M1489" s="9">
        <v>451.2</v>
      </c>
      <c r="N1489" s="9" t="s">
        <v>49</v>
      </c>
      <c r="Q1489" s="9">
        <f>IF(Auction_Sales[[#This Row],[Payment Date]]=0,"",-1+WEEKNUM(Auction_Sales[[#This Row],[Payment Date]]))</f>
        <v>17</v>
      </c>
      <c r="R1489" s="9">
        <v>-320</v>
      </c>
      <c r="S1489" s="9" t="s">
        <v>154</v>
      </c>
      <c r="T1489" s="9" t="s">
        <v>48</v>
      </c>
      <c r="U1489" s="9">
        <v>1280</v>
      </c>
      <c r="V1489" s="13">
        <v>0.48</v>
      </c>
      <c r="W1489" s="13">
        <v>614.4</v>
      </c>
      <c r="X1489" s="14">
        <v>-60.013359223300981</v>
      </c>
      <c r="Y1489" s="13">
        <v>554.38664077669898</v>
      </c>
      <c r="Z1489" s="10">
        <v>45413</v>
      </c>
      <c r="AA1489" s="9">
        <v>320</v>
      </c>
      <c r="AC1489" s="9" t="s">
        <v>98</v>
      </c>
      <c r="AD1489" s="14">
        <v>89.685599999999994</v>
      </c>
      <c r="AF1489" s="14">
        <v>25.6</v>
      </c>
      <c r="AH1489" s="14">
        <v>115.28559999999999</v>
      </c>
      <c r="AI1489" s="13">
        <v>439.10104077669899</v>
      </c>
      <c r="AK1489" s="9">
        <v>1280</v>
      </c>
    </row>
    <row r="1490" spans="1:37">
      <c r="A1490" s="9">
        <v>17</v>
      </c>
      <c r="B1490" s="9">
        <v>2024</v>
      </c>
      <c r="C1490" s="9" t="s">
        <v>46</v>
      </c>
      <c r="D1490" s="9" t="s">
        <v>47</v>
      </c>
      <c r="E1490" s="9" t="s">
        <v>47</v>
      </c>
      <c r="F1490" s="10">
        <v>45404</v>
      </c>
      <c r="G1490" s="9" t="s">
        <v>154</v>
      </c>
      <c r="H1490" s="9" t="s">
        <v>52</v>
      </c>
      <c r="I1490" s="9">
        <v>2</v>
      </c>
      <c r="J1490" s="9">
        <v>24</v>
      </c>
      <c r="K1490" s="9">
        <v>800</v>
      </c>
      <c r="L1490" s="9">
        <v>0.52</v>
      </c>
      <c r="M1490" s="9">
        <v>416</v>
      </c>
      <c r="N1490" s="9" t="s">
        <v>49</v>
      </c>
      <c r="Q1490" s="9">
        <f>IF(Auction_Sales[[#This Row],[Payment Date]]=0,"",-1+WEEKNUM(Auction_Sales[[#This Row],[Payment Date]]))</f>
        <v>17</v>
      </c>
      <c r="R1490" s="9">
        <v>0</v>
      </c>
      <c r="S1490" s="9" t="s">
        <v>154</v>
      </c>
      <c r="T1490" s="9" t="s">
        <v>52</v>
      </c>
      <c r="U1490" s="9">
        <v>800</v>
      </c>
      <c r="V1490" s="13">
        <v>0.66</v>
      </c>
      <c r="W1490" s="13">
        <v>528</v>
      </c>
      <c r="X1490" s="14">
        <v>-37.508349514563115</v>
      </c>
      <c r="Y1490" s="13">
        <v>490.49165048543688</v>
      </c>
      <c r="Z1490" s="10">
        <v>45413</v>
      </c>
      <c r="AA1490" s="9">
        <v>0</v>
      </c>
      <c r="AC1490" s="9" t="s">
        <v>98</v>
      </c>
      <c r="AD1490" s="14">
        <v>89.685599999999994</v>
      </c>
      <c r="AF1490" s="14">
        <v>16</v>
      </c>
      <c r="AH1490" s="14">
        <v>105.68559999999999</v>
      </c>
      <c r="AI1490" s="13">
        <v>384.80605048543691</v>
      </c>
      <c r="AK1490" s="9">
        <v>800</v>
      </c>
    </row>
    <row r="1491" spans="1:37">
      <c r="A1491" s="9">
        <v>17</v>
      </c>
      <c r="B1491" s="9">
        <v>2024</v>
      </c>
      <c r="C1491" s="9" t="s">
        <v>46</v>
      </c>
      <c r="D1491" s="9" t="s">
        <v>47</v>
      </c>
      <c r="E1491" s="9" t="s">
        <v>47</v>
      </c>
      <c r="F1491" s="10">
        <v>45404</v>
      </c>
      <c r="G1491" s="9" t="s">
        <v>154</v>
      </c>
      <c r="H1491" s="9" t="s">
        <v>54</v>
      </c>
      <c r="I1491" s="9">
        <v>1</v>
      </c>
      <c r="J1491" s="9">
        <v>12</v>
      </c>
      <c r="K1491" s="9">
        <v>320</v>
      </c>
      <c r="L1491" s="9">
        <v>0.56999999999999995</v>
      </c>
      <c r="M1491" s="9">
        <v>182.4</v>
      </c>
      <c r="N1491" s="9" t="s">
        <v>49</v>
      </c>
      <c r="Q1491" s="9">
        <f>IF(Auction_Sales[[#This Row],[Payment Date]]=0,"",-1+WEEKNUM(Auction_Sales[[#This Row],[Payment Date]]))</f>
        <v>17</v>
      </c>
      <c r="R1491" s="9">
        <v>0</v>
      </c>
      <c r="S1491" s="9" t="s">
        <v>154</v>
      </c>
      <c r="T1491" s="9" t="s">
        <v>54</v>
      </c>
      <c r="U1491" s="9">
        <v>320</v>
      </c>
      <c r="V1491" s="13">
        <v>0.71750000000000003</v>
      </c>
      <c r="W1491" s="13">
        <v>229.60000000000002</v>
      </c>
      <c r="X1491" s="14">
        <v>-15.003339805825245</v>
      </c>
      <c r="Y1491" s="13">
        <v>214.59666019417477</v>
      </c>
      <c r="Z1491" s="10">
        <v>45413</v>
      </c>
      <c r="AA1491" s="9">
        <v>0</v>
      </c>
      <c r="AC1491" s="9" t="s">
        <v>98</v>
      </c>
      <c r="AD1491" s="14">
        <v>44.842799999999997</v>
      </c>
      <c r="AF1491" s="14">
        <v>6.4</v>
      </c>
      <c r="AH1491" s="14">
        <v>51.242799999999995</v>
      </c>
      <c r="AI1491" s="13">
        <v>163.35386019417479</v>
      </c>
      <c r="AK1491" s="9">
        <v>320</v>
      </c>
    </row>
    <row r="1492" spans="1:37">
      <c r="A1492" s="9">
        <v>17</v>
      </c>
      <c r="B1492" s="9">
        <v>2024</v>
      </c>
      <c r="C1492" s="9" t="s">
        <v>46</v>
      </c>
      <c r="D1492" s="9" t="s">
        <v>47</v>
      </c>
      <c r="E1492" s="9" t="s">
        <v>47</v>
      </c>
      <c r="F1492" s="10">
        <v>45404</v>
      </c>
      <c r="G1492" s="9" t="s">
        <v>154</v>
      </c>
      <c r="H1492" s="9" t="s">
        <v>57</v>
      </c>
      <c r="I1492" s="9">
        <v>1</v>
      </c>
      <c r="J1492" s="9">
        <v>12</v>
      </c>
      <c r="K1492" s="9">
        <v>200</v>
      </c>
      <c r="L1492" s="9">
        <v>0.94</v>
      </c>
      <c r="M1492" s="9">
        <v>188</v>
      </c>
      <c r="N1492" s="9" t="s">
        <v>49</v>
      </c>
      <c r="Q1492" s="9">
        <f>IF(Auction_Sales[[#This Row],[Payment Date]]=0,"",-1+WEEKNUM(Auction_Sales[[#This Row],[Payment Date]]))</f>
        <v>17</v>
      </c>
      <c r="R1492" s="9">
        <v>0</v>
      </c>
      <c r="S1492" s="9" t="s">
        <v>154</v>
      </c>
      <c r="T1492" s="9" t="s">
        <v>57</v>
      </c>
      <c r="U1492" s="9">
        <v>200</v>
      </c>
      <c r="V1492" s="13">
        <v>0.218</v>
      </c>
      <c r="W1492" s="13">
        <v>43.6</v>
      </c>
      <c r="X1492" s="14">
        <v>-9.3770873786407787</v>
      </c>
      <c r="Y1492" s="13">
        <v>34.222912621359221</v>
      </c>
      <c r="Z1492" s="10">
        <v>45413</v>
      </c>
      <c r="AA1492" s="9">
        <v>0</v>
      </c>
      <c r="AC1492" s="9" t="s">
        <v>98</v>
      </c>
      <c r="AD1492" s="14">
        <v>44.842799999999997</v>
      </c>
      <c r="AF1492" s="14">
        <v>4</v>
      </c>
      <c r="AH1492" s="14">
        <v>48.842799999999997</v>
      </c>
      <c r="AI1492" s="13">
        <v>-14.619887378640776</v>
      </c>
      <c r="AK1492" s="9">
        <v>200</v>
      </c>
    </row>
    <row r="1493" spans="1:37">
      <c r="A1493" s="9">
        <v>17</v>
      </c>
      <c r="B1493" s="9">
        <v>2024</v>
      </c>
      <c r="C1493" s="9" t="s">
        <v>46</v>
      </c>
      <c r="D1493" s="9" t="s">
        <v>47</v>
      </c>
      <c r="E1493" s="9" t="s">
        <v>47</v>
      </c>
      <c r="F1493" s="10">
        <v>45404</v>
      </c>
      <c r="G1493" s="9" t="s">
        <v>153</v>
      </c>
      <c r="H1493" s="9" t="s">
        <v>52</v>
      </c>
      <c r="I1493" s="9">
        <v>1</v>
      </c>
      <c r="J1493" s="9">
        <v>12</v>
      </c>
      <c r="K1493" s="9">
        <v>520</v>
      </c>
      <c r="L1493" s="9">
        <v>0.28000000000000003</v>
      </c>
      <c r="M1493" s="9">
        <v>145.6</v>
      </c>
      <c r="N1493" s="9" t="s">
        <v>49</v>
      </c>
      <c r="Q1493" s="9">
        <f>IF(Auction_Sales[[#This Row],[Payment Date]]=0,"",-1+WEEKNUM(Auction_Sales[[#This Row],[Payment Date]]))</f>
        <v>17</v>
      </c>
      <c r="R1493" s="9">
        <v>-160</v>
      </c>
      <c r="S1493" s="9" t="s">
        <v>153</v>
      </c>
      <c r="T1493" s="9" t="s">
        <v>52</v>
      </c>
      <c r="U1493" s="9">
        <v>680</v>
      </c>
      <c r="V1493" s="13">
        <v>0.34235294117647058</v>
      </c>
      <c r="W1493" s="13">
        <v>232.79999999999998</v>
      </c>
      <c r="X1493" s="14">
        <v>-31.882097087378643</v>
      </c>
      <c r="Y1493" s="13">
        <v>200.91790291262134</v>
      </c>
      <c r="Z1493" s="10">
        <v>45413</v>
      </c>
      <c r="AA1493" s="9">
        <v>160</v>
      </c>
      <c r="AC1493" s="9" t="s">
        <v>98</v>
      </c>
      <c r="AD1493" s="14">
        <v>44.842799999999997</v>
      </c>
      <c r="AF1493" s="14">
        <v>13.6</v>
      </c>
      <c r="AH1493" s="14">
        <v>58.442799999999998</v>
      </c>
      <c r="AI1493" s="13">
        <v>142.47510291262134</v>
      </c>
      <c r="AK1493" s="9">
        <v>680</v>
      </c>
    </row>
    <row r="1494" spans="1:37">
      <c r="A1494" s="9">
        <v>17</v>
      </c>
      <c r="B1494" s="9">
        <v>2024</v>
      </c>
      <c r="C1494" s="9" t="s">
        <v>46</v>
      </c>
      <c r="D1494" s="9" t="s">
        <v>47</v>
      </c>
      <c r="E1494" s="9" t="s">
        <v>47</v>
      </c>
      <c r="F1494" s="10">
        <v>45404</v>
      </c>
      <c r="G1494" s="9" t="s">
        <v>153</v>
      </c>
      <c r="H1494" s="9" t="s">
        <v>54</v>
      </c>
      <c r="I1494" s="9">
        <v>1</v>
      </c>
      <c r="J1494" s="9">
        <v>12</v>
      </c>
      <c r="K1494" s="9">
        <v>480</v>
      </c>
      <c r="L1494" s="9">
        <v>0.33</v>
      </c>
      <c r="M1494" s="9">
        <v>158.4</v>
      </c>
      <c r="N1494" s="9" t="s">
        <v>49</v>
      </c>
      <c r="Q1494" s="9">
        <f>IF(Auction_Sales[[#This Row],[Payment Date]]=0,"",-1+WEEKNUM(Auction_Sales[[#This Row],[Payment Date]]))</f>
        <v>17</v>
      </c>
      <c r="R1494" s="9">
        <v>480</v>
      </c>
      <c r="S1494" s="9" t="s">
        <v>153</v>
      </c>
      <c r="T1494" s="9" t="s">
        <v>54</v>
      </c>
      <c r="W1494" s="13">
        <v>0</v>
      </c>
      <c r="X1494" s="14">
        <v>0</v>
      </c>
      <c r="Y1494" s="13">
        <v>0</v>
      </c>
      <c r="Z1494" s="10">
        <v>45413</v>
      </c>
      <c r="AA1494" s="9">
        <v>-480</v>
      </c>
      <c r="AC1494" s="9" t="s">
        <v>98</v>
      </c>
      <c r="AD1494" s="14">
        <v>44.842799999999997</v>
      </c>
      <c r="AF1494" s="14">
        <v>0</v>
      </c>
      <c r="AH1494" s="14">
        <v>44.842799999999997</v>
      </c>
      <c r="AI1494" s="13">
        <v>-44.842799999999997</v>
      </c>
      <c r="AK1494" s="9">
        <v>0</v>
      </c>
    </row>
    <row r="1495" spans="1:37">
      <c r="A1495" s="9">
        <v>17</v>
      </c>
      <c r="B1495" s="9">
        <v>2024</v>
      </c>
      <c r="C1495" s="9" t="s">
        <v>46</v>
      </c>
      <c r="D1495" s="9" t="s">
        <v>47</v>
      </c>
      <c r="E1495" s="9" t="s">
        <v>47</v>
      </c>
      <c r="F1495" s="10">
        <v>45404</v>
      </c>
      <c r="G1495" s="9" t="s">
        <v>153</v>
      </c>
      <c r="H1495" s="9" t="s">
        <v>56</v>
      </c>
      <c r="I1495" s="9">
        <v>1</v>
      </c>
      <c r="J1495" s="9">
        <v>12</v>
      </c>
      <c r="K1495" s="9">
        <v>400</v>
      </c>
      <c r="L1495" s="9">
        <v>0.38</v>
      </c>
      <c r="M1495" s="9">
        <v>152</v>
      </c>
      <c r="N1495" s="9" t="s">
        <v>49</v>
      </c>
      <c r="Q1495" s="9">
        <f>IF(Auction_Sales[[#This Row],[Payment Date]]=0,"",-1+WEEKNUM(Auction_Sales[[#This Row],[Payment Date]]))</f>
        <v>17</v>
      </c>
      <c r="R1495" s="9">
        <v>-480</v>
      </c>
      <c r="S1495" s="9" t="s">
        <v>153</v>
      </c>
      <c r="T1495" s="9" t="s">
        <v>56</v>
      </c>
      <c r="U1495" s="9">
        <v>880</v>
      </c>
      <c r="V1495" s="13">
        <v>0.4</v>
      </c>
      <c r="W1495" s="13">
        <v>352</v>
      </c>
      <c r="X1495" s="14">
        <v>-41.259184466019427</v>
      </c>
      <c r="Y1495" s="13">
        <v>310.74081553398059</v>
      </c>
      <c r="Z1495" s="10">
        <v>45413</v>
      </c>
      <c r="AA1495" s="9">
        <v>480</v>
      </c>
      <c r="AC1495" s="9" t="s">
        <v>98</v>
      </c>
      <c r="AD1495" s="14">
        <v>44.842799999999997</v>
      </c>
      <c r="AF1495" s="14">
        <v>17.600000000000001</v>
      </c>
      <c r="AH1495" s="14">
        <v>62.442799999999998</v>
      </c>
      <c r="AI1495" s="13">
        <v>248.29801553398059</v>
      </c>
      <c r="AK1495" s="9">
        <v>880</v>
      </c>
    </row>
    <row r="1496" spans="1:37">
      <c r="A1496" s="9">
        <v>17</v>
      </c>
      <c r="B1496" s="9">
        <v>2024</v>
      </c>
      <c r="C1496" s="9" t="s">
        <v>46</v>
      </c>
      <c r="D1496" s="9" t="s">
        <v>47</v>
      </c>
      <c r="E1496" s="9" t="s">
        <v>47</v>
      </c>
      <c r="F1496" s="10">
        <v>45404</v>
      </c>
      <c r="G1496" s="9" t="s">
        <v>157</v>
      </c>
      <c r="H1496" s="9" t="s">
        <v>48</v>
      </c>
      <c r="I1496" s="9">
        <v>1</v>
      </c>
      <c r="J1496" s="9">
        <v>3.5999999999999996</v>
      </c>
      <c r="K1496" s="9">
        <v>120</v>
      </c>
      <c r="L1496" s="9">
        <v>0.24</v>
      </c>
      <c r="M1496" s="9">
        <v>28.8</v>
      </c>
      <c r="N1496" s="9" t="s">
        <v>49</v>
      </c>
      <c r="Q1496" s="9">
        <f>IF(Auction_Sales[[#This Row],[Payment Date]]=0,"",-1+WEEKNUM(Auction_Sales[[#This Row],[Payment Date]]))</f>
        <v>17</v>
      </c>
      <c r="R1496" s="9">
        <v>0</v>
      </c>
      <c r="S1496" s="9" t="s">
        <v>157</v>
      </c>
      <c r="T1496" s="9" t="s">
        <v>48</v>
      </c>
      <c r="U1496" s="9">
        <v>120</v>
      </c>
      <c r="V1496" s="13">
        <v>0.33999999999999997</v>
      </c>
      <c r="W1496" s="13">
        <v>40.799999999999997</v>
      </c>
      <c r="X1496" s="14">
        <v>-5.6262524271844665</v>
      </c>
      <c r="Y1496" s="13">
        <v>35.173747572815529</v>
      </c>
      <c r="Z1496" s="10">
        <v>45413</v>
      </c>
      <c r="AA1496" s="9">
        <v>0</v>
      </c>
      <c r="AC1496" s="9" t="s">
        <v>98</v>
      </c>
      <c r="AD1496" s="14">
        <v>13.452839999999998</v>
      </c>
      <c r="AF1496" s="14">
        <v>2.4</v>
      </c>
      <c r="AH1496" s="14">
        <v>15.852839999999999</v>
      </c>
      <c r="AI1496" s="13">
        <v>19.320907572815528</v>
      </c>
      <c r="AK1496" s="9">
        <v>120</v>
      </c>
    </row>
    <row r="1497" spans="1:37">
      <c r="A1497" s="9">
        <v>17</v>
      </c>
      <c r="B1497" s="9">
        <v>2024</v>
      </c>
      <c r="C1497" s="9" t="s">
        <v>46</v>
      </c>
      <c r="D1497" s="9" t="s">
        <v>47</v>
      </c>
      <c r="E1497" s="9" t="s">
        <v>47</v>
      </c>
      <c r="F1497" s="10">
        <v>45404</v>
      </c>
      <c r="G1497" s="9" t="s">
        <v>157</v>
      </c>
      <c r="H1497" s="9" t="s">
        <v>52</v>
      </c>
      <c r="J1497" s="9">
        <v>3.5999999999999996</v>
      </c>
      <c r="K1497" s="9">
        <v>120</v>
      </c>
      <c r="L1497" s="9">
        <v>0.28000000000000003</v>
      </c>
      <c r="M1497" s="9">
        <v>33.6</v>
      </c>
      <c r="N1497" s="9" t="s">
        <v>49</v>
      </c>
      <c r="Q1497" s="9">
        <f>IF(Auction_Sales[[#This Row],[Payment Date]]=0,"",-1+WEEKNUM(Auction_Sales[[#This Row],[Payment Date]]))</f>
        <v>17</v>
      </c>
      <c r="R1497" s="9">
        <v>0</v>
      </c>
      <c r="S1497" s="9" t="s">
        <v>157</v>
      </c>
      <c r="T1497" s="9" t="s">
        <v>52</v>
      </c>
      <c r="U1497" s="9">
        <v>120</v>
      </c>
      <c r="V1497" s="13">
        <v>0.53</v>
      </c>
      <c r="W1497" s="13">
        <v>63.6</v>
      </c>
      <c r="X1497" s="14">
        <v>-5.6262524271844665</v>
      </c>
      <c r="Y1497" s="13">
        <v>57.973747572815533</v>
      </c>
      <c r="Z1497" s="10">
        <v>45413</v>
      </c>
      <c r="AA1497" s="9">
        <v>0</v>
      </c>
      <c r="AC1497" s="9" t="s">
        <v>98</v>
      </c>
      <c r="AD1497" s="14">
        <v>13.452839999999998</v>
      </c>
      <c r="AF1497" s="14">
        <v>2.4</v>
      </c>
      <c r="AH1497" s="14">
        <v>15.852839999999999</v>
      </c>
      <c r="AI1497" s="13">
        <v>42.120907572815533</v>
      </c>
      <c r="AK1497" s="9">
        <v>120</v>
      </c>
    </row>
    <row r="1498" spans="1:37">
      <c r="A1498" s="9">
        <v>17</v>
      </c>
      <c r="B1498" s="9">
        <v>2024</v>
      </c>
      <c r="C1498" s="9" t="s">
        <v>46</v>
      </c>
      <c r="D1498" s="9" t="s">
        <v>47</v>
      </c>
      <c r="E1498" s="9" t="s">
        <v>47</v>
      </c>
      <c r="F1498" s="10">
        <v>45404</v>
      </c>
      <c r="G1498" s="9" t="s">
        <v>157</v>
      </c>
      <c r="H1498" s="9" t="s">
        <v>54</v>
      </c>
      <c r="J1498" s="9">
        <v>3.5999999999999996</v>
      </c>
      <c r="K1498" s="9">
        <v>120</v>
      </c>
      <c r="L1498" s="9">
        <v>0.33</v>
      </c>
      <c r="M1498" s="9">
        <v>39.6</v>
      </c>
      <c r="N1498" s="9" t="s">
        <v>49</v>
      </c>
      <c r="Q1498" s="9">
        <f>IF(Auction_Sales[[#This Row],[Payment Date]]=0,"",-1+WEEKNUM(Auction_Sales[[#This Row],[Payment Date]]))</f>
        <v>17</v>
      </c>
      <c r="R1498" s="9">
        <v>0</v>
      </c>
      <c r="S1498" s="9" t="s">
        <v>157</v>
      </c>
      <c r="T1498" s="9" t="s">
        <v>54</v>
      </c>
      <c r="U1498" s="9">
        <v>120</v>
      </c>
      <c r="V1498" s="13">
        <v>0.51</v>
      </c>
      <c r="W1498" s="13">
        <v>61.2</v>
      </c>
      <c r="X1498" s="14">
        <v>-5.6262524271844665</v>
      </c>
      <c r="Y1498" s="13">
        <v>55.573747572815535</v>
      </c>
      <c r="Z1498" s="10">
        <v>45413</v>
      </c>
      <c r="AA1498" s="9">
        <v>0</v>
      </c>
      <c r="AC1498" s="9" t="s">
        <v>98</v>
      </c>
      <c r="AD1498" s="14">
        <v>13.452839999999998</v>
      </c>
      <c r="AF1498" s="14">
        <v>2.4</v>
      </c>
      <c r="AH1498" s="14">
        <v>15.852839999999999</v>
      </c>
      <c r="AI1498" s="13">
        <v>39.720907572815534</v>
      </c>
      <c r="AK1498" s="9">
        <v>120</v>
      </c>
    </row>
    <row r="1499" spans="1:37">
      <c r="A1499" s="9">
        <v>17</v>
      </c>
      <c r="B1499" s="9">
        <v>2024</v>
      </c>
      <c r="C1499" s="9" t="s">
        <v>46</v>
      </c>
      <c r="D1499" s="9" t="s">
        <v>47</v>
      </c>
      <c r="E1499" s="9" t="s">
        <v>47</v>
      </c>
      <c r="F1499" s="10">
        <v>45404</v>
      </c>
      <c r="G1499" s="9" t="s">
        <v>157</v>
      </c>
      <c r="H1499" s="9" t="s">
        <v>56</v>
      </c>
      <c r="J1499" s="9">
        <v>1.2000000000000002</v>
      </c>
      <c r="K1499" s="9">
        <v>40</v>
      </c>
      <c r="L1499" s="9">
        <v>0.38</v>
      </c>
      <c r="M1499" s="9">
        <v>15.2</v>
      </c>
      <c r="N1499" s="9" t="s">
        <v>49</v>
      </c>
      <c r="Q1499" s="9">
        <f>IF(Auction_Sales[[#This Row],[Payment Date]]=0,"",-1+WEEKNUM(Auction_Sales[[#This Row],[Payment Date]]))</f>
        <v>17</v>
      </c>
      <c r="R1499" s="9">
        <v>0</v>
      </c>
      <c r="S1499" s="9" t="s">
        <v>157</v>
      </c>
      <c r="T1499" s="9" t="s">
        <v>56</v>
      </c>
      <c r="U1499" s="9">
        <v>40</v>
      </c>
      <c r="V1499" s="13">
        <v>0.48</v>
      </c>
      <c r="W1499" s="13">
        <v>19.2</v>
      </c>
      <c r="X1499" s="14">
        <v>-1.8754174757281556</v>
      </c>
      <c r="Y1499" s="13">
        <v>17.324582524271843</v>
      </c>
      <c r="Z1499" s="10">
        <v>45413</v>
      </c>
      <c r="AA1499" s="9">
        <v>0</v>
      </c>
      <c r="AC1499" s="9" t="s">
        <v>98</v>
      </c>
      <c r="AD1499" s="14">
        <v>4.4842800000000009</v>
      </c>
      <c r="AF1499" s="14">
        <v>0.8</v>
      </c>
      <c r="AH1499" s="14">
        <v>5.2842800000000008</v>
      </c>
      <c r="AI1499" s="13">
        <v>12.040302524271842</v>
      </c>
      <c r="AK1499" s="9">
        <v>40</v>
      </c>
    </row>
    <row r="1500" spans="1:37">
      <c r="A1500" s="9">
        <v>17</v>
      </c>
      <c r="B1500" s="9">
        <v>2024</v>
      </c>
      <c r="C1500" s="9" t="s">
        <v>46</v>
      </c>
      <c r="D1500" s="9" t="s">
        <v>47</v>
      </c>
      <c r="E1500" s="9" t="s">
        <v>47</v>
      </c>
      <c r="F1500" s="10">
        <v>45404</v>
      </c>
      <c r="G1500" s="9" t="s">
        <v>153</v>
      </c>
      <c r="H1500" s="9" t="s">
        <v>52</v>
      </c>
      <c r="I1500" s="9">
        <v>1</v>
      </c>
      <c r="J1500" s="9">
        <v>4.8000000000000007</v>
      </c>
      <c r="K1500" s="9">
        <v>160</v>
      </c>
      <c r="L1500" s="9">
        <v>0.28000000000000003</v>
      </c>
      <c r="M1500" s="9">
        <v>44.8</v>
      </c>
      <c r="N1500" s="9" t="s">
        <v>49</v>
      </c>
      <c r="Q1500" s="9">
        <f>IF(Auction_Sales[[#This Row],[Payment Date]]=0,"",-1+WEEKNUM(Auction_Sales[[#This Row],[Payment Date]]))</f>
        <v>17</v>
      </c>
      <c r="R1500" s="9">
        <v>160</v>
      </c>
      <c r="S1500" s="9" t="s">
        <v>153</v>
      </c>
      <c r="T1500" s="9" t="s">
        <v>52</v>
      </c>
      <c r="W1500" s="13">
        <v>0</v>
      </c>
      <c r="X1500" s="14">
        <v>0</v>
      </c>
      <c r="Y1500" s="13">
        <v>0</v>
      </c>
      <c r="Z1500" s="10">
        <v>45413</v>
      </c>
      <c r="AA1500" s="9">
        <v>-160</v>
      </c>
      <c r="AC1500" s="9" t="s">
        <v>98</v>
      </c>
      <c r="AD1500" s="14">
        <v>17.937120000000004</v>
      </c>
      <c r="AF1500" s="14">
        <v>0</v>
      </c>
      <c r="AH1500" s="14">
        <v>17.937120000000004</v>
      </c>
      <c r="AI1500" s="13">
        <v>-17.937120000000004</v>
      </c>
      <c r="AK1500" s="9">
        <v>0</v>
      </c>
    </row>
    <row r="1501" spans="1:37">
      <c r="A1501" s="9">
        <v>17</v>
      </c>
      <c r="B1501" s="9">
        <v>2024</v>
      </c>
      <c r="C1501" s="9" t="s">
        <v>46</v>
      </c>
      <c r="D1501" s="9" t="s">
        <v>47</v>
      </c>
      <c r="E1501" s="9" t="s">
        <v>47</v>
      </c>
      <c r="F1501" s="10">
        <v>45404</v>
      </c>
      <c r="G1501" s="9" t="s">
        <v>153</v>
      </c>
      <c r="H1501" s="9" t="s">
        <v>57</v>
      </c>
      <c r="J1501" s="9">
        <v>7.1999999999999993</v>
      </c>
      <c r="K1501" s="9">
        <v>240</v>
      </c>
      <c r="L1501" s="9">
        <v>0.47</v>
      </c>
      <c r="M1501" s="9">
        <v>112.8</v>
      </c>
      <c r="N1501" s="9" t="s">
        <v>49</v>
      </c>
      <c r="Q1501" s="9">
        <f>IF(Auction_Sales[[#This Row],[Payment Date]]=0,"",-1+WEEKNUM(Auction_Sales[[#This Row],[Payment Date]]))</f>
        <v>17</v>
      </c>
      <c r="R1501" s="9">
        <v>0</v>
      </c>
      <c r="S1501" s="9" t="s">
        <v>153</v>
      </c>
      <c r="T1501" s="9" t="s">
        <v>57</v>
      </c>
      <c r="U1501" s="9">
        <v>240</v>
      </c>
      <c r="V1501" s="13">
        <v>0.56499999999999995</v>
      </c>
      <c r="W1501" s="13">
        <v>135.6</v>
      </c>
      <c r="X1501" s="14">
        <v>-11.252504854368933</v>
      </c>
      <c r="Y1501" s="13">
        <v>124.34749514563106</v>
      </c>
      <c r="Z1501" s="10">
        <v>45413</v>
      </c>
      <c r="AA1501" s="9">
        <v>0</v>
      </c>
      <c r="AC1501" s="9" t="s">
        <v>98</v>
      </c>
      <c r="AD1501" s="14">
        <v>26.905679999999997</v>
      </c>
      <c r="AF1501" s="14">
        <v>4.8</v>
      </c>
      <c r="AH1501" s="14">
        <v>31.705679999999997</v>
      </c>
      <c r="AI1501" s="13">
        <v>92.641815145631057</v>
      </c>
      <c r="AK1501" s="9">
        <v>240</v>
      </c>
    </row>
    <row r="1502" spans="1:37">
      <c r="A1502" s="9">
        <v>17</v>
      </c>
      <c r="B1502" s="9">
        <v>2024</v>
      </c>
      <c r="C1502" s="9" t="s">
        <v>46</v>
      </c>
      <c r="D1502" s="9" t="s">
        <v>47</v>
      </c>
      <c r="E1502" s="9" t="s">
        <v>47</v>
      </c>
      <c r="F1502" s="10">
        <v>45404</v>
      </c>
      <c r="G1502" s="9" t="s">
        <v>155</v>
      </c>
      <c r="H1502" s="9" t="s">
        <v>56</v>
      </c>
      <c r="I1502" s="9">
        <v>1</v>
      </c>
      <c r="J1502" s="9">
        <v>4.8000000000000007</v>
      </c>
      <c r="K1502" s="9">
        <v>80</v>
      </c>
      <c r="L1502" s="9">
        <v>0.75</v>
      </c>
      <c r="M1502" s="9">
        <v>60</v>
      </c>
      <c r="N1502" s="9" t="s">
        <v>49</v>
      </c>
      <c r="Q1502" s="9">
        <f>IF(Auction_Sales[[#This Row],[Payment Date]]=0,"",-1+WEEKNUM(Auction_Sales[[#This Row],[Payment Date]]))</f>
        <v>17</v>
      </c>
      <c r="R1502" s="9">
        <v>20</v>
      </c>
      <c r="S1502" s="9" t="s">
        <v>155</v>
      </c>
      <c r="T1502" s="9" t="s">
        <v>56</v>
      </c>
      <c r="U1502" s="9">
        <v>60</v>
      </c>
      <c r="V1502" s="13">
        <v>0.49</v>
      </c>
      <c r="W1502" s="13">
        <v>29.4</v>
      </c>
      <c r="X1502" s="14">
        <v>-2.8131262135922332</v>
      </c>
      <c r="Y1502" s="13">
        <v>26.586873786407764</v>
      </c>
      <c r="Z1502" s="10">
        <v>45413</v>
      </c>
      <c r="AA1502" s="9">
        <v>-20</v>
      </c>
      <c r="AC1502" s="9" t="s">
        <v>98</v>
      </c>
      <c r="AD1502" s="14">
        <v>17.937120000000004</v>
      </c>
      <c r="AF1502" s="14">
        <v>1.2</v>
      </c>
      <c r="AH1502" s="14">
        <v>19.137120000000003</v>
      </c>
      <c r="AI1502" s="13">
        <v>7.4497537864077614</v>
      </c>
      <c r="AK1502" s="9">
        <v>60</v>
      </c>
    </row>
    <row r="1503" spans="1:37">
      <c r="A1503" s="9">
        <v>17</v>
      </c>
      <c r="B1503" s="9">
        <v>2024</v>
      </c>
      <c r="C1503" s="9" t="s">
        <v>46</v>
      </c>
      <c r="D1503" s="9" t="s">
        <v>47</v>
      </c>
      <c r="E1503" s="9" t="s">
        <v>47</v>
      </c>
      <c r="F1503" s="10">
        <v>45404</v>
      </c>
      <c r="G1503" s="9" t="s">
        <v>155</v>
      </c>
      <c r="H1503" s="9" t="s">
        <v>57</v>
      </c>
      <c r="J1503" s="9">
        <v>7.1999999999999993</v>
      </c>
      <c r="K1503" s="9">
        <v>120</v>
      </c>
      <c r="L1503" s="9">
        <v>0.94</v>
      </c>
      <c r="M1503" s="9">
        <v>112.8</v>
      </c>
      <c r="N1503" s="9" t="s">
        <v>49</v>
      </c>
      <c r="Q1503" s="9">
        <f>IF(Auction_Sales[[#This Row],[Payment Date]]=0,"",-1+WEEKNUM(Auction_Sales[[#This Row],[Payment Date]]))</f>
        <v>17</v>
      </c>
      <c r="R1503" s="9">
        <v>-200</v>
      </c>
      <c r="S1503" s="9" t="s">
        <v>155</v>
      </c>
      <c r="T1503" s="9" t="s">
        <v>57</v>
      </c>
      <c r="U1503" s="9">
        <v>320</v>
      </c>
      <c r="V1503" s="13">
        <v>0.61499999999999999</v>
      </c>
      <c r="W1503" s="13">
        <v>196.8</v>
      </c>
      <c r="X1503" s="14">
        <v>-15.003339805825245</v>
      </c>
      <c r="Y1503" s="13">
        <v>181.79666019417476</v>
      </c>
      <c r="Z1503" s="10">
        <v>45413</v>
      </c>
      <c r="AA1503" s="9">
        <v>200</v>
      </c>
      <c r="AC1503" s="9" t="s">
        <v>98</v>
      </c>
      <c r="AD1503" s="14">
        <v>26.905679999999997</v>
      </c>
      <c r="AF1503" s="14">
        <v>6.4</v>
      </c>
      <c r="AH1503" s="14">
        <v>33.305679999999995</v>
      </c>
      <c r="AI1503" s="13">
        <v>148.49098019417477</v>
      </c>
      <c r="AK1503" s="9">
        <v>320</v>
      </c>
    </row>
    <row r="1504" spans="1:37">
      <c r="A1504" s="9">
        <v>17</v>
      </c>
      <c r="B1504" s="9">
        <v>2024</v>
      </c>
      <c r="C1504" s="9" t="s">
        <v>46</v>
      </c>
      <c r="D1504" s="9" t="s">
        <v>47</v>
      </c>
      <c r="E1504" s="9" t="s">
        <v>47</v>
      </c>
      <c r="F1504" s="10">
        <v>45404</v>
      </c>
      <c r="G1504" s="9" t="s">
        <v>154</v>
      </c>
      <c r="H1504" s="9" t="s">
        <v>51</v>
      </c>
      <c r="I1504" s="9">
        <v>1</v>
      </c>
      <c r="J1504" s="9">
        <v>4.8000000000000007</v>
      </c>
      <c r="K1504" s="9">
        <v>240</v>
      </c>
      <c r="L1504" s="9">
        <v>0.38</v>
      </c>
      <c r="M1504" s="9">
        <v>91.2</v>
      </c>
      <c r="N1504" s="9" t="s">
        <v>49</v>
      </c>
      <c r="Q1504" s="9">
        <f>IF(Auction_Sales[[#This Row],[Payment Date]]=0,"",-1+WEEKNUM(Auction_Sales[[#This Row],[Payment Date]]))</f>
        <v>17</v>
      </c>
      <c r="R1504" s="9">
        <v>240</v>
      </c>
      <c r="S1504" s="9" t="s">
        <v>154</v>
      </c>
      <c r="T1504" s="9" t="s">
        <v>51</v>
      </c>
      <c r="W1504" s="13">
        <v>0</v>
      </c>
      <c r="X1504" s="14">
        <v>0</v>
      </c>
      <c r="Y1504" s="13">
        <v>0</v>
      </c>
      <c r="Z1504" s="10">
        <v>45413</v>
      </c>
      <c r="AA1504" s="9">
        <v>-240</v>
      </c>
      <c r="AC1504" s="9" t="s">
        <v>98</v>
      </c>
      <c r="AD1504" s="14">
        <v>17.937120000000004</v>
      </c>
      <c r="AF1504" s="14">
        <v>0</v>
      </c>
      <c r="AH1504" s="14">
        <v>17.937120000000004</v>
      </c>
      <c r="AI1504" s="13">
        <v>-17.937120000000004</v>
      </c>
      <c r="AK1504" s="9">
        <v>0</v>
      </c>
    </row>
    <row r="1505" spans="1:37">
      <c r="A1505" s="9">
        <v>17</v>
      </c>
      <c r="B1505" s="9">
        <v>2024</v>
      </c>
      <c r="C1505" s="9" t="s">
        <v>46</v>
      </c>
      <c r="D1505" s="9" t="s">
        <v>47</v>
      </c>
      <c r="E1505" s="9" t="s">
        <v>47</v>
      </c>
      <c r="F1505" s="10">
        <v>45404</v>
      </c>
      <c r="G1505" s="9" t="s">
        <v>154</v>
      </c>
      <c r="H1505" s="9" t="s">
        <v>48</v>
      </c>
      <c r="J1505" s="9">
        <v>7.1999999999999993</v>
      </c>
      <c r="K1505" s="9">
        <v>360</v>
      </c>
      <c r="L1505" s="9">
        <v>0.47</v>
      </c>
      <c r="M1505" s="9">
        <v>169.2</v>
      </c>
      <c r="N1505" s="9" t="s">
        <v>49</v>
      </c>
      <c r="Q1505" s="9">
        <f>IF(Auction_Sales[[#This Row],[Payment Date]]=0,"",-1+WEEKNUM(Auction_Sales[[#This Row],[Payment Date]]))</f>
        <v>17</v>
      </c>
      <c r="R1505" s="9">
        <v>360</v>
      </c>
      <c r="S1505" s="9" t="s">
        <v>154</v>
      </c>
      <c r="T1505" s="9" t="s">
        <v>48</v>
      </c>
      <c r="W1505" s="13">
        <v>0</v>
      </c>
      <c r="X1505" s="14">
        <v>0</v>
      </c>
      <c r="Y1505" s="13">
        <v>0</v>
      </c>
      <c r="Z1505" s="10">
        <v>45413</v>
      </c>
      <c r="AA1505" s="9">
        <v>-360</v>
      </c>
      <c r="AC1505" s="9" t="s">
        <v>98</v>
      </c>
      <c r="AD1505" s="14">
        <v>26.905679999999997</v>
      </c>
      <c r="AF1505" s="14">
        <v>0</v>
      </c>
      <c r="AH1505" s="14">
        <v>26.905679999999997</v>
      </c>
      <c r="AI1505" s="13">
        <v>-26.905679999999997</v>
      </c>
      <c r="AK1505" s="9">
        <v>0</v>
      </c>
    </row>
    <row r="1506" spans="1:37">
      <c r="A1506" s="9">
        <v>17</v>
      </c>
      <c r="B1506" s="9">
        <v>2024</v>
      </c>
      <c r="C1506" s="9" t="s">
        <v>46</v>
      </c>
      <c r="D1506" s="9" t="s">
        <v>47</v>
      </c>
      <c r="E1506" s="9" t="s">
        <v>47</v>
      </c>
      <c r="F1506" s="10">
        <v>45404</v>
      </c>
      <c r="G1506" s="9" t="s">
        <v>156</v>
      </c>
      <c r="H1506" s="9" t="s">
        <v>51</v>
      </c>
      <c r="I1506" s="9">
        <v>1</v>
      </c>
      <c r="J1506" s="9">
        <v>2.7692307692307692</v>
      </c>
      <c r="K1506" s="9">
        <v>120</v>
      </c>
      <c r="L1506" s="9">
        <v>0.42</v>
      </c>
      <c r="M1506" s="9">
        <v>50.4</v>
      </c>
      <c r="N1506" s="9" t="s">
        <v>49</v>
      </c>
      <c r="Q1506" s="9">
        <f>IF(Auction_Sales[[#This Row],[Payment Date]]=0,"",-1+WEEKNUM(Auction_Sales[[#This Row],[Payment Date]]))</f>
        <v>17</v>
      </c>
      <c r="R1506" s="9">
        <v>0</v>
      </c>
      <c r="S1506" s="9" t="s">
        <v>156</v>
      </c>
      <c r="T1506" s="9" t="s">
        <v>51</v>
      </c>
      <c r="U1506" s="9">
        <v>120</v>
      </c>
      <c r="V1506" s="13">
        <v>0.45</v>
      </c>
      <c r="W1506" s="13">
        <v>54</v>
      </c>
      <c r="X1506" s="14">
        <v>-5.6262524271844665</v>
      </c>
      <c r="Y1506" s="13">
        <v>48.373747572815532</v>
      </c>
      <c r="Z1506" s="10">
        <v>45413</v>
      </c>
      <c r="AA1506" s="9">
        <v>0</v>
      </c>
      <c r="AC1506" s="9" t="s">
        <v>98</v>
      </c>
      <c r="AD1506" s="14">
        <v>10.348338461538461</v>
      </c>
      <c r="AF1506" s="14">
        <v>2.4</v>
      </c>
      <c r="AH1506" s="14">
        <v>12.748338461538461</v>
      </c>
      <c r="AI1506" s="13">
        <v>35.625409111277072</v>
      </c>
      <c r="AK1506" s="9">
        <v>120</v>
      </c>
    </row>
    <row r="1507" spans="1:37">
      <c r="A1507" s="9">
        <v>17</v>
      </c>
      <c r="B1507" s="9">
        <v>2024</v>
      </c>
      <c r="C1507" s="9" t="s">
        <v>46</v>
      </c>
      <c r="D1507" s="9" t="s">
        <v>47</v>
      </c>
      <c r="E1507" s="9" t="s">
        <v>47</v>
      </c>
      <c r="F1507" s="10">
        <v>45404</v>
      </c>
      <c r="G1507" s="9" t="s">
        <v>156</v>
      </c>
      <c r="H1507" s="9" t="s">
        <v>48</v>
      </c>
      <c r="J1507" s="9">
        <v>9.2307692307692317</v>
      </c>
      <c r="K1507" s="9">
        <v>400</v>
      </c>
      <c r="L1507" s="9">
        <v>0.52</v>
      </c>
      <c r="M1507" s="9">
        <v>208</v>
      </c>
      <c r="N1507" s="9" t="s">
        <v>49</v>
      </c>
      <c r="Q1507" s="9">
        <f>IF(Auction_Sales[[#This Row],[Payment Date]]=0,"",-1+WEEKNUM(Auction_Sales[[#This Row],[Payment Date]]))</f>
        <v>17</v>
      </c>
      <c r="R1507" s="9">
        <v>0</v>
      </c>
      <c r="S1507" s="9" t="s">
        <v>156</v>
      </c>
      <c r="T1507" s="9" t="s">
        <v>48</v>
      </c>
      <c r="U1507" s="9">
        <v>400</v>
      </c>
      <c r="V1507" s="13">
        <v>0.56999999999999995</v>
      </c>
      <c r="W1507" s="13">
        <v>227.99999999999997</v>
      </c>
      <c r="X1507" s="14">
        <v>-18.754174757281557</v>
      </c>
      <c r="Y1507" s="13">
        <v>209.24582524271841</v>
      </c>
      <c r="Z1507" s="10">
        <v>45413</v>
      </c>
      <c r="AA1507" s="9">
        <v>0</v>
      </c>
      <c r="AC1507" s="9" t="s">
        <v>98</v>
      </c>
      <c r="AD1507" s="14">
        <v>34.494461538461536</v>
      </c>
      <c r="AF1507" s="14">
        <v>8</v>
      </c>
      <c r="AH1507" s="14">
        <v>42.494461538461536</v>
      </c>
      <c r="AI1507" s="13">
        <v>166.75136370425687</v>
      </c>
      <c r="AK1507" s="9">
        <v>400</v>
      </c>
    </row>
    <row r="1508" spans="1:37">
      <c r="A1508" s="9">
        <v>17</v>
      </c>
      <c r="B1508" s="9">
        <v>2024</v>
      </c>
      <c r="C1508" s="9" t="s">
        <v>46</v>
      </c>
      <c r="D1508" s="9" t="s">
        <v>47</v>
      </c>
      <c r="E1508" s="9" t="s">
        <v>47</v>
      </c>
      <c r="F1508" s="10">
        <v>45404</v>
      </c>
      <c r="G1508" s="9" t="s">
        <v>155</v>
      </c>
      <c r="H1508" s="9" t="s">
        <v>48</v>
      </c>
      <c r="I1508" s="9">
        <v>1</v>
      </c>
      <c r="J1508" s="9">
        <v>3</v>
      </c>
      <c r="K1508" s="9">
        <v>160</v>
      </c>
      <c r="L1508" s="9">
        <v>0.47</v>
      </c>
      <c r="M1508" s="9">
        <v>75.2</v>
      </c>
      <c r="N1508" s="9" t="s">
        <v>49</v>
      </c>
      <c r="Q1508" s="9">
        <f>IF(Auction_Sales[[#This Row],[Payment Date]]=0,"",-1+WEEKNUM(Auction_Sales[[#This Row],[Payment Date]]))</f>
        <v>17</v>
      </c>
      <c r="R1508" s="9">
        <v>160</v>
      </c>
      <c r="S1508" s="9" t="s">
        <v>155</v>
      </c>
      <c r="T1508" s="9" t="s">
        <v>48</v>
      </c>
      <c r="W1508" s="13">
        <v>0</v>
      </c>
      <c r="X1508" s="14">
        <v>0</v>
      </c>
      <c r="Y1508" s="13">
        <v>0</v>
      </c>
      <c r="Z1508" s="10">
        <v>45413</v>
      </c>
      <c r="AA1508" s="9">
        <v>-160</v>
      </c>
      <c r="AC1508" s="9" t="s">
        <v>98</v>
      </c>
      <c r="AD1508" s="14">
        <v>11.210699999999999</v>
      </c>
      <c r="AF1508" s="14">
        <v>0</v>
      </c>
      <c r="AH1508" s="14">
        <v>11.210699999999999</v>
      </c>
      <c r="AI1508" s="13">
        <v>-11.210699999999999</v>
      </c>
      <c r="AK1508" s="9">
        <v>0</v>
      </c>
    </row>
    <row r="1509" spans="1:37">
      <c r="A1509" s="9">
        <v>17</v>
      </c>
      <c r="B1509" s="9">
        <v>2024</v>
      </c>
      <c r="C1509" s="9" t="s">
        <v>46</v>
      </c>
      <c r="D1509" s="9" t="s">
        <v>47</v>
      </c>
      <c r="E1509" s="9" t="s">
        <v>47</v>
      </c>
      <c r="F1509" s="10">
        <v>45404</v>
      </c>
      <c r="G1509" s="9" t="s">
        <v>155</v>
      </c>
      <c r="H1509" s="9" t="s">
        <v>51</v>
      </c>
      <c r="J1509" s="9">
        <v>5.25</v>
      </c>
      <c r="K1509" s="9">
        <v>280</v>
      </c>
      <c r="L1509" s="9">
        <v>0.38</v>
      </c>
      <c r="M1509" s="9">
        <v>106.4</v>
      </c>
      <c r="N1509" s="9" t="s">
        <v>49</v>
      </c>
      <c r="Q1509" s="9">
        <f>IF(Auction_Sales[[#This Row],[Payment Date]]=0,"",-1+WEEKNUM(Auction_Sales[[#This Row],[Payment Date]]))</f>
        <v>17</v>
      </c>
      <c r="R1509" s="9">
        <v>0</v>
      </c>
      <c r="S1509" s="9" t="s">
        <v>155</v>
      </c>
      <c r="T1509" s="9" t="s">
        <v>51</v>
      </c>
      <c r="U1509" s="9">
        <v>280</v>
      </c>
      <c r="V1509" s="13">
        <v>-0.3585714285714286</v>
      </c>
      <c r="W1509" s="13">
        <v>-100.4</v>
      </c>
      <c r="X1509" s="14">
        <v>-13.127922330097091</v>
      </c>
      <c r="Y1509" s="13">
        <v>-113.5279223300971</v>
      </c>
      <c r="Z1509" s="10">
        <v>45413</v>
      </c>
      <c r="AA1509" s="9">
        <v>0</v>
      </c>
      <c r="AC1509" s="9" t="s">
        <v>98</v>
      </c>
      <c r="AD1509" s="14">
        <v>19.618725000000001</v>
      </c>
      <c r="AF1509" s="14">
        <v>5.6000000000000005</v>
      </c>
      <c r="AH1509" s="14">
        <v>25.218725000000003</v>
      </c>
      <c r="AI1509" s="13">
        <v>-138.74664733009709</v>
      </c>
      <c r="AK1509" s="9">
        <v>280</v>
      </c>
    </row>
    <row r="1510" spans="1:37">
      <c r="A1510" s="9">
        <v>17</v>
      </c>
      <c r="B1510" s="9">
        <v>2024</v>
      </c>
      <c r="C1510" s="9" t="s">
        <v>46</v>
      </c>
      <c r="D1510" s="9" t="s">
        <v>47</v>
      </c>
      <c r="E1510" s="9" t="s">
        <v>47</v>
      </c>
      <c r="F1510" s="10">
        <v>45404</v>
      </c>
      <c r="G1510" s="9" t="s">
        <v>155</v>
      </c>
      <c r="H1510" s="9" t="s">
        <v>52</v>
      </c>
      <c r="J1510" s="9">
        <v>3.75</v>
      </c>
      <c r="K1510" s="9">
        <v>200</v>
      </c>
      <c r="L1510" s="9">
        <v>0.52</v>
      </c>
      <c r="M1510" s="9">
        <v>104</v>
      </c>
      <c r="N1510" s="9" t="s">
        <v>49</v>
      </c>
      <c r="Q1510" s="9">
        <f>IF(Auction_Sales[[#This Row],[Payment Date]]=0,"",-1+WEEKNUM(Auction_Sales[[#This Row],[Payment Date]]))</f>
        <v>17</v>
      </c>
      <c r="R1510" s="9">
        <v>200</v>
      </c>
      <c r="S1510" s="9" t="s">
        <v>155</v>
      </c>
      <c r="T1510" s="9" t="s">
        <v>52</v>
      </c>
      <c r="W1510" s="13">
        <v>0</v>
      </c>
      <c r="X1510" s="14">
        <v>0</v>
      </c>
      <c r="Y1510" s="13">
        <v>0</v>
      </c>
      <c r="Z1510" s="10">
        <v>45413</v>
      </c>
      <c r="AA1510" s="9">
        <v>-200</v>
      </c>
      <c r="AC1510" s="9" t="s">
        <v>98</v>
      </c>
      <c r="AD1510" s="14">
        <v>14.013375</v>
      </c>
      <c r="AF1510" s="14">
        <v>0</v>
      </c>
      <c r="AH1510" s="14">
        <v>14.013375</v>
      </c>
      <c r="AI1510" s="13">
        <v>-14.013375</v>
      </c>
      <c r="AK1510" s="9">
        <v>0</v>
      </c>
    </row>
    <row r="1511" spans="1:37">
      <c r="A1511" s="9">
        <v>17</v>
      </c>
      <c r="B1511" s="9">
        <v>2024</v>
      </c>
      <c r="C1511" s="9" t="s">
        <v>46</v>
      </c>
      <c r="D1511" s="9" t="s">
        <v>47</v>
      </c>
      <c r="E1511" s="9" t="s">
        <v>47</v>
      </c>
      <c r="F1511" s="10">
        <v>45404</v>
      </c>
      <c r="G1511" s="9" t="s">
        <v>156</v>
      </c>
      <c r="H1511" s="9" t="s">
        <v>52</v>
      </c>
      <c r="I1511" s="9">
        <v>1</v>
      </c>
      <c r="J1511" s="9">
        <v>10.285714285714285</v>
      </c>
      <c r="K1511" s="9">
        <v>240</v>
      </c>
      <c r="L1511" s="9">
        <v>0.61</v>
      </c>
      <c r="M1511" s="9">
        <v>146.4</v>
      </c>
      <c r="N1511" s="9" t="s">
        <v>49</v>
      </c>
      <c r="Q1511" s="9">
        <f>IF(Auction_Sales[[#This Row],[Payment Date]]=0,"",-1+WEEKNUM(Auction_Sales[[#This Row],[Payment Date]]))</f>
        <v>17</v>
      </c>
      <c r="R1511" s="9">
        <v>0</v>
      </c>
      <c r="S1511" s="9" t="s">
        <v>156</v>
      </c>
      <c r="T1511" s="9" t="s">
        <v>52</v>
      </c>
      <c r="U1511" s="9">
        <v>240</v>
      </c>
      <c r="V1511" s="13">
        <v>0.76</v>
      </c>
      <c r="W1511" s="13">
        <v>182.4</v>
      </c>
      <c r="X1511" s="14">
        <v>-11.252504854368933</v>
      </c>
      <c r="Y1511" s="13">
        <v>171.14749514563107</v>
      </c>
      <c r="Z1511" s="10">
        <v>45413</v>
      </c>
      <c r="AA1511" s="9">
        <v>0</v>
      </c>
      <c r="AC1511" s="9" t="s">
        <v>98</v>
      </c>
      <c r="AD1511" s="14">
        <v>38.436685714285709</v>
      </c>
      <c r="AF1511" s="14">
        <v>4.8</v>
      </c>
      <c r="AH1511" s="14">
        <v>43.236685714285706</v>
      </c>
      <c r="AI1511" s="13">
        <v>127.91080943134537</v>
      </c>
      <c r="AK1511" s="9">
        <v>240</v>
      </c>
    </row>
    <row r="1512" spans="1:37">
      <c r="A1512" s="9">
        <v>17</v>
      </c>
      <c r="B1512" s="9">
        <v>2024</v>
      </c>
      <c r="C1512" s="9" t="s">
        <v>46</v>
      </c>
      <c r="D1512" s="9" t="s">
        <v>47</v>
      </c>
      <c r="E1512" s="9" t="s">
        <v>47</v>
      </c>
      <c r="F1512" s="10">
        <v>45404</v>
      </c>
      <c r="G1512" s="9" t="s">
        <v>156</v>
      </c>
      <c r="H1512" s="9" t="s">
        <v>54</v>
      </c>
      <c r="J1512" s="9">
        <v>1.7142857142857142</v>
      </c>
      <c r="K1512" s="9">
        <v>40</v>
      </c>
      <c r="L1512" s="9">
        <v>0.66</v>
      </c>
      <c r="M1512" s="9">
        <v>26.4</v>
      </c>
      <c r="N1512" s="9" t="s">
        <v>49</v>
      </c>
      <c r="Q1512" s="9">
        <f>IF(Auction_Sales[[#This Row],[Payment Date]]=0,"",-1+WEEKNUM(Auction_Sales[[#This Row],[Payment Date]]))</f>
        <v>17</v>
      </c>
      <c r="R1512" s="9">
        <v>0</v>
      </c>
      <c r="S1512" s="9" t="s">
        <v>156</v>
      </c>
      <c r="T1512" s="9" t="s">
        <v>54</v>
      </c>
      <c r="U1512" s="9">
        <v>40</v>
      </c>
      <c r="V1512" s="13">
        <v>1</v>
      </c>
      <c r="W1512" s="13">
        <v>40</v>
      </c>
      <c r="X1512" s="14">
        <v>-1.8754174757281556</v>
      </c>
      <c r="Y1512" s="13">
        <v>38.124582524271844</v>
      </c>
      <c r="Z1512" s="10">
        <v>45413</v>
      </c>
      <c r="AA1512" s="9">
        <v>0</v>
      </c>
      <c r="AC1512" s="9" t="s">
        <v>98</v>
      </c>
      <c r="AD1512" s="14">
        <v>6.4061142857142856</v>
      </c>
      <c r="AF1512" s="14">
        <v>0.8</v>
      </c>
      <c r="AH1512" s="14">
        <v>7.2061142857142855</v>
      </c>
      <c r="AI1512" s="13">
        <v>30.918468238557558</v>
      </c>
      <c r="AK1512" s="9">
        <v>40</v>
      </c>
    </row>
    <row r="1513" spans="1:37">
      <c r="A1513" s="9">
        <v>17</v>
      </c>
      <c r="B1513" s="9">
        <v>2024</v>
      </c>
      <c r="C1513" s="9" t="s">
        <v>46</v>
      </c>
      <c r="D1513" s="9" t="s">
        <v>47</v>
      </c>
      <c r="E1513" s="9" t="s">
        <v>47</v>
      </c>
      <c r="F1513" s="10">
        <v>45404</v>
      </c>
      <c r="G1513" s="9" t="s">
        <v>156</v>
      </c>
      <c r="H1513" s="9" t="s">
        <v>56</v>
      </c>
      <c r="I1513" s="9">
        <v>1</v>
      </c>
      <c r="J1513" s="9">
        <v>4.8000000000000007</v>
      </c>
      <c r="K1513" s="9">
        <v>80</v>
      </c>
      <c r="L1513" s="9">
        <v>0.85</v>
      </c>
      <c r="M1513" s="9">
        <v>68</v>
      </c>
      <c r="N1513" s="9" t="s">
        <v>49</v>
      </c>
      <c r="Q1513" s="9">
        <f>IF(Auction_Sales[[#This Row],[Payment Date]]=0,"",-1+WEEKNUM(Auction_Sales[[#This Row],[Payment Date]]))</f>
        <v>17</v>
      </c>
      <c r="R1513" s="9">
        <v>0</v>
      </c>
      <c r="S1513" s="9" t="s">
        <v>156</v>
      </c>
      <c r="T1513" s="9" t="s">
        <v>56</v>
      </c>
      <c r="U1513" s="9">
        <v>80</v>
      </c>
      <c r="V1513" s="13">
        <v>1.04</v>
      </c>
      <c r="W1513" s="13">
        <v>83.2</v>
      </c>
      <c r="X1513" s="14">
        <v>-3.7508349514563113</v>
      </c>
      <c r="Y1513" s="13">
        <v>79.449165048543691</v>
      </c>
      <c r="Z1513" s="10">
        <v>45413</v>
      </c>
      <c r="AA1513" s="9">
        <v>0</v>
      </c>
      <c r="AC1513" s="9" t="s">
        <v>98</v>
      </c>
      <c r="AD1513" s="14">
        <v>17.937120000000004</v>
      </c>
      <c r="AF1513" s="14">
        <v>1.6</v>
      </c>
      <c r="AH1513" s="14">
        <v>19.537120000000005</v>
      </c>
      <c r="AI1513" s="13">
        <v>59.912045048543689</v>
      </c>
      <c r="AK1513" s="9">
        <v>80</v>
      </c>
    </row>
    <row r="1514" spans="1:37">
      <c r="A1514" s="9">
        <v>17</v>
      </c>
      <c r="B1514" s="9">
        <v>2024</v>
      </c>
      <c r="C1514" s="9" t="s">
        <v>46</v>
      </c>
      <c r="D1514" s="9" t="s">
        <v>47</v>
      </c>
      <c r="E1514" s="9" t="s">
        <v>47</v>
      </c>
      <c r="F1514" s="10">
        <v>45404</v>
      </c>
      <c r="G1514" s="9" t="s">
        <v>156</v>
      </c>
      <c r="H1514" s="9" t="s">
        <v>57</v>
      </c>
      <c r="J1514" s="9">
        <v>7.1999999999999993</v>
      </c>
      <c r="K1514" s="9">
        <v>120</v>
      </c>
      <c r="L1514" s="9">
        <v>1.04</v>
      </c>
      <c r="M1514" s="9">
        <v>124.8</v>
      </c>
      <c r="N1514" s="9" t="s">
        <v>49</v>
      </c>
      <c r="Q1514" s="9">
        <f>IF(Auction_Sales[[#This Row],[Payment Date]]=0,"",-1+WEEKNUM(Auction_Sales[[#This Row],[Payment Date]]))</f>
        <v>17</v>
      </c>
      <c r="R1514" s="9">
        <v>0</v>
      </c>
      <c r="S1514" s="9" t="s">
        <v>156</v>
      </c>
      <c r="T1514" s="9" t="s">
        <v>57</v>
      </c>
      <c r="U1514" s="9">
        <v>120</v>
      </c>
      <c r="V1514" s="13">
        <v>1</v>
      </c>
      <c r="W1514" s="13">
        <v>120</v>
      </c>
      <c r="X1514" s="14">
        <v>-5.6262524271844665</v>
      </c>
      <c r="Y1514" s="13">
        <v>114.37374757281553</v>
      </c>
      <c r="Z1514" s="10">
        <v>45413</v>
      </c>
      <c r="AA1514" s="9">
        <v>0</v>
      </c>
      <c r="AC1514" s="9" t="s">
        <v>98</v>
      </c>
      <c r="AD1514" s="14">
        <v>26.905679999999997</v>
      </c>
      <c r="AF1514" s="14">
        <v>2.4</v>
      </c>
      <c r="AH1514" s="14">
        <v>29.305679999999995</v>
      </c>
      <c r="AI1514" s="13">
        <v>85.068067572815536</v>
      </c>
      <c r="AK1514" s="9">
        <v>120</v>
      </c>
    </row>
    <row r="1515" spans="1:37">
      <c r="A1515" s="9">
        <v>17</v>
      </c>
      <c r="B1515" s="9">
        <v>2024</v>
      </c>
      <c r="C1515" s="9" t="s">
        <v>46</v>
      </c>
      <c r="D1515" s="9" t="s">
        <v>47</v>
      </c>
      <c r="E1515" s="9" t="s">
        <v>47</v>
      </c>
      <c r="F1515" s="10">
        <v>45405</v>
      </c>
      <c r="G1515" s="9" t="s">
        <v>155</v>
      </c>
      <c r="H1515" s="9" t="s">
        <v>51</v>
      </c>
      <c r="I1515" s="9">
        <v>1</v>
      </c>
      <c r="J1515" s="9">
        <v>12</v>
      </c>
      <c r="K1515" s="9">
        <v>760</v>
      </c>
      <c r="L1515" s="9">
        <v>0.38</v>
      </c>
      <c r="M1515" s="9">
        <v>288.8</v>
      </c>
      <c r="N1515" s="9" t="s">
        <v>49</v>
      </c>
      <c r="Q1515" s="9">
        <f>IF(Auction_Sales[[#This Row],[Payment Date]]=0,"",-1+WEEKNUM(Auction_Sales[[#This Row],[Payment Date]]))</f>
        <v>17</v>
      </c>
      <c r="R1515" s="9">
        <v>0</v>
      </c>
      <c r="S1515" s="9" t="s">
        <v>155</v>
      </c>
      <c r="T1515" s="9" t="s">
        <v>51</v>
      </c>
      <c r="U1515" s="9">
        <v>760</v>
      </c>
      <c r="V1515" s="13">
        <v>0.25</v>
      </c>
      <c r="W1515" s="13">
        <v>190</v>
      </c>
      <c r="X1515" s="14">
        <v>-39.932340425531933</v>
      </c>
      <c r="Y1515" s="13">
        <v>150.06765957446805</v>
      </c>
      <c r="Z1515" s="10">
        <v>45413</v>
      </c>
      <c r="AA1515" s="9">
        <v>0</v>
      </c>
      <c r="AC1515" s="9" t="s">
        <v>99</v>
      </c>
      <c r="AD1515" s="14">
        <v>50.026428571428568</v>
      </c>
      <c r="AF1515" s="14">
        <v>15.200000000000001</v>
      </c>
      <c r="AH1515" s="14">
        <v>65.226428571428571</v>
      </c>
      <c r="AI1515" s="13">
        <v>84.841231003039482</v>
      </c>
      <c r="AK1515" s="9">
        <v>760</v>
      </c>
    </row>
    <row r="1516" spans="1:37">
      <c r="A1516" s="9">
        <v>17</v>
      </c>
      <c r="B1516" s="9">
        <v>2024</v>
      </c>
      <c r="C1516" s="9" t="s">
        <v>46</v>
      </c>
      <c r="D1516" s="9" t="s">
        <v>47</v>
      </c>
      <c r="E1516" s="9" t="s">
        <v>47</v>
      </c>
      <c r="F1516" s="10">
        <v>45405</v>
      </c>
      <c r="G1516" s="9" t="s">
        <v>155</v>
      </c>
      <c r="H1516" s="9" t="s">
        <v>48</v>
      </c>
      <c r="I1516" s="9">
        <v>1</v>
      </c>
      <c r="J1516" s="9">
        <v>12</v>
      </c>
      <c r="K1516" s="9">
        <v>520</v>
      </c>
      <c r="L1516" s="9">
        <v>0.47</v>
      </c>
      <c r="M1516" s="9">
        <v>244.4</v>
      </c>
      <c r="N1516" s="9" t="s">
        <v>49</v>
      </c>
      <c r="Q1516" s="9">
        <f>IF(Auction_Sales[[#This Row],[Payment Date]]=0,"",-1+WEEKNUM(Auction_Sales[[#This Row],[Payment Date]]))</f>
        <v>17</v>
      </c>
      <c r="R1516" s="9">
        <v>-280</v>
      </c>
      <c r="S1516" s="9" t="s">
        <v>155</v>
      </c>
      <c r="T1516" s="9" t="s">
        <v>48</v>
      </c>
      <c r="U1516" s="9">
        <v>800</v>
      </c>
      <c r="V1516" s="13">
        <v>0.68700000000000006</v>
      </c>
      <c r="W1516" s="13">
        <v>549.6</v>
      </c>
      <c r="X1516" s="14">
        <v>-42.034042553191512</v>
      </c>
      <c r="Y1516" s="13">
        <v>507.56595744680851</v>
      </c>
      <c r="Z1516" s="10">
        <v>45413</v>
      </c>
      <c r="AA1516" s="9">
        <v>280</v>
      </c>
      <c r="AC1516" s="9" t="s">
        <v>99</v>
      </c>
      <c r="AD1516" s="14">
        <v>50.026428571428568</v>
      </c>
      <c r="AF1516" s="14">
        <v>16</v>
      </c>
      <c r="AH1516" s="14">
        <v>66.026428571428568</v>
      </c>
      <c r="AI1516" s="13">
        <v>441.53952887537992</v>
      </c>
      <c r="AK1516" s="9">
        <v>800</v>
      </c>
    </row>
    <row r="1517" spans="1:37">
      <c r="A1517" s="9">
        <v>17</v>
      </c>
      <c r="B1517" s="9">
        <v>2024</v>
      </c>
      <c r="C1517" s="9" t="s">
        <v>46</v>
      </c>
      <c r="D1517" s="9" t="s">
        <v>47</v>
      </c>
      <c r="E1517" s="9" t="s">
        <v>47</v>
      </c>
      <c r="F1517" s="10">
        <v>45405</v>
      </c>
      <c r="G1517" s="9" t="s">
        <v>155</v>
      </c>
      <c r="H1517" s="9" t="s">
        <v>52</v>
      </c>
      <c r="I1517" s="9">
        <v>1</v>
      </c>
      <c r="J1517" s="9">
        <v>12</v>
      </c>
      <c r="K1517" s="9">
        <v>400</v>
      </c>
      <c r="L1517" s="9">
        <v>0.52</v>
      </c>
      <c r="M1517" s="9">
        <v>208</v>
      </c>
      <c r="N1517" s="9" t="s">
        <v>49</v>
      </c>
      <c r="Q1517" s="9">
        <f>IF(Auction_Sales[[#This Row],[Payment Date]]=0,"",-1+WEEKNUM(Auction_Sales[[#This Row],[Payment Date]]))</f>
        <v>17</v>
      </c>
      <c r="R1517" s="9">
        <v>0</v>
      </c>
      <c r="S1517" s="9" t="s">
        <v>155</v>
      </c>
      <c r="T1517" s="9" t="s">
        <v>52</v>
      </c>
      <c r="U1517" s="9">
        <v>400</v>
      </c>
      <c r="V1517" s="13">
        <v>0.72799999999999998</v>
      </c>
      <c r="W1517" s="13">
        <v>291.2</v>
      </c>
      <c r="X1517" s="14">
        <v>-21.017021276595756</v>
      </c>
      <c r="Y1517" s="13">
        <v>270.18297872340423</v>
      </c>
      <c r="Z1517" s="10">
        <v>45413</v>
      </c>
      <c r="AA1517" s="9">
        <v>0</v>
      </c>
      <c r="AC1517" s="9" t="s">
        <v>99</v>
      </c>
      <c r="AD1517" s="14">
        <v>50.026428571428568</v>
      </c>
      <c r="AF1517" s="14">
        <v>8</v>
      </c>
      <c r="AH1517" s="14">
        <v>58.026428571428568</v>
      </c>
      <c r="AI1517" s="13">
        <v>212.15655015197567</v>
      </c>
      <c r="AK1517" s="9">
        <v>400</v>
      </c>
    </row>
    <row r="1518" spans="1:37">
      <c r="A1518" s="9">
        <v>17</v>
      </c>
      <c r="B1518" s="9">
        <v>2024</v>
      </c>
      <c r="C1518" s="9" t="s">
        <v>46</v>
      </c>
      <c r="D1518" s="9" t="s">
        <v>47</v>
      </c>
      <c r="E1518" s="9" t="s">
        <v>47</v>
      </c>
      <c r="F1518" s="10">
        <v>45405</v>
      </c>
      <c r="G1518" s="9" t="s">
        <v>155</v>
      </c>
      <c r="H1518" s="9" t="s">
        <v>57</v>
      </c>
      <c r="I1518" s="9">
        <v>1</v>
      </c>
      <c r="J1518" s="9">
        <v>12</v>
      </c>
      <c r="K1518" s="9">
        <v>200</v>
      </c>
      <c r="L1518" s="9">
        <v>0.94</v>
      </c>
      <c r="M1518" s="9">
        <v>188</v>
      </c>
      <c r="N1518" s="9" t="s">
        <v>49</v>
      </c>
      <c r="Q1518" s="9">
        <f>IF(Auction_Sales[[#This Row],[Payment Date]]=0,"",-1+WEEKNUM(Auction_Sales[[#This Row],[Payment Date]]))</f>
        <v>17</v>
      </c>
      <c r="R1518" s="9">
        <v>200</v>
      </c>
      <c r="S1518" s="9" t="s">
        <v>155</v>
      </c>
      <c r="T1518" s="9" t="s">
        <v>57</v>
      </c>
      <c r="W1518" s="13">
        <v>0</v>
      </c>
      <c r="X1518" s="14">
        <v>0</v>
      </c>
      <c r="Y1518" s="13">
        <v>0</v>
      </c>
      <c r="Z1518" s="10">
        <v>45413</v>
      </c>
      <c r="AA1518" s="9">
        <v>-200</v>
      </c>
      <c r="AC1518" s="9" t="s">
        <v>99</v>
      </c>
      <c r="AD1518" s="14">
        <v>50.026428571428568</v>
      </c>
      <c r="AF1518" s="14">
        <v>0</v>
      </c>
      <c r="AH1518" s="14">
        <v>50.026428571428568</v>
      </c>
      <c r="AI1518" s="13">
        <v>-50.026428571428568</v>
      </c>
      <c r="AK1518" s="9">
        <v>0</v>
      </c>
    </row>
    <row r="1519" spans="1:37">
      <c r="A1519" s="9">
        <v>17</v>
      </c>
      <c r="B1519" s="9">
        <v>2024</v>
      </c>
      <c r="C1519" s="9" t="s">
        <v>46</v>
      </c>
      <c r="D1519" s="9" t="s">
        <v>47</v>
      </c>
      <c r="E1519" s="9" t="s">
        <v>47</v>
      </c>
      <c r="F1519" s="10">
        <v>45405</v>
      </c>
      <c r="G1519" s="9" t="s">
        <v>154</v>
      </c>
      <c r="H1519" s="9" t="s">
        <v>48</v>
      </c>
      <c r="I1519" s="9">
        <v>1</v>
      </c>
      <c r="J1519" s="9">
        <v>12</v>
      </c>
      <c r="K1519" s="9">
        <v>480</v>
      </c>
      <c r="L1519" s="9">
        <v>0.47</v>
      </c>
      <c r="M1519" s="9">
        <v>225.6</v>
      </c>
      <c r="N1519" s="9" t="s">
        <v>49</v>
      </c>
      <c r="Q1519" s="9">
        <f>IF(Auction_Sales[[#This Row],[Payment Date]]=0,"",-1+WEEKNUM(Auction_Sales[[#This Row],[Payment Date]]))</f>
        <v>17</v>
      </c>
      <c r="R1519" s="9">
        <v>-40</v>
      </c>
      <c r="S1519" s="9" t="s">
        <v>154</v>
      </c>
      <c r="T1519" s="9" t="s">
        <v>48</v>
      </c>
      <c r="U1519" s="9">
        <v>520</v>
      </c>
      <c r="V1519" s="13">
        <v>0.63230769230769235</v>
      </c>
      <c r="W1519" s="13">
        <v>328.8</v>
      </c>
      <c r="X1519" s="14">
        <v>-27.32212765957448</v>
      </c>
      <c r="Y1519" s="13">
        <v>301.47787234042551</v>
      </c>
      <c r="Z1519" s="10">
        <v>45413</v>
      </c>
      <c r="AA1519" s="9">
        <v>40</v>
      </c>
      <c r="AC1519" s="9" t="s">
        <v>99</v>
      </c>
      <c r="AD1519" s="14">
        <v>50.026428571428568</v>
      </c>
      <c r="AF1519" s="14">
        <v>10.4</v>
      </c>
      <c r="AH1519" s="14">
        <v>60.426428571428566</v>
      </c>
      <c r="AI1519" s="13">
        <v>241.05144376899693</v>
      </c>
      <c r="AK1519" s="9">
        <v>520</v>
      </c>
    </row>
    <row r="1520" spans="1:37">
      <c r="A1520" s="9">
        <v>17</v>
      </c>
      <c r="B1520" s="9">
        <v>2024</v>
      </c>
      <c r="C1520" s="9" t="s">
        <v>46</v>
      </c>
      <c r="D1520" s="9" t="s">
        <v>47</v>
      </c>
      <c r="E1520" s="9" t="s">
        <v>47</v>
      </c>
      <c r="F1520" s="10">
        <v>45405</v>
      </c>
      <c r="G1520" s="9" t="s">
        <v>154</v>
      </c>
      <c r="H1520" s="9" t="s">
        <v>54</v>
      </c>
      <c r="I1520" s="9">
        <v>1</v>
      </c>
      <c r="J1520" s="9">
        <v>12</v>
      </c>
      <c r="K1520" s="9">
        <v>320</v>
      </c>
      <c r="L1520" s="9">
        <v>0.56999999999999995</v>
      </c>
      <c r="M1520" s="9">
        <v>182.4</v>
      </c>
      <c r="N1520" s="9" t="s">
        <v>49</v>
      </c>
      <c r="Q1520" s="9">
        <f>IF(Auction_Sales[[#This Row],[Payment Date]]=0,"",-1+WEEKNUM(Auction_Sales[[#This Row],[Payment Date]]))</f>
        <v>17</v>
      </c>
      <c r="R1520" s="9">
        <v>-40</v>
      </c>
      <c r="S1520" s="9" t="s">
        <v>154</v>
      </c>
      <c r="T1520" s="9" t="s">
        <v>54</v>
      </c>
      <c r="U1520" s="9">
        <v>360</v>
      </c>
      <c r="V1520" s="13">
        <v>0.68111111111111111</v>
      </c>
      <c r="W1520" s="13">
        <v>245.2</v>
      </c>
      <c r="X1520" s="14">
        <v>-18.915319148936181</v>
      </c>
      <c r="Y1520" s="13">
        <v>226.2846808510638</v>
      </c>
      <c r="Z1520" s="10">
        <v>45413</v>
      </c>
      <c r="AA1520" s="9">
        <v>40</v>
      </c>
      <c r="AC1520" s="9" t="s">
        <v>99</v>
      </c>
      <c r="AD1520" s="14">
        <v>50.026428571428568</v>
      </c>
      <c r="AF1520" s="14">
        <v>7.2</v>
      </c>
      <c r="AH1520" s="14">
        <v>57.226428571428571</v>
      </c>
      <c r="AI1520" s="13">
        <v>169.05825227963521</v>
      </c>
      <c r="AK1520" s="9">
        <v>360</v>
      </c>
    </row>
    <row r="1521" spans="1:37">
      <c r="A1521" s="9">
        <v>17</v>
      </c>
      <c r="B1521" s="9">
        <v>2024</v>
      </c>
      <c r="C1521" s="9" t="s">
        <v>46</v>
      </c>
      <c r="D1521" s="9" t="s">
        <v>47</v>
      </c>
      <c r="E1521" s="9" t="s">
        <v>47</v>
      </c>
      <c r="F1521" s="10">
        <v>45405</v>
      </c>
      <c r="G1521" s="9" t="s">
        <v>154</v>
      </c>
      <c r="H1521" s="9" t="s">
        <v>57</v>
      </c>
      <c r="I1521" s="9">
        <v>1</v>
      </c>
      <c r="J1521" s="9">
        <v>12</v>
      </c>
      <c r="K1521" s="9">
        <v>200</v>
      </c>
      <c r="L1521" s="9">
        <v>0.94</v>
      </c>
      <c r="M1521" s="9">
        <v>188</v>
      </c>
      <c r="N1521" s="9" t="s">
        <v>49</v>
      </c>
      <c r="Q1521" s="9">
        <f>IF(Auction_Sales[[#This Row],[Payment Date]]=0,"",-1+WEEKNUM(Auction_Sales[[#This Row],[Payment Date]]))</f>
        <v>17</v>
      </c>
      <c r="R1521" s="9">
        <v>0</v>
      </c>
      <c r="S1521" s="9" t="s">
        <v>154</v>
      </c>
      <c r="T1521" s="9" t="s">
        <v>57</v>
      </c>
      <c r="U1521" s="9">
        <v>200</v>
      </c>
      <c r="V1521" s="13">
        <v>0.8859999999999999</v>
      </c>
      <c r="W1521" s="13">
        <v>177.2</v>
      </c>
      <c r="X1521" s="14">
        <v>-10.508510638297878</v>
      </c>
      <c r="Y1521" s="13">
        <v>166.69148936170211</v>
      </c>
      <c r="Z1521" s="10">
        <v>45413</v>
      </c>
      <c r="AA1521" s="9">
        <v>0</v>
      </c>
      <c r="AC1521" s="9" t="s">
        <v>99</v>
      </c>
      <c r="AD1521" s="14">
        <v>50.026428571428568</v>
      </c>
      <c r="AF1521" s="14">
        <v>4</v>
      </c>
      <c r="AH1521" s="14">
        <v>54.026428571428568</v>
      </c>
      <c r="AI1521" s="13">
        <v>112.66506079027354</v>
      </c>
      <c r="AK1521" s="9">
        <v>200</v>
      </c>
    </row>
    <row r="1522" spans="1:37">
      <c r="A1522" s="9">
        <v>17</v>
      </c>
      <c r="B1522" s="9">
        <v>2024</v>
      </c>
      <c r="C1522" s="9" t="s">
        <v>46</v>
      </c>
      <c r="D1522" s="9" t="s">
        <v>47</v>
      </c>
      <c r="E1522" s="9" t="s">
        <v>47</v>
      </c>
      <c r="F1522" s="10">
        <v>45405</v>
      </c>
      <c r="G1522" s="9" t="s">
        <v>153</v>
      </c>
      <c r="H1522" s="9" t="s">
        <v>54</v>
      </c>
      <c r="I1522" s="9">
        <v>1</v>
      </c>
      <c r="J1522" s="9">
        <v>12</v>
      </c>
      <c r="K1522" s="9">
        <v>440</v>
      </c>
      <c r="L1522" s="9">
        <v>0.33</v>
      </c>
      <c r="M1522" s="9">
        <v>145.19999999999999</v>
      </c>
      <c r="N1522" s="9" t="s">
        <v>49</v>
      </c>
      <c r="Q1522" s="9">
        <f>IF(Auction_Sales[[#This Row],[Payment Date]]=0,"",-1+WEEKNUM(Auction_Sales[[#This Row],[Payment Date]]))</f>
        <v>17</v>
      </c>
      <c r="R1522" s="9">
        <v>0</v>
      </c>
      <c r="S1522" s="9" t="s">
        <v>153</v>
      </c>
      <c r="T1522" s="9" t="s">
        <v>54</v>
      </c>
      <c r="U1522" s="9">
        <v>440</v>
      </c>
      <c r="V1522" s="13">
        <v>0.55818181818181822</v>
      </c>
      <c r="W1522" s="13">
        <v>245.60000000000002</v>
      </c>
      <c r="X1522" s="14">
        <v>-23.118723404255331</v>
      </c>
      <c r="Y1522" s="13">
        <v>222.4812765957447</v>
      </c>
      <c r="Z1522" s="10">
        <v>45413</v>
      </c>
      <c r="AA1522" s="9">
        <v>0</v>
      </c>
      <c r="AC1522" s="9" t="s">
        <v>99</v>
      </c>
      <c r="AD1522" s="14">
        <v>50.026428571428568</v>
      </c>
      <c r="AF1522" s="14">
        <v>8.8000000000000007</v>
      </c>
      <c r="AH1522" s="14">
        <v>58.826428571428565</v>
      </c>
      <c r="AI1522" s="13">
        <v>163.65484802431615</v>
      </c>
      <c r="AK1522" s="9">
        <v>440</v>
      </c>
    </row>
    <row r="1523" spans="1:37">
      <c r="A1523" s="9">
        <v>17</v>
      </c>
      <c r="B1523" s="9">
        <v>2024</v>
      </c>
      <c r="C1523" s="9" t="s">
        <v>46</v>
      </c>
      <c r="D1523" s="9" t="s">
        <v>47</v>
      </c>
      <c r="E1523" s="9" t="s">
        <v>47</v>
      </c>
      <c r="F1523" s="10">
        <v>45405</v>
      </c>
      <c r="G1523" s="9" t="s">
        <v>153</v>
      </c>
      <c r="H1523" s="9" t="s">
        <v>56</v>
      </c>
      <c r="I1523" s="9">
        <v>1</v>
      </c>
      <c r="J1523" s="9">
        <v>12</v>
      </c>
      <c r="K1523" s="9">
        <v>400</v>
      </c>
      <c r="L1523" s="9">
        <v>0.38</v>
      </c>
      <c r="M1523" s="9">
        <v>152</v>
      </c>
      <c r="N1523" s="9" t="s">
        <v>49</v>
      </c>
      <c r="Q1523" s="9">
        <f>IF(Auction_Sales[[#This Row],[Payment Date]]=0,"",-1+WEEKNUM(Auction_Sales[[#This Row],[Payment Date]]))</f>
        <v>17</v>
      </c>
      <c r="R1523" s="9">
        <v>0</v>
      </c>
      <c r="S1523" s="9" t="s">
        <v>153</v>
      </c>
      <c r="T1523" s="9" t="s">
        <v>56</v>
      </c>
      <c r="U1523" s="9">
        <v>400</v>
      </c>
      <c r="V1523" s="13">
        <v>0.45</v>
      </c>
      <c r="W1523" s="13">
        <v>180</v>
      </c>
      <c r="X1523" s="14">
        <v>-21.017021276595756</v>
      </c>
      <c r="Y1523" s="13">
        <v>158.98297872340424</v>
      </c>
      <c r="Z1523" s="10">
        <v>45413</v>
      </c>
      <c r="AA1523" s="9">
        <v>0</v>
      </c>
      <c r="AC1523" s="9" t="s">
        <v>99</v>
      </c>
      <c r="AD1523" s="14">
        <v>50.026428571428568</v>
      </c>
      <c r="AF1523" s="14">
        <v>8</v>
      </c>
      <c r="AH1523" s="14">
        <v>58.026428571428568</v>
      </c>
      <c r="AI1523" s="13">
        <v>100.95655015197568</v>
      </c>
      <c r="AK1523" s="9">
        <v>400</v>
      </c>
    </row>
    <row r="1524" spans="1:37">
      <c r="A1524" s="9">
        <v>17</v>
      </c>
      <c r="B1524" s="9">
        <v>2024</v>
      </c>
      <c r="C1524" s="9" t="s">
        <v>46</v>
      </c>
      <c r="D1524" s="9" t="s">
        <v>47</v>
      </c>
      <c r="E1524" s="9" t="s">
        <v>47</v>
      </c>
      <c r="F1524" s="10">
        <v>45405</v>
      </c>
      <c r="G1524" s="9" t="s">
        <v>153</v>
      </c>
      <c r="H1524" s="9" t="s">
        <v>52</v>
      </c>
      <c r="I1524" s="9">
        <v>1</v>
      </c>
      <c r="J1524" s="9">
        <v>7.6363636363636367</v>
      </c>
      <c r="K1524" s="9">
        <v>280</v>
      </c>
      <c r="L1524" s="9">
        <v>0.28000000000000003</v>
      </c>
      <c r="M1524" s="9">
        <v>78.400000000000006</v>
      </c>
      <c r="N1524" s="9" t="s">
        <v>49</v>
      </c>
      <c r="Q1524" s="9">
        <f>IF(Auction_Sales[[#This Row],[Payment Date]]=0,"",-1+WEEKNUM(Auction_Sales[[#This Row],[Payment Date]]))</f>
        <v>17</v>
      </c>
      <c r="R1524" s="9">
        <v>0</v>
      </c>
      <c r="S1524" s="9" t="s">
        <v>153</v>
      </c>
      <c r="T1524" s="9" t="s">
        <v>52</v>
      </c>
      <c r="U1524" s="9">
        <v>280</v>
      </c>
      <c r="V1524" s="13">
        <v>0.40714285714285714</v>
      </c>
      <c r="W1524" s="13">
        <v>114</v>
      </c>
      <c r="X1524" s="14">
        <v>-14.711914893617028</v>
      </c>
      <c r="Y1524" s="13">
        <v>99.288085106382965</v>
      </c>
      <c r="Z1524" s="10">
        <v>45413</v>
      </c>
      <c r="AA1524" s="9">
        <v>0</v>
      </c>
      <c r="AC1524" s="9" t="s">
        <v>99</v>
      </c>
      <c r="AD1524" s="14">
        <v>31.835000000000001</v>
      </c>
      <c r="AF1524" s="14">
        <v>5.6000000000000005</v>
      </c>
      <c r="AH1524" s="14">
        <v>37.435000000000002</v>
      </c>
      <c r="AI1524" s="13">
        <v>61.853085106382963</v>
      </c>
      <c r="AK1524" s="9">
        <v>280</v>
      </c>
    </row>
    <row r="1525" spans="1:37">
      <c r="A1525" s="9">
        <v>17</v>
      </c>
      <c r="B1525" s="9">
        <v>2024</v>
      </c>
      <c r="C1525" s="9" t="s">
        <v>46</v>
      </c>
      <c r="D1525" s="9" t="s">
        <v>47</v>
      </c>
      <c r="E1525" s="9" t="s">
        <v>47</v>
      </c>
      <c r="F1525" s="10">
        <v>45405</v>
      </c>
      <c r="G1525" s="9" t="s">
        <v>153</v>
      </c>
      <c r="H1525" s="9" t="s">
        <v>57</v>
      </c>
      <c r="J1525" s="9">
        <v>4.3636363636363633</v>
      </c>
      <c r="K1525" s="9">
        <v>160</v>
      </c>
      <c r="L1525" s="9">
        <v>0.47</v>
      </c>
      <c r="M1525" s="9">
        <v>75.2</v>
      </c>
      <c r="N1525" s="9" t="s">
        <v>49</v>
      </c>
      <c r="Q1525" s="9">
        <f>IF(Auction_Sales[[#This Row],[Payment Date]]=0,"",-1+WEEKNUM(Auction_Sales[[#This Row],[Payment Date]]))</f>
        <v>17</v>
      </c>
      <c r="R1525" s="9">
        <v>0</v>
      </c>
      <c r="S1525" s="9" t="s">
        <v>153</v>
      </c>
      <c r="T1525" s="9" t="s">
        <v>57</v>
      </c>
      <c r="U1525" s="9">
        <v>160</v>
      </c>
      <c r="V1525" s="13">
        <v>0.69500000000000006</v>
      </c>
      <c r="W1525" s="13">
        <v>111.20000000000002</v>
      </c>
      <c r="X1525" s="14">
        <v>-8.4068085106383013</v>
      </c>
      <c r="Y1525" s="13">
        <v>102.79319148936172</v>
      </c>
      <c r="Z1525" s="10">
        <v>45413</v>
      </c>
      <c r="AA1525" s="9">
        <v>0</v>
      </c>
      <c r="AC1525" s="9" t="s">
        <v>99</v>
      </c>
      <c r="AD1525" s="14">
        <v>18.19142857142857</v>
      </c>
      <c r="AF1525" s="14">
        <v>3.2</v>
      </c>
      <c r="AH1525" s="14">
        <v>21.39142857142857</v>
      </c>
      <c r="AI1525" s="13">
        <v>81.401762917933155</v>
      </c>
      <c r="AK1525" s="9">
        <v>160</v>
      </c>
    </row>
    <row r="1526" spans="1:37">
      <c r="A1526" s="9">
        <v>17</v>
      </c>
      <c r="B1526" s="9">
        <v>2024</v>
      </c>
      <c r="C1526" s="9" t="s">
        <v>46</v>
      </c>
      <c r="D1526" s="9" t="s">
        <v>47</v>
      </c>
      <c r="E1526" s="9" t="s">
        <v>47</v>
      </c>
      <c r="F1526" s="10">
        <v>45405</v>
      </c>
      <c r="G1526" s="9" t="s">
        <v>155</v>
      </c>
      <c r="H1526" s="9" t="s">
        <v>56</v>
      </c>
      <c r="I1526" s="9">
        <v>1</v>
      </c>
      <c r="J1526" s="9">
        <v>10</v>
      </c>
      <c r="K1526" s="9">
        <v>200</v>
      </c>
      <c r="L1526" s="9">
        <v>0.75</v>
      </c>
      <c r="M1526" s="9">
        <v>150</v>
      </c>
      <c r="N1526" s="9" t="s">
        <v>49</v>
      </c>
      <c r="Q1526" s="9">
        <f>IF(Auction_Sales[[#This Row],[Payment Date]]=0,"",-1+WEEKNUM(Auction_Sales[[#This Row],[Payment Date]]))</f>
        <v>17</v>
      </c>
      <c r="R1526" s="9">
        <v>0</v>
      </c>
      <c r="S1526" s="9" t="s">
        <v>155</v>
      </c>
      <c r="T1526" s="9" t="s">
        <v>56</v>
      </c>
      <c r="U1526" s="9">
        <v>200</v>
      </c>
      <c r="V1526" s="13">
        <v>0.68</v>
      </c>
      <c r="W1526" s="13">
        <v>136</v>
      </c>
      <c r="X1526" s="14">
        <v>-10.508510638297878</v>
      </c>
      <c r="Y1526" s="13">
        <v>125.49148936170212</v>
      </c>
      <c r="Z1526" s="10">
        <v>45413</v>
      </c>
      <c r="AA1526" s="9">
        <v>0</v>
      </c>
      <c r="AC1526" s="9" t="s">
        <v>99</v>
      </c>
      <c r="AD1526" s="14">
        <v>41.688690476190473</v>
      </c>
      <c r="AF1526" s="14">
        <v>4</v>
      </c>
      <c r="AH1526" s="14">
        <v>45.688690476190473</v>
      </c>
      <c r="AI1526" s="13">
        <v>79.802798885511649</v>
      </c>
      <c r="AK1526" s="9">
        <v>200</v>
      </c>
    </row>
    <row r="1527" spans="1:37">
      <c r="A1527" s="9">
        <v>17</v>
      </c>
      <c r="B1527" s="9">
        <v>2024</v>
      </c>
      <c r="C1527" s="9" t="s">
        <v>46</v>
      </c>
      <c r="D1527" s="9" t="s">
        <v>47</v>
      </c>
      <c r="E1527" s="9" t="s">
        <v>47</v>
      </c>
      <c r="F1527" s="10">
        <v>45405</v>
      </c>
      <c r="G1527" s="9" t="s">
        <v>155</v>
      </c>
      <c r="H1527" s="9" t="s">
        <v>57</v>
      </c>
      <c r="J1527" s="9">
        <v>2</v>
      </c>
      <c r="K1527" s="9">
        <v>40</v>
      </c>
      <c r="L1527" s="9">
        <v>0.94</v>
      </c>
      <c r="M1527" s="9">
        <v>37.6</v>
      </c>
      <c r="N1527" s="9" t="s">
        <v>49</v>
      </c>
      <c r="Q1527" s="9">
        <f>IF(Auction_Sales[[#This Row],[Payment Date]]=0,"",-1+WEEKNUM(Auction_Sales[[#This Row],[Payment Date]]))</f>
        <v>17</v>
      </c>
      <c r="R1527" s="9">
        <v>-200</v>
      </c>
      <c r="S1527" s="9" t="s">
        <v>155</v>
      </c>
      <c r="T1527" s="9" t="s">
        <v>57</v>
      </c>
      <c r="U1527" s="9">
        <v>240</v>
      </c>
      <c r="V1527" s="13">
        <v>0.71000000000000008</v>
      </c>
      <c r="W1527" s="13">
        <v>170.4</v>
      </c>
      <c r="X1527" s="14">
        <v>-12.610212765957453</v>
      </c>
      <c r="Y1527" s="13">
        <v>157.78978723404256</v>
      </c>
      <c r="Z1527" s="10">
        <v>45413</v>
      </c>
      <c r="AA1527" s="9">
        <v>200</v>
      </c>
      <c r="AC1527" s="9" t="s">
        <v>99</v>
      </c>
      <c r="AD1527" s="14">
        <v>8.3377380952380946</v>
      </c>
      <c r="AF1527" s="14">
        <v>4.8</v>
      </c>
      <c r="AH1527" s="14">
        <v>13.137738095238095</v>
      </c>
      <c r="AI1527" s="13">
        <v>144.65204913880447</v>
      </c>
      <c r="AK1527" s="9">
        <v>240</v>
      </c>
    </row>
    <row r="1528" spans="1:37">
      <c r="A1528" s="9">
        <v>17</v>
      </c>
      <c r="B1528" s="9">
        <v>2024</v>
      </c>
      <c r="C1528" s="9" t="s">
        <v>46</v>
      </c>
      <c r="D1528" s="9" t="s">
        <v>47</v>
      </c>
      <c r="E1528" s="9" t="s">
        <v>47</v>
      </c>
      <c r="F1528" s="10">
        <v>45405</v>
      </c>
      <c r="G1528" s="9" t="s">
        <v>154</v>
      </c>
      <c r="H1528" s="9" t="s">
        <v>51</v>
      </c>
      <c r="I1528" s="9">
        <v>1</v>
      </c>
      <c r="J1528" s="9">
        <v>5.333333333333333</v>
      </c>
      <c r="K1528" s="9">
        <v>160</v>
      </c>
      <c r="L1528" s="9">
        <v>0.38</v>
      </c>
      <c r="M1528" s="9">
        <v>60.8</v>
      </c>
      <c r="N1528" s="9" t="s">
        <v>49</v>
      </c>
      <c r="Q1528" s="9">
        <f>IF(Auction_Sales[[#This Row],[Payment Date]]=0,"",-1+WEEKNUM(Auction_Sales[[#This Row],[Payment Date]]))</f>
        <v>17</v>
      </c>
      <c r="R1528" s="9">
        <v>0</v>
      </c>
      <c r="S1528" s="9" t="s">
        <v>154</v>
      </c>
      <c r="T1528" s="9" t="s">
        <v>51</v>
      </c>
      <c r="U1528" s="9">
        <v>160</v>
      </c>
      <c r="V1528" s="13">
        <v>0.45250000000000001</v>
      </c>
      <c r="W1528" s="13">
        <v>72.400000000000006</v>
      </c>
      <c r="X1528" s="14">
        <v>-8.4068085106383013</v>
      </c>
      <c r="Y1528" s="13">
        <v>63.993191489361706</v>
      </c>
      <c r="Z1528" s="10">
        <v>45413</v>
      </c>
      <c r="AA1528" s="9">
        <v>0</v>
      </c>
      <c r="AC1528" s="9" t="s">
        <v>99</v>
      </c>
      <c r="AD1528" s="14">
        <v>22.233968253968253</v>
      </c>
      <c r="AF1528" s="14">
        <v>3.2</v>
      </c>
      <c r="AH1528" s="14">
        <v>25.433968253968253</v>
      </c>
      <c r="AI1528" s="13">
        <v>38.559223235393453</v>
      </c>
      <c r="AK1528" s="9">
        <v>160</v>
      </c>
    </row>
    <row r="1529" spans="1:37">
      <c r="A1529" s="9">
        <v>17</v>
      </c>
      <c r="B1529" s="9">
        <v>2024</v>
      </c>
      <c r="C1529" s="9" t="s">
        <v>46</v>
      </c>
      <c r="D1529" s="9" t="s">
        <v>47</v>
      </c>
      <c r="E1529" s="9" t="s">
        <v>47</v>
      </c>
      <c r="F1529" s="10">
        <v>45405</v>
      </c>
      <c r="G1529" s="9" t="s">
        <v>154</v>
      </c>
      <c r="H1529" s="9" t="s">
        <v>48</v>
      </c>
      <c r="J1529" s="9">
        <v>1.3333333333333333</v>
      </c>
      <c r="K1529" s="9">
        <v>40</v>
      </c>
      <c r="L1529" s="9">
        <v>0.47</v>
      </c>
      <c r="M1529" s="9">
        <v>18.8</v>
      </c>
      <c r="N1529" s="9" t="s">
        <v>49</v>
      </c>
      <c r="Q1529" s="9">
        <f>IF(Auction_Sales[[#This Row],[Payment Date]]=0,"",-1+WEEKNUM(Auction_Sales[[#This Row],[Payment Date]]))</f>
        <v>17</v>
      </c>
      <c r="R1529" s="9">
        <v>40</v>
      </c>
      <c r="S1529" s="9" t="s">
        <v>154</v>
      </c>
      <c r="T1529" s="9" t="s">
        <v>48</v>
      </c>
      <c r="W1529" s="13">
        <v>0</v>
      </c>
      <c r="X1529" s="14">
        <v>0</v>
      </c>
      <c r="Y1529" s="13">
        <v>0</v>
      </c>
      <c r="Z1529" s="10">
        <v>45413</v>
      </c>
      <c r="AA1529" s="9">
        <v>-40</v>
      </c>
      <c r="AC1529" s="9" t="s">
        <v>99</v>
      </c>
      <c r="AD1529" s="14">
        <v>5.5584920634920634</v>
      </c>
      <c r="AF1529" s="14">
        <v>0</v>
      </c>
      <c r="AH1529" s="14">
        <v>5.5584920634920634</v>
      </c>
      <c r="AI1529" s="13">
        <v>-5.5584920634920634</v>
      </c>
      <c r="AK1529" s="9">
        <v>0</v>
      </c>
    </row>
    <row r="1530" spans="1:37">
      <c r="A1530" s="9">
        <v>17</v>
      </c>
      <c r="B1530" s="9">
        <v>2024</v>
      </c>
      <c r="C1530" s="9" t="s">
        <v>46</v>
      </c>
      <c r="D1530" s="9" t="s">
        <v>47</v>
      </c>
      <c r="E1530" s="9" t="s">
        <v>47</v>
      </c>
      <c r="F1530" s="10">
        <v>45405</v>
      </c>
      <c r="G1530" s="9" t="s">
        <v>154</v>
      </c>
      <c r="H1530" s="9" t="s">
        <v>56</v>
      </c>
      <c r="J1530" s="9">
        <v>5.333333333333333</v>
      </c>
      <c r="K1530" s="9">
        <v>160</v>
      </c>
      <c r="L1530" s="9">
        <v>0.75</v>
      </c>
      <c r="M1530" s="9">
        <v>120</v>
      </c>
      <c r="N1530" s="9" t="s">
        <v>49</v>
      </c>
      <c r="Q1530" s="9">
        <f>IF(Auction_Sales[[#This Row],[Payment Date]]=0,"",-1+WEEKNUM(Auction_Sales[[#This Row],[Payment Date]]))</f>
        <v>17</v>
      </c>
      <c r="R1530" s="9">
        <v>0</v>
      </c>
      <c r="S1530" s="9" t="s">
        <v>154</v>
      </c>
      <c r="T1530" s="9" t="s">
        <v>56</v>
      </c>
      <c r="U1530" s="9">
        <v>160</v>
      </c>
      <c r="V1530" s="13">
        <v>0.78749999999999998</v>
      </c>
      <c r="W1530" s="13">
        <v>126</v>
      </c>
      <c r="X1530" s="14">
        <v>-8.4068085106383013</v>
      </c>
      <c r="Y1530" s="13">
        <v>117.5931914893617</v>
      </c>
      <c r="Z1530" s="10">
        <v>45413</v>
      </c>
      <c r="AA1530" s="9">
        <v>0</v>
      </c>
      <c r="AC1530" s="9" t="s">
        <v>99</v>
      </c>
      <c r="AD1530" s="14">
        <v>22.233968253968253</v>
      </c>
      <c r="AF1530" s="14">
        <v>3.2</v>
      </c>
      <c r="AH1530" s="14">
        <v>25.433968253968253</v>
      </c>
      <c r="AI1530" s="13">
        <v>92.159223235393455</v>
      </c>
      <c r="AK1530" s="9">
        <v>160</v>
      </c>
    </row>
    <row r="1531" spans="1:37">
      <c r="A1531" s="9">
        <v>17</v>
      </c>
      <c r="B1531" s="9">
        <v>2024</v>
      </c>
      <c r="C1531" s="9" t="s">
        <v>46</v>
      </c>
      <c r="D1531" s="9" t="s">
        <v>47</v>
      </c>
      <c r="E1531" s="9" t="s">
        <v>47</v>
      </c>
      <c r="F1531" s="10">
        <v>45405</v>
      </c>
      <c r="G1531" s="9" t="s">
        <v>155</v>
      </c>
      <c r="H1531" s="9" t="s">
        <v>48</v>
      </c>
      <c r="I1531" s="9">
        <v>1</v>
      </c>
      <c r="J1531" s="9">
        <v>6.4615384615384617</v>
      </c>
      <c r="K1531" s="9">
        <v>280</v>
      </c>
      <c r="L1531" s="9">
        <v>0.47</v>
      </c>
      <c r="M1531" s="9">
        <v>131.6</v>
      </c>
      <c r="N1531" s="9" t="s">
        <v>49</v>
      </c>
      <c r="Q1531" s="9">
        <f>IF(Auction_Sales[[#This Row],[Payment Date]]=0,"",-1+WEEKNUM(Auction_Sales[[#This Row],[Payment Date]]))</f>
        <v>17</v>
      </c>
      <c r="R1531" s="9">
        <v>280</v>
      </c>
      <c r="S1531" s="9" t="s">
        <v>155</v>
      </c>
      <c r="T1531" s="9" t="s">
        <v>48</v>
      </c>
      <c r="W1531" s="13">
        <v>0</v>
      </c>
      <c r="X1531" s="14">
        <v>0</v>
      </c>
      <c r="Y1531" s="13">
        <v>0</v>
      </c>
      <c r="Z1531" s="10">
        <v>45413</v>
      </c>
      <c r="AA1531" s="9">
        <v>-280</v>
      </c>
      <c r="AC1531" s="9" t="s">
        <v>99</v>
      </c>
      <c r="AD1531" s="14">
        <v>26.937307692307694</v>
      </c>
      <c r="AF1531" s="14">
        <v>0</v>
      </c>
      <c r="AH1531" s="14">
        <v>26.937307692307694</v>
      </c>
      <c r="AI1531" s="13">
        <v>-26.937307692307694</v>
      </c>
      <c r="AK1531" s="9">
        <v>0</v>
      </c>
    </row>
    <row r="1532" spans="1:37">
      <c r="A1532" s="9">
        <v>17</v>
      </c>
      <c r="B1532" s="9">
        <v>2024</v>
      </c>
      <c r="C1532" s="9" t="s">
        <v>46</v>
      </c>
      <c r="D1532" s="9" t="s">
        <v>47</v>
      </c>
      <c r="E1532" s="9" t="s">
        <v>47</v>
      </c>
      <c r="F1532" s="10">
        <v>45405</v>
      </c>
      <c r="G1532" s="9" t="s">
        <v>155</v>
      </c>
      <c r="H1532" s="9" t="s">
        <v>54</v>
      </c>
      <c r="J1532" s="9">
        <v>5.5384615384615383</v>
      </c>
      <c r="K1532" s="9">
        <v>240</v>
      </c>
      <c r="L1532" s="9">
        <v>0.56999999999999995</v>
      </c>
      <c r="M1532" s="9">
        <v>136.80000000000001</v>
      </c>
      <c r="N1532" s="9" t="s">
        <v>49</v>
      </c>
      <c r="Q1532" s="9">
        <f>IF(Auction_Sales[[#This Row],[Payment Date]]=0,"",-1+WEEKNUM(Auction_Sales[[#This Row],[Payment Date]]))</f>
        <v>17</v>
      </c>
      <c r="R1532" s="9">
        <v>0</v>
      </c>
      <c r="S1532" s="9" t="s">
        <v>155</v>
      </c>
      <c r="T1532" s="9" t="s">
        <v>54</v>
      </c>
      <c r="U1532" s="9">
        <v>240</v>
      </c>
      <c r="V1532" s="13">
        <v>0.70666666666666667</v>
      </c>
      <c r="W1532" s="13">
        <v>169.6</v>
      </c>
      <c r="X1532" s="14">
        <v>-12.610212765957453</v>
      </c>
      <c r="Y1532" s="13">
        <v>156.98978723404255</v>
      </c>
      <c r="Z1532" s="10">
        <v>45413</v>
      </c>
      <c r="AA1532" s="9">
        <v>0</v>
      </c>
      <c r="AC1532" s="9" t="s">
        <v>99</v>
      </c>
      <c r="AD1532" s="14">
        <v>23.08912087912088</v>
      </c>
      <c r="AF1532" s="14">
        <v>4.8</v>
      </c>
      <c r="AH1532" s="14">
        <v>27.889120879120881</v>
      </c>
      <c r="AI1532" s="13">
        <v>129.10066635492166</v>
      </c>
      <c r="AK1532" s="9">
        <v>240</v>
      </c>
    </row>
    <row r="1533" spans="1:37">
      <c r="A1533" s="9">
        <v>17</v>
      </c>
      <c r="B1533" s="9">
        <v>2024</v>
      </c>
      <c r="C1533" s="9" t="s">
        <v>46</v>
      </c>
      <c r="D1533" s="9" t="s">
        <v>47</v>
      </c>
      <c r="E1533" s="9" t="s">
        <v>47</v>
      </c>
      <c r="F1533" s="10">
        <v>45405</v>
      </c>
      <c r="G1533" s="9" t="s">
        <v>154</v>
      </c>
      <c r="H1533" s="9" t="s">
        <v>52</v>
      </c>
      <c r="I1533" s="9">
        <v>1</v>
      </c>
      <c r="J1533" s="9">
        <v>10.666666666666666</v>
      </c>
      <c r="K1533" s="9">
        <v>320</v>
      </c>
      <c r="L1533" s="9">
        <v>0.52</v>
      </c>
      <c r="M1533" s="9">
        <v>166.4</v>
      </c>
      <c r="N1533" s="9" t="s">
        <v>49</v>
      </c>
      <c r="Q1533" s="9">
        <f>IF(Auction_Sales[[#This Row],[Payment Date]]=0,"",-1+WEEKNUM(Auction_Sales[[#This Row],[Payment Date]]))</f>
        <v>17</v>
      </c>
      <c r="R1533" s="9">
        <v>0</v>
      </c>
      <c r="S1533" s="9" t="s">
        <v>154</v>
      </c>
      <c r="T1533" s="9" t="s">
        <v>52</v>
      </c>
      <c r="U1533" s="9">
        <v>320</v>
      </c>
      <c r="V1533" s="13">
        <v>0.77874999999999994</v>
      </c>
      <c r="W1533" s="13">
        <v>249.2</v>
      </c>
      <c r="X1533" s="14">
        <v>-16.813617021276603</v>
      </c>
      <c r="Y1533" s="13">
        <v>232.38638297872339</v>
      </c>
      <c r="Z1533" s="10">
        <v>45413</v>
      </c>
      <c r="AA1533" s="9">
        <v>0</v>
      </c>
      <c r="AC1533" s="9" t="s">
        <v>99</v>
      </c>
      <c r="AD1533" s="14">
        <v>44.467936507936507</v>
      </c>
      <c r="AF1533" s="14">
        <v>6.4</v>
      </c>
      <c r="AH1533" s="14">
        <v>50.867936507936506</v>
      </c>
      <c r="AI1533" s="13">
        <v>181.5184464707869</v>
      </c>
      <c r="AK1533" s="9">
        <v>320</v>
      </c>
    </row>
    <row r="1534" spans="1:37">
      <c r="A1534" s="9">
        <v>17</v>
      </c>
      <c r="B1534" s="9">
        <v>2024</v>
      </c>
      <c r="C1534" s="9" t="s">
        <v>46</v>
      </c>
      <c r="D1534" s="9" t="s">
        <v>47</v>
      </c>
      <c r="E1534" s="9" t="s">
        <v>47</v>
      </c>
      <c r="F1534" s="10">
        <v>45405</v>
      </c>
      <c r="G1534" s="9" t="s">
        <v>154</v>
      </c>
      <c r="H1534" s="9" t="s">
        <v>54</v>
      </c>
      <c r="J1534" s="9">
        <v>1.3333333333333333</v>
      </c>
      <c r="K1534" s="9">
        <v>40</v>
      </c>
      <c r="L1534" s="9">
        <v>0.56999999999999995</v>
      </c>
      <c r="M1534" s="9">
        <v>22.8</v>
      </c>
      <c r="N1534" s="9" t="s">
        <v>49</v>
      </c>
      <c r="Q1534" s="9">
        <f>IF(Auction_Sales[[#This Row],[Payment Date]]=0,"",-1+WEEKNUM(Auction_Sales[[#This Row],[Payment Date]]))</f>
        <v>17</v>
      </c>
      <c r="R1534" s="9">
        <v>40</v>
      </c>
      <c r="S1534" s="9" t="s">
        <v>154</v>
      </c>
      <c r="T1534" s="9" t="s">
        <v>54</v>
      </c>
      <c r="W1534" s="13">
        <v>0</v>
      </c>
      <c r="X1534" s="14">
        <v>0</v>
      </c>
      <c r="Y1534" s="13">
        <v>0</v>
      </c>
      <c r="Z1534" s="10">
        <v>45413</v>
      </c>
      <c r="AA1534" s="9">
        <v>-40</v>
      </c>
      <c r="AC1534" s="9" t="s">
        <v>99</v>
      </c>
      <c r="AD1534" s="14">
        <v>5.5584920634920634</v>
      </c>
      <c r="AF1534" s="14">
        <v>0</v>
      </c>
      <c r="AH1534" s="14">
        <v>5.5584920634920634</v>
      </c>
      <c r="AI1534" s="13">
        <v>-5.5584920634920634</v>
      </c>
      <c r="AK1534" s="9">
        <v>0</v>
      </c>
    </row>
    <row r="1535" spans="1:37">
      <c r="A1535" s="9">
        <v>17</v>
      </c>
      <c r="B1535" s="9">
        <v>2024</v>
      </c>
      <c r="C1535" s="9" t="s">
        <v>46</v>
      </c>
      <c r="D1535" s="9" t="s">
        <v>47</v>
      </c>
      <c r="E1535" s="9" t="s">
        <v>47</v>
      </c>
      <c r="F1535" s="10">
        <v>45407</v>
      </c>
      <c r="G1535" s="9" t="s">
        <v>155</v>
      </c>
      <c r="H1535" s="9" t="s">
        <v>52</v>
      </c>
      <c r="I1535" s="9">
        <v>1</v>
      </c>
      <c r="J1535" s="9">
        <v>12</v>
      </c>
      <c r="K1535" s="9">
        <v>400</v>
      </c>
      <c r="L1535" s="9">
        <v>0.52</v>
      </c>
      <c r="M1535" s="9">
        <v>208</v>
      </c>
      <c r="N1535" s="9" t="s">
        <v>49</v>
      </c>
      <c r="Q1535" s="9">
        <f>IF(Auction_Sales[[#This Row],[Payment Date]]=0,"",-1+WEEKNUM(Auction_Sales[[#This Row],[Payment Date]]))</f>
        <v>18</v>
      </c>
      <c r="R1535" s="9">
        <v>400</v>
      </c>
      <c r="S1535" s="9" t="s">
        <v>155</v>
      </c>
      <c r="T1535" s="9" t="s">
        <v>52</v>
      </c>
      <c r="W1535" s="13">
        <v>0</v>
      </c>
      <c r="X1535" s="14">
        <v>0</v>
      </c>
      <c r="Y1535" s="13">
        <v>0</v>
      </c>
      <c r="Z1535" s="10">
        <v>45420</v>
      </c>
      <c r="AA1535" s="9">
        <v>-400</v>
      </c>
      <c r="AC1535" s="9">
        <v>438340</v>
      </c>
      <c r="AD1535" s="14">
        <v>46.4</v>
      </c>
      <c r="AF1535" s="14">
        <v>0</v>
      </c>
      <c r="AH1535" s="14">
        <v>46.4</v>
      </c>
      <c r="AI1535" s="13">
        <v>-46.4</v>
      </c>
      <c r="AK1535" s="9">
        <v>0</v>
      </c>
    </row>
    <row r="1536" spans="1:37">
      <c r="A1536" s="9">
        <v>17</v>
      </c>
      <c r="B1536" s="9">
        <v>2024</v>
      </c>
      <c r="C1536" s="9" t="s">
        <v>46</v>
      </c>
      <c r="D1536" s="9" t="s">
        <v>47</v>
      </c>
      <c r="E1536" s="9" t="s">
        <v>47</v>
      </c>
      <c r="F1536" s="10">
        <v>45407</v>
      </c>
      <c r="G1536" s="9" t="s">
        <v>155</v>
      </c>
      <c r="H1536" s="9" t="s">
        <v>56</v>
      </c>
      <c r="I1536" s="9">
        <v>1</v>
      </c>
      <c r="J1536" s="9">
        <v>12</v>
      </c>
      <c r="K1536" s="9">
        <v>240</v>
      </c>
      <c r="L1536" s="9">
        <v>0.75</v>
      </c>
      <c r="M1536" s="9">
        <v>180</v>
      </c>
      <c r="N1536" s="9" t="s">
        <v>49</v>
      </c>
      <c r="Q1536" s="9">
        <f>IF(Auction_Sales[[#This Row],[Payment Date]]=0,"",-1+WEEKNUM(Auction_Sales[[#This Row],[Payment Date]]))</f>
        <v>18</v>
      </c>
      <c r="R1536" s="9">
        <v>-160</v>
      </c>
      <c r="S1536" s="9" t="s">
        <v>155</v>
      </c>
      <c r="T1536" s="9" t="s">
        <v>56</v>
      </c>
      <c r="U1536" s="9">
        <v>400</v>
      </c>
      <c r="V1536" s="13">
        <v>0.69200000000000006</v>
      </c>
      <c r="W1536" s="13">
        <v>276.8</v>
      </c>
      <c r="X1536" s="14">
        <v>-20.947872340425516</v>
      </c>
      <c r="Y1536" s="13">
        <v>255.85212765957451</v>
      </c>
      <c r="Z1536" s="10">
        <v>45420</v>
      </c>
      <c r="AA1536" s="9">
        <v>160</v>
      </c>
      <c r="AC1536" s="9">
        <v>438340</v>
      </c>
      <c r="AD1536" s="14">
        <v>46.4</v>
      </c>
      <c r="AF1536" s="14">
        <v>8</v>
      </c>
      <c r="AH1536" s="14">
        <v>54.4</v>
      </c>
      <c r="AI1536" s="13">
        <v>201.4521276595745</v>
      </c>
      <c r="AK1536" s="9">
        <v>400</v>
      </c>
    </row>
    <row r="1537" spans="1:37">
      <c r="A1537" s="9">
        <v>17</v>
      </c>
      <c r="B1537" s="9">
        <v>2024</v>
      </c>
      <c r="C1537" s="9" t="s">
        <v>46</v>
      </c>
      <c r="D1537" s="9" t="s">
        <v>47</v>
      </c>
      <c r="E1537" s="9" t="s">
        <v>47</v>
      </c>
      <c r="F1537" s="10">
        <v>45407</v>
      </c>
      <c r="G1537" s="9" t="s">
        <v>155</v>
      </c>
      <c r="H1537" s="9" t="s">
        <v>57</v>
      </c>
      <c r="I1537" s="9">
        <v>2</v>
      </c>
      <c r="J1537" s="9">
        <v>24</v>
      </c>
      <c r="K1537" s="9">
        <v>400</v>
      </c>
      <c r="L1537" s="9">
        <v>0.94</v>
      </c>
      <c r="M1537" s="9">
        <v>376</v>
      </c>
      <c r="N1537" s="9" t="s">
        <v>49</v>
      </c>
      <c r="Q1537" s="9">
        <f>IF(Auction_Sales[[#This Row],[Payment Date]]=0,"",-1+WEEKNUM(Auction_Sales[[#This Row],[Payment Date]]))</f>
        <v>18</v>
      </c>
      <c r="R1537" s="9">
        <v>-120</v>
      </c>
      <c r="S1537" s="9" t="s">
        <v>155</v>
      </c>
      <c r="T1537" s="9" t="s">
        <v>57</v>
      </c>
      <c r="U1537" s="9">
        <v>520</v>
      </c>
      <c r="V1537" s="13">
        <v>0.73000000000000009</v>
      </c>
      <c r="W1537" s="13">
        <v>379.6</v>
      </c>
      <c r="X1537" s="14">
        <v>-27.23223404255317</v>
      </c>
      <c r="Y1537" s="13">
        <v>352.36776595744686</v>
      </c>
      <c r="Z1537" s="10">
        <v>45420</v>
      </c>
      <c r="AA1537" s="9">
        <v>120</v>
      </c>
      <c r="AC1537" s="9">
        <v>438340</v>
      </c>
      <c r="AD1537" s="14">
        <v>92.8</v>
      </c>
      <c r="AF1537" s="14">
        <v>10.4</v>
      </c>
      <c r="AH1537" s="14">
        <v>103.2</v>
      </c>
      <c r="AI1537" s="13">
        <v>249.16776595744687</v>
      </c>
      <c r="AK1537" s="9">
        <v>520</v>
      </c>
    </row>
    <row r="1538" spans="1:37">
      <c r="A1538" s="9">
        <v>17</v>
      </c>
      <c r="B1538" s="9">
        <v>2024</v>
      </c>
      <c r="C1538" s="9" t="s">
        <v>46</v>
      </c>
      <c r="D1538" s="9" t="s">
        <v>47</v>
      </c>
      <c r="E1538" s="9" t="s">
        <v>47</v>
      </c>
      <c r="F1538" s="10">
        <v>45407</v>
      </c>
      <c r="G1538" s="9" t="s">
        <v>153</v>
      </c>
      <c r="H1538" s="9" t="s">
        <v>54</v>
      </c>
      <c r="I1538" s="9">
        <v>1</v>
      </c>
      <c r="J1538" s="9">
        <v>12</v>
      </c>
      <c r="K1538" s="9">
        <v>480</v>
      </c>
      <c r="L1538" s="9">
        <v>0.33</v>
      </c>
      <c r="M1538" s="9">
        <v>158.4</v>
      </c>
      <c r="N1538" s="9" t="s">
        <v>49</v>
      </c>
      <c r="Q1538" s="9">
        <f>IF(Auction_Sales[[#This Row],[Payment Date]]=0,"",-1+WEEKNUM(Auction_Sales[[#This Row],[Payment Date]]))</f>
        <v>18</v>
      </c>
      <c r="R1538" s="9">
        <v>480</v>
      </c>
      <c r="S1538" s="9" t="s">
        <v>153</v>
      </c>
      <c r="T1538" s="9" t="s">
        <v>54</v>
      </c>
      <c r="W1538" s="13">
        <v>0</v>
      </c>
      <c r="X1538" s="14">
        <v>0</v>
      </c>
      <c r="Y1538" s="13">
        <v>0</v>
      </c>
      <c r="Z1538" s="10">
        <v>45420</v>
      </c>
      <c r="AA1538" s="9">
        <v>-480</v>
      </c>
      <c r="AC1538" s="9">
        <v>438340</v>
      </c>
      <c r="AD1538" s="14">
        <v>46.4</v>
      </c>
      <c r="AF1538" s="14">
        <v>0</v>
      </c>
      <c r="AH1538" s="14">
        <v>46.4</v>
      </c>
      <c r="AI1538" s="13">
        <v>-46.4</v>
      </c>
      <c r="AK1538" s="9">
        <v>0</v>
      </c>
    </row>
    <row r="1539" spans="1:37">
      <c r="A1539" s="9">
        <v>17</v>
      </c>
      <c r="B1539" s="9">
        <v>2024</v>
      </c>
      <c r="C1539" s="9" t="s">
        <v>46</v>
      </c>
      <c r="D1539" s="9" t="s">
        <v>47</v>
      </c>
      <c r="E1539" s="9" t="s">
        <v>47</v>
      </c>
      <c r="F1539" s="10">
        <v>45407</v>
      </c>
      <c r="G1539" s="9" t="s">
        <v>153</v>
      </c>
      <c r="H1539" s="9" t="s">
        <v>56</v>
      </c>
      <c r="I1539" s="9">
        <v>1</v>
      </c>
      <c r="J1539" s="9">
        <v>4.5</v>
      </c>
      <c r="K1539" s="9">
        <v>120</v>
      </c>
      <c r="L1539" s="9">
        <v>0.38</v>
      </c>
      <c r="M1539" s="9">
        <v>45.6</v>
      </c>
      <c r="N1539" s="9" t="s">
        <v>49</v>
      </c>
      <c r="Q1539" s="9">
        <f>IF(Auction_Sales[[#This Row],[Payment Date]]=0,"",-1+WEEKNUM(Auction_Sales[[#This Row],[Payment Date]]))</f>
        <v>18</v>
      </c>
      <c r="R1539" s="9">
        <v>0</v>
      </c>
      <c r="S1539" s="9" t="s">
        <v>153</v>
      </c>
      <c r="T1539" s="9" t="s">
        <v>56</v>
      </c>
      <c r="U1539" s="9">
        <v>120</v>
      </c>
      <c r="V1539" s="13">
        <v>0.54666666666666663</v>
      </c>
      <c r="W1539" s="13">
        <v>65.599999999999994</v>
      </c>
      <c r="X1539" s="14">
        <v>-6.2843617021276552</v>
      </c>
      <c r="Y1539" s="13">
        <v>59.31563829787234</v>
      </c>
      <c r="Z1539" s="10">
        <v>45420</v>
      </c>
      <c r="AA1539" s="9">
        <v>0</v>
      </c>
      <c r="AC1539" s="9">
        <v>438340</v>
      </c>
      <c r="AD1539" s="14">
        <v>17.399999999999999</v>
      </c>
      <c r="AF1539" s="14">
        <v>2.4</v>
      </c>
      <c r="AH1539" s="14">
        <v>19.799999999999997</v>
      </c>
      <c r="AI1539" s="13">
        <v>39.515638297872343</v>
      </c>
      <c r="AK1539" s="9">
        <v>120</v>
      </c>
    </row>
    <row r="1540" spans="1:37">
      <c r="A1540" s="9">
        <v>17</v>
      </c>
      <c r="B1540" s="9">
        <v>2024</v>
      </c>
      <c r="C1540" s="9" t="s">
        <v>46</v>
      </c>
      <c r="D1540" s="9" t="s">
        <v>47</v>
      </c>
      <c r="E1540" s="9" t="s">
        <v>47</v>
      </c>
      <c r="F1540" s="10">
        <v>45407</v>
      </c>
      <c r="G1540" s="9" t="s">
        <v>153</v>
      </c>
      <c r="H1540" s="9" t="s">
        <v>57</v>
      </c>
      <c r="J1540" s="9">
        <v>7.5</v>
      </c>
      <c r="K1540" s="9">
        <v>200</v>
      </c>
      <c r="L1540" s="9">
        <v>0.47</v>
      </c>
      <c r="M1540" s="9">
        <v>94</v>
      </c>
      <c r="N1540" s="9" t="s">
        <v>49</v>
      </c>
      <c r="Q1540" s="9">
        <f>IF(Auction_Sales[[#This Row],[Payment Date]]=0,"",-1+WEEKNUM(Auction_Sales[[#This Row],[Payment Date]]))</f>
        <v>18</v>
      </c>
      <c r="R1540" s="9">
        <v>0</v>
      </c>
      <c r="S1540" s="9" t="s">
        <v>153</v>
      </c>
      <c r="T1540" s="9" t="s">
        <v>57</v>
      </c>
      <c r="U1540" s="9">
        <v>200</v>
      </c>
      <c r="V1540" s="13">
        <v>0.58200000000000007</v>
      </c>
      <c r="W1540" s="13">
        <v>116.40000000000002</v>
      </c>
      <c r="X1540" s="14">
        <v>-10.473936170212758</v>
      </c>
      <c r="Y1540" s="13">
        <v>105.92606382978727</v>
      </c>
      <c r="Z1540" s="10">
        <v>45420</v>
      </c>
      <c r="AA1540" s="9">
        <v>0</v>
      </c>
      <c r="AC1540" s="9">
        <v>438340</v>
      </c>
      <c r="AD1540" s="14">
        <v>28.999999999999996</v>
      </c>
      <c r="AF1540" s="14">
        <v>4</v>
      </c>
      <c r="AH1540" s="14">
        <v>33</v>
      </c>
      <c r="AI1540" s="13">
        <v>72.926063829787267</v>
      </c>
      <c r="AK1540" s="9">
        <v>200</v>
      </c>
    </row>
    <row r="1541" spans="1:37">
      <c r="A1541" s="9">
        <v>17</v>
      </c>
      <c r="B1541" s="9">
        <v>2024</v>
      </c>
      <c r="C1541" s="9" t="s">
        <v>46</v>
      </c>
      <c r="D1541" s="9" t="s">
        <v>47</v>
      </c>
      <c r="E1541" s="9" t="s">
        <v>47</v>
      </c>
      <c r="F1541" s="10">
        <v>45407</v>
      </c>
      <c r="G1541" s="9" t="s">
        <v>153</v>
      </c>
      <c r="H1541" s="9" t="s">
        <v>52</v>
      </c>
      <c r="I1541" s="9">
        <v>1</v>
      </c>
      <c r="J1541" s="9">
        <v>7</v>
      </c>
      <c r="K1541" s="9">
        <v>280</v>
      </c>
      <c r="L1541" s="9">
        <v>0.28000000000000003</v>
      </c>
      <c r="M1541" s="9">
        <v>78.400000000000006</v>
      </c>
      <c r="N1541" s="9" t="s">
        <v>49</v>
      </c>
      <c r="Q1541" s="9">
        <f>IF(Auction_Sales[[#This Row],[Payment Date]]=0,"",-1+WEEKNUM(Auction_Sales[[#This Row],[Payment Date]]))</f>
        <v>18</v>
      </c>
      <c r="R1541" s="9">
        <v>0</v>
      </c>
      <c r="S1541" s="9" t="s">
        <v>153</v>
      </c>
      <c r="T1541" s="9" t="s">
        <v>52</v>
      </c>
      <c r="U1541" s="9">
        <v>280</v>
      </c>
      <c r="V1541" s="13">
        <v>0.38</v>
      </c>
      <c r="W1541" s="13">
        <v>106.4</v>
      </c>
      <c r="X1541" s="14">
        <v>-14.663510638297861</v>
      </c>
      <c r="Y1541" s="13">
        <v>91.736489361702141</v>
      </c>
      <c r="Z1541" s="10">
        <v>45420</v>
      </c>
      <c r="AA1541" s="9">
        <v>0</v>
      </c>
      <c r="AC1541" s="9">
        <v>438340</v>
      </c>
      <c r="AD1541" s="14">
        <v>27.066666666666666</v>
      </c>
      <c r="AF1541" s="14">
        <v>5.6000000000000005</v>
      </c>
      <c r="AH1541" s="14">
        <v>32.666666666666664</v>
      </c>
      <c r="AI1541" s="13">
        <v>59.069822695035477</v>
      </c>
      <c r="AK1541" s="9">
        <v>280</v>
      </c>
    </row>
    <row r="1542" spans="1:37">
      <c r="A1542" s="9">
        <v>17</v>
      </c>
      <c r="B1542" s="9">
        <v>2024</v>
      </c>
      <c r="C1542" s="9" t="s">
        <v>46</v>
      </c>
      <c r="D1542" s="9" t="s">
        <v>47</v>
      </c>
      <c r="E1542" s="9" t="s">
        <v>47</v>
      </c>
      <c r="F1542" s="10">
        <v>45407</v>
      </c>
      <c r="G1542" s="9" t="s">
        <v>153</v>
      </c>
      <c r="H1542" s="9" t="s">
        <v>54</v>
      </c>
      <c r="J1542" s="9">
        <v>5</v>
      </c>
      <c r="K1542" s="9">
        <v>200</v>
      </c>
      <c r="L1542" s="9">
        <v>0.33</v>
      </c>
      <c r="M1542" s="9">
        <v>66</v>
      </c>
      <c r="N1542" s="9" t="s">
        <v>49</v>
      </c>
      <c r="Q1542" s="9">
        <f>IF(Auction_Sales[[#This Row],[Payment Date]]=0,"",-1+WEEKNUM(Auction_Sales[[#This Row],[Payment Date]]))</f>
        <v>18</v>
      </c>
      <c r="R1542" s="9">
        <v>-480</v>
      </c>
      <c r="S1542" s="9" t="s">
        <v>153</v>
      </c>
      <c r="T1542" s="9" t="s">
        <v>54</v>
      </c>
      <c r="U1542" s="9">
        <v>680</v>
      </c>
      <c r="V1542" s="13">
        <v>0.52764705882352947</v>
      </c>
      <c r="W1542" s="13">
        <v>358.8</v>
      </c>
      <c r="X1542" s="14">
        <v>-35.611382978723377</v>
      </c>
      <c r="Y1542" s="13">
        <v>323.18861702127663</v>
      </c>
      <c r="Z1542" s="10">
        <v>45420</v>
      </c>
      <c r="AA1542" s="9">
        <v>480</v>
      </c>
      <c r="AC1542" s="9">
        <v>438340</v>
      </c>
      <c r="AD1542" s="14">
        <v>19.333333333333332</v>
      </c>
      <c r="AF1542" s="14">
        <v>13.6</v>
      </c>
      <c r="AH1542" s="14">
        <v>32.93333333333333</v>
      </c>
      <c r="AI1542" s="13">
        <v>290.25528368794329</v>
      </c>
      <c r="AK1542" s="9">
        <v>680</v>
      </c>
    </row>
    <row r="1543" spans="1:37">
      <c r="A1543" s="9">
        <v>17</v>
      </c>
      <c r="B1543" s="9">
        <v>2024</v>
      </c>
      <c r="C1543" s="9" t="s">
        <v>46</v>
      </c>
      <c r="D1543" s="9" t="s">
        <v>47</v>
      </c>
      <c r="E1543" s="9" t="s">
        <v>47</v>
      </c>
      <c r="F1543" s="10">
        <v>45407</v>
      </c>
      <c r="G1543" s="9" t="s">
        <v>155</v>
      </c>
      <c r="H1543" s="9" t="s">
        <v>51</v>
      </c>
      <c r="I1543" s="9">
        <v>1</v>
      </c>
      <c r="J1543" s="9">
        <v>3.6923076923076925</v>
      </c>
      <c r="K1543" s="9">
        <v>160</v>
      </c>
      <c r="L1543" s="9">
        <v>0.38</v>
      </c>
      <c r="M1543" s="9">
        <v>60.8</v>
      </c>
      <c r="N1543" s="9" t="s">
        <v>49</v>
      </c>
      <c r="Q1543" s="9">
        <f>IF(Auction_Sales[[#This Row],[Payment Date]]=0,"",-1+WEEKNUM(Auction_Sales[[#This Row],[Payment Date]]))</f>
        <v>18</v>
      </c>
      <c r="R1543" s="9">
        <v>0</v>
      </c>
      <c r="S1543" s="9" t="s">
        <v>155</v>
      </c>
      <c r="T1543" s="9" t="s">
        <v>51</v>
      </c>
      <c r="U1543" s="9">
        <v>160</v>
      </c>
      <c r="V1543" s="13">
        <v>0.61</v>
      </c>
      <c r="W1543" s="13">
        <v>97.6</v>
      </c>
      <c r="X1543" s="14">
        <v>-8.379148936170207</v>
      </c>
      <c r="Y1543" s="13">
        <v>89.220851063829784</v>
      </c>
      <c r="Z1543" s="10">
        <v>45420</v>
      </c>
      <c r="AA1543" s="9">
        <v>0</v>
      </c>
      <c r="AC1543" s="9">
        <v>438340</v>
      </c>
      <c r="AD1543" s="14">
        <v>14.276923076923076</v>
      </c>
      <c r="AF1543" s="14">
        <v>3.2</v>
      </c>
      <c r="AH1543" s="14">
        <v>17.476923076923075</v>
      </c>
      <c r="AI1543" s="13">
        <v>71.743927986906712</v>
      </c>
      <c r="AK1543" s="9">
        <v>160</v>
      </c>
    </row>
    <row r="1544" spans="1:37">
      <c r="A1544" s="9">
        <v>17</v>
      </c>
      <c r="B1544" s="9">
        <v>2024</v>
      </c>
      <c r="C1544" s="9" t="s">
        <v>46</v>
      </c>
      <c r="D1544" s="9" t="s">
        <v>47</v>
      </c>
      <c r="E1544" s="9" t="s">
        <v>47</v>
      </c>
      <c r="F1544" s="10">
        <v>45407</v>
      </c>
      <c r="G1544" s="9" t="s">
        <v>155</v>
      </c>
      <c r="H1544" s="9" t="s">
        <v>48</v>
      </c>
      <c r="J1544" s="9">
        <v>2.7692307692307692</v>
      </c>
      <c r="K1544" s="9">
        <v>120</v>
      </c>
      <c r="L1544" s="9">
        <v>0.47</v>
      </c>
      <c r="M1544" s="9">
        <v>56.4</v>
      </c>
      <c r="N1544" s="9" t="s">
        <v>49</v>
      </c>
      <c r="Q1544" s="9">
        <f>IF(Auction_Sales[[#This Row],[Payment Date]]=0,"",-1+WEEKNUM(Auction_Sales[[#This Row],[Payment Date]]))</f>
        <v>18</v>
      </c>
      <c r="R1544" s="9">
        <v>0</v>
      </c>
      <c r="S1544" s="9" t="s">
        <v>155</v>
      </c>
      <c r="T1544" s="9" t="s">
        <v>48</v>
      </c>
      <c r="U1544" s="9">
        <v>120</v>
      </c>
      <c r="V1544" s="13">
        <v>0.71000000000000008</v>
      </c>
      <c r="W1544" s="13">
        <v>85.2</v>
      </c>
      <c r="X1544" s="14">
        <v>-6.2843617021276552</v>
      </c>
      <c r="Y1544" s="13">
        <v>78.915638297872349</v>
      </c>
      <c r="Z1544" s="10">
        <v>45420</v>
      </c>
      <c r="AA1544" s="9">
        <v>0</v>
      </c>
      <c r="AC1544" s="9">
        <v>438340</v>
      </c>
      <c r="AD1544" s="14">
        <v>10.707692307692307</v>
      </c>
      <c r="AF1544" s="14">
        <v>2.4</v>
      </c>
      <c r="AH1544" s="14">
        <v>13.107692307692307</v>
      </c>
      <c r="AI1544" s="13">
        <v>65.807945990180045</v>
      </c>
      <c r="AK1544" s="9">
        <v>120</v>
      </c>
    </row>
    <row r="1545" spans="1:37">
      <c r="A1545" s="9">
        <v>17</v>
      </c>
      <c r="B1545" s="9">
        <v>2024</v>
      </c>
      <c r="C1545" s="9" t="s">
        <v>46</v>
      </c>
      <c r="D1545" s="9" t="s">
        <v>47</v>
      </c>
      <c r="E1545" s="9" t="s">
        <v>47</v>
      </c>
      <c r="F1545" s="10">
        <v>45407</v>
      </c>
      <c r="G1545" s="9" t="s">
        <v>155</v>
      </c>
      <c r="H1545" s="9" t="s">
        <v>54</v>
      </c>
      <c r="J1545" s="9">
        <v>5.5384615384615383</v>
      </c>
      <c r="K1545" s="9">
        <v>240</v>
      </c>
      <c r="L1545" s="9">
        <v>0.56999999999999995</v>
      </c>
      <c r="M1545" s="9">
        <v>136.80000000000001</v>
      </c>
      <c r="N1545" s="9" t="s">
        <v>49</v>
      </c>
      <c r="Q1545" s="9">
        <f>IF(Auction_Sales[[#This Row],[Payment Date]]=0,"",-1+WEEKNUM(Auction_Sales[[#This Row],[Payment Date]]))</f>
        <v>18</v>
      </c>
      <c r="R1545" s="9">
        <v>-80</v>
      </c>
      <c r="S1545" s="9" t="s">
        <v>155</v>
      </c>
      <c r="T1545" s="9" t="s">
        <v>54</v>
      </c>
      <c r="U1545" s="9">
        <v>320</v>
      </c>
      <c r="V1545" s="13">
        <v>0.76249999999999996</v>
      </c>
      <c r="W1545" s="13">
        <v>244</v>
      </c>
      <c r="X1545" s="14">
        <v>-16.758297872340414</v>
      </c>
      <c r="Y1545" s="13">
        <v>227.24170212765958</v>
      </c>
      <c r="Z1545" s="10">
        <v>45420</v>
      </c>
      <c r="AA1545" s="9">
        <v>80</v>
      </c>
      <c r="AC1545" s="9">
        <v>438340</v>
      </c>
      <c r="AD1545" s="14">
        <v>21.415384615384614</v>
      </c>
      <c r="AF1545" s="14">
        <v>6.4</v>
      </c>
      <c r="AH1545" s="14">
        <v>27.815384615384616</v>
      </c>
      <c r="AI1545" s="13">
        <v>199.42631751227498</v>
      </c>
      <c r="AK1545" s="9">
        <v>320</v>
      </c>
    </row>
    <row r="1546" spans="1:37">
      <c r="A1546" s="9">
        <v>17</v>
      </c>
      <c r="B1546" s="9">
        <v>2024</v>
      </c>
      <c r="C1546" s="9" t="s">
        <v>46</v>
      </c>
      <c r="D1546" s="9" t="s">
        <v>47</v>
      </c>
      <c r="E1546" s="9" t="s">
        <v>47</v>
      </c>
      <c r="F1546" s="10">
        <v>45407</v>
      </c>
      <c r="G1546" s="9" t="s">
        <v>155</v>
      </c>
      <c r="H1546" s="9" t="s">
        <v>52</v>
      </c>
      <c r="I1546" s="9">
        <v>1</v>
      </c>
      <c r="J1546" s="9">
        <v>6.8571428571428568</v>
      </c>
      <c r="K1546" s="9">
        <v>160</v>
      </c>
      <c r="L1546" s="9">
        <v>0.52</v>
      </c>
      <c r="M1546" s="9">
        <v>83.2</v>
      </c>
      <c r="N1546" s="9" t="s">
        <v>49</v>
      </c>
      <c r="Q1546" s="9">
        <f>IF(Auction_Sales[[#This Row],[Payment Date]]=0,"",-1+WEEKNUM(Auction_Sales[[#This Row],[Payment Date]]))</f>
        <v>18</v>
      </c>
      <c r="R1546" s="9">
        <v>-440</v>
      </c>
      <c r="S1546" s="9" t="s">
        <v>155</v>
      </c>
      <c r="T1546" s="9" t="s">
        <v>52</v>
      </c>
      <c r="U1546" s="9">
        <v>600</v>
      </c>
      <c r="V1546" s="13">
        <v>0.71066666666666667</v>
      </c>
      <c r="W1546" s="13">
        <v>426.4</v>
      </c>
      <c r="X1546" s="14">
        <v>-31.421808510638275</v>
      </c>
      <c r="Y1546" s="13">
        <v>394.97819148936168</v>
      </c>
      <c r="Z1546" s="10">
        <v>45420</v>
      </c>
      <c r="AA1546" s="9">
        <v>440</v>
      </c>
      <c r="AC1546" s="9">
        <v>438340</v>
      </c>
      <c r="AD1546" s="14">
        <v>26.514285714285712</v>
      </c>
      <c r="AF1546" s="14">
        <v>12</v>
      </c>
      <c r="AH1546" s="14">
        <v>38.514285714285712</v>
      </c>
      <c r="AI1546" s="13">
        <v>356.46390577507594</v>
      </c>
      <c r="AK1546" s="9">
        <v>600</v>
      </c>
    </row>
    <row r="1547" spans="1:37">
      <c r="A1547" s="9">
        <v>17</v>
      </c>
      <c r="B1547" s="9">
        <v>2024</v>
      </c>
      <c r="C1547" s="9" t="s">
        <v>46</v>
      </c>
      <c r="D1547" s="9" t="s">
        <v>47</v>
      </c>
      <c r="E1547" s="9" t="s">
        <v>47</v>
      </c>
      <c r="F1547" s="10">
        <v>45407</v>
      </c>
      <c r="G1547" s="9" t="s">
        <v>155</v>
      </c>
      <c r="H1547" s="9" t="s">
        <v>57</v>
      </c>
      <c r="J1547" s="9">
        <v>5.1428571428571423</v>
      </c>
      <c r="K1547" s="9">
        <v>120</v>
      </c>
      <c r="L1547" s="9">
        <v>0.94</v>
      </c>
      <c r="M1547" s="9">
        <v>112.8</v>
      </c>
      <c r="N1547" s="9" t="s">
        <v>49</v>
      </c>
      <c r="Q1547" s="9">
        <f>IF(Auction_Sales[[#This Row],[Payment Date]]=0,"",-1+WEEKNUM(Auction_Sales[[#This Row],[Payment Date]]))</f>
        <v>18</v>
      </c>
      <c r="R1547" s="9">
        <v>120</v>
      </c>
      <c r="S1547" s="9" t="s">
        <v>155</v>
      </c>
      <c r="T1547" s="9" t="s">
        <v>57</v>
      </c>
      <c r="W1547" s="13">
        <v>0</v>
      </c>
      <c r="X1547" s="14">
        <v>0</v>
      </c>
      <c r="Y1547" s="13">
        <v>0</v>
      </c>
      <c r="Z1547" s="10">
        <v>45420</v>
      </c>
      <c r="AA1547" s="9">
        <v>-120</v>
      </c>
      <c r="AC1547" s="9">
        <v>438340</v>
      </c>
      <c r="AD1547" s="14">
        <v>19.885714285714286</v>
      </c>
      <c r="AF1547" s="14">
        <v>0</v>
      </c>
      <c r="AH1547" s="14">
        <v>19.885714285714286</v>
      </c>
      <c r="AI1547" s="13">
        <v>-19.885714285714286</v>
      </c>
      <c r="AK1547" s="9">
        <v>0</v>
      </c>
    </row>
    <row r="1548" spans="1:37">
      <c r="A1548" s="9">
        <v>17</v>
      </c>
      <c r="B1548" s="9">
        <v>2024</v>
      </c>
      <c r="C1548" s="9" t="s">
        <v>46</v>
      </c>
      <c r="D1548" s="9" t="s">
        <v>47</v>
      </c>
      <c r="E1548" s="9" t="s">
        <v>47</v>
      </c>
      <c r="F1548" s="10">
        <v>45407</v>
      </c>
      <c r="G1548" s="9" t="s">
        <v>155</v>
      </c>
      <c r="H1548" s="9" t="s">
        <v>54</v>
      </c>
      <c r="I1548" s="9">
        <v>1</v>
      </c>
      <c r="J1548" s="9">
        <v>5.1428571428571423</v>
      </c>
      <c r="K1548" s="9">
        <v>120</v>
      </c>
      <c r="L1548" s="9">
        <v>0.56999999999999995</v>
      </c>
      <c r="M1548" s="9">
        <v>68.400000000000006</v>
      </c>
      <c r="N1548" s="9" t="s">
        <v>49</v>
      </c>
      <c r="Q1548" s="9">
        <f>IF(Auction_Sales[[#This Row],[Payment Date]]=0,"",-1+WEEKNUM(Auction_Sales[[#This Row],[Payment Date]]))</f>
        <v>18</v>
      </c>
      <c r="R1548" s="9">
        <v>120</v>
      </c>
      <c r="S1548" s="9" t="s">
        <v>155</v>
      </c>
      <c r="T1548" s="9" t="s">
        <v>54</v>
      </c>
      <c r="W1548" s="13">
        <v>0</v>
      </c>
      <c r="X1548" s="14">
        <v>0</v>
      </c>
      <c r="Y1548" s="13">
        <v>0</v>
      </c>
      <c r="Z1548" s="10">
        <v>45420</v>
      </c>
      <c r="AA1548" s="9">
        <v>-120</v>
      </c>
      <c r="AC1548" s="9">
        <v>438340</v>
      </c>
      <c r="AD1548" s="14">
        <v>19.885714285714286</v>
      </c>
      <c r="AF1548" s="14">
        <v>0</v>
      </c>
      <c r="AH1548" s="14">
        <v>19.885714285714286</v>
      </c>
      <c r="AI1548" s="13">
        <v>-19.885714285714286</v>
      </c>
      <c r="AK1548" s="9">
        <v>0</v>
      </c>
    </row>
    <row r="1549" spans="1:37">
      <c r="A1549" s="9">
        <v>17</v>
      </c>
      <c r="B1549" s="9">
        <v>2024</v>
      </c>
      <c r="C1549" s="9" t="s">
        <v>46</v>
      </c>
      <c r="D1549" s="9" t="s">
        <v>47</v>
      </c>
      <c r="E1549" s="9" t="s">
        <v>47</v>
      </c>
      <c r="F1549" s="10">
        <v>45407</v>
      </c>
      <c r="G1549" s="9" t="s">
        <v>155</v>
      </c>
      <c r="H1549" s="9" t="s">
        <v>56</v>
      </c>
      <c r="J1549" s="9">
        <v>6.8571428571428568</v>
      </c>
      <c r="K1549" s="9">
        <v>160</v>
      </c>
      <c r="L1549" s="9">
        <v>0.75</v>
      </c>
      <c r="M1549" s="9">
        <v>120</v>
      </c>
      <c r="N1549" s="9" t="s">
        <v>49</v>
      </c>
      <c r="Q1549" s="9">
        <f>IF(Auction_Sales[[#This Row],[Payment Date]]=0,"",-1+WEEKNUM(Auction_Sales[[#This Row],[Payment Date]]))</f>
        <v>18</v>
      </c>
      <c r="R1549" s="9">
        <v>160</v>
      </c>
      <c r="S1549" s="9" t="s">
        <v>155</v>
      </c>
      <c r="T1549" s="9" t="s">
        <v>56</v>
      </c>
      <c r="W1549" s="13">
        <v>0</v>
      </c>
      <c r="X1549" s="14">
        <v>0</v>
      </c>
      <c r="Y1549" s="13">
        <v>0</v>
      </c>
      <c r="Z1549" s="10">
        <v>45420</v>
      </c>
      <c r="AA1549" s="9">
        <v>-160</v>
      </c>
      <c r="AC1549" s="9">
        <v>438340</v>
      </c>
      <c r="AD1549" s="14">
        <v>26.514285714285712</v>
      </c>
      <c r="AF1549" s="14">
        <v>0</v>
      </c>
      <c r="AH1549" s="14">
        <v>26.514285714285712</v>
      </c>
      <c r="AI1549" s="13">
        <v>-26.514285714285712</v>
      </c>
      <c r="AK1549" s="9">
        <v>0</v>
      </c>
    </row>
    <row r="1550" spans="1:37">
      <c r="A1550" s="9">
        <v>17</v>
      </c>
      <c r="B1550" s="9">
        <v>2024</v>
      </c>
      <c r="C1550" s="9" t="s">
        <v>46</v>
      </c>
      <c r="D1550" s="9" t="s">
        <v>47</v>
      </c>
      <c r="E1550" s="9" t="s">
        <v>47</v>
      </c>
      <c r="F1550" s="10">
        <v>45407</v>
      </c>
      <c r="G1550" s="9" t="s">
        <v>154</v>
      </c>
      <c r="H1550" s="9" t="s">
        <v>51</v>
      </c>
      <c r="I1550" s="9">
        <v>1</v>
      </c>
      <c r="J1550" s="9">
        <v>8</v>
      </c>
      <c r="K1550" s="9">
        <v>240</v>
      </c>
      <c r="L1550" s="9">
        <v>0.38</v>
      </c>
      <c r="M1550" s="9">
        <v>91.2</v>
      </c>
      <c r="N1550" s="9" t="s">
        <v>49</v>
      </c>
      <c r="Q1550" s="9">
        <f>IF(Auction_Sales[[#This Row],[Payment Date]]=0,"",-1+WEEKNUM(Auction_Sales[[#This Row],[Payment Date]]))</f>
        <v>18</v>
      </c>
      <c r="R1550" s="9">
        <v>0</v>
      </c>
      <c r="S1550" s="9" t="s">
        <v>154</v>
      </c>
      <c r="T1550" s="9" t="s">
        <v>51</v>
      </c>
      <c r="U1550" s="9">
        <v>240</v>
      </c>
      <c r="V1550" s="13">
        <v>0.33666666666666667</v>
      </c>
      <c r="W1550" s="13">
        <v>80.8</v>
      </c>
      <c r="X1550" s="14">
        <v>-12.56872340425531</v>
      </c>
      <c r="Y1550" s="13">
        <v>68.231276595744689</v>
      </c>
      <c r="Z1550" s="10">
        <v>45420</v>
      </c>
      <c r="AA1550" s="9">
        <v>0</v>
      </c>
      <c r="AC1550" s="9">
        <v>438340</v>
      </c>
      <c r="AD1550" s="14">
        <v>30.933333333333334</v>
      </c>
      <c r="AF1550" s="14">
        <v>4.8</v>
      </c>
      <c r="AH1550" s="14">
        <v>35.733333333333334</v>
      </c>
      <c r="AI1550" s="13">
        <v>32.497943262411354</v>
      </c>
      <c r="AK1550" s="9">
        <v>240</v>
      </c>
    </row>
    <row r="1551" spans="1:37">
      <c r="A1551" s="9">
        <v>17</v>
      </c>
      <c r="B1551" s="9">
        <v>2024</v>
      </c>
      <c r="C1551" s="9" t="s">
        <v>46</v>
      </c>
      <c r="D1551" s="9" t="s">
        <v>47</v>
      </c>
      <c r="E1551" s="9" t="s">
        <v>47</v>
      </c>
      <c r="F1551" s="10">
        <v>45407</v>
      </c>
      <c r="G1551" s="9" t="s">
        <v>154</v>
      </c>
      <c r="H1551" s="9" t="s">
        <v>48</v>
      </c>
      <c r="J1551" s="9">
        <v>2.6666666666666665</v>
      </c>
      <c r="K1551" s="9">
        <v>80</v>
      </c>
      <c r="L1551" s="9">
        <v>0.47</v>
      </c>
      <c r="M1551" s="9">
        <v>37.6</v>
      </c>
      <c r="N1551" s="9" t="s">
        <v>49</v>
      </c>
      <c r="Q1551" s="9">
        <f>IF(Auction_Sales[[#This Row],[Payment Date]]=0,"",-1+WEEKNUM(Auction_Sales[[#This Row],[Payment Date]]))</f>
        <v>18</v>
      </c>
      <c r="R1551" s="9">
        <v>0</v>
      </c>
      <c r="S1551" s="9" t="s">
        <v>154</v>
      </c>
      <c r="T1551" s="9" t="s">
        <v>48</v>
      </c>
      <c r="U1551" s="9">
        <v>80</v>
      </c>
      <c r="V1551" s="13">
        <v>0.41</v>
      </c>
      <c r="W1551" s="13">
        <v>32.799999999999997</v>
      </c>
      <c r="X1551" s="14">
        <v>-4.1895744680851035</v>
      </c>
      <c r="Y1551" s="13">
        <v>28.610425531914892</v>
      </c>
      <c r="Z1551" s="10">
        <v>45420</v>
      </c>
      <c r="AA1551" s="9">
        <v>0</v>
      </c>
      <c r="AC1551" s="9">
        <v>438340</v>
      </c>
      <c r="AD1551" s="14">
        <v>10.31111111111111</v>
      </c>
      <c r="AF1551" s="14">
        <v>1.6</v>
      </c>
      <c r="AH1551" s="14">
        <v>11.91111111111111</v>
      </c>
      <c r="AI1551" s="13">
        <v>16.69931442080378</v>
      </c>
      <c r="AK1551" s="9">
        <v>80</v>
      </c>
    </row>
    <row r="1552" spans="1:37">
      <c r="A1552" s="9">
        <v>17</v>
      </c>
      <c r="B1552" s="9">
        <v>2024</v>
      </c>
      <c r="C1552" s="9" t="s">
        <v>46</v>
      </c>
      <c r="D1552" s="9" t="s">
        <v>47</v>
      </c>
      <c r="E1552" s="9" t="s">
        <v>47</v>
      </c>
      <c r="F1552" s="10">
        <v>45407</v>
      </c>
      <c r="G1552" s="9" t="s">
        <v>154</v>
      </c>
      <c r="H1552" s="9" t="s">
        <v>54</v>
      </c>
      <c r="J1552" s="9">
        <v>1.3333333333333333</v>
      </c>
      <c r="K1552" s="9">
        <v>40</v>
      </c>
      <c r="L1552" s="9">
        <v>0.52</v>
      </c>
      <c r="M1552" s="9">
        <v>20.8</v>
      </c>
      <c r="N1552" s="9" t="s">
        <v>49</v>
      </c>
      <c r="Q1552" s="9">
        <f>IF(Auction_Sales[[#This Row],[Payment Date]]=0,"",-1+WEEKNUM(Auction_Sales[[#This Row],[Payment Date]]))</f>
        <v>18</v>
      </c>
      <c r="R1552" s="9">
        <v>0</v>
      </c>
      <c r="S1552" s="9" t="s">
        <v>154</v>
      </c>
      <c r="T1552" s="9" t="s">
        <v>54</v>
      </c>
      <c r="U1552" s="9">
        <v>40</v>
      </c>
      <c r="V1552" s="13">
        <v>0.72</v>
      </c>
      <c r="W1552" s="13">
        <v>28.799999999999997</v>
      </c>
      <c r="X1552" s="14">
        <v>-2.0947872340425517</v>
      </c>
      <c r="Y1552" s="13">
        <v>26.705212765957445</v>
      </c>
      <c r="Z1552" s="10">
        <v>45420</v>
      </c>
      <c r="AA1552" s="9">
        <v>0</v>
      </c>
      <c r="AC1552" s="9">
        <v>438340</v>
      </c>
      <c r="AD1552" s="14">
        <v>5.155555555555555</v>
      </c>
      <c r="AF1552" s="14">
        <v>0.8</v>
      </c>
      <c r="AH1552" s="14">
        <v>5.9555555555555548</v>
      </c>
      <c r="AI1552" s="13">
        <v>20.749657210401889</v>
      </c>
      <c r="AK1552" s="9">
        <v>40</v>
      </c>
    </row>
    <row r="1553" spans="1:37">
      <c r="A1553" s="9">
        <v>18</v>
      </c>
      <c r="B1553" s="9">
        <v>2024</v>
      </c>
      <c r="C1553" s="9" t="s">
        <v>46</v>
      </c>
      <c r="D1553" s="9" t="s">
        <v>47</v>
      </c>
      <c r="E1553" s="9" t="s">
        <v>47</v>
      </c>
      <c r="F1553" s="10">
        <v>45409</v>
      </c>
      <c r="G1553" s="9" t="s">
        <v>155</v>
      </c>
      <c r="H1553" s="9" t="s">
        <v>48</v>
      </c>
      <c r="I1553" s="9">
        <v>1</v>
      </c>
      <c r="J1553" s="9">
        <v>12</v>
      </c>
      <c r="K1553" s="9">
        <v>440</v>
      </c>
      <c r="L1553" s="9">
        <v>0.47</v>
      </c>
      <c r="M1553" s="9">
        <v>206.8</v>
      </c>
      <c r="N1553" s="9" t="s">
        <v>49</v>
      </c>
      <c r="Q1553" s="9">
        <f>IF(Auction_Sales[[#This Row],[Payment Date]]=0,"",-1+WEEKNUM(Auction_Sales[[#This Row],[Payment Date]]))</f>
        <v>18</v>
      </c>
      <c r="R1553" s="9">
        <v>440</v>
      </c>
      <c r="S1553" s="9" t="s">
        <v>155</v>
      </c>
      <c r="T1553" s="9" t="s">
        <v>48</v>
      </c>
      <c r="W1553" s="9">
        <v>0</v>
      </c>
      <c r="X1553" s="14">
        <v>0</v>
      </c>
      <c r="Y1553" s="13">
        <v>0</v>
      </c>
      <c r="Z1553" s="10">
        <v>45420</v>
      </c>
      <c r="AA1553" s="9">
        <v>-440</v>
      </c>
      <c r="AC1553" s="9">
        <v>438498</v>
      </c>
      <c r="AD1553" s="14">
        <v>47.11999999999999</v>
      </c>
      <c r="AF1553" s="14">
        <v>0</v>
      </c>
      <c r="AH1553" s="14">
        <v>47.11999999999999</v>
      </c>
      <c r="AI1553" s="13">
        <v>-47.11999999999999</v>
      </c>
      <c r="AK1553" s="9">
        <v>0</v>
      </c>
    </row>
    <row r="1554" spans="1:37">
      <c r="A1554" s="9">
        <v>18</v>
      </c>
      <c r="B1554" s="9">
        <v>2024</v>
      </c>
      <c r="C1554" s="9" t="s">
        <v>46</v>
      </c>
      <c r="D1554" s="9" t="s">
        <v>47</v>
      </c>
      <c r="E1554" s="9" t="s">
        <v>47</v>
      </c>
      <c r="F1554" s="10">
        <v>45409</v>
      </c>
      <c r="G1554" s="9" t="s">
        <v>155</v>
      </c>
      <c r="H1554" s="9" t="s">
        <v>48</v>
      </c>
      <c r="I1554" s="9">
        <v>1</v>
      </c>
      <c r="J1554" s="9">
        <v>12</v>
      </c>
      <c r="K1554" s="9">
        <v>520</v>
      </c>
      <c r="L1554" s="9">
        <v>0.47</v>
      </c>
      <c r="M1554" s="9">
        <v>244.4</v>
      </c>
      <c r="N1554" s="9" t="s">
        <v>49</v>
      </c>
      <c r="Q1554" s="9">
        <f>IF(Auction_Sales[[#This Row],[Payment Date]]=0,"",-1+WEEKNUM(Auction_Sales[[#This Row],[Payment Date]]))</f>
        <v>18</v>
      </c>
      <c r="R1554" s="9">
        <v>-440</v>
      </c>
      <c r="S1554" s="9" t="s">
        <v>155</v>
      </c>
      <c r="T1554" s="9" t="s">
        <v>48</v>
      </c>
      <c r="U1554" s="9">
        <v>960</v>
      </c>
      <c r="V1554" s="13">
        <v>0.51624999999999999</v>
      </c>
      <c r="W1554" s="9">
        <v>495.59999999999997</v>
      </c>
      <c r="X1554" s="14">
        <v>-42.762739726027377</v>
      </c>
      <c r="Y1554" s="13">
        <v>452.83726027397256</v>
      </c>
      <c r="Z1554" s="10">
        <v>45420</v>
      </c>
      <c r="AA1554" s="9">
        <v>440</v>
      </c>
      <c r="AC1554" s="9">
        <v>438498</v>
      </c>
      <c r="AD1554" s="14">
        <v>47.11999999999999</v>
      </c>
      <c r="AF1554" s="14">
        <v>19.2</v>
      </c>
      <c r="AH1554" s="14">
        <v>66.319999999999993</v>
      </c>
      <c r="AI1554" s="13">
        <v>386.51726027397257</v>
      </c>
      <c r="AK1554" s="9">
        <v>960</v>
      </c>
    </row>
    <row r="1555" spans="1:37">
      <c r="A1555" s="9">
        <v>18</v>
      </c>
      <c r="B1555" s="9">
        <v>2024</v>
      </c>
      <c r="C1555" s="9" t="s">
        <v>46</v>
      </c>
      <c r="D1555" s="9" t="s">
        <v>47</v>
      </c>
      <c r="E1555" s="9" t="s">
        <v>47</v>
      </c>
      <c r="F1555" s="10">
        <v>45409</v>
      </c>
      <c r="G1555" s="9" t="s">
        <v>155</v>
      </c>
      <c r="H1555" s="9" t="s">
        <v>57</v>
      </c>
      <c r="I1555" s="9">
        <v>1</v>
      </c>
      <c r="J1555" s="9">
        <v>12</v>
      </c>
      <c r="K1555" s="9">
        <v>200</v>
      </c>
      <c r="L1555" s="9">
        <v>0.94</v>
      </c>
      <c r="M1555" s="9">
        <v>188</v>
      </c>
      <c r="N1555" s="9" t="s">
        <v>49</v>
      </c>
      <c r="Q1555" s="9">
        <f>IF(Auction_Sales[[#This Row],[Payment Date]]=0,"",-1+WEEKNUM(Auction_Sales[[#This Row],[Payment Date]]))</f>
        <v>18</v>
      </c>
      <c r="R1555" s="9">
        <v>0</v>
      </c>
      <c r="S1555" s="9" t="s">
        <v>155</v>
      </c>
      <c r="T1555" s="9" t="s">
        <v>57</v>
      </c>
      <c r="U1555" s="9">
        <v>200</v>
      </c>
      <c r="V1555" s="13">
        <v>0.78799999999999992</v>
      </c>
      <c r="W1555" s="9">
        <v>157.6</v>
      </c>
      <c r="X1555" s="14">
        <v>-8.9089041095890362</v>
      </c>
      <c r="Y1555" s="13">
        <v>148.69109589041096</v>
      </c>
      <c r="Z1555" s="10">
        <v>45420</v>
      </c>
      <c r="AA1555" s="9">
        <v>0</v>
      </c>
      <c r="AC1555" s="9">
        <v>438498</v>
      </c>
      <c r="AD1555" s="14">
        <v>47.11999999999999</v>
      </c>
      <c r="AF1555" s="14">
        <v>4</v>
      </c>
      <c r="AH1555" s="14">
        <v>51.11999999999999</v>
      </c>
      <c r="AI1555" s="13">
        <v>97.571095890410973</v>
      </c>
      <c r="AK1555" s="9">
        <v>200</v>
      </c>
    </row>
    <row r="1556" spans="1:37">
      <c r="A1556" s="9">
        <v>18</v>
      </c>
      <c r="B1556" s="9">
        <v>2024</v>
      </c>
      <c r="C1556" s="9" t="s">
        <v>46</v>
      </c>
      <c r="D1556" s="9" t="s">
        <v>47</v>
      </c>
      <c r="E1556" s="9" t="s">
        <v>47</v>
      </c>
      <c r="F1556" s="10">
        <v>45409</v>
      </c>
      <c r="G1556" s="9" t="s">
        <v>154</v>
      </c>
      <c r="H1556" s="9" t="s">
        <v>48</v>
      </c>
      <c r="I1556" s="9">
        <v>1</v>
      </c>
      <c r="J1556" s="9">
        <v>12</v>
      </c>
      <c r="K1556" s="9">
        <v>480</v>
      </c>
      <c r="L1556" s="9">
        <v>0.47</v>
      </c>
      <c r="M1556" s="9">
        <v>225.6</v>
      </c>
      <c r="N1556" s="9" t="s">
        <v>49</v>
      </c>
      <c r="Q1556" s="9">
        <f>IF(Auction_Sales[[#This Row],[Payment Date]]=0,"",-1+WEEKNUM(Auction_Sales[[#This Row],[Payment Date]]))</f>
        <v>18</v>
      </c>
      <c r="R1556" s="9">
        <v>0</v>
      </c>
      <c r="S1556" s="9" t="s">
        <v>154</v>
      </c>
      <c r="T1556" s="9" t="s">
        <v>48</v>
      </c>
      <c r="U1556" s="9">
        <v>480</v>
      </c>
      <c r="V1556" s="13">
        <v>0.47749999999999998</v>
      </c>
      <c r="W1556" s="9">
        <v>229.2</v>
      </c>
      <c r="X1556" s="14">
        <v>-21.381369863013688</v>
      </c>
      <c r="Y1556" s="13">
        <v>207.81863013698631</v>
      </c>
      <c r="Z1556" s="10">
        <v>45420</v>
      </c>
      <c r="AA1556" s="9">
        <v>0</v>
      </c>
      <c r="AC1556" s="9">
        <v>438498</v>
      </c>
      <c r="AD1556" s="14">
        <v>47.11999999999999</v>
      </c>
      <c r="AF1556" s="14">
        <v>9.6</v>
      </c>
      <c r="AH1556" s="14">
        <v>56.719999999999992</v>
      </c>
      <c r="AI1556" s="13">
        <v>151.09863013698632</v>
      </c>
      <c r="AK1556" s="9">
        <v>480</v>
      </c>
    </row>
    <row r="1557" spans="1:37">
      <c r="A1557" s="9">
        <v>18</v>
      </c>
      <c r="B1557" s="9">
        <v>2024</v>
      </c>
      <c r="C1557" s="9" t="s">
        <v>46</v>
      </c>
      <c r="D1557" s="9" t="s">
        <v>47</v>
      </c>
      <c r="E1557" s="9" t="s">
        <v>47</v>
      </c>
      <c r="F1557" s="10">
        <v>45409</v>
      </c>
      <c r="G1557" s="9" t="s">
        <v>153</v>
      </c>
      <c r="H1557" s="9" t="s">
        <v>54</v>
      </c>
      <c r="I1557" s="9">
        <v>1</v>
      </c>
      <c r="J1557" s="9">
        <v>12</v>
      </c>
      <c r="K1557" s="9">
        <v>440</v>
      </c>
      <c r="L1557" s="9">
        <v>0.33</v>
      </c>
      <c r="M1557" s="9">
        <v>145.19999999999999</v>
      </c>
      <c r="N1557" s="9" t="s">
        <v>49</v>
      </c>
      <c r="Q1557" s="9">
        <f>IF(Auction_Sales[[#This Row],[Payment Date]]=0,"",-1+WEEKNUM(Auction_Sales[[#This Row],[Payment Date]]))</f>
        <v>18</v>
      </c>
      <c r="R1557" s="9">
        <v>0</v>
      </c>
      <c r="S1557" s="9" t="s">
        <v>153</v>
      </c>
      <c r="T1557" s="9" t="s">
        <v>54</v>
      </c>
      <c r="U1557" s="9">
        <v>440</v>
      </c>
      <c r="V1557" s="13">
        <v>0.46636363636363631</v>
      </c>
      <c r="W1557" s="9">
        <v>205.2</v>
      </c>
      <c r="X1557" s="14">
        <v>-19.599589041095882</v>
      </c>
      <c r="Y1557" s="13">
        <v>185.60041095890409</v>
      </c>
      <c r="Z1557" s="10">
        <v>45420</v>
      </c>
      <c r="AA1557" s="9">
        <v>0</v>
      </c>
      <c r="AC1557" s="9">
        <v>438498</v>
      </c>
      <c r="AD1557" s="14">
        <v>47.11999999999999</v>
      </c>
      <c r="AF1557" s="14">
        <v>8.8000000000000007</v>
      </c>
      <c r="AH1557" s="14">
        <v>55.919999999999987</v>
      </c>
      <c r="AI1557" s="13">
        <v>129.6804109589041</v>
      </c>
      <c r="AK1557" s="9">
        <v>440</v>
      </c>
    </row>
    <row r="1558" spans="1:37">
      <c r="A1558" s="9">
        <v>18</v>
      </c>
      <c r="B1558" s="9">
        <v>2024</v>
      </c>
      <c r="C1558" s="9" t="s">
        <v>46</v>
      </c>
      <c r="D1558" s="9" t="s">
        <v>47</v>
      </c>
      <c r="E1558" s="9" t="s">
        <v>47</v>
      </c>
      <c r="F1558" s="10">
        <v>45409</v>
      </c>
      <c r="G1558" s="9" t="s">
        <v>153</v>
      </c>
      <c r="H1558" s="9" t="s">
        <v>52</v>
      </c>
      <c r="I1558" s="9">
        <v>1</v>
      </c>
      <c r="J1558" s="9">
        <v>12</v>
      </c>
      <c r="K1558" s="9">
        <v>520</v>
      </c>
      <c r="L1558" s="9">
        <v>0.28000000000000003</v>
      </c>
      <c r="M1558" s="9">
        <v>145.6</v>
      </c>
      <c r="N1558" s="9" t="s">
        <v>49</v>
      </c>
      <c r="Q1558" s="9">
        <f>IF(Auction_Sales[[#This Row],[Payment Date]]=0,"",-1+WEEKNUM(Auction_Sales[[#This Row],[Payment Date]]))</f>
        <v>18</v>
      </c>
      <c r="R1558" s="9">
        <v>0</v>
      </c>
      <c r="S1558" s="9" t="s">
        <v>153</v>
      </c>
      <c r="T1558" s="9" t="s">
        <v>52</v>
      </c>
      <c r="U1558" s="9">
        <v>520</v>
      </c>
      <c r="V1558" s="13">
        <v>0.36076923076923073</v>
      </c>
      <c r="W1558" s="9">
        <v>187.59999999999997</v>
      </c>
      <c r="X1558" s="14">
        <v>-23.163150684931495</v>
      </c>
      <c r="Y1558" s="13">
        <v>164.43684931506846</v>
      </c>
      <c r="Z1558" s="10">
        <v>45420</v>
      </c>
      <c r="AA1558" s="9">
        <v>0</v>
      </c>
      <c r="AC1558" s="9">
        <v>438498</v>
      </c>
      <c r="AD1558" s="14">
        <v>47.11999999999999</v>
      </c>
      <c r="AF1558" s="14">
        <v>10.4</v>
      </c>
      <c r="AH1558" s="14">
        <v>57.519999999999989</v>
      </c>
      <c r="AI1558" s="13">
        <v>106.91684931506848</v>
      </c>
      <c r="AK1558" s="9">
        <v>520</v>
      </c>
    </row>
    <row r="1559" spans="1:37">
      <c r="A1559" s="9">
        <v>18</v>
      </c>
      <c r="B1559" s="9">
        <v>2024</v>
      </c>
      <c r="C1559" s="9" t="s">
        <v>46</v>
      </c>
      <c r="D1559" s="9" t="s">
        <v>47</v>
      </c>
      <c r="E1559" s="9" t="s">
        <v>47</v>
      </c>
      <c r="F1559" s="10">
        <v>45409</v>
      </c>
      <c r="G1559" s="9" t="s">
        <v>153</v>
      </c>
      <c r="H1559" s="9" t="s">
        <v>56</v>
      </c>
      <c r="I1559" s="9">
        <v>1</v>
      </c>
      <c r="J1559" s="9">
        <v>7.5</v>
      </c>
      <c r="K1559" s="9">
        <v>200</v>
      </c>
      <c r="L1559" s="9">
        <v>0.38</v>
      </c>
      <c r="M1559" s="9">
        <v>76</v>
      </c>
      <c r="N1559" s="9" t="s">
        <v>49</v>
      </c>
      <c r="Q1559" s="9">
        <f>IF(Auction_Sales[[#This Row],[Payment Date]]=0,"",-1+WEEKNUM(Auction_Sales[[#This Row],[Payment Date]]))</f>
        <v>18</v>
      </c>
      <c r="R1559" s="9">
        <v>0</v>
      </c>
      <c r="S1559" s="9" t="s">
        <v>153</v>
      </c>
      <c r="T1559" s="9" t="s">
        <v>56</v>
      </c>
      <c r="U1559" s="9">
        <v>200</v>
      </c>
      <c r="V1559" s="13">
        <v>0.43200000000000005</v>
      </c>
      <c r="W1559" s="9">
        <v>86.4</v>
      </c>
      <c r="X1559" s="14">
        <v>-8.9089041095890362</v>
      </c>
      <c r="Y1559" s="13">
        <v>77.491095890410975</v>
      </c>
      <c r="Z1559" s="10">
        <v>45420</v>
      </c>
      <c r="AA1559" s="9">
        <v>0</v>
      </c>
      <c r="AC1559" s="9">
        <v>438498</v>
      </c>
      <c r="AD1559" s="14">
        <v>29.45</v>
      </c>
      <c r="AF1559" s="14">
        <v>4</v>
      </c>
      <c r="AH1559" s="14">
        <v>33.450000000000003</v>
      </c>
      <c r="AI1559" s="13">
        <v>44.041095890410972</v>
      </c>
      <c r="AK1559" s="9">
        <v>200</v>
      </c>
    </row>
    <row r="1560" spans="1:37">
      <c r="A1560" s="9">
        <v>18</v>
      </c>
      <c r="B1560" s="9">
        <v>2024</v>
      </c>
      <c r="C1560" s="9" t="s">
        <v>46</v>
      </c>
      <c r="D1560" s="9" t="s">
        <v>47</v>
      </c>
      <c r="E1560" s="9" t="s">
        <v>47</v>
      </c>
      <c r="F1560" s="10">
        <v>45409</v>
      </c>
      <c r="G1560" s="9" t="s">
        <v>153</v>
      </c>
      <c r="H1560" s="9" t="s">
        <v>57</v>
      </c>
      <c r="J1560" s="9">
        <v>4.5</v>
      </c>
      <c r="K1560" s="9">
        <v>120</v>
      </c>
      <c r="L1560" s="9">
        <v>0.47</v>
      </c>
      <c r="M1560" s="9">
        <v>56.4</v>
      </c>
      <c r="N1560" s="9" t="s">
        <v>49</v>
      </c>
      <c r="Q1560" s="9">
        <f>IF(Auction_Sales[[#This Row],[Payment Date]]=0,"",-1+WEEKNUM(Auction_Sales[[#This Row],[Payment Date]]))</f>
        <v>18</v>
      </c>
      <c r="R1560" s="9">
        <v>0</v>
      </c>
      <c r="S1560" s="9" t="s">
        <v>153</v>
      </c>
      <c r="T1560" s="9" t="s">
        <v>57</v>
      </c>
      <c r="U1560" s="9">
        <v>120</v>
      </c>
      <c r="V1560" s="13">
        <v>0.47</v>
      </c>
      <c r="W1560" s="9">
        <v>56.4</v>
      </c>
      <c r="X1560" s="14">
        <v>-5.3453424657534221</v>
      </c>
      <c r="Y1560" s="13">
        <v>51.054657534246573</v>
      </c>
      <c r="Z1560" s="10">
        <v>45420</v>
      </c>
      <c r="AA1560" s="9">
        <v>0</v>
      </c>
      <c r="AC1560" s="9">
        <v>438498</v>
      </c>
      <c r="AD1560" s="14">
        <v>17.669999999999998</v>
      </c>
      <c r="AF1560" s="14">
        <v>2.4</v>
      </c>
      <c r="AH1560" s="14">
        <v>20.069999999999997</v>
      </c>
      <c r="AI1560" s="13">
        <v>30.984657534246576</v>
      </c>
      <c r="AK1560" s="9">
        <v>120</v>
      </c>
    </row>
    <row r="1561" spans="1:37">
      <c r="A1561" s="9">
        <v>18</v>
      </c>
      <c r="B1561" s="9">
        <v>2024</v>
      </c>
      <c r="C1561" s="9" t="s">
        <v>46</v>
      </c>
      <c r="D1561" s="9" t="s">
        <v>47</v>
      </c>
      <c r="E1561" s="9" t="s">
        <v>47</v>
      </c>
      <c r="F1561" s="10">
        <v>45411</v>
      </c>
      <c r="G1561" s="9" t="s">
        <v>155</v>
      </c>
      <c r="H1561" s="9" t="s">
        <v>48</v>
      </c>
      <c r="I1561" s="9">
        <v>1</v>
      </c>
      <c r="J1561" s="9">
        <v>12</v>
      </c>
      <c r="K1561" s="9">
        <v>520</v>
      </c>
      <c r="L1561" s="9">
        <v>0.47</v>
      </c>
      <c r="M1561" s="9">
        <v>244.4</v>
      </c>
      <c r="N1561" s="9" t="s">
        <v>49</v>
      </c>
      <c r="Q1561" s="9">
        <f>IF(Auction_Sales[[#This Row],[Payment Date]]=0,"",-1+WEEKNUM(Auction_Sales[[#This Row],[Payment Date]]))</f>
        <v>18</v>
      </c>
      <c r="R1561" s="9">
        <v>520</v>
      </c>
      <c r="S1561" s="9" t="s">
        <v>155</v>
      </c>
      <c r="T1561" s="9" t="s">
        <v>48</v>
      </c>
      <c r="W1561" s="9">
        <v>0</v>
      </c>
      <c r="X1561" s="14">
        <v>0</v>
      </c>
      <c r="Y1561" s="13">
        <v>0</v>
      </c>
      <c r="Z1561" s="10">
        <v>45420</v>
      </c>
      <c r="AA1561" s="9">
        <v>-520</v>
      </c>
      <c r="AC1561" s="9" t="s">
        <v>100</v>
      </c>
      <c r="AD1561" s="14">
        <v>51.226666666666667</v>
      </c>
      <c r="AF1561" s="14">
        <v>0</v>
      </c>
      <c r="AH1561" s="14">
        <v>51.226666666666667</v>
      </c>
      <c r="AI1561" s="13">
        <v>-51.226666666666667</v>
      </c>
      <c r="AK1561" s="9">
        <v>0</v>
      </c>
    </row>
    <row r="1562" spans="1:37">
      <c r="A1562" s="9">
        <v>18</v>
      </c>
      <c r="B1562" s="9">
        <v>2024</v>
      </c>
      <c r="C1562" s="9" t="s">
        <v>46</v>
      </c>
      <c r="D1562" s="9" t="s">
        <v>47</v>
      </c>
      <c r="E1562" s="9" t="s">
        <v>47</v>
      </c>
      <c r="F1562" s="10">
        <v>45411</v>
      </c>
      <c r="G1562" s="9" t="s">
        <v>155</v>
      </c>
      <c r="H1562" s="9" t="s">
        <v>54</v>
      </c>
      <c r="I1562" s="9">
        <v>1</v>
      </c>
      <c r="J1562" s="9">
        <v>12</v>
      </c>
      <c r="K1562" s="9">
        <v>280</v>
      </c>
      <c r="L1562" s="9">
        <v>0.56999999999999995</v>
      </c>
      <c r="M1562" s="9">
        <v>159.6</v>
      </c>
      <c r="N1562" s="9" t="s">
        <v>49</v>
      </c>
      <c r="Q1562" s="9">
        <f>IF(Auction_Sales[[#This Row],[Payment Date]]=0,"",-1+WEEKNUM(Auction_Sales[[#This Row],[Payment Date]]))</f>
        <v>18</v>
      </c>
      <c r="R1562" s="9">
        <v>0</v>
      </c>
      <c r="S1562" s="9" t="s">
        <v>155</v>
      </c>
      <c r="T1562" s="9" t="s">
        <v>54</v>
      </c>
      <c r="U1562" s="9">
        <v>280</v>
      </c>
      <c r="V1562" s="13">
        <v>0.82</v>
      </c>
      <c r="W1562" s="9">
        <v>229.6</v>
      </c>
      <c r="X1562" s="14">
        <v>-13.392340425531909</v>
      </c>
      <c r="Y1562" s="13">
        <v>216.2076595744681</v>
      </c>
      <c r="Z1562" s="10">
        <v>45420</v>
      </c>
      <c r="AA1562" s="9">
        <v>0</v>
      </c>
      <c r="AC1562" s="9" t="s">
        <v>100</v>
      </c>
      <c r="AD1562" s="14">
        <v>51.226666666666667</v>
      </c>
      <c r="AF1562" s="14">
        <v>5.6000000000000005</v>
      </c>
      <c r="AH1562" s="14">
        <v>56.826666666666668</v>
      </c>
      <c r="AI1562" s="13">
        <v>159.38099290780144</v>
      </c>
      <c r="AK1562" s="9">
        <v>280</v>
      </c>
    </row>
    <row r="1563" spans="1:37">
      <c r="A1563" s="9">
        <v>18</v>
      </c>
      <c r="B1563" s="9">
        <v>2024</v>
      </c>
      <c r="C1563" s="9" t="s">
        <v>46</v>
      </c>
      <c r="D1563" s="9" t="s">
        <v>47</v>
      </c>
      <c r="E1563" s="9" t="s">
        <v>47</v>
      </c>
      <c r="F1563" s="10">
        <v>45411</v>
      </c>
      <c r="G1563" s="9" t="s">
        <v>155</v>
      </c>
      <c r="H1563" s="9" t="s">
        <v>57</v>
      </c>
      <c r="I1563" s="9">
        <v>1</v>
      </c>
      <c r="J1563" s="9">
        <v>12</v>
      </c>
      <c r="K1563" s="9">
        <v>200</v>
      </c>
      <c r="L1563" s="9">
        <v>0.94</v>
      </c>
      <c r="M1563" s="9">
        <v>188</v>
      </c>
      <c r="N1563" s="9" t="s">
        <v>49</v>
      </c>
      <c r="Q1563" s="9">
        <f>IF(Auction_Sales[[#This Row],[Payment Date]]=0,"",-1+WEEKNUM(Auction_Sales[[#This Row],[Payment Date]]))</f>
        <v>18</v>
      </c>
      <c r="R1563" s="9">
        <v>0</v>
      </c>
      <c r="S1563" s="9" t="s">
        <v>155</v>
      </c>
      <c r="T1563" s="9" t="s">
        <v>57</v>
      </c>
      <c r="U1563" s="9">
        <v>200</v>
      </c>
      <c r="V1563" s="13">
        <v>0.87</v>
      </c>
      <c r="W1563" s="9">
        <v>174</v>
      </c>
      <c r="X1563" s="14">
        <v>-9.5659574468085076</v>
      </c>
      <c r="Y1563" s="13">
        <v>164.43404255319149</v>
      </c>
      <c r="Z1563" s="10">
        <v>45420</v>
      </c>
      <c r="AA1563" s="9">
        <v>0</v>
      </c>
      <c r="AC1563" s="9" t="s">
        <v>100</v>
      </c>
      <c r="AD1563" s="14">
        <v>51.226666666666667</v>
      </c>
      <c r="AF1563" s="14">
        <v>4</v>
      </c>
      <c r="AH1563" s="14">
        <v>55.226666666666667</v>
      </c>
      <c r="AI1563" s="13">
        <v>109.20737588652483</v>
      </c>
      <c r="AK1563" s="9">
        <v>200</v>
      </c>
    </row>
    <row r="1564" spans="1:37">
      <c r="A1564" s="9">
        <v>18</v>
      </c>
      <c r="B1564" s="9">
        <v>2024</v>
      </c>
      <c r="C1564" s="9" t="s">
        <v>46</v>
      </c>
      <c r="D1564" s="9" t="s">
        <v>47</v>
      </c>
      <c r="E1564" s="9" t="s">
        <v>47</v>
      </c>
      <c r="F1564" s="10">
        <v>45411</v>
      </c>
      <c r="G1564" s="9" t="s">
        <v>154</v>
      </c>
      <c r="H1564" s="9" t="s">
        <v>51</v>
      </c>
      <c r="I1564" s="9">
        <v>1</v>
      </c>
      <c r="J1564" s="9">
        <v>12</v>
      </c>
      <c r="K1564" s="9">
        <v>520</v>
      </c>
      <c r="L1564" s="9">
        <v>0.38</v>
      </c>
      <c r="M1564" s="9">
        <v>197.6</v>
      </c>
      <c r="N1564" s="9" t="s">
        <v>49</v>
      </c>
      <c r="Q1564" s="9">
        <f>IF(Auction_Sales[[#This Row],[Payment Date]]=0,"",-1+WEEKNUM(Auction_Sales[[#This Row],[Payment Date]]))</f>
        <v>18</v>
      </c>
      <c r="R1564" s="9">
        <v>520</v>
      </c>
      <c r="S1564" s="9" t="s">
        <v>154</v>
      </c>
      <c r="T1564" s="9" t="s">
        <v>51</v>
      </c>
      <c r="W1564" s="9">
        <v>0</v>
      </c>
      <c r="X1564" s="14">
        <v>0</v>
      </c>
      <c r="Y1564" s="13">
        <v>0</v>
      </c>
      <c r="Z1564" s="10">
        <v>45420</v>
      </c>
      <c r="AA1564" s="9">
        <v>-520</v>
      </c>
      <c r="AC1564" s="9" t="s">
        <v>100</v>
      </c>
      <c r="AD1564" s="14">
        <v>51.226666666666667</v>
      </c>
      <c r="AF1564" s="14">
        <v>0</v>
      </c>
      <c r="AH1564" s="14">
        <v>51.226666666666667</v>
      </c>
      <c r="AI1564" s="13">
        <v>-51.226666666666667</v>
      </c>
      <c r="AK1564" s="9">
        <v>0</v>
      </c>
    </row>
    <row r="1565" spans="1:37">
      <c r="A1565" s="9">
        <v>18</v>
      </c>
      <c r="B1565" s="9">
        <v>2024</v>
      </c>
      <c r="C1565" s="9" t="s">
        <v>46</v>
      </c>
      <c r="D1565" s="9" t="s">
        <v>47</v>
      </c>
      <c r="E1565" s="9" t="s">
        <v>47</v>
      </c>
      <c r="F1565" s="10">
        <v>45411</v>
      </c>
      <c r="G1565" s="9" t="s">
        <v>155</v>
      </c>
      <c r="H1565" s="9" t="s">
        <v>48</v>
      </c>
      <c r="I1565" s="9">
        <v>1</v>
      </c>
      <c r="J1565" s="9">
        <v>9.3333333333333339</v>
      </c>
      <c r="K1565" s="9">
        <v>280</v>
      </c>
      <c r="L1565" s="9">
        <v>0.47</v>
      </c>
      <c r="M1565" s="9">
        <v>131.6</v>
      </c>
      <c r="N1565" s="9" t="s">
        <v>49</v>
      </c>
      <c r="Q1565" s="9">
        <f>IF(Auction_Sales[[#This Row],[Payment Date]]=0,"",-1+WEEKNUM(Auction_Sales[[#This Row],[Payment Date]]))</f>
        <v>18</v>
      </c>
      <c r="R1565" s="9">
        <v>-520</v>
      </c>
      <c r="S1565" s="9" t="s">
        <v>155</v>
      </c>
      <c r="T1565" s="9" t="s">
        <v>48</v>
      </c>
      <c r="U1565" s="9">
        <v>800</v>
      </c>
      <c r="V1565" s="13">
        <v>0.52249999999999996</v>
      </c>
      <c r="W1565" s="9">
        <v>418</v>
      </c>
      <c r="X1565" s="14">
        <v>-38.26382978723403</v>
      </c>
      <c r="Y1565" s="13">
        <v>379.73617021276596</v>
      </c>
      <c r="Z1565" s="10">
        <v>45420</v>
      </c>
      <c r="AA1565" s="9">
        <v>520</v>
      </c>
      <c r="AC1565" s="9" t="s">
        <v>100</v>
      </c>
      <c r="AD1565" s="14">
        <v>39.842962962962972</v>
      </c>
      <c r="AF1565" s="14">
        <v>16</v>
      </c>
      <c r="AH1565" s="14">
        <v>55.842962962962972</v>
      </c>
      <c r="AI1565" s="13">
        <v>323.89320724980297</v>
      </c>
      <c r="AK1565" s="9">
        <v>800</v>
      </c>
    </row>
    <row r="1566" spans="1:37">
      <c r="A1566" s="9">
        <v>18</v>
      </c>
      <c r="B1566" s="9">
        <v>2024</v>
      </c>
      <c r="C1566" s="9" t="s">
        <v>46</v>
      </c>
      <c r="D1566" s="9" t="s">
        <v>47</v>
      </c>
      <c r="E1566" s="9" t="s">
        <v>47</v>
      </c>
      <c r="F1566" s="10">
        <v>45411</v>
      </c>
      <c r="G1566" s="9" t="s">
        <v>155</v>
      </c>
      <c r="H1566" s="9" t="s">
        <v>52</v>
      </c>
      <c r="J1566" s="9">
        <v>2.6666666666666665</v>
      </c>
      <c r="K1566" s="9">
        <v>80</v>
      </c>
      <c r="L1566" s="9">
        <v>0.52</v>
      </c>
      <c r="M1566" s="9">
        <v>41.6</v>
      </c>
      <c r="N1566" s="9" t="s">
        <v>49</v>
      </c>
      <c r="Q1566" s="9">
        <f>IF(Auction_Sales[[#This Row],[Payment Date]]=0,"",-1+WEEKNUM(Auction_Sales[[#This Row],[Payment Date]]))</f>
        <v>18</v>
      </c>
      <c r="R1566" s="9">
        <v>0</v>
      </c>
      <c r="S1566" s="9" t="s">
        <v>155</v>
      </c>
      <c r="T1566" s="9" t="s">
        <v>52</v>
      </c>
      <c r="U1566" s="9">
        <v>80</v>
      </c>
      <c r="V1566" s="13">
        <v>0.67</v>
      </c>
      <c r="W1566" s="9">
        <v>53.6</v>
      </c>
      <c r="X1566" s="14">
        <v>-3.8263829787234025</v>
      </c>
      <c r="Y1566" s="13">
        <v>49.7736170212766</v>
      </c>
      <c r="Z1566" s="10">
        <v>45420</v>
      </c>
      <c r="AA1566" s="9">
        <v>0</v>
      </c>
      <c r="AC1566" s="9" t="s">
        <v>100</v>
      </c>
      <c r="AD1566" s="14">
        <v>11.383703703703704</v>
      </c>
      <c r="AF1566" s="14">
        <v>1.6</v>
      </c>
      <c r="AH1566" s="14">
        <v>12.983703703703704</v>
      </c>
      <c r="AI1566" s="13">
        <v>36.789913317572896</v>
      </c>
      <c r="AK1566" s="9">
        <v>80</v>
      </c>
    </row>
    <row r="1567" spans="1:37">
      <c r="A1567" s="9">
        <v>18</v>
      </c>
      <c r="B1567" s="9">
        <v>2024</v>
      </c>
      <c r="C1567" s="9" t="s">
        <v>46</v>
      </c>
      <c r="D1567" s="9" t="s">
        <v>47</v>
      </c>
      <c r="E1567" s="9" t="s">
        <v>47</v>
      </c>
      <c r="F1567" s="10">
        <v>45411</v>
      </c>
      <c r="G1567" s="9" t="s">
        <v>154</v>
      </c>
      <c r="H1567" s="9" t="s">
        <v>51</v>
      </c>
      <c r="I1567" s="9">
        <v>1</v>
      </c>
      <c r="J1567" s="9">
        <v>8</v>
      </c>
      <c r="K1567" s="9">
        <v>320</v>
      </c>
      <c r="L1567" s="9">
        <v>0.38</v>
      </c>
      <c r="M1567" s="9">
        <v>121.6</v>
      </c>
      <c r="N1567" s="9" t="s">
        <v>49</v>
      </c>
      <c r="Q1567" s="9">
        <f>IF(Auction_Sales[[#This Row],[Payment Date]]=0,"",-1+WEEKNUM(Auction_Sales[[#This Row],[Payment Date]]))</f>
        <v>18</v>
      </c>
      <c r="R1567" s="9">
        <v>-520</v>
      </c>
      <c r="S1567" s="9" t="s">
        <v>154</v>
      </c>
      <c r="T1567" s="9" t="s">
        <v>51</v>
      </c>
      <c r="U1567" s="9">
        <v>840</v>
      </c>
      <c r="V1567" s="13">
        <v>0.38857142857142857</v>
      </c>
      <c r="W1567" s="9">
        <v>326.39999999999998</v>
      </c>
      <c r="X1567" s="14">
        <v>-40.177021276595724</v>
      </c>
      <c r="Y1567" s="13">
        <v>286.22297872340425</v>
      </c>
      <c r="Z1567" s="10">
        <v>45420</v>
      </c>
      <c r="AA1567" s="9">
        <v>520</v>
      </c>
      <c r="AC1567" s="9" t="s">
        <v>100</v>
      </c>
      <c r="AD1567" s="14">
        <v>34.151111111111113</v>
      </c>
      <c r="AF1567" s="14">
        <v>16.8</v>
      </c>
      <c r="AH1567" s="14">
        <v>50.951111111111118</v>
      </c>
      <c r="AI1567" s="13">
        <v>235.27186761229314</v>
      </c>
      <c r="AK1567" s="9">
        <v>840</v>
      </c>
    </row>
    <row r="1568" spans="1:37">
      <c r="A1568" s="9">
        <v>18</v>
      </c>
      <c r="B1568" s="9">
        <v>2024</v>
      </c>
      <c r="C1568" s="9" t="s">
        <v>46</v>
      </c>
      <c r="D1568" s="9" t="s">
        <v>47</v>
      </c>
      <c r="E1568" s="9" t="s">
        <v>47</v>
      </c>
      <c r="F1568" s="10">
        <v>45411</v>
      </c>
      <c r="G1568" s="9" t="s">
        <v>154</v>
      </c>
      <c r="H1568" s="9" t="s">
        <v>54</v>
      </c>
      <c r="J1568" s="9">
        <v>4</v>
      </c>
      <c r="K1568" s="9">
        <v>160</v>
      </c>
      <c r="L1568" s="9">
        <v>0.56999999999999995</v>
      </c>
      <c r="M1568" s="9">
        <v>91.2</v>
      </c>
      <c r="N1568" s="9" t="s">
        <v>49</v>
      </c>
      <c r="Q1568" s="9">
        <f>IF(Auction_Sales[[#This Row],[Payment Date]]=0,"",-1+WEEKNUM(Auction_Sales[[#This Row],[Payment Date]]))</f>
        <v>18</v>
      </c>
      <c r="R1568" s="9">
        <v>160</v>
      </c>
      <c r="S1568" s="9" t="s">
        <v>154</v>
      </c>
      <c r="T1568" s="9" t="s">
        <v>54</v>
      </c>
      <c r="W1568" s="9">
        <v>0</v>
      </c>
      <c r="X1568" s="14">
        <v>0</v>
      </c>
      <c r="Y1568" s="13">
        <v>0</v>
      </c>
      <c r="Z1568" s="10">
        <v>45420</v>
      </c>
      <c r="AA1568" s="9">
        <v>-160</v>
      </c>
      <c r="AC1568" s="9" t="s">
        <v>100</v>
      </c>
      <c r="AD1568" s="14">
        <v>17.075555555555557</v>
      </c>
      <c r="AF1568" s="14">
        <v>0</v>
      </c>
      <c r="AH1568" s="14">
        <v>17.075555555555557</v>
      </c>
      <c r="AI1568" s="13">
        <v>-17.075555555555557</v>
      </c>
      <c r="AK1568" s="9">
        <v>0</v>
      </c>
    </row>
    <row r="1569" spans="1:37">
      <c r="A1569" s="9">
        <v>18</v>
      </c>
      <c r="B1569" s="9">
        <v>2024</v>
      </c>
      <c r="C1569" s="9" t="s">
        <v>46</v>
      </c>
      <c r="D1569" s="9" t="s">
        <v>47</v>
      </c>
      <c r="E1569" s="9" t="s">
        <v>47</v>
      </c>
      <c r="F1569" s="10">
        <v>45411</v>
      </c>
      <c r="G1569" s="9" t="s">
        <v>154</v>
      </c>
      <c r="H1569" s="9" t="s">
        <v>48</v>
      </c>
      <c r="I1569" s="9">
        <v>1</v>
      </c>
      <c r="J1569" s="9">
        <v>10.8</v>
      </c>
      <c r="K1569" s="9">
        <v>360</v>
      </c>
      <c r="L1569" s="9">
        <v>0.47</v>
      </c>
      <c r="M1569" s="9">
        <v>169.2</v>
      </c>
      <c r="N1569" s="9" t="s">
        <v>49</v>
      </c>
      <c r="Q1569" s="9">
        <f>IF(Auction_Sales[[#This Row],[Payment Date]]=0,"",-1+WEEKNUM(Auction_Sales[[#This Row],[Payment Date]]))</f>
        <v>18</v>
      </c>
      <c r="R1569" s="9">
        <v>0</v>
      </c>
      <c r="S1569" s="9" t="s">
        <v>154</v>
      </c>
      <c r="T1569" s="9" t="s">
        <v>48</v>
      </c>
      <c r="U1569" s="9">
        <v>360</v>
      </c>
      <c r="V1569" s="13">
        <v>0.50222222222222224</v>
      </c>
      <c r="W1569" s="9">
        <v>180.8</v>
      </c>
      <c r="X1569" s="14">
        <v>-17.218723404255311</v>
      </c>
      <c r="Y1569" s="13">
        <v>163.5812765957447</v>
      </c>
      <c r="Z1569" s="10">
        <v>45420</v>
      </c>
      <c r="AA1569" s="9">
        <v>0</v>
      </c>
      <c r="AC1569" s="9" t="s">
        <v>100</v>
      </c>
      <c r="AD1569" s="14">
        <v>46.104000000000006</v>
      </c>
      <c r="AF1569" s="14">
        <v>7.2</v>
      </c>
      <c r="AH1569" s="14">
        <v>53.304000000000009</v>
      </c>
      <c r="AI1569" s="13">
        <v>110.27727659574469</v>
      </c>
      <c r="AK1569" s="9">
        <v>360</v>
      </c>
    </row>
    <row r="1570" spans="1:37">
      <c r="A1570" s="9">
        <v>18</v>
      </c>
      <c r="B1570" s="9">
        <v>2024</v>
      </c>
      <c r="C1570" s="9" t="s">
        <v>46</v>
      </c>
      <c r="D1570" s="9" t="s">
        <v>47</v>
      </c>
      <c r="E1570" s="9" t="s">
        <v>47</v>
      </c>
      <c r="F1570" s="10">
        <v>45411</v>
      </c>
      <c r="G1570" s="9" t="s">
        <v>154</v>
      </c>
      <c r="H1570" s="9" t="s">
        <v>56</v>
      </c>
      <c r="J1570" s="9">
        <v>1.2000000000000002</v>
      </c>
      <c r="K1570" s="9">
        <v>40</v>
      </c>
      <c r="L1570" s="9">
        <v>0.75</v>
      </c>
      <c r="M1570" s="9">
        <v>30</v>
      </c>
      <c r="N1570" s="9" t="s">
        <v>49</v>
      </c>
      <c r="Q1570" s="9">
        <f>IF(Auction_Sales[[#This Row],[Payment Date]]=0,"",-1+WEEKNUM(Auction_Sales[[#This Row],[Payment Date]]))</f>
        <v>18</v>
      </c>
      <c r="R1570" s="9">
        <v>-120</v>
      </c>
      <c r="S1570" s="9" t="s">
        <v>154</v>
      </c>
      <c r="T1570" s="9" t="s">
        <v>56</v>
      </c>
      <c r="U1570" s="9">
        <v>160</v>
      </c>
      <c r="V1570" s="13">
        <v>0.45</v>
      </c>
      <c r="W1570" s="9">
        <v>72</v>
      </c>
      <c r="X1570" s="14">
        <v>-7.652765957446805</v>
      </c>
      <c r="Y1570" s="13">
        <v>64.347234042553197</v>
      </c>
      <c r="Z1570" s="10">
        <v>45420</v>
      </c>
      <c r="AA1570" s="9">
        <v>120</v>
      </c>
      <c r="AC1570" s="9" t="s">
        <v>100</v>
      </c>
      <c r="AD1570" s="14">
        <v>5.1226666666666683</v>
      </c>
      <c r="AF1570" s="14">
        <v>3.2</v>
      </c>
      <c r="AH1570" s="14">
        <v>8.3226666666666684</v>
      </c>
      <c r="AI1570" s="13">
        <v>56.024567375886527</v>
      </c>
      <c r="AK1570" s="9">
        <v>160</v>
      </c>
    </row>
    <row r="1571" spans="1:37">
      <c r="A1571" s="9">
        <v>18</v>
      </c>
      <c r="B1571" s="9">
        <v>2024</v>
      </c>
      <c r="C1571" s="9" t="s">
        <v>46</v>
      </c>
      <c r="D1571" s="9" t="s">
        <v>47</v>
      </c>
      <c r="E1571" s="9" t="s">
        <v>47</v>
      </c>
      <c r="F1571" s="10">
        <v>45411</v>
      </c>
      <c r="G1571" s="9" t="s">
        <v>153</v>
      </c>
      <c r="H1571" s="9" t="s">
        <v>52</v>
      </c>
      <c r="I1571" s="9">
        <v>1</v>
      </c>
      <c r="J1571" s="9">
        <v>8.3076923076923066</v>
      </c>
      <c r="K1571" s="9">
        <v>360</v>
      </c>
      <c r="L1571" s="9">
        <v>0.28000000000000003</v>
      </c>
      <c r="M1571" s="9">
        <v>100.8</v>
      </c>
      <c r="N1571" s="9" t="s">
        <v>49</v>
      </c>
      <c r="Q1571" s="9">
        <f>IF(Auction_Sales[[#This Row],[Payment Date]]=0,"",-1+WEEKNUM(Auction_Sales[[#This Row],[Payment Date]]))</f>
        <v>18</v>
      </c>
      <c r="R1571" s="9">
        <v>0</v>
      </c>
      <c r="S1571" s="9" t="s">
        <v>153</v>
      </c>
      <c r="T1571" s="9" t="s">
        <v>52</v>
      </c>
      <c r="U1571" s="9">
        <v>360</v>
      </c>
      <c r="V1571" s="13">
        <v>0.40888888888888886</v>
      </c>
      <c r="W1571" s="9">
        <v>147.19999999999999</v>
      </c>
      <c r="X1571" s="14">
        <v>-17.218723404255311</v>
      </c>
      <c r="Y1571" s="13">
        <v>129.98127659574467</v>
      </c>
      <c r="Z1571" s="10">
        <v>45420</v>
      </c>
      <c r="AA1571" s="9">
        <v>0</v>
      </c>
      <c r="AC1571" s="9" t="s">
        <v>100</v>
      </c>
      <c r="AD1571" s="14">
        <v>35.464615384615385</v>
      </c>
      <c r="AF1571" s="14">
        <v>7.2</v>
      </c>
      <c r="AH1571" s="14">
        <v>42.664615384615388</v>
      </c>
      <c r="AI1571" s="13">
        <v>87.316661211129286</v>
      </c>
      <c r="AK1571" s="9">
        <v>360</v>
      </c>
    </row>
    <row r="1572" spans="1:37">
      <c r="A1572" s="9">
        <v>18</v>
      </c>
      <c r="B1572" s="9">
        <v>2024</v>
      </c>
      <c r="C1572" s="9" t="s">
        <v>46</v>
      </c>
      <c r="D1572" s="9" t="s">
        <v>47</v>
      </c>
      <c r="E1572" s="9" t="s">
        <v>47</v>
      </c>
      <c r="F1572" s="10">
        <v>45411</v>
      </c>
      <c r="G1572" s="9" t="s">
        <v>153</v>
      </c>
      <c r="H1572" s="9" t="s">
        <v>56</v>
      </c>
      <c r="J1572" s="9">
        <v>3.6923076923076925</v>
      </c>
      <c r="K1572" s="9">
        <v>160</v>
      </c>
      <c r="L1572" s="9">
        <v>0.38</v>
      </c>
      <c r="M1572" s="9">
        <v>60.8</v>
      </c>
      <c r="N1572" s="9" t="s">
        <v>49</v>
      </c>
      <c r="Q1572" s="9">
        <f>IF(Auction_Sales[[#This Row],[Payment Date]]=0,"",-1+WEEKNUM(Auction_Sales[[#This Row],[Payment Date]]))</f>
        <v>18</v>
      </c>
      <c r="R1572" s="9">
        <v>0</v>
      </c>
      <c r="S1572" s="9" t="s">
        <v>153</v>
      </c>
      <c r="T1572" s="9" t="s">
        <v>56</v>
      </c>
      <c r="U1572" s="9">
        <v>160</v>
      </c>
      <c r="V1572" s="13">
        <v>0.50250000000000006</v>
      </c>
      <c r="W1572" s="9">
        <v>80.400000000000006</v>
      </c>
      <c r="X1572" s="14">
        <v>-7.652765957446805</v>
      </c>
      <c r="Y1572" s="13">
        <v>72.747234042553202</v>
      </c>
      <c r="Z1572" s="10">
        <v>45420</v>
      </c>
      <c r="AA1572" s="9">
        <v>0</v>
      </c>
      <c r="AC1572" s="9" t="s">
        <v>100</v>
      </c>
      <c r="AD1572" s="14">
        <v>15.762051282051285</v>
      </c>
      <c r="AF1572" s="14">
        <v>3.2</v>
      </c>
      <c r="AH1572" s="14">
        <v>18.962051282051284</v>
      </c>
      <c r="AI1572" s="13">
        <v>53.785182760501918</v>
      </c>
      <c r="AK1572" s="9">
        <v>160</v>
      </c>
    </row>
    <row r="1573" spans="1:37">
      <c r="A1573" s="9">
        <v>18</v>
      </c>
      <c r="B1573" s="9">
        <v>2024</v>
      </c>
      <c r="C1573" s="9" t="s">
        <v>46</v>
      </c>
      <c r="D1573" s="9" t="s">
        <v>47</v>
      </c>
      <c r="E1573" s="9" t="s">
        <v>47</v>
      </c>
      <c r="F1573" s="10">
        <v>45411</v>
      </c>
      <c r="G1573" s="9" t="s">
        <v>153</v>
      </c>
      <c r="H1573" s="9" t="s">
        <v>54</v>
      </c>
      <c r="I1573" s="9">
        <v>1</v>
      </c>
      <c r="J1573" s="9">
        <v>10</v>
      </c>
      <c r="K1573" s="9">
        <v>400</v>
      </c>
      <c r="L1573" s="9">
        <v>0.33</v>
      </c>
      <c r="M1573" s="9">
        <v>132</v>
      </c>
      <c r="N1573" s="9" t="s">
        <v>49</v>
      </c>
      <c r="Q1573" s="9">
        <f>IF(Auction_Sales[[#This Row],[Payment Date]]=0,"",-1+WEEKNUM(Auction_Sales[[#This Row],[Payment Date]]))</f>
        <v>18</v>
      </c>
      <c r="R1573" s="9">
        <v>0</v>
      </c>
      <c r="S1573" s="9" t="s">
        <v>153</v>
      </c>
      <c r="T1573" s="9" t="s">
        <v>54</v>
      </c>
      <c r="U1573" s="9">
        <v>400</v>
      </c>
      <c r="V1573" s="13">
        <v>0.47399999999999998</v>
      </c>
      <c r="W1573" s="9">
        <v>189.6</v>
      </c>
      <c r="X1573" s="14">
        <v>-19.131914893617015</v>
      </c>
      <c r="Y1573" s="13">
        <v>170.46808510638297</v>
      </c>
      <c r="Z1573" s="10">
        <v>45420</v>
      </c>
      <c r="AA1573" s="9">
        <v>0</v>
      </c>
      <c r="AC1573" s="9" t="s">
        <v>100</v>
      </c>
      <c r="AD1573" s="14">
        <v>42.68888888888889</v>
      </c>
      <c r="AF1573" s="14">
        <v>8</v>
      </c>
      <c r="AH1573" s="14">
        <v>50.68888888888889</v>
      </c>
      <c r="AI1573" s="13">
        <v>119.77919621749407</v>
      </c>
      <c r="AK1573" s="9">
        <v>400</v>
      </c>
    </row>
    <row r="1574" spans="1:37">
      <c r="A1574" s="9">
        <v>18</v>
      </c>
      <c r="B1574" s="9">
        <v>2024</v>
      </c>
      <c r="C1574" s="9" t="s">
        <v>46</v>
      </c>
      <c r="D1574" s="9" t="s">
        <v>47</v>
      </c>
      <c r="E1574" s="9" t="s">
        <v>47</v>
      </c>
      <c r="F1574" s="10">
        <v>45411</v>
      </c>
      <c r="G1574" s="9" t="s">
        <v>153</v>
      </c>
      <c r="H1574" s="9" t="s">
        <v>57</v>
      </c>
      <c r="J1574" s="9">
        <v>2</v>
      </c>
      <c r="K1574" s="9">
        <v>80</v>
      </c>
      <c r="L1574" s="9">
        <v>0.47</v>
      </c>
      <c r="M1574" s="9">
        <v>37.6</v>
      </c>
      <c r="N1574" s="9" t="s">
        <v>49</v>
      </c>
      <c r="Q1574" s="9">
        <f>IF(Auction_Sales[[#This Row],[Payment Date]]=0,"",-1+WEEKNUM(Auction_Sales[[#This Row],[Payment Date]]))</f>
        <v>18</v>
      </c>
      <c r="R1574" s="9">
        <v>0</v>
      </c>
      <c r="S1574" s="9" t="s">
        <v>153</v>
      </c>
      <c r="T1574" s="9" t="s">
        <v>57</v>
      </c>
      <c r="U1574" s="9">
        <v>80</v>
      </c>
      <c r="V1574" s="13">
        <v>0.63500000000000001</v>
      </c>
      <c r="W1574" s="9">
        <v>50.8</v>
      </c>
      <c r="X1574" s="14">
        <v>-3.8263829787234025</v>
      </c>
      <c r="Y1574" s="13">
        <v>46.973617021276596</v>
      </c>
      <c r="Z1574" s="10">
        <v>45420</v>
      </c>
      <c r="AA1574" s="9">
        <v>0</v>
      </c>
      <c r="AC1574" s="9" t="s">
        <v>100</v>
      </c>
      <c r="AD1574" s="14">
        <v>8.5377777777777784</v>
      </c>
      <c r="AF1574" s="14">
        <v>1.6</v>
      </c>
      <c r="AH1574" s="14">
        <v>10.137777777777778</v>
      </c>
      <c r="AI1574" s="13">
        <v>36.835839243498818</v>
      </c>
      <c r="AK1574" s="9">
        <v>80</v>
      </c>
    </row>
    <row r="1575" spans="1:37">
      <c r="A1575" s="9">
        <v>18</v>
      </c>
      <c r="B1575" s="9">
        <v>2024</v>
      </c>
      <c r="C1575" s="9" t="s">
        <v>46</v>
      </c>
      <c r="D1575" s="9" t="s">
        <v>47</v>
      </c>
      <c r="E1575" s="9" t="s">
        <v>47</v>
      </c>
      <c r="F1575" s="10">
        <v>45411</v>
      </c>
      <c r="G1575" s="9" t="s">
        <v>154</v>
      </c>
      <c r="H1575" s="9" t="s">
        <v>57</v>
      </c>
      <c r="N1575" s="9" t="s">
        <v>49</v>
      </c>
      <c r="Q1575" s="9">
        <f>IF(Auction_Sales[[#This Row],[Payment Date]]=0,"",-1+WEEKNUM(Auction_Sales[[#This Row],[Payment Date]]))</f>
        <v>18</v>
      </c>
      <c r="R1575" s="9">
        <v>-40</v>
      </c>
      <c r="S1575" s="9" t="s">
        <v>154</v>
      </c>
      <c r="T1575" s="9" t="s">
        <v>57</v>
      </c>
      <c r="U1575" s="9">
        <v>40</v>
      </c>
      <c r="V1575" s="13">
        <v>0.89</v>
      </c>
      <c r="W1575" s="9">
        <v>35.6</v>
      </c>
      <c r="X1575" s="14">
        <v>-1.9131914893617012</v>
      </c>
      <c r="Y1575" s="13">
        <v>33.686808510638301</v>
      </c>
      <c r="Z1575" s="10">
        <v>45420</v>
      </c>
      <c r="AA1575" s="9">
        <v>40</v>
      </c>
      <c r="AC1575" s="9" t="s">
        <v>100</v>
      </c>
      <c r="AD1575" s="14">
        <v>0</v>
      </c>
      <c r="AF1575" s="14">
        <v>0.8</v>
      </c>
      <c r="AH1575" s="14">
        <v>0.8</v>
      </c>
      <c r="AI1575" s="13">
        <v>32.886808510638303</v>
      </c>
      <c r="AK1575" s="9">
        <v>40</v>
      </c>
    </row>
    <row r="1576" spans="1:37">
      <c r="A1576" s="9">
        <v>18</v>
      </c>
      <c r="B1576" s="9">
        <v>2024</v>
      </c>
      <c r="C1576" s="9" t="s">
        <v>46</v>
      </c>
      <c r="D1576" s="9" t="s">
        <v>47</v>
      </c>
      <c r="E1576" s="9" t="s">
        <v>47</v>
      </c>
      <c r="F1576" s="10">
        <v>45414</v>
      </c>
      <c r="G1576" s="9" t="s">
        <v>153</v>
      </c>
      <c r="H1576" s="9" t="s">
        <v>52</v>
      </c>
      <c r="I1576" s="9">
        <v>1</v>
      </c>
      <c r="J1576" s="9">
        <v>12</v>
      </c>
      <c r="K1576" s="9">
        <v>400</v>
      </c>
      <c r="L1576" s="9">
        <v>0.28000000000000003</v>
      </c>
      <c r="M1576" s="9">
        <v>112</v>
      </c>
      <c r="N1576" s="9" t="s">
        <v>49</v>
      </c>
      <c r="Q1576" s="9">
        <f>IF(Auction_Sales[[#This Row],[Payment Date]]=0,"",-1+WEEKNUM(Auction_Sales[[#This Row],[Payment Date]]))</f>
        <v>19</v>
      </c>
      <c r="R1576" s="9">
        <v>0</v>
      </c>
      <c r="S1576" s="9" t="s">
        <v>153</v>
      </c>
      <c r="T1576" s="9" t="s">
        <v>52</v>
      </c>
      <c r="U1576" s="9">
        <v>400</v>
      </c>
      <c r="V1576" s="13">
        <v>0.60799999999999998</v>
      </c>
      <c r="W1576" s="9">
        <v>243.2</v>
      </c>
      <c r="X1576" s="14">
        <v>-25.434710743801634</v>
      </c>
      <c r="Y1576" s="13">
        <v>217.76528925619834</v>
      </c>
      <c r="Z1576" s="10">
        <v>45427</v>
      </c>
      <c r="AA1576" s="9">
        <v>0</v>
      </c>
      <c r="AC1576" s="9">
        <v>439242</v>
      </c>
      <c r="AD1576" s="14">
        <v>44.215714285714284</v>
      </c>
      <c r="AF1576" s="14">
        <v>8</v>
      </c>
      <c r="AH1576" s="14">
        <v>52.215714285714284</v>
      </c>
      <c r="AI1576" s="13">
        <v>165.54957497048406</v>
      </c>
      <c r="AK1576" s="9">
        <v>400</v>
      </c>
    </row>
    <row r="1577" spans="1:37">
      <c r="A1577" s="9">
        <v>18</v>
      </c>
      <c r="B1577" s="9">
        <v>2024</v>
      </c>
      <c r="C1577" s="9" t="s">
        <v>46</v>
      </c>
      <c r="D1577" s="9" t="s">
        <v>47</v>
      </c>
      <c r="E1577" s="9" t="s">
        <v>47</v>
      </c>
      <c r="F1577" s="10">
        <v>45414</v>
      </c>
      <c r="G1577" s="9" t="s">
        <v>155</v>
      </c>
      <c r="H1577" s="9" t="s">
        <v>56</v>
      </c>
      <c r="I1577" s="9">
        <v>1</v>
      </c>
      <c r="J1577" s="9">
        <v>12</v>
      </c>
      <c r="K1577" s="9">
        <v>200</v>
      </c>
      <c r="L1577" s="9">
        <v>0.75</v>
      </c>
      <c r="M1577" s="9">
        <v>150</v>
      </c>
      <c r="N1577" s="9" t="s">
        <v>49</v>
      </c>
      <c r="Q1577" s="9">
        <f>IF(Auction_Sales[[#This Row],[Payment Date]]=0,"",-1+WEEKNUM(Auction_Sales[[#This Row],[Payment Date]]))</f>
        <v>19</v>
      </c>
      <c r="R1577" s="9">
        <v>0</v>
      </c>
      <c r="S1577" s="9" t="s">
        <v>155</v>
      </c>
      <c r="T1577" s="9" t="s">
        <v>56</v>
      </c>
      <c r="U1577" s="9">
        <v>200</v>
      </c>
      <c r="V1577" s="13">
        <v>0.99199999999999999</v>
      </c>
      <c r="W1577" s="9">
        <v>198.4</v>
      </c>
      <c r="X1577" s="14">
        <v>-12.717355371900817</v>
      </c>
      <c r="Y1577" s="13">
        <v>185.68264462809918</v>
      </c>
      <c r="Z1577" s="10">
        <v>45427</v>
      </c>
      <c r="AA1577" s="9">
        <v>0</v>
      </c>
      <c r="AC1577" s="9">
        <v>439242</v>
      </c>
      <c r="AD1577" s="14">
        <v>44.215714285714284</v>
      </c>
      <c r="AF1577" s="14">
        <v>4</v>
      </c>
      <c r="AH1577" s="14">
        <v>48.215714285714284</v>
      </c>
      <c r="AI1577" s="13">
        <v>137.4669303423849</v>
      </c>
      <c r="AK1577" s="9">
        <v>200</v>
      </c>
    </row>
    <row r="1578" spans="1:37">
      <c r="A1578" s="9">
        <v>18</v>
      </c>
      <c r="B1578" s="9">
        <v>2024</v>
      </c>
      <c r="C1578" s="9" t="s">
        <v>46</v>
      </c>
      <c r="D1578" s="9" t="s">
        <v>47</v>
      </c>
      <c r="E1578" s="9" t="s">
        <v>47</v>
      </c>
      <c r="F1578" s="10">
        <v>45414</v>
      </c>
      <c r="G1578" s="9" t="s">
        <v>153</v>
      </c>
      <c r="H1578" s="9" t="s">
        <v>56</v>
      </c>
      <c r="I1578" s="9">
        <v>1</v>
      </c>
      <c r="J1578" s="9">
        <v>4.8000000000000007</v>
      </c>
      <c r="K1578" s="9">
        <v>160</v>
      </c>
      <c r="L1578" s="9">
        <v>0.38</v>
      </c>
      <c r="M1578" s="9">
        <v>60.8</v>
      </c>
      <c r="N1578" s="9" t="s">
        <v>49</v>
      </c>
      <c r="Q1578" s="9">
        <f>IF(Auction_Sales[[#This Row],[Payment Date]]=0,"",-1+WEEKNUM(Auction_Sales[[#This Row],[Payment Date]]))</f>
        <v>19</v>
      </c>
      <c r="R1578" s="9">
        <v>0</v>
      </c>
      <c r="S1578" s="9" t="s">
        <v>153</v>
      </c>
      <c r="T1578" s="9" t="s">
        <v>56</v>
      </c>
      <c r="U1578" s="9">
        <v>160</v>
      </c>
      <c r="V1578" s="13">
        <v>0.91999999999999993</v>
      </c>
      <c r="W1578" s="9">
        <v>147.19999999999999</v>
      </c>
      <c r="X1578" s="14">
        <v>-10.173884297520653</v>
      </c>
      <c r="Y1578" s="13">
        <v>137.02611570247933</v>
      </c>
      <c r="Z1578" s="10">
        <v>45427</v>
      </c>
      <c r="AA1578" s="9">
        <v>0</v>
      </c>
      <c r="AC1578" s="9">
        <v>439242</v>
      </c>
      <c r="AD1578" s="14">
        <v>17.686285714285717</v>
      </c>
      <c r="AF1578" s="14">
        <v>3.2</v>
      </c>
      <c r="AH1578" s="14">
        <v>20.886285714285716</v>
      </c>
      <c r="AI1578" s="13">
        <v>116.13982998819361</v>
      </c>
      <c r="AK1578" s="9">
        <v>160</v>
      </c>
    </row>
    <row r="1579" spans="1:37">
      <c r="A1579" s="9">
        <v>18</v>
      </c>
      <c r="B1579" s="9">
        <v>2024</v>
      </c>
      <c r="C1579" s="9" t="s">
        <v>46</v>
      </c>
      <c r="D1579" s="9" t="s">
        <v>47</v>
      </c>
      <c r="E1579" s="9" t="s">
        <v>47</v>
      </c>
      <c r="F1579" s="10">
        <v>45414</v>
      </c>
      <c r="G1579" s="9" t="s">
        <v>153</v>
      </c>
      <c r="H1579" s="9" t="s">
        <v>54</v>
      </c>
      <c r="J1579" s="9">
        <v>7.1999999999999993</v>
      </c>
      <c r="K1579" s="9">
        <v>240</v>
      </c>
      <c r="L1579" s="9">
        <v>0.33</v>
      </c>
      <c r="M1579" s="9">
        <v>79.2</v>
      </c>
      <c r="N1579" s="9" t="s">
        <v>49</v>
      </c>
      <c r="Q1579" s="9">
        <f>IF(Auction_Sales[[#This Row],[Payment Date]]=0,"",-1+WEEKNUM(Auction_Sales[[#This Row],[Payment Date]]))</f>
        <v>19</v>
      </c>
      <c r="R1579" s="9">
        <v>0</v>
      </c>
      <c r="S1579" s="9" t="s">
        <v>153</v>
      </c>
      <c r="T1579" s="9" t="s">
        <v>54</v>
      </c>
      <c r="U1579" s="9">
        <v>240</v>
      </c>
      <c r="V1579" s="13">
        <v>0.60166666666666668</v>
      </c>
      <c r="W1579" s="9">
        <v>144.4</v>
      </c>
      <c r="X1579" s="14">
        <v>-15.260826446280978</v>
      </c>
      <c r="Y1579" s="13">
        <v>129.13917355371902</v>
      </c>
      <c r="Z1579" s="10">
        <v>45427</v>
      </c>
      <c r="AA1579" s="9">
        <v>0</v>
      </c>
      <c r="AC1579" s="9">
        <v>439242</v>
      </c>
      <c r="AD1579" s="14">
        <v>26.529428571428568</v>
      </c>
      <c r="AF1579" s="14">
        <v>4.8</v>
      </c>
      <c r="AH1579" s="14">
        <v>31.329428571428569</v>
      </c>
      <c r="AI1579" s="13">
        <v>97.809744982290454</v>
      </c>
      <c r="AK1579" s="9">
        <v>240</v>
      </c>
    </row>
    <row r="1580" spans="1:37">
      <c r="A1580" s="9">
        <v>18</v>
      </c>
      <c r="B1580" s="9">
        <v>2024</v>
      </c>
      <c r="C1580" s="9" t="s">
        <v>46</v>
      </c>
      <c r="D1580" s="9" t="s">
        <v>47</v>
      </c>
      <c r="E1580" s="9" t="s">
        <v>47</v>
      </c>
      <c r="F1580" s="10">
        <v>45414</v>
      </c>
      <c r="G1580" s="9" t="s">
        <v>155</v>
      </c>
      <c r="H1580" s="9" t="s">
        <v>52</v>
      </c>
      <c r="I1580" s="9">
        <v>1</v>
      </c>
      <c r="J1580" s="9">
        <v>2</v>
      </c>
      <c r="K1580" s="9">
        <v>40</v>
      </c>
      <c r="L1580" s="9">
        <v>0.52</v>
      </c>
      <c r="M1580" s="9">
        <v>20.8</v>
      </c>
      <c r="N1580" s="9" t="s">
        <v>49</v>
      </c>
      <c r="Q1580" s="9">
        <f>IF(Auction_Sales[[#This Row],[Payment Date]]=0,"",-1+WEEKNUM(Auction_Sales[[#This Row],[Payment Date]]))</f>
        <v>19</v>
      </c>
      <c r="R1580" s="9">
        <v>-20</v>
      </c>
      <c r="S1580" s="9" t="s">
        <v>155</v>
      </c>
      <c r="T1580" s="9" t="s">
        <v>52</v>
      </c>
      <c r="U1580" s="9">
        <v>60</v>
      </c>
      <c r="V1580" s="13">
        <v>0.81</v>
      </c>
      <c r="W1580" s="9">
        <v>48.6</v>
      </c>
      <c r="X1580" s="14">
        <v>-3.8152066115702445</v>
      </c>
      <c r="Y1580" s="13">
        <v>44.784793388429755</v>
      </c>
      <c r="Z1580" s="10">
        <v>45427</v>
      </c>
      <c r="AA1580" s="9">
        <v>20</v>
      </c>
      <c r="AC1580" s="9">
        <v>439242</v>
      </c>
      <c r="AD1580" s="14">
        <v>7.3692857142857138</v>
      </c>
      <c r="AF1580" s="14">
        <v>1.2</v>
      </c>
      <c r="AH1580" s="14">
        <v>8.569285714285714</v>
      </c>
      <c r="AI1580" s="13">
        <v>36.215507674144042</v>
      </c>
      <c r="AK1580" s="9">
        <v>60</v>
      </c>
    </row>
    <row r="1581" spans="1:37">
      <c r="A1581" s="9">
        <v>18</v>
      </c>
      <c r="B1581" s="9">
        <v>2024</v>
      </c>
      <c r="C1581" s="9" t="s">
        <v>46</v>
      </c>
      <c r="D1581" s="9" t="s">
        <v>47</v>
      </c>
      <c r="E1581" s="9" t="s">
        <v>47</v>
      </c>
      <c r="F1581" s="10">
        <v>45414</v>
      </c>
      <c r="G1581" s="9" t="s">
        <v>155</v>
      </c>
      <c r="H1581" s="9" t="s">
        <v>54</v>
      </c>
      <c r="J1581" s="9">
        <v>10</v>
      </c>
      <c r="K1581" s="9">
        <v>200</v>
      </c>
      <c r="L1581" s="9">
        <v>0.56999999999999995</v>
      </c>
      <c r="M1581" s="9">
        <v>114</v>
      </c>
      <c r="N1581" s="9" t="s">
        <v>49</v>
      </c>
      <c r="Q1581" s="9">
        <f>IF(Auction_Sales[[#This Row],[Payment Date]]=0,"",-1+WEEKNUM(Auction_Sales[[#This Row],[Payment Date]]))</f>
        <v>19</v>
      </c>
      <c r="R1581" s="9">
        <v>0</v>
      </c>
      <c r="S1581" s="9" t="s">
        <v>155</v>
      </c>
      <c r="T1581" s="9" t="s">
        <v>54</v>
      </c>
      <c r="U1581" s="9">
        <v>200</v>
      </c>
      <c r="V1581" s="13">
        <v>1.08</v>
      </c>
      <c r="W1581" s="9">
        <v>216</v>
      </c>
      <c r="X1581" s="14">
        <v>-12.717355371900817</v>
      </c>
      <c r="Y1581" s="13">
        <v>203.28264462809918</v>
      </c>
      <c r="Z1581" s="10">
        <v>45427</v>
      </c>
      <c r="AA1581" s="9">
        <v>0</v>
      </c>
      <c r="AC1581" s="9">
        <v>439242</v>
      </c>
      <c r="AD1581" s="14">
        <v>36.846428571428568</v>
      </c>
      <c r="AF1581" s="14">
        <v>4</v>
      </c>
      <c r="AH1581" s="14">
        <v>40.846428571428568</v>
      </c>
      <c r="AI1581" s="13">
        <v>162.43621605667062</v>
      </c>
      <c r="AK1581" s="9">
        <v>200</v>
      </c>
    </row>
    <row r="1582" spans="1:37">
      <c r="A1582" s="9">
        <v>18</v>
      </c>
      <c r="B1582" s="9">
        <v>2024</v>
      </c>
      <c r="C1582" s="9" t="s">
        <v>46</v>
      </c>
      <c r="D1582" s="9" t="s">
        <v>47</v>
      </c>
      <c r="E1582" s="9" t="s">
        <v>47</v>
      </c>
      <c r="F1582" s="10">
        <v>45414</v>
      </c>
      <c r="G1582" s="9" t="s">
        <v>154</v>
      </c>
      <c r="H1582" s="9" t="s">
        <v>51</v>
      </c>
      <c r="I1582" s="9">
        <v>1</v>
      </c>
      <c r="J1582" s="9">
        <v>10.153846153846153</v>
      </c>
      <c r="K1582" s="9">
        <v>440</v>
      </c>
      <c r="L1582" s="9">
        <v>0.38</v>
      </c>
      <c r="M1582" s="9">
        <v>167.2</v>
      </c>
      <c r="N1582" s="9" t="s">
        <v>49</v>
      </c>
      <c r="Q1582" s="9">
        <f>IF(Auction_Sales[[#This Row],[Payment Date]]=0,"",-1+WEEKNUM(Auction_Sales[[#This Row],[Payment Date]]))</f>
        <v>19</v>
      </c>
      <c r="R1582" s="9">
        <v>0</v>
      </c>
      <c r="S1582" s="9" t="s">
        <v>154</v>
      </c>
      <c r="T1582" s="9" t="s">
        <v>51</v>
      </c>
      <c r="U1582" s="9">
        <v>440</v>
      </c>
      <c r="V1582" s="13">
        <v>0.54</v>
      </c>
      <c r="W1582" s="9">
        <v>237.60000000000002</v>
      </c>
      <c r="X1582" s="14">
        <v>-27.978181818181799</v>
      </c>
      <c r="Y1582" s="13">
        <v>209.62181818181821</v>
      </c>
      <c r="Z1582" s="10">
        <v>45427</v>
      </c>
      <c r="AA1582" s="9">
        <v>0</v>
      </c>
      <c r="AC1582" s="9">
        <v>439242</v>
      </c>
      <c r="AD1582" s="14">
        <v>37.413296703296702</v>
      </c>
      <c r="AF1582" s="14">
        <v>8.8000000000000007</v>
      </c>
      <c r="AH1582" s="14">
        <v>46.213296703296706</v>
      </c>
      <c r="AI1582" s="13">
        <v>163.40852147852149</v>
      </c>
      <c r="AK1582" s="9">
        <v>440</v>
      </c>
    </row>
    <row r="1583" spans="1:37">
      <c r="A1583" s="9">
        <v>18</v>
      </c>
      <c r="B1583" s="9">
        <v>2024</v>
      </c>
      <c r="C1583" s="9" t="s">
        <v>46</v>
      </c>
      <c r="D1583" s="9" t="s">
        <v>47</v>
      </c>
      <c r="E1583" s="9" t="s">
        <v>47</v>
      </c>
      <c r="F1583" s="10">
        <v>45414</v>
      </c>
      <c r="G1583" s="9" t="s">
        <v>154</v>
      </c>
      <c r="H1583" s="9" t="s">
        <v>48</v>
      </c>
      <c r="J1583" s="9">
        <v>1.8461538461538463</v>
      </c>
      <c r="K1583" s="9">
        <v>80</v>
      </c>
      <c r="L1583" s="9">
        <v>0.47</v>
      </c>
      <c r="M1583" s="9">
        <v>37.6</v>
      </c>
      <c r="N1583" s="9" t="s">
        <v>49</v>
      </c>
      <c r="Q1583" s="9">
        <f>IF(Auction_Sales[[#This Row],[Payment Date]]=0,"",-1+WEEKNUM(Auction_Sales[[#This Row],[Payment Date]]))</f>
        <v>19</v>
      </c>
      <c r="R1583" s="9">
        <v>0</v>
      </c>
      <c r="S1583" s="9" t="s">
        <v>154</v>
      </c>
      <c r="T1583" s="9" t="s">
        <v>48</v>
      </c>
      <c r="U1583" s="9">
        <v>80</v>
      </c>
      <c r="V1583" s="13">
        <v>0.73</v>
      </c>
      <c r="W1583" s="9">
        <v>58.4</v>
      </c>
      <c r="X1583" s="14">
        <v>-5.0869421487603264</v>
      </c>
      <c r="Y1583" s="13">
        <v>53.31305785123967</v>
      </c>
      <c r="Z1583" s="10">
        <v>45427</v>
      </c>
      <c r="AA1583" s="9">
        <v>0</v>
      </c>
      <c r="AC1583" s="9">
        <v>439242</v>
      </c>
      <c r="AD1583" s="14">
        <v>6.8024175824175828</v>
      </c>
      <c r="AF1583" s="14">
        <v>1.6</v>
      </c>
      <c r="AH1583" s="14">
        <v>8.4024175824175824</v>
      </c>
      <c r="AI1583" s="13">
        <v>44.910640268822085</v>
      </c>
      <c r="AK1583" s="9">
        <v>80</v>
      </c>
    </row>
    <row r="1584" spans="1:37">
      <c r="A1584" s="9">
        <v>18</v>
      </c>
      <c r="B1584" s="9">
        <v>2024</v>
      </c>
      <c r="C1584" s="9" t="s">
        <v>46</v>
      </c>
      <c r="D1584" s="9" t="s">
        <v>47</v>
      </c>
      <c r="E1584" s="9" t="s">
        <v>47</v>
      </c>
      <c r="F1584" s="10">
        <v>45414</v>
      </c>
      <c r="G1584" s="9" t="s">
        <v>154</v>
      </c>
      <c r="H1584" s="9" t="s">
        <v>52</v>
      </c>
      <c r="I1584" s="9">
        <v>1</v>
      </c>
      <c r="J1584" s="9">
        <v>6</v>
      </c>
      <c r="K1584" s="9">
        <v>120</v>
      </c>
      <c r="L1584" s="9">
        <v>0.52</v>
      </c>
      <c r="M1584" s="9">
        <v>62.4</v>
      </c>
      <c r="N1584" s="9" t="s">
        <v>49</v>
      </c>
      <c r="Q1584" s="9">
        <f>IF(Auction_Sales[[#This Row],[Payment Date]]=0,"",-1+WEEKNUM(Auction_Sales[[#This Row],[Payment Date]]))</f>
        <v>19</v>
      </c>
      <c r="R1584" s="9">
        <v>0</v>
      </c>
      <c r="S1584" s="9" t="s">
        <v>154</v>
      </c>
      <c r="T1584" s="9" t="s">
        <v>52</v>
      </c>
      <c r="U1584" s="9">
        <v>120</v>
      </c>
      <c r="V1584" s="13">
        <v>0.80666666666666664</v>
      </c>
      <c r="W1584" s="9">
        <v>96.8</v>
      </c>
      <c r="X1584" s="14">
        <v>-7.6304132231404891</v>
      </c>
      <c r="Y1584" s="13">
        <v>89.169586776859504</v>
      </c>
      <c r="Z1584" s="10">
        <v>45427</v>
      </c>
      <c r="AA1584" s="9">
        <v>0</v>
      </c>
      <c r="AC1584" s="9">
        <v>439242</v>
      </c>
      <c r="AD1584" s="14">
        <v>22.107857142857142</v>
      </c>
      <c r="AF1584" s="14">
        <v>2.4</v>
      </c>
      <c r="AH1584" s="14">
        <v>24.507857142857141</v>
      </c>
      <c r="AI1584" s="13">
        <v>64.66172963400237</v>
      </c>
      <c r="AK1584" s="9">
        <v>120</v>
      </c>
    </row>
    <row r="1585" spans="1:37">
      <c r="A1585" s="9">
        <v>18</v>
      </c>
      <c r="B1585" s="9">
        <v>2024</v>
      </c>
      <c r="C1585" s="9" t="s">
        <v>46</v>
      </c>
      <c r="D1585" s="9" t="s">
        <v>47</v>
      </c>
      <c r="E1585" s="9" t="s">
        <v>47</v>
      </c>
      <c r="F1585" s="10">
        <v>45414</v>
      </c>
      <c r="G1585" s="9" t="s">
        <v>154</v>
      </c>
      <c r="H1585" s="9" t="s">
        <v>54</v>
      </c>
      <c r="J1585" s="9">
        <v>6</v>
      </c>
      <c r="K1585" s="9">
        <v>120</v>
      </c>
      <c r="L1585" s="9">
        <v>0.56999999999999995</v>
      </c>
      <c r="M1585" s="9">
        <v>68.400000000000006</v>
      </c>
      <c r="N1585" s="9" t="s">
        <v>49</v>
      </c>
      <c r="Q1585" s="9">
        <f>IF(Auction_Sales[[#This Row],[Payment Date]]=0,"",-1+WEEKNUM(Auction_Sales[[#This Row],[Payment Date]]))</f>
        <v>19</v>
      </c>
      <c r="R1585" s="9">
        <v>0</v>
      </c>
      <c r="S1585" s="9" t="s">
        <v>154</v>
      </c>
      <c r="T1585" s="9" t="s">
        <v>54</v>
      </c>
      <c r="U1585" s="9">
        <v>120</v>
      </c>
      <c r="V1585" s="13">
        <v>0.78666666666666674</v>
      </c>
      <c r="W1585" s="9">
        <v>94.4</v>
      </c>
      <c r="X1585" s="14">
        <v>-7.6304132231404891</v>
      </c>
      <c r="Y1585" s="13">
        <v>86.769586776859512</v>
      </c>
      <c r="Z1585" s="10">
        <v>45427</v>
      </c>
      <c r="AA1585" s="9">
        <v>0</v>
      </c>
      <c r="AC1585" s="9">
        <v>439242</v>
      </c>
      <c r="AD1585" s="14">
        <v>22.107857142857142</v>
      </c>
      <c r="AF1585" s="14">
        <v>2.4</v>
      </c>
      <c r="AH1585" s="14">
        <v>24.507857142857141</v>
      </c>
      <c r="AI1585" s="13">
        <v>62.261729634002371</v>
      </c>
      <c r="AK1585" s="9">
        <v>120</v>
      </c>
    </row>
    <row r="1586" spans="1:37">
      <c r="A1586" s="9">
        <v>18</v>
      </c>
      <c r="B1586" s="9">
        <v>2024</v>
      </c>
      <c r="C1586" s="9" t="s">
        <v>46</v>
      </c>
      <c r="D1586" s="9" t="s">
        <v>47</v>
      </c>
      <c r="E1586" s="9" t="s">
        <v>47</v>
      </c>
      <c r="F1586" s="10">
        <v>45414</v>
      </c>
      <c r="G1586" s="9" t="s">
        <v>156</v>
      </c>
      <c r="H1586" s="9" t="s">
        <v>51</v>
      </c>
      <c r="I1586" s="9">
        <v>1</v>
      </c>
      <c r="J1586" s="9">
        <v>9.6000000000000014</v>
      </c>
      <c r="K1586" s="9">
        <v>320</v>
      </c>
      <c r="L1586" s="9">
        <v>0.42</v>
      </c>
      <c r="M1586" s="9">
        <v>134.4</v>
      </c>
      <c r="N1586" s="9" t="s">
        <v>49</v>
      </c>
      <c r="Q1586" s="9">
        <f>IF(Auction_Sales[[#This Row],[Payment Date]]=0,"",-1+WEEKNUM(Auction_Sales[[#This Row],[Payment Date]]))</f>
        <v>19</v>
      </c>
      <c r="R1586" s="9">
        <v>0</v>
      </c>
      <c r="S1586" s="9" t="s">
        <v>156</v>
      </c>
      <c r="T1586" s="9" t="s">
        <v>51</v>
      </c>
      <c r="U1586" s="9">
        <v>320</v>
      </c>
      <c r="V1586" s="13">
        <v>0.625</v>
      </c>
      <c r="W1586" s="9">
        <v>200</v>
      </c>
      <c r="X1586" s="14">
        <v>-20.347768595041305</v>
      </c>
      <c r="Y1586" s="13">
        <v>179.65223140495868</v>
      </c>
      <c r="Z1586" s="10">
        <v>45427</v>
      </c>
      <c r="AA1586" s="9">
        <v>0</v>
      </c>
      <c r="AC1586" s="9">
        <v>439242</v>
      </c>
      <c r="AD1586" s="14">
        <v>35.372571428571433</v>
      </c>
      <c r="AF1586" s="14">
        <v>6.4</v>
      </c>
      <c r="AH1586" s="14">
        <v>41.772571428571432</v>
      </c>
      <c r="AI1586" s="13">
        <v>137.87965997638725</v>
      </c>
      <c r="AK1586" s="9">
        <v>320</v>
      </c>
    </row>
    <row r="1587" spans="1:37">
      <c r="A1587" s="9">
        <v>18</v>
      </c>
      <c r="B1587" s="9">
        <v>2024</v>
      </c>
      <c r="C1587" s="9" t="s">
        <v>46</v>
      </c>
      <c r="D1587" s="9" t="s">
        <v>47</v>
      </c>
      <c r="E1587" s="9" t="s">
        <v>47</v>
      </c>
      <c r="F1587" s="10">
        <v>45414</v>
      </c>
      <c r="G1587" s="9" t="s">
        <v>156</v>
      </c>
      <c r="H1587" s="9" t="s">
        <v>48</v>
      </c>
      <c r="J1587" s="9">
        <v>1.2000000000000002</v>
      </c>
      <c r="K1587" s="9">
        <v>40</v>
      </c>
      <c r="L1587" s="9">
        <v>0.52</v>
      </c>
      <c r="M1587" s="9">
        <v>20.8</v>
      </c>
      <c r="N1587" s="9" t="s">
        <v>49</v>
      </c>
      <c r="Q1587" s="9">
        <f>IF(Auction_Sales[[#This Row],[Payment Date]]=0,"",-1+WEEKNUM(Auction_Sales[[#This Row],[Payment Date]]))</f>
        <v>19</v>
      </c>
      <c r="R1587" s="9">
        <v>0</v>
      </c>
      <c r="S1587" s="9" t="s">
        <v>156</v>
      </c>
      <c r="T1587" s="9" t="s">
        <v>48</v>
      </c>
      <c r="U1587" s="9">
        <v>40</v>
      </c>
      <c r="V1587" s="13">
        <v>1.23</v>
      </c>
      <c r="W1587" s="9">
        <v>49.2</v>
      </c>
      <c r="X1587" s="14">
        <v>-2.5434710743801632</v>
      </c>
      <c r="Y1587" s="13">
        <v>46.656528925619838</v>
      </c>
      <c r="Z1587" s="10">
        <v>45427</v>
      </c>
      <c r="AA1587" s="9">
        <v>0</v>
      </c>
      <c r="AC1587" s="9">
        <v>439242</v>
      </c>
      <c r="AD1587" s="14">
        <v>4.4215714285714292</v>
      </c>
      <c r="AF1587" s="14">
        <v>0.8</v>
      </c>
      <c r="AH1587" s="14">
        <v>5.221571428571429</v>
      </c>
      <c r="AI1587" s="13">
        <v>41.434957497048408</v>
      </c>
      <c r="AK1587" s="9">
        <v>40</v>
      </c>
    </row>
    <row r="1588" spans="1:37">
      <c r="A1588" s="9">
        <v>18</v>
      </c>
      <c r="B1588" s="9">
        <v>2024</v>
      </c>
      <c r="C1588" s="9" t="s">
        <v>46</v>
      </c>
      <c r="D1588" s="9" t="s">
        <v>47</v>
      </c>
      <c r="E1588" s="9" t="s">
        <v>47</v>
      </c>
      <c r="F1588" s="10">
        <v>45414</v>
      </c>
      <c r="G1588" s="9" t="s">
        <v>156</v>
      </c>
      <c r="H1588" s="9" t="s">
        <v>56</v>
      </c>
      <c r="J1588" s="9">
        <v>1.2000000000000002</v>
      </c>
      <c r="K1588" s="9">
        <v>40</v>
      </c>
      <c r="L1588" s="9">
        <v>0.85</v>
      </c>
      <c r="M1588" s="9">
        <v>34</v>
      </c>
      <c r="N1588" s="9" t="s">
        <v>49</v>
      </c>
      <c r="Q1588" s="9">
        <f>IF(Auction_Sales[[#This Row],[Payment Date]]=0,"",-1+WEEKNUM(Auction_Sales[[#This Row],[Payment Date]]))</f>
        <v>19</v>
      </c>
      <c r="R1588" s="9">
        <v>0</v>
      </c>
      <c r="S1588" s="9" t="s">
        <v>156</v>
      </c>
      <c r="T1588" s="9" t="s">
        <v>56</v>
      </c>
      <c r="U1588" s="9">
        <v>40</v>
      </c>
      <c r="V1588" s="13">
        <v>1.3599999999999999</v>
      </c>
      <c r="W1588" s="9">
        <v>54.399999999999991</v>
      </c>
      <c r="X1588" s="14">
        <v>-2.5434710743801632</v>
      </c>
      <c r="Y1588" s="13">
        <v>51.856528925619827</v>
      </c>
      <c r="Z1588" s="10">
        <v>45427</v>
      </c>
      <c r="AA1588" s="9">
        <v>0</v>
      </c>
      <c r="AC1588" s="9">
        <v>439242</v>
      </c>
      <c r="AD1588" s="14">
        <v>4.4215714285714292</v>
      </c>
      <c r="AF1588" s="14">
        <v>0.8</v>
      </c>
      <c r="AH1588" s="14">
        <v>5.221571428571429</v>
      </c>
      <c r="AI1588" s="13">
        <v>46.634957497048397</v>
      </c>
      <c r="AK1588" s="9">
        <v>40</v>
      </c>
    </row>
    <row r="1589" spans="1:37">
      <c r="A1589" s="9">
        <v>19</v>
      </c>
      <c r="B1589" s="9">
        <v>2024</v>
      </c>
      <c r="C1589" s="9" t="s">
        <v>46</v>
      </c>
      <c r="D1589" s="9" t="s">
        <v>47</v>
      </c>
      <c r="E1589" s="9" t="s">
        <v>47</v>
      </c>
      <c r="F1589" s="10">
        <v>45416</v>
      </c>
      <c r="G1589" s="9" t="s">
        <v>153</v>
      </c>
      <c r="H1589" s="9" t="s">
        <v>52</v>
      </c>
      <c r="I1589" s="9">
        <v>1</v>
      </c>
      <c r="J1589" s="9">
        <v>12</v>
      </c>
      <c r="K1589" s="9">
        <v>520</v>
      </c>
      <c r="L1589" s="9">
        <v>0.28000000000000003</v>
      </c>
      <c r="M1589" s="9">
        <v>145.6</v>
      </c>
      <c r="N1589" s="9" t="s">
        <v>49</v>
      </c>
      <c r="Q1589" s="9">
        <f>IF(Auction_Sales[[#This Row],[Payment Date]]=0,"",-1+WEEKNUM(Auction_Sales[[#This Row],[Payment Date]]))</f>
        <v>19</v>
      </c>
      <c r="R1589" s="9">
        <v>520</v>
      </c>
      <c r="S1589" s="9" t="s">
        <v>153</v>
      </c>
      <c r="T1589" s="9" t="s">
        <v>52</v>
      </c>
      <c r="W1589" s="9">
        <v>0</v>
      </c>
      <c r="X1589" s="14">
        <v>0</v>
      </c>
      <c r="Y1589" s="13">
        <v>0</v>
      </c>
      <c r="Z1589" s="10">
        <v>45427</v>
      </c>
      <c r="AA1589" s="9">
        <v>-520</v>
      </c>
      <c r="AC1589" s="9">
        <v>439443</v>
      </c>
      <c r="AD1589" s="14">
        <v>48.678571428571423</v>
      </c>
      <c r="AF1589" s="14">
        <v>0</v>
      </c>
      <c r="AH1589" s="14">
        <v>48.678571428571423</v>
      </c>
      <c r="AI1589" s="13">
        <v>-48.678571428571423</v>
      </c>
      <c r="AK1589" s="9">
        <v>0</v>
      </c>
    </row>
    <row r="1590" spans="1:37">
      <c r="A1590" s="9">
        <v>19</v>
      </c>
      <c r="B1590" s="9">
        <v>2024</v>
      </c>
      <c r="C1590" s="9" t="s">
        <v>46</v>
      </c>
      <c r="D1590" s="9" t="s">
        <v>47</v>
      </c>
      <c r="E1590" s="9" t="s">
        <v>47</v>
      </c>
      <c r="F1590" s="10">
        <v>45416</v>
      </c>
      <c r="G1590" s="9" t="s">
        <v>155</v>
      </c>
      <c r="H1590" s="9" t="s">
        <v>48</v>
      </c>
      <c r="I1590" s="9">
        <v>1</v>
      </c>
      <c r="J1590" s="9">
        <v>12</v>
      </c>
      <c r="K1590" s="9">
        <v>400</v>
      </c>
      <c r="L1590" s="9">
        <v>0.47</v>
      </c>
      <c r="M1590" s="9">
        <v>188</v>
      </c>
      <c r="N1590" s="9" t="s">
        <v>49</v>
      </c>
      <c r="Q1590" s="9">
        <f>IF(Auction_Sales[[#This Row],[Payment Date]]=0,"",-1+WEEKNUM(Auction_Sales[[#This Row],[Payment Date]]))</f>
        <v>19</v>
      </c>
      <c r="R1590" s="9">
        <v>-40</v>
      </c>
      <c r="S1590" s="9" t="s">
        <v>155</v>
      </c>
      <c r="T1590" s="9" t="s">
        <v>48</v>
      </c>
      <c r="U1590" s="9">
        <v>440</v>
      </c>
      <c r="V1590" s="13">
        <v>0.88090909090909097</v>
      </c>
      <c r="W1590" s="9">
        <v>387.6</v>
      </c>
      <c r="X1590" s="14">
        <v>-22.228799999999993</v>
      </c>
      <c r="Y1590" s="13">
        <v>365.37120000000004</v>
      </c>
      <c r="Z1590" s="10">
        <v>45427</v>
      </c>
      <c r="AA1590" s="9">
        <v>40</v>
      </c>
      <c r="AC1590" s="9">
        <v>439443</v>
      </c>
      <c r="AD1590" s="14">
        <v>48.678571428571423</v>
      </c>
      <c r="AF1590" s="14">
        <v>8.8000000000000007</v>
      </c>
      <c r="AH1590" s="14">
        <v>57.478571428571428</v>
      </c>
      <c r="AI1590" s="13">
        <v>307.89262857142865</v>
      </c>
      <c r="AK1590" s="9">
        <v>440</v>
      </c>
    </row>
    <row r="1591" spans="1:37">
      <c r="A1591" s="9">
        <v>19</v>
      </c>
      <c r="B1591" s="9">
        <v>2024</v>
      </c>
      <c r="C1591" s="9" t="s">
        <v>46</v>
      </c>
      <c r="D1591" s="9" t="s">
        <v>47</v>
      </c>
      <c r="E1591" s="9" t="s">
        <v>47</v>
      </c>
      <c r="F1591" s="10">
        <v>45416</v>
      </c>
      <c r="G1591" s="9" t="s">
        <v>153</v>
      </c>
      <c r="H1591" s="9" t="s">
        <v>56</v>
      </c>
      <c r="I1591" s="9">
        <v>1</v>
      </c>
      <c r="J1591" s="9">
        <v>8.3999999999999986</v>
      </c>
      <c r="K1591" s="9">
        <v>280</v>
      </c>
      <c r="L1591" s="9">
        <v>0.38</v>
      </c>
      <c r="M1591" s="9">
        <v>106.4</v>
      </c>
      <c r="N1591" s="9" t="s">
        <v>49</v>
      </c>
      <c r="Q1591" s="9">
        <f>IF(Auction_Sales[[#This Row],[Payment Date]]=0,"",-1+WEEKNUM(Auction_Sales[[#This Row],[Payment Date]]))</f>
        <v>19</v>
      </c>
      <c r="R1591" s="9">
        <v>0</v>
      </c>
      <c r="S1591" s="9" t="s">
        <v>153</v>
      </c>
      <c r="T1591" s="9" t="s">
        <v>56</v>
      </c>
      <c r="U1591" s="9">
        <v>280</v>
      </c>
      <c r="V1591" s="13">
        <v>0.78</v>
      </c>
      <c r="W1591" s="9">
        <v>218.4</v>
      </c>
      <c r="X1591" s="14">
        <v>-14.145599999999996</v>
      </c>
      <c r="Y1591" s="13">
        <v>204.2544</v>
      </c>
      <c r="Z1591" s="10">
        <v>45427</v>
      </c>
      <c r="AA1591" s="9">
        <v>0</v>
      </c>
      <c r="AC1591" s="9">
        <v>439443</v>
      </c>
      <c r="AD1591" s="14">
        <v>34.074999999999996</v>
      </c>
      <c r="AF1591" s="14">
        <v>5.6000000000000005</v>
      </c>
      <c r="AH1591" s="14">
        <v>39.674999999999997</v>
      </c>
      <c r="AI1591" s="13">
        <v>164.57940000000002</v>
      </c>
      <c r="AK1591" s="9">
        <v>280</v>
      </c>
    </row>
    <row r="1592" spans="1:37">
      <c r="A1592" s="9">
        <v>19</v>
      </c>
      <c r="B1592" s="9">
        <v>2024</v>
      </c>
      <c r="C1592" s="9" t="s">
        <v>46</v>
      </c>
      <c r="D1592" s="9" t="s">
        <v>47</v>
      </c>
      <c r="E1592" s="9" t="s">
        <v>47</v>
      </c>
      <c r="F1592" s="10">
        <v>45416</v>
      </c>
      <c r="G1592" s="9" t="s">
        <v>153</v>
      </c>
      <c r="H1592" s="9" t="s">
        <v>57</v>
      </c>
      <c r="J1592" s="9">
        <v>3.5999999999999996</v>
      </c>
      <c r="K1592" s="9">
        <v>120</v>
      </c>
      <c r="L1592" s="9">
        <v>0.47</v>
      </c>
      <c r="M1592" s="9">
        <v>56.4</v>
      </c>
      <c r="N1592" s="9" t="s">
        <v>49</v>
      </c>
      <c r="Q1592" s="9">
        <f>IF(Auction_Sales[[#This Row],[Payment Date]]=0,"",-1+WEEKNUM(Auction_Sales[[#This Row],[Payment Date]]))</f>
        <v>19</v>
      </c>
      <c r="R1592" s="9">
        <v>0</v>
      </c>
      <c r="S1592" s="9" t="s">
        <v>153</v>
      </c>
      <c r="T1592" s="9" t="s">
        <v>57</v>
      </c>
      <c r="U1592" s="9">
        <v>120</v>
      </c>
      <c r="V1592" s="13">
        <v>0.78333333333333333</v>
      </c>
      <c r="W1592" s="9">
        <v>94</v>
      </c>
      <c r="X1592" s="14">
        <v>-6.0623999999999976</v>
      </c>
      <c r="Y1592" s="13">
        <v>87.937600000000003</v>
      </c>
      <c r="Z1592" s="10">
        <v>45427</v>
      </c>
      <c r="AA1592" s="9">
        <v>0</v>
      </c>
      <c r="AC1592" s="9">
        <v>439443</v>
      </c>
      <c r="AD1592" s="14">
        <v>14.603571428571426</v>
      </c>
      <c r="AF1592" s="14">
        <v>2.4</v>
      </c>
      <c r="AH1592" s="14">
        <v>17.003571428571426</v>
      </c>
      <c r="AI1592" s="13">
        <v>70.93402857142857</v>
      </c>
      <c r="AK1592" s="9">
        <v>120</v>
      </c>
    </row>
    <row r="1593" spans="1:37">
      <c r="A1593" s="9">
        <v>19</v>
      </c>
      <c r="B1593" s="9">
        <v>2024</v>
      </c>
      <c r="C1593" s="9" t="s">
        <v>46</v>
      </c>
      <c r="D1593" s="9" t="s">
        <v>47</v>
      </c>
      <c r="E1593" s="9" t="s">
        <v>47</v>
      </c>
      <c r="F1593" s="10">
        <v>45416</v>
      </c>
      <c r="G1593" s="9" t="s">
        <v>153</v>
      </c>
      <c r="H1593" s="9" t="s">
        <v>52</v>
      </c>
      <c r="I1593" s="9">
        <v>1</v>
      </c>
      <c r="J1593" s="9">
        <v>1.2000000000000002</v>
      </c>
      <c r="K1593" s="9">
        <v>40</v>
      </c>
      <c r="L1593" s="9">
        <v>0.28000000000000003</v>
      </c>
      <c r="M1593" s="9">
        <v>11.2</v>
      </c>
      <c r="N1593" s="9" t="s">
        <v>49</v>
      </c>
      <c r="Q1593" s="9">
        <f>IF(Auction_Sales[[#This Row],[Payment Date]]=0,"",-1+WEEKNUM(Auction_Sales[[#This Row],[Payment Date]]))</f>
        <v>19</v>
      </c>
      <c r="R1593" s="9">
        <v>40</v>
      </c>
      <c r="S1593" s="9" t="s">
        <v>153</v>
      </c>
      <c r="T1593" s="9" t="s">
        <v>52</v>
      </c>
      <c r="W1593" s="9">
        <v>0</v>
      </c>
      <c r="X1593" s="14">
        <v>0</v>
      </c>
      <c r="Y1593" s="13">
        <v>0</v>
      </c>
      <c r="Z1593" s="10">
        <v>45427</v>
      </c>
      <c r="AA1593" s="9">
        <v>-40</v>
      </c>
      <c r="AC1593" s="9">
        <v>439443</v>
      </c>
      <c r="AD1593" s="14">
        <v>4.8678571428571429</v>
      </c>
      <c r="AF1593" s="14">
        <v>0</v>
      </c>
      <c r="AH1593" s="14">
        <v>4.8678571428571429</v>
      </c>
      <c r="AI1593" s="13">
        <v>-4.8678571428571429</v>
      </c>
      <c r="AK1593" s="9">
        <v>0</v>
      </c>
    </row>
    <row r="1594" spans="1:37">
      <c r="A1594" s="9">
        <v>19</v>
      </c>
      <c r="B1594" s="9">
        <v>2024</v>
      </c>
      <c r="C1594" s="9" t="s">
        <v>46</v>
      </c>
      <c r="D1594" s="9" t="s">
        <v>47</v>
      </c>
      <c r="E1594" s="9" t="s">
        <v>47</v>
      </c>
      <c r="F1594" s="10">
        <v>45416</v>
      </c>
      <c r="G1594" s="9" t="s">
        <v>153</v>
      </c>
      <c r="H1594" s="9" t="s">
        <v>54</v>
      </c>
      <c r="J1594" s="9">
        <v>10.8</v>
      </c>
      <c r="K1594" s="9">
        <v>360</v>
      </c>
      <c r="L1594" s="9">
        <v>0.33</v>
      </c>
      <c r="M1594" s="9">
        <v>118.8</v>
      </c>
      <c r="N1594" s="9" t="s">
        <v>49</v>
      </c>
      <c r="Q1594" s="9">
        <f>IF(Auction_Sales[[#This Row],[Payment Date]]=0,"",-1+WEEKNUM(Auction_Sales[[#This Row],[Payment Date]]))</f>
        <v>19</v>
      </c>
      <c r="R1594" s="9">
        <v>0</v>
      </c>
      <c r="S1594" s="9" t="s">
        <v>153</v>
      </c>
      <c r="T1594" s="9" t="s">
        <v>54</v>
      </c>
      <c r="U1594" s="9">
        <v>360</v>
      </c>
      <c r="V1594" s="13">
        <v>0.74111111111111116</v>
      </c>
      <c r="W1594" s="9">
        <v>266.8</v>
      </c>
      <c r="X1594" s="14">
        <v>-18.187199999999994</v>
      </c>
      <c r="Y1594" s="13">
        <v>248.61280000000002</v>
      </c>
      <c r="Z1594" s="10">
        <v>45427</v>
      </c>
      <c r="AA1594" s="9">
        <v>0</v>
      </c>
      <c r="AC1594" s="9">
        <v>439443</v>
      </c>
      <c r="AD1594" s="14">
        <v>43.81071428571429</v>
      </c>
      <c r="AF1594" s="14">
        <v>7.2</v>
      </c>
      <c r="AH1594" s="14">
        <v>51.010714285714293</v>
      </c>
      <c r="AI1594" s="13">
        <v>197.60208571428572</v>
      </c>
      <c r="AK1594" s="9">
        <v>360</v>
      </c>
    </row>
    <row r="1595" spans="1:37">
      <c r="A1595" s="9">
        <v>19</v>
      </c>
      <c r="B1595" s="9">
        <v>2024</v>
      </c>
      <c r="C1595" s="9" t="s">
        <v>46</v>
      </c>
      <c r="D1595" s="9" t="s">
        <v>47</v>
      </c>
      <c r="E1595" s="9" t="s">
        <v>47</v>
      </c>
      <c r="F1595" s="10">
        <v>45416</v>
      </c>
      <c r="G1595" s="9" t="s">
        <v>154</v>
      </c>
      <c r="H1595" s="9" t="s">
        <v>51</v>
      </c>
      <c r="I1595" s="9">
        <v>1</v>
      </c>
      <c r="J1595" s="9">
        <v>5</v>
      </c>
      <c r="K1595" s="9">
        <v>200</v>
      </c>
      <c r="L1595" s="9">
        <v>0.38</v>
      </c>
      <c r="M1595" s="9">
        <v>76</v>
      </c>
      <c r="N1595" s="9" t="s">
        <v>49</v>
      </c>
      <c r="Q1595" s="9">
        <f>IF(Auction_Sales[[#This Row],[Payment Date]]=0,"",-1+WEEKNUM(Auction_Sales[[#This Row],[Payment Date]]))</f>
        <v>19</v>
      </c>
      <c r="R1595" s="9">
        <v>0</v>
      </c>
      <c r="S1595" s="9" t="s">
        <v>154</v>
      </c>
      <c r="T1595" s="9" t="s">
        <v>51</v>
      </c>
      <c r="U1595" s="9">
        <v>200</v>
      </c>
      <c r="V1595" s="13">
        <v>0.19</v>
      </c>
      <c r="W1595" s="9">
        <v>38</v>
      </c>
      <c r="X1595" s="14">
        <v>-10.103999999999996</v>
      </c>
      <c r="Y1595" s="13">
        <v>27.896000000000004</v>
      </c>
      <c r="Z1595" s="10">
        <v>45427</v>
      </c>
      <c r="AA1595" s="9">
        <v>0</v>
      </c>
      <c r="AC1595" s="9">
        <v>439443</v>
      </c>
      <c r="AD1595" s="14">
        <v>20.282738095238095</v>
      </c>
      <c r="AF1595" s="14">
        <v>4</v>
      </c>
      <c r="AH1595" s="14">
        <v>24.282738095238095</v>
      </c>
      <c r="AI1595" s="13">
        <v>3.6132619047619094</v>
      </c>
      <c r="AK1595" s="9">
        <v>200</v>
      </c>
    </row>
    <row r="1596" spans="1:37">
      <c r="A1596" s="9">
        <v>19</v>
      </c>
      <c r="B1596" s="9">
        <v>2024</v>
      </c>
      <c r="C1596" s="9" t="s">
        <v>46</v>
      </c>
      <c r="D1596" s="9" t="s">
        <v>47</v>
      </c>
      <c r="E1596" s="9" t="s">
        <v>47</v>
      </c>
      <c r="F1596" s="10">
        <v>45416</v>
      </c>
      <c r="G1596" s="9" t="s">
        <v>154</v>
      </c>
      <c r="H1596" s="9" t="s">
        <v>48</v>
      </c>
      <c r="J1596" s="9">
        <v>7</v>
      </c>
      <c r="K1596" s="9">
        <v>280</v>
      </c>
      <c r="L1596" s="9">
        <v>0.47</v>
      </c>
      <c r="M1596" s="9">
        <v>131.6</v>
      </c>
      <c r="N1596" s="9" t="s">
        <v>49</v>
      </c>
      <c r="Q1596" s="9">
        <f>IF(Auction_Sales[[#This Row],[Payment Date]]=0,"",-1+WEEKNUM(Auction_Sales[[#This Row],[Payment Date]]))</f>
        <v>19</v>
      </c>
      <c r="R1596" s="9">
        <v>0</v>
      </c>
      <c r="S1596" s="9" t="s">
        <v>154</v>
      </c>
      <c r="T1596" s="9" t="s">
        <v>48</v>
      </c>
      <c r="U1596" s="9">
        <v>280</v>
      </c>
      <c r="V1596" s="13">
        <v>0.15571428571428572</v>
      </c>
      <c r="W1596" s="9">
        <v>43.6</v>
      </c>
      <c r="X1596" s="14">
        <v>-14.145599999999996</v>
      </c>
      <c r="Y1596" s="13">
        <v>29.454400000000007</v>
      </c>
      <c r="Z1596" s="10">
        <v>45427</v>
      </c>
      <c r="AA1596" s="9">
        <v>0</v>
      </c>
      <c r="AC1596" s="9">
        <v>439443</v>
      </c>
      <c r="AD1596" s="14">
        <v>28.395833333333332</v>
      </c>
      <c r="AF1596" s="14">
        <v>5.6000000000000005</v>
      </c>
      <c r="AH1596" s="14">
        <v>33.99583333333333</v>
      </c>
      <c r="AI1596" s="13">
        <v>-4.5414333333333232</v>
      </c>
      <c r="AK1596" s="9">
        <v>280</v>
      </c>
    </row>
    <row r="1597" spans="1:37">
      <c r="A1597" s="9">
        <v>19</v>
      </c>
      <c r="B1597" s="9">
        <v>2024</v>
      </c>
      <c r="C1597" s="9" t="s">
        <v>46</v>
      </c>
      <c r="D1597" s="9" t="s">
        <v>47</v>
      </c>
      <c r="E1597" s="9" t="s">
        <v>47</v>
      </c>
      <c r="F1597" s="10">
        <v>45416</v>
      </c>
      <c r="G1597" s="9" t="s">
        <v>154</v>
      </c>
      <c r="H1597" s="9" t="s">
        <v>52</v>
      </c>
      <c r="I1597" s="9">
        <v>1</v>
      </c>
      <c r="J1597" s="9">
        <v>5.4545454545454541</v>
      </c>
      <c r="K1597" s="9">
        <v>200</v>
      </c>
      <c r="L1597" s="9">
        <v>0.52</v>
      </c>
      <c r="M1597" s="9">
        <v>104</v>
      </c>
      <c r="N1597" s="9" t="s">
        <v>49</v>
      </c>
      <c r="Q1597" s="9">
        <f>IF(Auction_Sales[[#This Row],[Payment Date]]=0,"",-1+WEEKNUM(Auction_Sales[[#This Row],[Payment Date]]))</f>
        <v>19</v>
      </c>
      <c r="R1597" s="9">
        <v>0</v>
      </c>
      <c r="S1597" s="9" t="s">
        <v>154</v>
      </c>
      <c r="T1597" s="9" t="s">
        <v>52</v>
      </c>
      <c r="U1597" s="9">
        <v>200</v>
      </c>
      <c r="V1597" s="13">
        <v>0.98</v>
      </c>
      <c r="W1597" s="9">
        <v>196</v>
      </c>
      <c r="X1597" s="14">
        <v>-10.103999999999996</v>
      </c>
      <c r="Y1597" s="13">
        <v>185.89600000000002</v>
      </c>
      <c r="Z1597" s="10">
        <v>45427</v>
      </c>
      <c r="AA1597" s="9">
        <v>0</v>
      </c>
      <c r="AC1597" s="9">
        <v>439443</v>
      </c>
      <c r="AD1597" s="14">
        <v>22.126623376623375</v>
      </c>
      <c r="AF1597" s="14">
        <v>4</v>
      </c>
      <c r="AH1597" s="14">
        <v>26.126623376623375</v>
      </c>
      <c r="AI1597" s="13">
        <v>159.76937662337664</v>
      </c>
      <c r="AK1597" s="9">
        <v>200</v>
      </c>
    </row>
    <row r="1598" spans="1:37">
      <c r="A1598" s="9">
        <v>19</v>
      </c>
      <c r="B1598" s="9">
        <v>2024</v>
      </c>
      <c r="C1598" s="9" t="s">
        <v>46</v>
      </c>
      <c r="D1598" s="9" t="s">
        <v>47</v>
      </c>
      <c r="E1598" s="9" t="s">
        <v>47</v>
      </c>
      <c r="F1598" s="10">
        <v>45416</v>
      </c>
      <c r="G1598" s="9" t="s">
        <v>154</v>
      </c>
      <c r="H1598" s="9" t="s">
        <v>54</v>
      </c>
      <c r="J1598" s="9">
        <v>6.545454545454545</v>
      </c>
      <c r="K1598" s="9">
        <v>240</v>
      </c>
      <c r="L1598" s="9">
        <v>0.56999999999999995</v>
      </c>
      <c r="M1598" s="9">
        <v>136.80000000000001</v>
      </c>
      <c r="N1598" s="9" t="s">
        <v>49</v>
      </c>
      <c r="Q1598" s="9">
        <f>IF(Auction_Sales[[#This Row],[Payment Date]]=0,"",-1+WEEKNUM(Auction_Sales[[#This Row],[Payment Date]]))</f>
        <v>19</v>
      </c>
      <c r="R1598" s="9">
        <v>0</v>
      </c>
      <c r="S1598" s="9" t="s">
        <v>154</v>
      </c>
      <c r="T1598" s="9" t="s">
        <v>54</v>
      </c>
      <c r="U1598" s="9">
        <v>240</v>
      </c>
      <c r="V1598" s="13">
        <v>8.4999999999999992E-2</v>
      </c>
      <c r="W1598" s="9">
        <v>20.399999999999999</v>
      </c>
      <c r="X1598" s="14">
        <v>-12.124799999999995</v>
      </c>
      <c r="Y1598" s="13">
        <v>8.2752000000000034</v>
      </c>
      <c r="Z1598" s="10">
        <v>45427</v>
      </c>
      <c r="AA1598" s="9">
        <v>0</v>
      </c>
      <c r="AC1598" s="9">
        <v>439443</v>
      </c>
      <c r="AD1598" s="14">
        <v>26.551948051948052</v>
      </c>
      <c r="AF1598" s="14">
        <v>4.8</v>
      </c>
      <c r="AH1598" s="14">
        <v>31.351948051948053</v>
      </c>
      <c r="AI1598" s="13">
        <v>-23.076748051948051</v>
      </c>
      <c r="AK1598" s="9">
        <v>240</v>
      </c>
    </row>
    <row r="1599" spans="1:37">
      <c r="A1599" s="9">
        <v>19</v>
      </c>
      <c r="B1599" s="9">
        <v>2024</v>
      </c>
      <c r="C1599" s="9" t="s">
        <v>46</v>
      </c>
      <c r="D1599" s="9" t="s">
        <v>47</v>
      </c>
      <c r="E1599" s="9" t="s">
        <v>47</v>
      </c>
      <c r="F1599" s="10">
        <v>45416</v>
      </c>
      <c r="G1599" s="9" t="s">
        <v>155</v>
      </c>
      <c r="H1599" s="9" t="s">
        <v>52</v>
      </c>
      <c r="I1599" s="9">
        <v>1</v>
      </c>
      <c r="J1599" s="9">
        <v>8.3999999999999986</v>
      </c>
      <c r="K1599" s="9">
        <v>280</v>
      </c>
      <c r="L1599" s="9">
        <v>0.52</v>
      </c>
      <c r="M1599" s="9">
        <v>145.6</v>
      </c>
      <c r="N1599" s="9" t="s">
        <v>49</v>
      </c>
      <c r="Q1599" s="9">
        <f>IF(Auction_Sales[[#This Row],[Payment Date]]=0,"",-1+WEEKNUM(Auction_Sales[[#This Row],[Payment Date]]))</f>
        <v>19</v>
      </c>
      <c r="R1599" s="9">
        <v>80</v>
      </c>
      <c r="S1599" s="9" t="s">
        <v>155</v>
      </c>
      <c r="T1599" s="9" t="s">
        <v>52</v>
      </c>
      <c r="U1599" s="9">
        <v>200</v>
      </c>
      <c r="V1599" s="13">
        <v>0.6</v>
      </c>
      <c r="W1599" s="9">
        <v>71.400000000000006</v>
      </c>
      <c r="X1599" s="14">
        <v>-10.103999999999996</v>
      </c>
      <c r="Y1599" s="13">
        <v>61.296000000000006</v>
      </c>
      <c r="Z1599" s="10">
        <v>45427</v>
      </c>
      <c r="AA1599" s="9">
        <v>-80</v>
      </c>
      <c r="AC1599" s="9">
        <v>439443</v>
      </c>
      <c r="AD1599" s="14">
        <v>34.074999999999996</v>
      </c>
      <c r="AF1599" s="14">
        <v>4</v>
      </c>
      <c r="AH1599" s="14">
        <v>38.074999999999996</v>
      </c>
      <c r="AI1599" s="13">
        <v>23.221000000000011</v>
      </c>
      <c r="AK1599" s="9">
        <v>200</v>
      </c>
    </row>
    <row r="1600" spans="1:37">
      <c r="A1600" s="9">
        <v>19</v>
      </c>
      <c r="B1600" s="9">
        <v>2024</v>
      </c>
      <c r="C1600" s="9" t="s">
        <v>46</v>
      </c>
      <c r="D1600" s="9" t="s">
        <v>47</v>
      </c>
      <c r="E1600" s="9" t="s">
        <v>47</v>
      </c>
      <c r="F1600" s="10">
        <v>45416</v>
      </c>
      <c r="G1600" s="9" t="s">
        <v>155</v>
      </c>
      <c r="H1600" s="9" t="s">
        <v>54</v>
      </c>
      <c r="J1600" s="9">
        <v>3.5999999999999996</v>
      </c>
      <c r="K1600" s="9">
        <v>120</v>
      </c>
      <c r="L1600" s="9">
        <v>0.56999999999999995</v>
      </c>
      <c r="M1600" s="9">
        <v>68.400000000000006</v>
      </c>
      <c r="N1600" s="9" t="s">
        <v>49</v>
      </c>
      <c r="Q1600" s="9">
        <f>IF(Auction_Sales[[#This Row],[Payment Date]]=0,"",-1+WEEKNUM(Auction_Sales[[#This Row],[Payment Date]]))</f>
        <v>19</v>
      </c>
      <c r="R1600" s="9">
        <v>0</v>
      </c>
      <c r="S1600" s="9" t="s">
        <v>155</v>
      </c>
      <c r="T1600" s="9" t="s">
        <v>54</v>
      </c>
      <c r="U1600" s="9">
        <v>120</v>
      </c>
      <c r="V1600" s="13">
        <v>0.60333333333333339</v>
      </c>
      <c r="W1600" s="9">
        <v>72.400000000000006</v>
      </c>
      <c r="X1600" s="14">
        <v>-6.0623999999999976</v>
      </c>
      <c r="Y1600" s="13">
        <v>66.337600000000009</v>
      </c>
      <c r="Z1600" s="10">
        <v>45427</v>
      </c>
      <c r="AA1600" s="9">
        <v>0</v>
      </c>
      <c r="AC1600" s="9">
        <v>439443</v>
      </c>
      <c r="AD1600" s="14">
        <v>14.603571428571426</v>
      </c>
      <c r="AF1600" s="14">
        <v>2.4</v>
      </c>
      <c r="AH1600" s="14">
        <v>17.003571428571426</v>
      </c>
      <c r="AI1600" s="13">
        <v>49.334028571428583</v>
      </c>
      <c r="AK1600" s="9">
        <v>120</v>
      </c>
    </row>
    <row r="1601" spans="1:37">
      <c r="A1601" s="9">
        <v>19</v>
      </c>
      <c r="B1601" s="9">
        <v>2024</v>
      </c>
      <c r="C1601" s="9" t="s">
        <v>46</v>
      </c>
      <c r="D1601" s="9" t="s">
        <v>47</v>
      </c>
      <c r="E1601" s="9" t="s">
        <v>47</v>
      </c>
      <c r="F1601" s="10">
        <v>45416</v>
      </c>
      <c r="G1601" s="9" t="s">
        <v>153</v>
      </c>
      <c r="H1601" s="9" t="s">
        <v>48</v>
      </c>
      <c r="N1601" s="9" t="s">
        <v>49</v>
      </c>
      <c r="Q1601" s="9">
        <f>IF(Auction_Sales[[#This Row],[Payment Date]]=0,"",-1+WEEKNUM(Auction_Sales[[#This Row],[Payment Date]]))</f>
        <v>19</v>
      </c>
      <c r="R1601" s="9">
        <v>-560</v>
      </c>
      <c r="S1601" s="9" t="s">
        <v>153</v>
      </c>
      <c r="T1601" s="9" t="s">
        <v>48</v>
      </c>
      <c r="U1601" s="9">
        <v>560</v>
      </c>
      <c r="V1601" s="13">
        <v>0.47</v>
      </c>
      <c r="W1601" s="9">
        <v>263.2</v>
      </c>
      <c r="X1601" s="14">
        <v>-28.291199999999993</v>
      </c>
      <c r="Y1601" s="13">
        <v>234.90879999999999</v>
      </c>
      <c r="Z1601" s="10">
        <v>45427</v>
      </c>
      <c r="AA1601" s="9">
        <v>560</v>
      </c>
      <c r="AC1601" s="9">
        <v>439443</v>
      </c>
      <c r="AD1601" s="14">
        <v>0</v>
      </c>
      <c r="AF1601" s="14">
        <v>11.200000000000001</v>
      </c>
      <c r="AH1601" s="14">
        <v>11.200000000000001</v>
      </c>
      <c r="AI1601" s="13">
        <v>223.7088</v>
      </c>
      <c r="AK1601" s="9">
        <v>560</v>
      </c>
    </row>
    <row r="1602" spans="1:37">
      <c r="A1602" s="9">
        <v>19</v>
      </c>
      <c r="B1602" s="9">
        <v>2024</v>
      </c>
      <c r="C1602" s="9" t="s">
        <v>46</v>
      </c>
      <c r="D1602" s="9" t="s">
        <v>47</v>
      </c>
      <c r="E1602" s="9" t="s">
        <v>47</v>
      </c>
      <c r="F1602" s="10">
        <v>45418</v>
      </c>
      <c r="G1602" s="9" t="s">
        <v>154</v>
      </c>
      <c r="H1602" s="9" t="s">
        <v>48</v>
      </c>
      <c r="I1602" s="9">
        <v>1</v>
      </c>
      <c r="J1602" s="9">
        <v>12</v>
      </c>
      <c r="K1602" s="9">
        <v>440</v>
      </c>
      <c r="L1602" s="9">
        <v>0.47</v>
      </c>
      <c r="M1602" s="9">
        <v>206.8</v>
      </c>
      <c r="N1602" s="9" t="s">
        <v>49</v>
      </c>
      <c r="Q1602" s="9">
        <f>IF(Auction_Sales[[#This Row],[Payment Date]]=0,"",-1+WEEKNUM(Auction_Sales[[#This Row],[Payment Date]]))</f>
        <v>19</v>
      </c>
      <c r="R1602" s="9">
        <v>40</v>
      </c>
      <c r="S1602" s="9" t="s">
        <v>154</v>
      </c>
      <c r="T1602" s="9" t="s">
        <v>48</v>
      </c>
      <c r="U1602" s="9">
        <v>400</v>
      </c>
      <c r="V1602" s="13">
        <v>0.74099999999999999</v>
      </c>
      <c r="W1602" s="9">
        <v>296.39999999999998</v>
      </c>
      <c r="X1602" s="14">
        <v>-24.375</v>
      </c>
      <c r="Y1602" s="13">
        <v>272.02499999999998</v>
      </c>
      <c r="Z1602" s="10">
        <v>45427</v>
      </c>
      <c r="AA1602" s="9">
        <v>-40</v>
      </c>
      <c r="AC1602" s="9" t="s">
        <v>100</v>
      </c>
      <c r="AD1602" s="14">
        <v>57.63</v>
      </c>
      <c r="AF1602" s="14">
        <v>8</v>
      </c>
      <c r="AH1602" s="14">
        <v>65.63</v>
      </c>
      <c r="AI1602" s="13">
        <v>206.39499999999998</v>
      </c>
      <c r="AK1602" s="9">
        <v>400</v>
      </c>
    </row>
    <row r="1603" spans="1:37">
      <c r="A1603" s="9">
        <v>19</v>
      </c>
      <c r="B1603" s="9">
        <v>2024</v>
      </c>
      <c r="C1603" s="9" t="s">
        <v>46</v>
      </c>
      <c r="D1603" s="9" t="s">
        <v>47</v>
      </c>
      <c r="E1603" s="9" t="s">
        <v>47</v>
      </c>
      <c r="F1603" s="10">
        <v>45418</v>
      </c>
      <c r="G1603" s="9" t="s">
        <v>154</v>
      </c>
      <c r="H1603" s="9" t="s">
        <v>52</v>
      </c>
      <c r="I1603" s="9">
        <v>1</v>
      </c>
      <c r="J1603" s="9">
        <v>12</v>
      </c>
      <c r="K1603" s="9">
        <v>440</v>
      </c>
      <c r="L1603" s="9">
        <v>0.52</v>
      </c>
      <c r="M1603" s="9">
        <v>228.8</v>
      </c>
      <c r="N1603" s="9" t="s">
        <v>49</v>
      </c>
      <c r="Q1603" s="9">
        <f>IF(Auction_Sales[[#This Row],[Payment Date]]=0,"",-1+WEEKNUM(Auction_Sales[[#This Row],[Payment Date]]))</f>
        <v>19</v>
      </c>
      <c r="R1603" s="9">
        <v>-40</v>
      </c>
      <c r="S1603" s="9" t="s">
        <v>154</v>
      </c>
      <c r="T1603" s="9" t="s">
        <v>52</v>
      </c>
      <c r="U1603" s="9">
        <v>480</v>
      </c>
      <c r="V1603" s="13">
        <v>0.73</v>
      </c>
      <c r="W1603" s="9">
        <v>350.4</v>
      </c>
      <c r="X1603" s="14">
        <v>-29.25</v>
      </c>
      <c r="Y1603" s="13">
        <v>321.14999999999998</v>
      </c>
      <c r="Z1603" s="10">
        <v>45427</v>
      </c>
      <c r="AA1603" s="9">
        <v>40</v>
      </c>
      <c r="AC1603" s="9" t="s">
        <v>100</v>
      </c>
      <c r="AD1603" s="14">
        <v>57.63</v>
      </c>
      <c r="AF1603" s="14">
        <v>9.6</v>
      </c>
      <c r="AH1603" s="14">
        <v>67.23</v>
      </c>
      <c r="AI1603" s="13">
        <v>253.91999999999996</v>
      </c>
      <c r="AK1603" s="9">
        <v>480</v>
      </c>
    </row>
    <row r="1604" spans="1:37">
      <c r="A1604" s="9">
        <v>19</v>
      </c>
      <c r="B1604" s="9">
        <v>2024</v>
      </c>
      <c r="C1604" s="9" t="s">
        <v>46</v>
      </c>
      <c r="D1604" s="9" t="s">
        <v>47</v>
      </c>
      <c r="E1604" s="9" t="s">
        <v>47</v>
      </c>
      <c r="F1604" s="10">
        <v>45418</v>
      </c>
      <c r="G1604" s="9" t="s">
        <v>154</v>
      </c>
      <c r="H1604" s="9" t="s">
        <v>57</v>
      </c>
      <c r="I1604" s="9">
        <v>1</v>
      </c>
      <c r="J1604" s="9">
        <v>12</v>
      </c>
      <c r="K1604" s="9">
        <v>200</v>
      </c>
      <c r="L1604" s="9">
        <v>0.94</v>
      </c>
      <c r="M1604" s="9">
        <v>188</v>
      </c>
      <c r="N1604" s="9" t="s">
        <v>49</v>
      </c>
      <c r="Q1604" s="9">
        <f>IF(Auction_Sales[[#This Row],[Payment Date]]=0,"",-1+WEEKNUM(Auction_Sales[[#This Row],[Payment Date]]))</f>
        <v>19</v>
      </c>
      <c r="R1604" s="9">
        <v>200</v>
      </c>
      <c r="S1604" s="9" t="s">
        <v>154</v>
      </c>
      <c r="T1604" s="9" t="s">
        <v>57</v>
      </c>
      <c r="W1604" s="9">
        <v>0</v>
      </c>
      <c r="X1604" s="14">
        <v>0</v>
      </c>
      <c r="Y1604" s="13">
        <v>0</v>
      </c>
      <c r="Z1604" s="10">
        <v>45427</v>
      </c>
      <c r="AA1604" s="9">
        <v>-200</v>
      </c>
      <c r="AC1604" s="9" t="s">
        <v>100</v>
      </c>
      <c r="AD1604" s="14">
        <v>57.63</v>
      </c>
      <c r="AF1604" s="14">
        <v>0</v>
      </c>
      <c r="AH1604" s="14">
        <v>57.63</v>
      </c>
      <c r="AI1604" s="13">
        <v>-57.63</v>
      </c>
      <c r="AK1604" s="9">
        <v>0</v>
      </c>
    </row>
    <row r="1605" spans="1:37">
      <c r="A1605" s="9">
        <v>19</v>
      </c>
      <c r="B1605" s="9">
        <v>2024</v>
      </c>
      <c r="C1605" s="9" t="s">
        <v>46</v>
      </c>
      <c r="D1605" s="9" t="s">
        <v>47</v>
      </c>
      <c r="E1605" s="9" t="s">
        <v>47</v>
      </c>
      <c r="F1605" s="10">
        <v>45418</v>
      </c>
      <c r="G1605" s="9" t="s">
        <v>154</v>
      </c>
      <c r="H1605" s="9" t="s">
        <v>51</v>
      </c>
      <c r="I1605" s="9">
        <v>1</v>
      </c>
      <c r="J1605" s="9">
        <v>12</v>
      </c>
      <c r="K1605" s="9">
        <v>520</v>
      </c>
      <c r="L1605" s="9">
        <v>0.38</v>
      </c>
      <c r="M1605" s="9">
        <v>197.6</v>
      </c>
      <c r="N1605" s="9" t="s">
        <v>49</v>
      </c>
      <c r="Q1605" s="9">
        <f>IF(Auction_Sales[[#This Row],[Payment Date]]=0,"",-1+WEEKNUM(Auction_Sales[[#This Row],[Payment Date]]))</f>
        <v>19</v>
      </c>
      <c r="R1605" s="9">
        <v>0</v>
      </c>
      <c r="S1605" s="9" t="s">
        <v>154</v>
      </c>
      <c r="T1605" s="9" t="s">
        <v>51</v>
      </c>
      <c r="U1605" s="9">
        <v>520</v>
      </c>
      <c r="V1605" s="13">
        <v>0.64692307692307693</v>
      </c>
      <c r="W1605" s="9">
        <v>336.4</v>
      </c>
      <c r="X1605" s="14">
        <v>-31.6875</v>
      </c>
      <c r="Y1605" s="13">
        <v>304.71249999999998</v>
      </c>
      <c r="Z1605" s="10">
        <v>45427</v>
      </c>
      <c r="AA1605" s="9">
        <v>0</v>
      </c>
      <c r="AC1605" s="9" t="s">
        <v>100</v>
      </c>
      <c r="AD1605" s="14">
        <v>57.63</v>
      </c>
      <c r="AF1605" s="14">
        <v>10.4</v>
      </c>
      <c r="AH1605" s="14">
        <v>68.03</v>
      </c>
      <c r="AI1605" s="13">
        <v>236.68249999999998</v>
      </c>
      <c r="AK1605" s="9">
        <v>520</v>
      </c>
    </row>
    <row r="1606" spans="1:37">
      <c r="A1606" s="9">
        <v>19</v>
      </c>
      <c r="B1606" s="9">
        <v>2024</v>
      </c>
      <c r="C1606" s="9" t="s">
        <v>46</v>
      </c>
      <c r="D1606" s="9" t="s">
        <v>47</v>
      </c>
      <c r="E1606" s="9" t="s">
        <v>47</v>
      </c>
      <c r="F1606" s="10">
        <v>45418</v>
      </c>
      <c r="G1606" s="9" t="s">
        <v>155</v>
      </c>
      <c r="H1606" s="9" t="s">
        <v>48</v>
      </c>
      <c r="I1606" s="9">
        <v>1</v>
      </c>
      <c r="J1606" s="9">
        <v>4.8000000000000007</v>
      </c>
      <c r="K1606" s="9">
        <v>160</v>
      </c>
      <c r="L1606" s="9">
        <v>0.47</v>
      </c>
      <c r="M1606" s="9">
        <v>75.2</v>
      </c>
      <c r="N1606" s="9" t="s">
        <v>49</v>
      </c>
      <c r="Q1606" s="9">
        <f>IF(Auction_Sales[[#This Row],[Payment Date]]=0,"",-1+WEEKNUM(Auction_Sales[[#This Row],[Payment Date]]))</f>
        <v>19</v>
      </c>
      <c r="R1606" s="9">
        <v>0</v>
      </c>
      <c r="S1606" s="9" t="s">
        <v>155</v>
      </c>
      <c r="T1606" s="9" t="s">
        <v>48</v>
      </c>
      <c r="U1606" s="9">
        <v>160</v>
      </c>
      <c r="V1606" s="13">
        <v>0.91500000000000004</v>
      </c>
      <c r="W1606" s="9">
        <v>146.4</v>
      </c>
      <c r="X1606" s="14">
        <v>-9.75</v>
      </c>
      <c r="Y1606" s="13">
        <v>136.65</v>
      </c>
      <c r="Z1606" s="10">
        <v>45427</v>
      </c>
      <c r="AA1606" s="9">
        <v>0</v>
      </c>
      <c r="AC1606" s="9" t="s">
        <v>100</v>
      </c>
      <c r="AD1606" s="14">
        <v>23.052000000000007</v>
      </c>
      <c r="AF1606" s="14">
        <v>3.2</v>
      </c>
      <c r="AH1606" s="14">
        <v>26.252000000000006</v>
      </c>
      <c r="AI1606" s="13">
        <v>110.398</v>
      </c>
      <c r="AK1606" s="9">
        <v>160</v>
      </c>
    </row>
    <row r="1607" spans="1:37">
      <c r="A1607" s="9">
        <v>19</v>
      </c>
      <c r="B1607" s="9">
        <v>2024</v>
      </c>
      <c r="C1607" s="9" t="s">
        <v>46</v>
      </c>
      <c r="D1607" s="9" t="s">
        <v>47</v>
      </c>
      <c r="E1607" s="9" t="s">
        <v>47</v>
      </c>
      <c r="F1607" s="10">
        <v>45418</v>
      </c>
      <c r="G1607" s="9" t="s">
        <v>155</v>
      </c>
      <c r="H1607" s="9" t="s">
        <v>52</v>
      </c>
      <c r="J1607" s="9">
        <v>4.8000000000000007</v>
      </c>
      <c r="K1607" s="9">
        <v>160</v>
      </c>
      <c r="L1607" s="9">
        <v>0.52</v>
      </c>
      <c r="M1607" s="9">
        <v>83.2</v>
      </c>
      <c r="N1607" s="9" t="s">
        <v>49</v>
      </c>
      <c r="Q1607" s="9">
        <f>IF(Auction_Sales[[#This Row],[Payment Date]]=0,"",-1+WEEKNUM(Auction_Sales[[#This Row],[Payment Date]]))</f>
        <v>19</v>
      </c>
      <c r="R1607" s="9">
        <v>0</v>
      </c>
      <c r="S1607" s="9" t="s">
        <v>155</v>
      </c>
      <c r="T1607" s="9" t="s">
        <v>52</v>
      </c>
      <c r="U1607" s="9">
        <v>160</v>
      </c>
      <c r="V1607" s="13">
        <v>1.0325</v>
      </c>
      <c r="W1607" s="9">
        <v>165.2</v>
      </c>
      <c r="X1607" s="14">
        <v>-9.75</v>
      </c>
      <c r="Y1607" s="13">
        <v>155.44999999999999</v>
      </c>
      <c r="Z1607" s="10">
        <v>45427</v>
      </c>
      <c r="AA1607" s="9">
        <v>0</v>
      </c>
      <c r="AC1607" s="9" t="s">
        <v>100</v>
      </c>
      <c r="AD1607" s="14">
        <v>23.052000000000007</v>
      </c>
      <c r="AF1607" s="14">
        <v>3.2</v>
      </c>
      <c r="AH1607" s="14">
        <v>26.252000000000006</v>
      </c>
      <c r="AI1607" s="13">
        <v>129.19799999999998</v>
      </c>
      <c r="AK1607" s="9">
        <v>160</v>
      </c>
    </row>
    <row r="1608" spans="1:37">
      <c r="A1608" s="9">
        <v>19</v>
      </c>
      <c r="B1608" s="9">
        <v>2024</v>
      </c>
      <c r="C1608" s="9" t="s">
        <v>46</v>
      </c>
      <c r="D1608" s="9" t="s">
        <v>47</v>
      </c>
      <c r="E1608" s="9" t="s">
        <v>47</v>
      </c>
      <c r="F1608" s="10">
        <v>45418</v>
      </c>
      <c r="G1608" s="9" t="s">
        <v>155</v>
      </c>
      <c r="H1608" s="9" t="s">
        <v>57</v>
      </c>
      <c r="J1608" s="9">
        <v>2.4000000000000004</v>
      </c>
      <c r="K1608" s="9">
        <v>80</v>
      </c>
      <c r="L1608" s="9">
        <v>0.94</v>
      </c>
      <c r="M1608" s="9">
        <v>75.2</v>
      </c>
      <c r="N1608" s="9" t="s">
        <v>49</v>
      </c>
      <c r="Q1608" s="9">
        <f>IF(Auction_Sales[[#This Row],[Payment Date]]=0,"",-1+WEEKNUM(Auction_Sales[[#This Row],[Payment Date]]))</f>
        <v>19</v>
      </c>
      <c r="R1608" s="9">
        <v>0</v>
      </c>
      <c r="S1608" s="9" t="s">
        <v>155</v>
      </c>
      <c r="T1608" s="9" t="s">
        <v>57</v>
      </c>
      <c r="U1608" s="9">
        <v>80</v>
      </c>
      <c r="V1608" s="13">
        <v>1.375</v>
      </c>
      <c r="W1608" s="9">
        <v>110</v>
      </c>
      <c r="X1608" s="14">
        <v>-4.875</v>
      </c>
      <c r="Y1608" s="13">
        <v>105.125</v>
      </c>
      <c r="Z1608" s="10">
        <v>45427</v>
      </c>
      <c r="AA1608" s="9">
        <v>0</v>
      </c>
      <c r="AC1608" s="9" t="s">
        <v>100</v>
      </c>
      <c r="AD1608" s="14">
        <v>11.526000000000003</v>
      </c>
      <c r="AF1608" s="14">
        <v>1.6</v>
      </c>
      <c r="AH1608" s="14">
        <v>13.126000000000003</v>
      </c>
      <c r="AI1608" s="13">
        <v>91.998999999999995</v>
      </c>
      <c r="AK1608" s="9">
        <v>80</v>
      </c>
    </row>
    <row r="1609" spans="1:37">
      <c r="A1609" s="9">
        <v>19</v>
      </c>
      <c r="B1609" s="9">
        <v>2024</v>
      </c>
      <c r="C1609" s="9" t="s">
        <v>46</v>
      </c>
      <c r="D1609" s="9" t="s">
        <v>47</v>
      </c>
      <c r="E1609" s="9" t="s">
        <v>47</v>
      </c>
      <c r="F1609" s="10">
        <v>45418</v>
      </c>
      <c r="G1609" s="9" t="s">
        <v>154</v>
      </c>
      <c r="H1609" s="9" t="s">
        <v>52</v>
      </c>
      <c r="I1609" s="9">
        <v>1</v>
      </c>
      <c r="J1609" s="9">
        <v>2</v>
      </c>
      <c r="K1609" s="9">
        <v>40</v>
      </c>
      <c r="L1609" s="9">
        <v>0.52</v>
      </c>
      <c r="M1609" s="9">
        <v>20.8</v>
      </c>
      <c r="N1609" s="9" t="s">
        <v>49</v>
      </c>
      <c r="Q1609" s="9">
        <f>IF(Auction_Sales[[#This Row],[Payment Date]]=0,"",-1+WEEKNUM(Auction_Sales[[#This Row],[Payment Date]]))</f>
        <v>19</v>
      </c>
      <c r="R1609" s="9">
        <v>40</v>
      </c>
      <c r="S1609" s="9" t="s">
        <v>154</v>
      </c>
      <c r="T1609" s="9" t="s">
        <v>52</v>
      </c>
      <c r="W1609" s="9">
        <v>0</v>
      </c>
      <c r="X1609" s="14">
        <v>0</v>
      </c>
      <c r="Y1609" s="13">
        <v>0</v>
      </c>
      <c r="Z1609" s="10">
        <v>45427</v>
      </c>
      <c r="AA1609" s="9">
        <v>-40</v>
      </c>
      <c r="AC1609" s="9" t="s">
        <v>100</v>
      </c>
      <c r="AD1609" s="14">
        <v>9.6050000000000004</v>
      </c>
      <c r="AF1609" s="14">
        <v>0</v>
      </c>
      <c r="AH1609" s="14">
        <v>9.6050000000000004</v>
      </c>
      <c r="AI1609" s="13">
        <v>-9.6050000000000004</v>
      </c>
      <c r="AK1609" s="9">
        <v>0</v>
      </c>
    </row>
    <row r="1610" spans="1:37">
      <c r="A1610" s="9">
        <v>19</v>
      </c>
      <c r="B1610" s="9">
        <v>2024</v>
      </c>
      <c r="C1610" s="9" t="s">
        <v>46</v>
      </c>
      <c r="D1610" s="9" t="s">
        <v>47</v>
      </c>
      <c r="E1610" s="9" t="s">
        <v>47</v>
      </c>
      <c r="F1610" s="10">
        <v>45418</v>
      </c>
      <c r="G1610" s="9" t="s">
        <v>154</v>
      </c>
      <c r="H1610" s="9" t="s">
        <v>56</v>
      </c>
      <c r="J1610" s="9">
        <v>4</v>
      </c>
      <c r="K1610" s="9">
        <v>80</v>
      </c>
      <c r="L1610" s="9">
        <v>0.75</v>
      </c>
      <c r="M1610" s="9">
        <v>60</v>
      </c>
      <c r="N1610" s="9" t="s">
        <v>49</v>
      </c>
      <c r="Q1610" s="9">
        <f>IF(Auction_Sales[[#This Row],[Payment Date]]=0,"",-1+WEEKNUM(Auction_Sales[[#This Row],[Payment Date]]))</f>
        <v>19</v>
      </c>
      <c r="R1610" s="9">
        <v>0</v>
      </c>
      <c r="S1610" s="9" t="s">
        <v>154</v>
      </c>
      <c r="T1610" s="9" t="s">
        <v>56</v>
      </c>
      <c r="U1610" s="9">
        <v>80</v>
      </c>
      <c r="V1610" s="13">
        <v>0.84000000000000008</v>
      </c>
      <c r="W1610" s="9">
        <v>67.2</v>
      </c>
      <c r="X1610" s="14">
        <v>-4.875</v>
      </c>
      <c r="Y1610" s="13">
        <v>62.325000000000003</v>
      </c>
      <c r="Z1610" s="10">
        <v>45427</v>
      </c>
      <c r="AA1610" s="9">
        <v>0</v>
      </c>
      <c r="AC1610" s="9" t="s">
        <v>100</v>
      </c>
      <c r="AD1610" s="14">
        <v>19.21</v>
      </c>
      <c r="AF1610" s="14">
        <v>1.6</v>
      </c>
      <c r="AH1610" s="14">
        <v>20.810000000000002</v>
      </c>
      <c r="AI1610" s="13">
        <v>41.515000000000001</v>
      </c>
      <c r="AK1610" s="9">
        <v>80</v>
      </c>
    </row>
    <row r="1611" spans="1:37">
      <c r="A1611" s="9">
        <v>19</v>
      </c>
      <c r="B1611" s="9">
        <v>2024</v>
      </c>
      <c r="C1611" s="9" t="s">
        <v>46</v>
      </c>
      <c r="D1611" s="9" t="s">
        <v>47</v>
      </c>
      <c r="E1611" s="9" t="s">
        <v>47</v>
      </c>
      <c r="F1611" s="10">
        <v>45418</v>
      </c>
      <c r="G1611" s="9" t="s">
        <v>154</v>
      </c>
      <c r="H1611" s="9" t="s">
        <v>57</v>
      </c>
      <c r="J1611" s="9">
        <v>6</v>
      </c>
      <c r="K1611" s="9">
        <v>120</v>
      </c>
      <c r="L1611" s="9">
        <v>0.94</v>
      </c>
      <c r="M1611" s="9">
        <v>112.8</v>
      </c>
      <c r="N1611" s="9" t="s">
        <v>49</v>
      </c>
      <c r="Q1611" s="9">
        <f>IF(Auction_Sales[[#This Row],[Payment Date]]=0,"",-1+WEEKNUM(Auction_Sales[[#This Row],[Payment Date]]))</f>
        <v>19</v>
      </c>
      <c r="R1611" s="9">
        <v>-200</v>
      </c>
      <c r="S1611" s="9" t="s">
        <v>154</v>
      </c>
      <c r="T1611" s="9" t="s">
        <v>57</v>
      </c>
      <c r="U1611" s="9">
        <v>320</v>
      </c>
      <c r="V1611" s="13">
        <v>0.79874999999999996</v>
      </c>
      <c r="W1611" s="9">
        <v>255.6</v>
      </c>
      <c r="X1611" s="14">
        <v>-19.5</v>
      </c>
      <c r="Y1611" s="13">
        <v>236.1</v>
      </c>
      <c r="Z1611" s="10">
        <v>45427</v>
      </c>
      <c r="AA1611" s="9">
        <v>200</v>
      </c>
      <c r="AC1611" s="9" t="s">
        <v>100</v>
      </c>
      <c r="AD1611" s="14">
        <v>28.815000000000001</v>
      </c>
      <c r="AF1611" s="14">
        <v>6.4</v>
      </c>
      <c r="AH1611" s="14">
        <v>35.215000000000003</v>
      </c>
      <c r="AI1611" s="13">
        <v>200.88499999999999</v>
      </c>
      <c r="AK1611" s="9">
        <v>320</v>
      </c>
    </row>
    <row r="1612" spans="1:37">
      <c r="A1612" s="9">
        <v>19</v>
      </c>
      <c r="B1612" s="9">
        <v>2024</v>
      </c>
      <c r="C1612" s="9" t="s">
        <v>46</v>
      </c>
      <c r="D1612" s="9" t="s">
        <v>47</v>
      </c>
      <c r="E1612" s="9" t="s">
        <v>47</v>
      </c>
      <c r="F1612" s="10">
        <v>45418</v>
      </c>
      <c r="G1612" s="9" t="s">
        <v>156</v>
      </c>
      <c r="H1612" s="9" t="s">
        <v>51</v>
      </c>
      <c r="I1612" s="9">
        <v>1</v>
      </c>
      <c r="J1612" s="9">
        <v>8.5714285714285712</v>
      </c>
      <c r="K1612" s="9">
        <v>200</v>
      </c>
      <c r="L1612" s="9">
        <v>0.42</v>
      </c>
      <c r="M1612" s="9">
        <v>84</v>
      </c>
      <c r="N1612" s="9" t="s">
        <v>49</v>
      </c>
      <c r="Q1612" s="9">
        <f>IF(Auction_Sales[[#This Row],[Payment Date]]=0,"",-1+WEEKNUM(Auction_Sales[[#This Row],[Payment Date]]))</f>
        <v>19</v>
      </c>
      <c r="R1612" s="9">
        <v>0</v>
      </c>
      <c r="S1612" s="9" t="s">
        <v>156</v>
      </c>
      <c r="T1612" s="9" t="s">
        <v>51</v>
      </c>
      <c r="U1612" s="9">
        <v>200</v>
      </c>
      <c r="V1612" s="13">
        <v>0.502</v>
      </c>
      <c r="W1612" s="9">
        <v>100.4</v>
      </c>
      <c r="X1612" s="14">
        <v>-12.1875</v>
      </c>
      <c r="Y1612" s="13">
        <v>88.212500000000006</v>
      </c>
      <c r="Z1612" s="10">
        <v>45427</v>
      </c>
      <c r="AA1612" s="9">
        <v>0</v>
      </c>
      <c r="AC1612" s="9" t="s">
        <v>100</v>
      </c>
      <c r="AD1612" s="14">
        <v>41.164285714285718</v>
      </c>
      <c r="AF1612" s="14">
        <v>4</v>
      </c>
      <c r="AH1612" s="14">
        <v>45.164285714285718</v>
      </c>
      <c r="AI1612" s="13">
        <v>43.048214285714288</v>
      </c>
      <c r="AK1612" s="9">
        <v>200</v>
      </c>
    </row>
    <row r="1613" spans="1:37">
      <c r="A1613" s="9">
        <v>19</v>
      </c>
      <c r="B1613" s="9">
        <v>2024</v>
      </c>
      <c r="C1613" s="9" t="s">
        <v>46</v>
      </c>
      <c r="D1613" s="9" t="s">
        <v>47</v>
      </c>
      <c r="E1613" s="9" t="s">
        <v>47</v>
      </c>
      <c r="F1613" s="10">
        <v>45418</v>
      </c>
      <c r="G1613" s="9" t="s">
        <v>156</v>
      </c>
      <c r="H1613" s="9" t="s">
        <v>56</v>
      </c>
      <c r="J1613" s="9">
        <v>1.7142857142857142</v>
      </c>
      <c r="K1613" s="9">
        <v>40</v>
      </c>
      <c r="L1613" s="9">
        <v>0.85</v>
      </c>
      <c r="M1613" s="9">
        <v>34</v>
      </c>
      <c r="N1613" s="9" t="s">
        <v>49</v>
      </c>
      <c r="Q1613" s="9">
        <f>IF(Auction_Sales[[#This Row],[Payment Date]]=0,"",-1+WEEKNUM(Auction_Sales[[#This Row],[Payment Date]]))</f>
        <v>19</v>
      </c>
      <c r="R1613" s="9">
        <v>0</v>
      </c>
      <c r="S1613" s="9" t="s">
        <v>156</v>
      </c>
      <c r="T1613" s="9" t="s">
        <v>56</v>
      </c>
      <c r="U1613" s="9">
        <v>40</v>
      </c>
      <c r="V1613" s="13">
        <v>1.2</v>
      </c>
      <c r="W1613" s="9">
        <v>48</v>
      </c>
      <c r="X1613" s="14">
        <v>-2.4375</v>
      </c>
      <c r="Y1613" s="13">
        <v>45.5625</v>
      </c>
      <c r="Z1613" s="10">
        <v>45427</v>
      </c>
      <c r="AA1613" s="9">
        <v>0</v>
      </c>
      <c r="AC1613" s="9" t="s">
        <v>100</v>
      </c>
      <c r="AD1613" s="14">
        <v>8.2328571428571422</v>
      </c>
      <c r="AF1613" s="14">
        <v>0.8</v>
      </c>
      <c r="AH1613" s="14">
        <v>9.0328571428571429</v>
      </c>
      <c r="AI1613" s="13">
        <v>36.529642857142861</v>
      </c>
      <c r="AK1613" s="9">
        <v>40</v>
      </c>
    </row>
    <row r="1614" spans="1:37">
      <c r="A1614" s="9">
        <v>19</v>
      </c>
      <c r="B1614" s="9">
        <v>2024</v>
      </c>
      <c r="C1614" s="9" t="s">
        <v>46</v>
      </c>
      <c r="D1614" s="9" t="s">
        <v>47</v>
      </c>
      <c r="E1614" s="9" t="s">
        <v>47</v>
      </c>
      <c r="F1614" s="10">
        <v>45418</v>
      </c>
      <c r="G1614" s="9" t="s">
        <v>156</v>
      </c>
      <c r="H1614" s="9" t="s">
        <v>57</v>
      </c>
      <c r="J1614" s="9">
        <v>1.7142857142857142</v>
      </c>
      <c r="K1614" s="9">
        <v>40</v>
      </c>
      <c r="L1614" s="9">
        <v>1.04</v>
      </c>
      <c r="M1614" s="9">
        <v>41.6</v>
      </c>
      <c r="N1614" s="9" t="s">
        <v>49</v>
      </c>
      <c r="Q1614" s="9">
        <f>IF(Auction_Sales[[#This Row],[Payment Date]]=0,"",-1+WEEKNUM(Auction_Sales[[#This Row],[Payment Date]]))</f>
        <v>19</v>
      </c>
      <c r="R1614" s="9">
        <v>0</v>
      </c>
      <c r="S1614" s="9" t="s">
        <v>156</v>
      </c>
      <c r="T1614" s="9" t="s">
        <v>57</v>
      </c>
      <c r="U1614" s="9">
        <v>40</v>
      </c>
      <c r="V1614" s="13">
        <v>1.35</v>
      </c>
      <c r="W1614" s="9">
        <v>54</v>
      </c>
      <c r="X1614" s="14">
        <v>-2.4375</v>
      </c>
      <c r="Y1614" s="13">
        <v>51.5625</v>
      </c>
      <c r="Z1614" s="10">
        <v>45427</v>
      </c>
      <c r="AA1614" s="9">
        <v>0</v>
      </c>
      <c r="AC1614" s="9" t="s">
        <v>100</v>
      </c>
      <c r="AD1614" s="14">
        <v>8.2328571428571422</v>
      </c>
      <c r="AF1614" s="14">
        <v>0.8</v>
      </c>
      <c r="AH1614" s="14">
        <v>9.0328571428571429</v>
      </c>
      <c r="AI1614" s="13">
        <v>42.529642857142861</v>
      </c>
      <c r="AK1614" s="9">
        <v>40</v>
      </c>
    </row>
    <row r="1615" spans="1:37">
      <c r="A1615" s="9">
        <v>19</v>
      </c>
      <c r="B1615" s="9">
        <v>2024</v>
      </c>
      <c r="C1615" s="9" t="s">
        <v>46</v>
      </c>
      <c r="D1615" s="9" t="s">
        <v>47</v>
      </c>
      <c r="E1615" s="9" t="s">
        <v>47</v>
      </c>
      <c r="F1615" s="10">
        <v>45418</v>
      </c>
      <c r="G1615" s="9" t="s">
        <v>153</v>
      </c>
      <c r="H1615" s="9" t="s">
        <v>52</v>
      </c>
      <c r="I1615" s="9">
        <v>1</v>
      </c>
      <c r="J1615" s="9">
        <v>4.8000000000000007</v>
      </c>
      <c r="K1615" s="9">
        <v>160</v>
      </c>
      <c r="L1615" s="9">
        <v>0.28000000000000003</v>
      </c>
      <c r="M1615" s="9">
        <v>44.8</v>
      </c>
      <c r="N1615" s="9" t="s">
        <v>49</v>
      </c>
      <c r="Q1615" s="9">
        <f>IF(Auction_Sales[[#This Row],[Payment Date]]=0,"",-1+WEEKNUM(Auction_Sales[[#This Row],[Payment Date]]))</f>
        <v>19</v>
      </c>
      <c r="R1615" s="9">
        <v>0</v>
      </c>
      <c r="S1615" s="9" t="s">
        <v>153</v>
      </c>
      <c r="T1615" s="9" t="s">
        <v>52</v>
      </c>
      <c r="U1615" s="9">
        <v>160</v>
      </c>
      <c r="V1615" s="13">
        <v>0.53499999999999992</v>
      </c>
      <c r="W1615" s="9">
        <v>85.6</v>
      </c>
      <c r="X1615" s="14">
        <v>-9.75</v>
      </c>
      <c r="Y1615" s="13">
        <v>75.849999999999994</v>
      </c>
      <c r="Z1615" s="10">
        <v>45427</v>
      </c>
      <c r="AA1615" s="9">
        <v>0</v>
      </c>
      <c r="AC1615" s="9" t="s">
        <v>100</v>
      </c>
      <c r="AD1615" s="14">
        <v>23.052000000000007</v>
      </c>
      <c r="AF1615" s="14">
        <v>3.2</v>
      </c>
      <c r="AH1615" s="14">
        <v>26.252000000000006</v>
      </c>
      <c r="AI1615" s="13">
        <v>49.597999999999985</v>
      </c>
      <c r="AK1615" s="9">
        <v>160</v>
      </c>
    </row>
    <row r="1616" spans="1:37">
      <c r="A1616" s="9">
        <v>19</v>
      </c>
      <c r="B1616" s="9">
        <v>2024</v>
      </c>
      <c r="C1616" s="9" t="s">
        <v>46</v>
      </c>
      <c r="D1616" s="9" t="s">
        <v>47</v>
      </c>
      <c r="E1616" s="9" t="s">
        <v>47</v>
      </c>
      <c r="F1616" s="10">
        <v>45418</v>
      </c>
      <c r="G1616" s="9" t="s">
        <v>153</v>
      </c>
      <c r="H1616" s="9" t="s">
        <v>54</v>
      </c>
      <c r="J1616" s="9">
        <v>3.5999999999999996</v>
      </c>
      <c r="K1616" s="9">
        <v>120</v>
      </c>
      <c r="L1616" s="9">
        <v>0.33</v>
      </c>
      <c r="M1616" s="9">
        <v>39.6</v>
      </c>
      <c r="N1616" s="9" t="s">
        <v>49</v>
      </c>
      <c r="Q1616" s="9">
        <f>IF(Auction_Sales[[#This Row],[Payment Date]]=0,"",-1+WEEKNUM(Auction_Sales[[#This Row],[Payment Date]]))</f>
        <v>19</v>
      </c>
      <c r="R1616" s="9">
        <v>0</v>
      </c>
      <c r="S1616" s="9" t="s">
        <v>153</v>
      </c>
      <c r="T1616" s="9" t="s">
        <v>54</v>
      </c>
      <c r="U1616" s="9">
        <v>120</v>
      </c>
      <c r="V1616" s="13">
        <v>0.5</v>
      </c>
      <c r="W1616" s="9">
        <v>60</v>
      </c>
      <c r="X1616" s="14">
        <v>-7.3125</v>
      </c>
      <c r="Y1616" s="13">
        <v>52.6875</v>
      </c>
      <c r="Z1616" s="10">
        <v>45427</v>
      </c>
      <c r="AA1616" s="9">
        <v>0</v>
      </c>
      <c r="AC1616" s="9" t="s">
        <v>100</v>
      </c>
      <c r="AD1616" s="14">
        <v>17.289000000000001</v>
      </c>
      <c r="AF1616" s="14">
        <v>2.4</v>
      </c>
      <c r="AH1616" s="14">
        <v>19.689</v>
      </c>
      <c r="AI1616" s="13">
        <v>32.9985</v>
      </c>
      <c r="AK1616" s="9">
        <v>120</v>
      </c>
    </row>
    <row r="1617" spans="1:37">
      <c r="A1617" s="9">
        <v>19</v>
      </c>
      <c r="B1617" s="9">
        <v>2024</v>
      </c>
      <c r="C1617" s="9" t="s">
        <v>46</v>
      </c>
      <c r="D1617" s="9" t="s">
        <v>47</v>
      </c>
      <c r="E1617" s="9" t="s">
        <v>47</v>
      </c>
      <c r="F1617" s="10">
        <v>45418</v>
      </c>
      <c r="G1617" s="9" t="s">
        <v>153</v>
      </c>
      <c r="H1617" s="9" t="s">
        <v>56</v>
      </c>
      <c r="J1617" s="9">
        <v>3.5999999999999996</v>
      </c>
      <c r="K1617" s="9">
        <v>120</v>
      </c>
      <c r="L1617" s="9">
        <v>0.38</v>
      </c>
      <c r="M1617" s="9">
        <v>45.6</v>
      </c>
      <c r="N1617" s="9" t="s">
        <v>49</v>
      </c>
      <c r="Q1617" s="9">
        <f>IF(Auction_Sales[[#This Row],[Payment Date]]=0,"",-1+WEEKNUM(Auction_Sales[[#This Row],[Payment Date]]))</f>
        <v>19</v>
      </c>
      <c r="R1617" s="9">
        <v>0</v>
      </c>
      <c r="S1617" s="9" t="s">
        <v>153</v>
      </c>
      <c r="T1617" s="9" t="s">
        <v>56</v>
      </c>
      <c r="U1617" s="9">
        <v>120</v>
      </c>
      <c r="V1617" s="13">
        <v>0.85666666666666669</v>
      </c>
      <c r="W1617" s="9">
        <v>102.8</v>
      </c>
      <c r="X1617" s="14">
        <v>-7.3125</v>
      </c>
      <c r="Y1617" s="13">
        <v>95.487499999999997</v>
      </c>
      <c r="Z1617" s="10">
        <v>45427</v>
      </c>
      <c r="AA1617" s="9">
        <v>0</v>
      </c>
      <c r="AC1617" s="9" t="s">
        <v>100</v>
      </c>
      <c r="AD1617" s="14">
        <v>17.289000000000001</v>
      </c>
      <c r="AF1617" s="14">
        <v>2.4</v>
      </c>
      <c r="AH1617" s="14">
        <v>19.689</v>
      </c>
      <c r="AI1617" s="13">
        <v>75.79849999999999</v>
      </c>
      <c r="AK1617" s="9">
        <v>120</v>
      </c>
    </row>
    <row r="1618" spans="1:37">
      <c r="A1618" s="9">
        <v>19</v>
      </c>
      <c r="B1618" s="9">
        <v>2024</v>
      </c>
      <c r="C1618" s="9" t="s">
        <v>46</v>
      </c>
      <c r="D1618" s="9" t="s">
        <v>47</v>
      </c>
      <c r="E1618" s="9" t="s">
        <v>47</v>
      </c>
      <c r="F1618" s="10">
        <v>45421</v>
      </c>
      <c r="G1618" s="9" t="s">
        <v>153</v>
      </c>
      <c r="H1618" s="9" t="s">
        <v>54</v>
      </c>
      <c r="I1618" s="9">
        <v>1</v>
      </c>
      <c r="J1618" s="9">
        <v>12</v>
      </c>
      <c r="K1618" s="9">
        <v>440</v>
      </c>
      <c r="L1618" s="9">
        <v>0.33</v>
      </c>
      <c r="M1618" s="9">
        <v>145.19999999999999</v>
      </c>
      <c r="N1618" s="9" t="s">
        <v>49</v>
      </c>
      <c r="Q1618" s="9">
        <f>IF(Auction_Sales[[#This Row],[Payment Date]]=0,"",-1+WEEKNUM(Auction_Sales[[#This Row],[Payment Date]]))</f>
        <v>20</v>
      </c>
      <c r="R1618" s="9">
        <v>0</v>
      </c>
      <c r="S1618" s="9" t="s">
        <v>153</v>
      </c>
      <c r="T1618" s="9" t="s">
        <v>54</v>
      </c>
      <c r="U1618" s="9">
        <v>440</v>
      </c>
      <c r="V1618" s="13">
        <v>0.46</v>
      </c>
      <c r="W1618" s="9">
        <v>202.4</v>
      </c>
      <c r="X1618" s="14">
        <v>-18.902677165354334</v>
      </c>
      <c r="Y1618" s="13">
        <v>183.49732283464567</v>
      </c>
      <c r="Z1618" s="10">
        <v>45434</v>
      </c>
      <c r="AA1618" s="9">
        <v>0</v>
      </c>
      <c r="AC1618" s="9">
        <v>440141</v>
      </c>
      <c r="AD1618" s="14">
        <v>44.591000000000008</v>
      </c>
      <c r="AF1618" s="14">
        <v>8.8000000000000007</v>
      </c>
      <c r="AH1618" s="14">
        <v>53.391000000000005</v>
      </c>
      <c r="AI1618" s="13">
        <v>130.10632283464565</v>
      </c>
      <c r="AK1618" s="9">
        <v>440</v>
      </c>
    </row>
    <row r="1619" spans="1:37">
      <c r="A1619" s="9">
        <v>19</v>
      </c>
      <c r="B1619" s="9">
        <v>2024</v>
      </c>
      <c r="C1619" s="9" t="s">
        <v>46</v>
      </c>
      <c r="D1619" s="9" t="s">
        <v>47</v>
      </c>
      <c r="E1619" s="9" t="s">
        <v>47</v>
      </c>
      <c r="F1619" s="10">
        <v>45421</v>
      </c>
      <c r="G1619" s="9" t="s">
        <v>153</v>
      </c>
      <c r="H1619" s="9" t="s">
        <v>48</v>
      </c>
      <c r="I1619" s="9">
        <v>1</v>
      </c>
      <c r="J1619" s="9">
        <v>12</v>
      </c>
      <c r="K1619" s="9">
        <v>720</v>
      </c>
      <c r="L1619" s="9">
        <v>0.24</v>
      </c>
      <c r="M1619" s="9">
        <v>172.8</v>
      </c>
      <c r="N1619" s="9" t="s">
        <v>49</v>
      </c>
      <c r="Q1619" s="9">
        <f>IF(Auction_Sales[[#This Row],[Payment Date]]=0,"",-1+WEEKNUM(Auction_Sales[[#This Row],[Payment Date]]))</f>
        <v>20</v>
      </c>
      <c r="R1619" s="9">
        <v>-120</v>
      </c>
      <c r="S1619" s="9" t="s">
        <v>153</v>
      </c>
      <c r="T1619" s="9" t="s">
        <v>48</v>
      </c>
      <c r="U1619" s="9">
        <v>840</v>
      </c>
      <c r="V1619" s="13">
        <v>0.41095238095238096</v>
      </c>
      <c r="W1619" s="9">
        <v>345.2</v>
      </c>
      <c r="X1619" s="14">
        <v>-36.08692913385827</v>
      </c>
      <c r="Y1619" s="13">
        <v>309.1130708661417</v>
      </c>
      <c r="Z1619" s="10">
        <v>45434</v>
      </c>
      <c r="AA1619" s="9">
        <v>120</v>
      </c>
      <c r="AC1619" s="9">
        <v>440141</v>
      </c>
      <c r="AD1619" s="14">
        <v>44.591000000000008</v>
      </c>
      <c r="AF1619" s="14">
        <v>16.8</v>
      </c>
      <c r="AH1619" s="14">
        <v>61.391000000000005</v>
      </c>
      <c r="AI1619" s="13">
        <v>247.72207086614168</v>
      </c>
      <c r="AK1619" s="9">
        <v>840</v>
      </c>
    </row>
    <row r="1620" spans="1:37">
      <c r="A1620" s="9">
        <v>19</v>
      </c>
      <c r="B1620" s="9">
        <v>2024</v>
      </c>
      <c r="C1620" s="9" t="s">
        <v>46</v>
      </c>
      <c r="D1620" s="9" t="s">
        <v>47</v>
      </c>
      <c r="E1620" s="9" t="s">
        <v>47</v>
      </c>
      <c r="F1620" s="10">
        <v>45421</v>
      </c>
      <c r="G1620" s="9" t="s">
        <v>153</v>
      </c>
      <c r="H1620" s="9" t="s">
        <v>56</v>
      </c>
      <c r="I1620" s="9">
        <v>1</v>
      </c>
      <c r="J1620" s="9">
        <v>12</v>
      </c>
      <c r="K1620" s="9">
        <v>320</v>
      </c>
      <c r="L1620" s="9">
        <v>0.38</v>
      </c>
      <c r="M1620" s="9">
        <v>121.6</v>
      </c>
      <c r="N1620" s="9" t="s">
        <v>49</v>
      </c>
      <c r="Q1620" s="9">
        <f>IF(Auction_Sales[[#This Row],[Payment Date]]=0,"",-1+WEEKNUM(Auction_Sales[[#This Row],[Payment Date]]))</f>
        <v>20</v>
      </c>
      <c r="R1620" s="9">
        <v>0</v>
      </c>
      <c r="S1620" s="9" t="s">
        <v>153</v>
      </c>
      <c r="T1620" s="9" t="s">
        <v>56</v>
      </c>
      <c r="U1620" s="9">
        <v>320</v>
      </c>
      <c r="V1620" s="13">
        <v>0.48749999999999999</v>
      </c>
      <c r="W1620" s="9">
        <v>156</v>
      </c>
      <c r="X1620" s="14">
        <v>-13.747401574803151</v>
      </c>
      <c r="Y1620" s="13">
        <v>142.25259842519685</v>
      </c>
      <c r="Z1620" s="10">
        <v>45434</v>
      </c>
      <c r="AA1620" s="9">
        <v>0</v>
      </c>
      <c r="AC1620" s="9">
        <v>440141</v>
      </c>
      <c r="AD1620" s="14">
        <v>44.591000000000008</v>
      </c>
      <c r="AF1620" s="14">
        <v>6.4</v>
      </c>
      <c r="AH1620" s="14">
        <v>50.991000000000007</v>
      </c>
      <c r="AI1620" s="13">
        <v>91.261598425196837</v>
      </c>
      <c r="AK1620" s="9">
        <v>320</v>
      </c>
    </row>
    <row r="1621" spans="1:37">
      <c r="A1621" s="9">
        <v>19</v>
      </c>
      <c r="B1621" s="9">
        <v>2024</v>
      </c>
      <c r="C1621" s="9" t="s">
        <v>46</v>
      </c>
      <c r="D1621" s="9" t="s">
        <v>47</v>
      </c>
      <c r="E1621" s="9" t="s">
        <v>47</v>
      </c>
      <c r="F1621" s="10">
        <v>45421</v>
      </c>
      <c r="G1621" s="9" t="s">
        <v>154</v>
      </c>
      <c r="H1621" s="9" t="s">
        <v>48</v>
      </c>
      <c r="I1621" s="9">
        <v>1</v>
      </c>
      <c r="J1621" s="9">
        <v>12</v>
      </c>
      <c r="K1621" s="9">
        <v>400</v>
      </c>
      <c r="L1621" s="9">
        <v>0.47</v>
      </c>
      <c r="M1621" s="9">
        <v>188</v>
      </c>
      <c r="N1621" s="9" t="s">
        <v>49</v>
      </c>
      <c r="Q1621" s="9">
        <f>IF(Auction_Sales[[#This Row],[Payment Date]]=0,"",-1+WEEKNUM(Auction_Sales[[#This Row],[Payment Date]]))</f>
        <v>20</v>
      </c>
      <c r="R1621" s="9">
        <v>-120</v>
      </c>
      <c r="S1621" s="9" t="s">
        <v>154</v>
      </c>
      <c r="T1621" s="9" t="s">
        <v>48</v>
      </c>
      <c r="U1621" s="9">
        <v>520</v>
      </c>
      <c r="V1621" s="13">
        <v>0.61</v>
      </c>
      <c r="W1621" s="9">
        <v>317.2</v>
      </c>
      <c r="X1621" s="14">
        <v>-22.339527559055117</v>
      </c>
      <c r="Y1621" s="13">
        <v>294.86047244094487</v>
      </c>
      <c r="Z1621" s="10">
        <v>45434</v>
      </c>
      <c r="AA1621" s="9">
        <v>120</v>
      </c>
      <c r="AC1621" s="9">
        <v>440141</v>
      </c>
      <c r="AD1621" s="14">
        <v>44.591000000000008</v>
      </c>
      <c r="AF1621" s="14">
        <v>10.4</v>
      </c>
      <c r="AH1621" s="14">
        <v>54.991000000000007</v>
      </c>
      <c r="AI1621" s="13">
        <v>239.86947244094486</v>
      </c>
      <c r="AK1621" s="9">
        <v>520</v>
      </c>
    </row>
    <row r="1622" spans="1:37">
      <c r="A1622" s="9">
        <v>19</v>
      </c>
      <c r="B1622" s="9">
        <v>2024</v>
      </c>
      <c r="C1622" s="9" t="s">
        <v>46</v>
      </c>
      <c r="D1622" s="9" t="s">
        <v>47</v>
      </c>
      <c r="E1622" s="9" t="s">
        <v>47</v>
      </c>
      <c r="F1622" s="10">
        <v>45421</v>
      </c>
      <c r="G1622" s="9" t="s">
        <v>153</v>
      </c>
      <c r="H1622" s="9" t="s">
        <v>51</v>
      </c>
      <c r="I1622" s="9">
        <v>2</v>
      </c>
      <c r="J1622" s="9">
        <v>24</v>
      </c>
      <c r="K1622" s="9">
        <v>1280</v>
      </c>
      <c r="L1622" s="9">
        <v>0.14000000000000001</v>
      </c>
      <c r="M1622" s="9">
        <v>179.2</v>
      </c>
      <c r="N1622" s="9" t="s">
        <v>49</v>
      </c>
      <c r="Q1622" s="9">
        <f>IF(Auction_Sales[[#This Row],[Payment Date]]=0,"",-1+WEEKNUM(Auction_Sales[[#This Row],[Payment Date]]))</f>
        <v>20</v>
      </c>
      <c r="R1622" s="9">
        <v>720</v>
      </c>
      <c r="S1622" s="9" t="s">
        <v>153</v>
      </c>
      <c r="T1622" s="9" t="s">
        <v>51</v>
      </c>
      <c r="U1622" s="9">
        <v>560</v>
      </c>
      <c r="V1622" s="13">
        <v>0.30785714285714288</v>
      </c>
      <c r="W1622" s="9">
        <v>172.4</v>
      </c>
      <c r="X1622" s="14">
        <v>-24.057952755905514</v>
      </c>
      <c r="Y1622" s="13">
        <v>148.34204724409449</v>
      </c>
      <c r="Z1622" s="10">
        <v>45434</v>
      </c>
      <c r="AA1622" s="9">
        <v>-720</v>
      </c>
      <c r="AC1622" s="9">
        <v>440141</v>
      </c>
      <c r="AD1622" s="14">
        <v>89.182000000000016</v>
      </c>
      <c r="AF1622" s="14">
        <v>11.200000000000001</v>
      </c>
      <c r="AH1622" s="14">
        <v>100.38200000000002</v>
      </c>
      <c r="AI1622" s="13">
        <v>47.960047244094469</v>
      </c>
      <c r="AK1622" s="9">
        <v>560</v>
      </c>
    </row>
    <row r="1623" spans="1:37">
      <c r="A1623" s="9">
        <v>19</v>
      </c>
      <c r="B1623" s="9">
        <v>2024</v>
      </c>
      <c r="C1623" s="9" t="s">
        <v>46</v>
      </c>
      <c r="D1623" s="9" t="s">
        <v>47</v>
      </c>
      <c r="E1623" s="9" t="s">
        <v>47</v>
      </c>
      <c r="F1623" s="10">
        <v>45421</v>
      </c>
      <c r="G1623" s="9" t="s">
        <v>155</v>
      </c>
      <c r="H1623" s="9" t="s">
        <v>48</v>
      </c>
      <c r="I1623" s="9">
        <v>1</v>
      </c>
      <c r="J1623" s="9">
        <v>12</v>
      </c>
      <c r="K1623" s="9">
        <v>400</v>
      </c>
      <c r="L1623" s="9">
        <v>0.47</v>
      </c>
      <c r="M1623" s="9">
        <v>188</v>
      </c>
      <c r="N1623" s="9" t="s">
        <v>49</v>
      </c>
      <c r="Q1623" s="9">
        <f>IF(Auction_Sales[[#This Row],[Payment Date]]=0,"",-1+WEEKNUM(Auction_Sales[[#This Row],[Payment Date]]))</f>
        <v>20</v>
      </c>
      <c r="R1623" s="9">
        <v>0</v>
      </c>
      <c r="S1623" s="9" t="s">
        <v>155</v>
      </c>
      <c r="T1623" s="9" t="s">
        <v>48</v>
      </c>
      <c r="U1623" s="9">
        <v>400</v>
      </c>
      <c r="V1623" s="13">
        <v>0.73499999999999999</v>
      </c>
      <c r="W1623" s="9">
        <v>294</v>
      </c>
      <c r="X1623" s="14">
        <v>-17.184251968503936</v>
      </c>
      <c r="Y1623" s="13">
        <v>276.81574803149607</v>
      </c>
      <c r="Z1623" s="10">
        <v>45434</v>
      </c>
      <c r="AA1623" s="9">
        <v>0</v>
      </c>
      <c r="AC1623" s="9">
        <v>440141</v>
      </c>
      <c r="AD1623" s="14">
        <v>44.591000000000008</v>
      </c>
      <c r="AF1623" s="14">
        <v>8</v>
      </c>
      <c r="AH1623" s="14">
        <v>52.591000000000008</v>
      </c>
      <c r="AI1623" s="13">
        <v>224.22474803149606</v>
      </c>
      <c r="AK1623" s="9">
        <v>400</v>
      </c>
    </row>
    <row r="1624" spans="1:37">
      <c r="A1624" s="9">
        <v>19</v>
      </c>
      <c r="B1624" s="9">
        <v>2024</v>
      </c>
      <c r="C1624" s="9" t="s">
        <v>46</v>
      </c>
      <c r="D1624" s="9" t="s">
        <v>47</v>
      </c>
      <c r="E1624" s="9" t="s">
        <v>47</v>
      </c>
      <c r="F1624" s="10">
        <v>45421</v>
      </c>
      <c r="G1624" s="9" t="s">
        <v>154</v>
      </c>
      <c r="H1624" s="9" t="s">
        <v>51</v>
      </c>
      <c r="I1624" s="9">
        <v>1</v>
      </c>
      <c r="J1624" s="9">
        <v>9.2307692307692317</v>
      </c>
      <c r="K1624" s="9">
        <v>400</v>
      </c>
      <c r="L1624" s="9">
        <v>0.38</v>
      </c>
      <c r="M1624" s="9">
        <v>152</v>
      </c>
      <c r="N1624" s="9" t="s">
        <v>49</v>
      </c>
      <c r="Q1624" s="9">
        <f>IF(Auction_Sales[[#This Row],[Payment Date]]=0,"",-1+WEEKNUM(Auction_Sales[[#This Row],[Payment Date]]))</f>
        <v>20</v>
      </c>
      <c r="R1624" s="9">
        <v>-480</v>
      </c>
      <c r="S1624" s="9" t="s">
        <v>154</v>
      </c>
      <c r="T1624" s="9" t="s">
        <v>51</v>
      </c>
      <c r="U1624" s="9">
        <v>880</v>
      </c>
      <c r="V1624" s="13">
        <v>0.32</v>
      </c>
      <c r="W1624" s="9">
        <v>281.60000000000002</v>
      </c>
      <c r="X1624" s="14">
        <v>-37.805354330708667</v>
      </c>
      <c r="Y1624" s="13">
        <v>243.79464566929136</v>
      </c>
      <c r="Z1624" s="10">
        <v>45434</v>
      </c>
      <c r="AA1624" s="9">
        <v>480</v>
      </c>
      <c r="AC1624" s="9">
        <v>440141</v>
      </c>
      <c r="AD1624" s="14">
        <v>34.300769230769234</v>
      </c>
      <c r="AF1624" s="14">
        <v>17.600000000000001</v>
      </c>
      <c r="AH1624" s="14">
        <v>51.900769230769235</v>
      </c>
      <c r="AI1624" s="13">
        <v>191.89387643852211</v>
      </c>
      <c r="AK1624" s="9">
        <v>880</v>
      </c>
    </row>
    <row r="1625" spans="1:37">
      <c r="A1625" s="9">
        <v>19</v>
      </c>
      <c r="B1625" s="9">
        <v>2024</v>
      </c>
      <c r="C1625" s="9" t="s">
        <v>46</v>
      </c>
      <c r="D1625" s="9" t="s">
        <v>47</v>
      </c>
      <c r="E1625" s="9" t="s">
        <v>47</v>
      </c>
      <c r="F1625" s="10">
        <v>45421</v>
      </c>
      <c r="G1625" s="9" t="s">
        <v>154</v>
      </c>
      <c r="H1625" s="9" t="s">
        <v>48</v>
      </c>
      <c r="J1625" s="9">
        <v>2.7692307692307692</v>
      </c>
      <c r="K1625" s="9">
        <v>120</v>
      </c>
      <c r="L1625" s="9">
        <v>0.47</v>
      </c>
      <c r="M1625" s="9">
        <v>56.4</v>
      </c>
      <c r="N1625" s="9" t="s">
        <v>49</v>
      </c>
      <c r="Q1625" s="9">
        <f>IF(Auction_Sales[[#This Row],[Payment Date]]=0,"",-1+WEEKNUM(Auction_Sales[[#This Row],[Payment Date]]))</f>
        <v>20</v>
      </c>
      <c r="R1625" s="9">
        <v>120</v>
      </c>
      <c r="S1625" s="9" t="s">
        <v>154</v>
      </c>
      <c r="T1625" s="9" t="s">
        <v>48</v>
      </c>
      <c r="W1625" s="9">
        <v>0</v>
      </c>
      <c r="X1625" s="14">
        <v>0</v>
      </c>
      <c r="Y1625" s="13">
        <v>0</v>
      </c>
      <c r="Z1625" s="10">
        <v>45434</v>
      </c>
      <c r="AA1625" s="9">
        <v>-120</v>
      </c>
      <c r="AC1625" s="9">
        <v>440141</v>
      </c>
      <c r="AD1625" s="14">
        <v>10.290230769230769</v>
      </c>
      <c r="AF1625" s="14">
        <v>0</v>
      </c>
      <c r="AH1625" s="14">
        <v>10.290230769230769</v>
      </c>
      <c r="AI1625" s="13">
        <v>-10.290230769230769</v>
      </c>
      <c r="AK1625" s="9">
        <v>0</v>
      </c>
    </row>
    <row r="1626" spans="1:37">
      <c r="A1626" s="9">
        <v>19</v>
      </c>
      <c r="B1626" s="9">
        <v>2024</v>
      </c>
      <c r="C1626" s="9" t="s">
        <v>46</v>
      </c>
      <c r="D1626" s="9" t="s">
        <v>47</v>
      </c>
      <c r="E1626" s="9" t="s">
        <v>47</v>
      </c>
      <c r="F1626" s="10">
        <v>45421</v>
      </c>
      <c r="G1626" s="9" t="s">
        <v>153</v>
      </c>
      <c r="H1626" s="9" t="s">
        <v>52</v>
      </c>
      <c r="I1626" s="9">
        <v>1</v>
      </c>
      <c r="J1626" s="9">
        <v>9</v>
      </c>
      <c r="K1626" s="9">
        <v>240</v>
      </c>
      <c r="L1626" s="9">
        <v>0.28000000000000003</v>
      </c>
      <c r="M1626" s="9">
        <v>67.2</v>
      </c>
      <c r="N1626" s="9" t="s">
        <v>49</v>
      </c>
      <c r="Q1626" s="9">
        <f>IF(Auction_Sales[[#This Row],[Payment Date]]=0,"",-1+WEEKNUM(Auction_Sales[[#This Row],[Payment Date]]))</f>
        <v>20</v>
      </c>
      <c r="R1626" s="9">
        <v>0</v>
      </c>
      <c r="S1626" s="9" t="s">
        <v>153</v>
      </c>
      <c r="T1626" s="9" t="s">
        <v>52</v>
      </c>
      <c r="U1626" s="9">
        <v>240</v>
      </c>
      <c r="V1626" s="13">
        <v>0.53500000000000003</v>
      </c>
      <c r="W1626" s="9">
        <v>128.4</v>
      </c>
      <c r="X1626" s="14">
        <v>-10.310551181102364</v>
      </c>
      <c r="Y1626" s="13">
        <v>118.08944881889764</v>
      </c>
      <c r="Z1626" s="10">
        <v>45434</v>
      </c>
      <c r="AA1626" s="9">
        <v>0</v>
      </c>
      <c r="AC1626" s="9">
        <v>440141</v>
      </c>
      <c r="AD1626" s="14">
        <v>33.443249999999999</v>
      </c>
      <c r="AF1626" s="14">
        <v>4.8</v>
      </c>
      <c r="AH1626" s="14">
        <v>38.243249999999996</v>
      </c>
      <c r="AI1626" s="13">
        <v>79.846198818897648</v>
      </c>
      <c r="AK1626" s="9">
        <v>240</v>
      </c>
    </row>
    <row r="1627" spans="1:37">
      <c r="A1627" s="9">
        <v>19</v>
      </c>
      <c r="B1627" s="9">
        <v>2024</v>
      </c>
      <c r="C1627" s="9" t="s">
        <v>46</v>
      </c>
      <c r="D1627" s="9" t="s">
        <v>47</v>
      </c>
      <c r="E1627" s="9" t="s">
        <v>47</v>
      </c>
      <c r="F1627" s="10">
        <v>45421</v>
      </c>
      <c r="G1627" s="9" t="s">
        <v>153</v>
      </c>
      <c r="H1627" s="9" t="s">
        <v>57</v>
      </c>
      <c r="J1627" s="9">
        <v>3</v>
      </c>
      <c r="K1627" s="9">
        <v>80</v>
      </c>
      <c r="L1627" s="9">
        <v>0.47</v>
      </c>
      <c r="M1627" s="9">
        <v>37.6</v>
      </c>
      <c r="N1627" s="9" t="s">
        <v>49</v>
      </c>
      <c r="Q1627" s="9">
        <f>IF(Auction_Sales[[#This Row],[Payment Date]]=0,"",-1+WEEKNUM(Auction_Sales[[#This Row],[Payment Date]]))</f>
        <v>20</v>
      </c>
      <c r="R1627" s="9">
        <v>0</v>
      </c>
      <c r="S1627" s="9" t="s">
        <v>153</v>
      </c>
      <c r="T1627" s="9" t="s">
        <v>57</v>
      </c>
      <c r="U1627" s="9">
        <v>80</v>
      </c>
      <c r="V1627" s="13">
        <v>0.58499999999999996</v>
      </c>
      <c r="W1627" s="9">
        <v>46.8</v>
      </c>
      <c r="X1627" s="14">
        <v>-3.4368503937007877</v>
      </c>
      <c r="Y1627" s="13">
        <v>43.36314960629921</v>
      </c>
      <c r="Z1627" s="10">
        <v>45434</v>
      </c>
      <c r="AA1627" s="9">
        <v>0</v>
      </c>
      <c r="AC1627" s="9">
        <v>440141</v>
      </c>
      <c r="AD1627" s="14">
        <v>11.147750000000002</v>
      </c>
      <c r="AF1627" s="14">
        <v>1.6</v>
      </c>
      <c r="AH1627" s="14">
        <v>12.747750000000002</v>
      </c>
      <c r="AI1627" s="13">
        <v>30.615399606299206</v>
      </c>
      <c r="AK1627" s="9">
        <v>80</v>
      </c>
    </row>
    <row r="1628" spans="1:37">
      <c r="A1628" s="9">
        <v>19</v>
      </c>
      <c r="B1628" s="9">
        <v>2024</v>
      </c>
      <c r="C1628" s="9" t="s">
        <v>46</v>
      </c>
      <c r="D1628" s="9" t="s">
        <v>47</v>
      </c>
      <c r="E1628" s="9" t="s">
        <v>47</v>
      </c>
      <c r="F1628" s="10">
        <v>45421</v>
      </c>
      <c r="G1628" s="9" t="s">
        <v>153</v>
      </c>
      <c r="H1628" s="9" t="s">
        <v>51</v>
      </c>
      <c r="I1628" s="9">
        <v>1</v>
      </c>
      <c r="J1628" s="9">
        <v>9.882352941176471</v>
      </c>
      <c r="K1628" s="9">
        <v>560</v>
      </c>
      <c r="L1628" s="9">
        <v>0.14000000000000001</v>
      </c>
      <c r="M1628" s="9">
        <v>78.400000000000006</v>
      </c>
      <c r="N1628" s="9" t="s">
        <v>49</v>
      </c>
      <c r="Q1628" s="9">
        <f>IF(Auction_Sales[[#This Row],[Payment Date]]=0,"",-1+WEEKNUM(Auction_Sales[[#This Row],[Payment Date]]))</f>
        <v>20</v>
      </c>
      <c r="R1628" s="9">
        <v>560</v>
      </c>
      <c r="S1628" s="9" t="s">
        <v>153</v>
      </c>
      <c r="T1628" s="9" t="s">
        <v>51</v>
      </c>
      <c r="W1628" s="9">
        <v>0</v>
      </c>
      <c r="X1628" s="14">
        <v>0</v>
      </c>
      <c r="Y1628" s="13">
        <v>0</v>
      </c>
      <c r="Z1628" s="10">
        <v>45434</v>
      </c>
      <c r="AA1628" s="9">
        <v>-560</v>
      </c>
      <c r="AC1628" s="9">
        <v>440141</v>
      </c>
      <c r="AD1628" s="14">
        <v>36.722000000000001</v>
      </c>
      <c r="AF1628" s="14">
        <v>0</v>
      </c>
      <c r="AH1628" s="14">
        <v>36.722000000000001</v>
      </c>
      <c r="AI1628" s="13">
        <v>-36.722000000000001</v>
      </c>
      <c r="AK1628" s="9">
        <v>0</v>
      </c>
    </row>
    <row r="1629" spans="1:37">
      <c r="A1629" s="9">
        <v>19</v>
      </c>
      <c r="B1629" s="9">
        <v>2024</v>
      </c>
      <c r="C1629" s="9" t="s">
        <v>46</v>
      </c>
      <c r="D1629" s="9" t="s">
        <v>47</v>
      </c>
      <c r="E1629" s="9" t="s">
        <v>47</v>
      </c>
      <c r="F1629" s="10">
        <v>45421</v>
      </c>
      <c r="G1629" s="9" t="s">
        <v>153</v>
      </c>
      <c r="H1629" s="9" t="s">
        <v>48</v>
      </c>
      <c r="J1629" s="9">
        <v>2.1176470588235294</v>
      </c>
      <c r="K1629" s="9">
        <v>120</v>
      </c>
      <c r="L1629" s="9">
        <v>0.24</v>
      </c>
      <c r="M1629" s="9">
        <v>28.8</v>
      </c>
      <c r="N1629" s="9" t="s">
        <v>49</v>
      </c>
      <c r="Q1629" s="9">
        <f>IF(Auction_Sales[[#This Row],[Payment Date]]=0,"",-1+WEEKNUM(Auction_Sales[[#This Row],[Payment Date]]))</f>
        <v>20</v>
      </c>
      <c r="R1629" s="9">
        <v>120</v>
      </c>
      <c r="S1629" s="9" t="s">
        <v>153</v>
      </c>
      <c r="T1629" s="9" t="s">
        <v>48</v>
      </c>
      <c r="W1629" s="9">
        <v>0</v>
      </c>
      <c r="X1629" s="14">
        <v>0</v>
      </c>
      <c r="Y1629" s="13">
        <v>0</v>
      </c>
      <c r="Z1629" s="10">
        <v>45434</v>
      </c>
      <c r="AA1629" s="9">
        <v>-120</v>
      </c>
      <c r="AC1629" s="9">
        <v>440141</v>
      </c>
      <c r="AD1629" s="14">
        <v>7.8690000000000007</v>
      </c>
      <c r="AF1629" s="14">
        <v>0</v>
      </c>
      <c r="AH1629" s="14">
        <v>7.8690000000000007</v>
      </c>
      <c r="AI1629" s="13">
        <v>-7.8690000000000007</v>
      </c>
      <c r="AK1629" s="9">
        <v>0</v>
      </c>
    </row>
    <row r="1630" spans="1:37">
      <c r="A1630" s="9">
        <v>19</v>
      </c>
      <c r="B1630" s="9">
        <v>2024</v>
      </c>
      <c r="C1630" s="9" t="s">
        <v>46</v>
      </c>
      <c r="D1630" s="9" t="s">
        <v>47</v>
      </c>
      <c r="E1630" s="9" t="s">
        <v>47</v>
      </c>
      <c r="F1630" s="10">
        <v>45421</v>
      </c>
      <c r="G1630" s="9" t="s">
        <v>154</v>
      </c>
      <c r="H1630" s="9" t="s">
        <v>52</v>
      </c>
      <c r="N1630" s="9" t="s">
        <v>49</v>
      </c>
      <c r="Q1630" s="9">
        <f>IF(Auction_Sales[[#This Row],[Payment Date]]=0,"",-1+WEEKNUM(Auction_Sales[[#This Row],[Payment Date]]))</f>
        <v>20</v>
      </c>
      <c r="R1630" s="9">
        <v>-480</v>
      </c>
      <c r="S1630" s="9" t="s">
        <v>154</v>
      </c>
      <c r="T1630" s="9" t="s">
        <v>52</v>
      </c>
      <c r="U1630" s="9">
        <v>480</v>
      </c>
      <c r="V1630" s="13">
        <v>0.21666666666666667</v>
      </c>
      <c r="W1630" s="9">
        <v>104</v>
      </c>
      <c r="X1630" s="14">
        <v>-20.621102362204727</v>
      </c>
      <c r="Y1630" s="13">
        <v>83.378897637795276</v>
      </c>
      <c r="Z1630" s="10">
        <v>45434</v>
      </c>
      <c r="AA1630" s="9">
        <v>480</v>
      </c>
      <c r="AC1630" s="9">
        <v>440141</v>
      </c>
      <c r="AD1630" s="14">
        <v>0</v>
      </c>
      <c r="AF1630" s="14">
        <v>9.6</v>
      </c>
      <c r="AH1630" s="14">
        <v>9.6</v>
      </c>
      <c r="AI1630" s="13">
        <v>73.778897637795282</v>
      </c>
      <c r="AK1630" s="9">
        <v>480</v>
      </c>
    </row>
    <row r="1631" spans="1:37">
      <c r="A1631" s="9">
        <v>19</v>
      </c>
      <c r="B1631" s="9">
        <v>2024</v>
      </c>
      <c r="C1631" s="9" t="s">
        <v>46</v>
      </c>
      <c r="D1631" s="9" t="s">
        <v>47</v>
      </c>
      <c r="E1631" s="9" t="s">
        <v>47</v>
      </c>
      <c r="F1631" s="10">
        <v>45421</v>
      </c>
      <c r="G1631" s="9" t="s">
        <v>154</v>
      </c>
      <c r="H1631" s="9" t="s">
        <v>52</v>
      </c>
      <c r="N1631" s="9" t="s">
        <v>49</v>
      </c>
      <c r="Q1631" s="9">
        <f>IF(Auction_Sales[[#This Row],[Payment Date]]=0,"",-1+WEEKNUM(Auction_Sales[[#This Row],[Payment Date]]))</f>
        <v>20</v>
      </c>
      <c r="R1631" s="9">
        <v>480</v>
      </c>
      <c r="S1631" s="9" t="s">
        <v>154</v>
      </c>
      <c r="T1631" s="9" t="s">
        <v>52</v>
      </c>
      <c r="U1631" s="9">
        <v>-480</v>
      </c>
      <c r="V1631" s="13">
        <v>0.73</v>
      </c>
      <c r="W1631" s="9">
        <v>-350.4</v>
      </c>
      <c r="X1631" s="14">
        <v>20.621102362204727</v>
      </c>
      <c r="Y1631" s="13">
        <v>-329.77889763779524</v>
      </c>
      <c r="Z1631" s="10">
        <v>45434</v>
      </c>
      <c r="AA1631" s="9">
        <v>-480</v>
      </c>
      <c r="AC1631" s="9">
        <v>440141</v>
      </c>
      <c r="AD1631" s="14">
        <v>0</v>
      </c>
      <c r="AF1631" s="14">
        <v>-9.6</v>
      </c>
      <c r="AH1631" s="14">
        <v>-9.6</v>
      </c>
      <c r="AI1631" s="13">
        <v>-320.17889763779522</v>
      </c>
      <c r="AK1631" s="9">
        <v>-480</v>
      </c>
    </row>
    <row r="1632" spans="1:37">
      <c r="A1632" s="9">
        <v>19</v>
      </c>
      <c r="B1632" s="9">
        <v>2024</v>
      </c>
      <c r="C1632" s="9" t="s">
        <v>46</v>
      </c>
      <c r="D1632" s="9" t="s">
        <v>47</v>
      </c>
      <c r="E1632" s="9" t="s">
        <v>47</v>
      </c>
      <c r="F1632" s="10">
        <v>45421</v>
      </c>
      <c r="G1632" s="9" t="s">
        <v>154</v>
      </c>
      <c r="H1632" s="9" t="s">
        <v>51</v>
      </c>
      <c r="N1632" s="9" t="s">
        <v>49</v>
      </c>
      <c r="Q1632" s="9">
        <f>IF(Auction_Sales[[#This Row],[Payment Date]]=0,"",-1+WEEKNUM(Auction_Sales[[#This Row],[Payment Date]]))</f>
        <v>20</v>
      </c>
      <c r="R1632" s="9">
        <v>480</v>
      </c>
      <c r="S1632" s="9" t="s">
        <v>154</v>
      </c>
      <c r="T1632" s="9" t="s">
        <v>51</v>
      </c>
      <c r="U1632" s="9">
        <v>-480</v>
      </c>
      <c r="V1632" s="13">
        <v>0.65</v>
      </c>
      <c r="W1632" s="9">
        <v>-312</v>
      </c>
      <c r="X1632" s="14">
        <v>20.621102362204727</v>
      </c>
      <c r="Y1632" s="13">
        <v>-291.37889763779526</v>
      </c>
      <c r="Z1632" s="10">
        <v>45434</v>
      </c>
      <c r="AA1632" s="9">
        <v>-480</v>
      </c>
      <c r="AC1632" s="9">
        <v>440141</v>
      </c>
      <c r="AD1632" s="14">
        <v>0</v>
      </c>
      <c r="AF1632" s="14">
        <v>-9.6</v>
      </c>
      <c r="AH1632" s="14">
        <v>-9.6</v>
      </c>
      <c r="AI1632" s="13">
        <v>-281.77889763779524</v>
      </c>
      <c r="AK1632" s="9">
        <v>-480</v>
      </c>
    </row>
    <row r="1633" spans="1:37">
      <c r="A1633" s="9">
        <v>19</v>
      </c>
      <c r="B1633" s="9">
        <v>2024</v>
      </c>
      <c r="C1633" s="9" t="s">
        <v>46</v>
      </c>
      <c r="D1633" s="9" t="s">
        <v>47</v>
      </c>
      <c r="E1633" s="9" t="s">
        <v>47</v>
      </c>
      <c r="F1633" s="10">
        <v>45421</v>
      </c>
      <c r="G1633" s="9" t="s">
        <v>155</v>
      </c>
      <c r="H1633" s="9" t="s">
        <v>51</v>
      </c>
      <c r="N1633" s="9" t="s">
        <v>49</v>
      </c>
      <c r="Q1633" s="9">
        <f>IF(Auction_Sales[[#This Row],[Payment Date]]=0,"",-1+WEEKNUM(Auction_Sales[[#This Row],[Payment Date]]))</f>
        <v>20</v>
      </c>
      <c r="R1633" s="9">
        <v>-1280</v>
      </c>
      <c r="S1633" s="9" t="s">
        <v>155</v>
      </c>
      <c r="T1633" s="9" t="s">
        <v>51</v>
      </c>
      <c r="U1633" s="9">
        <v>1280</v>
      </c>
      <c r="V1633" s="13">
        <v>0.57374999999999998</v>
      </c>
      <c r="W1633" s="9">
        <v>734.4</v>
      </c>
      <c r="X1633" s="14">
        <v>-54.989606299212603</v>
      </c>
      <c r="Y1633" s="13">
        <v>679.41039370078738</v>
      </c>
      <c r="Z1633" s="10">
        <v>45434</v>
      </c>
      <c r="AA1633" s="9">
        <v>1280</v>
      </c>
      <c r="AC1633" s="9">
        <v>440141</v>
      </c>
      <c r="AD1633" s="14">
        <v>0</v>
      </c>
      <c r="AF1633" s="14">
        <v>25.6</v>
      </c>
      <c r="AH1633" s="14">
        <v>25.6</v>
      </c>
      <c r="AI1633" s="13">
        <v>653.81039370078736</v>
      </c>
      <c r="AK1633" s="9">
        <v>1280</v>
      </c>
    </row>
    <row r="1634" spans="1:37">
      <c r="A1634" s="9">
        <v>20</v>
      </c>
      <c r="B1634" s="9">
        <v>2024</v>
      </c>
      <c r="C1634" s="9" t="s">
        <v>46</v>
      </c>
      <c r="D1634" s="9" t="s">
        <v>47</v>
      </c>
      <c r="E1634" s="9" t="s">
        <v>47</v>
      </c>
      <c r="F1634" s="10">
        <v>45423</v>
      </c>
      <c r="G1634" s="9" t="s">
        <v>154</v>
      </c>
      <c r="H1634" s="9" t="s">
        <v>51</v>
      </c>
      <c r="I1634" s="9">
        <v>1</v>
      </c>
      <c r="J1634" s="9">
        <v>12</v>
      </c>
      <c r="K1634" s="9">
        <v>520</v>
      </c>
      <c r="L1634" s="9">
        <v>0.38</v>
      </c>
      <c r="M1634" s="9">
        <v>197.6</v>
      </c>
      <c r="N1634" s="9" t="s">
        <v>49</v>
      </c>
      <c r="Q1634" s="9">
        <f>IF(Auction_Sales[[#This Row],[Payment Date]]=0,"",-1+WEEKNUM(Auction_Sales[[#This Row],[Payment Date]]))</f>
        <v>20</v>
      </c>
      <c r="R1634" s="9">
        <v>520</v>
      </c>
      <c r="S1634" s="9" t="s">
        <v>154</v>
      </c>
      <c r="T1634" s="9" t="s">
        <v>51</v>
      </c>
      <c r="W1634" s="13">
        <v>0</v>
      </c>
      <c r="X1634" s="14">
        <v>0</v>
      </c>
      <c r="Y1634" s="13">
        <v>0</v>
      </c>
      <c r="Z1634" s="10">
        <v>45434</v>
      </c>
      <c r="AA1634" s="9">
        <v>-520</v>
      </c>
      <c r="AC1634" s="9">
        <v>440146</v>
      </c>
      <c r="AD1634" s="14">
        <v>42.935000000000002</v>
      </c>
      <c r="AF1634" s="14">
        <v>0</v>
      </c>
      <c r="AH1634" s="14">
        <v>42.935000000000002</v>
      </c>
      <c r="AI1634" s="13">
        <v>-42.935000000000002</v>
      </c>
      <c r="AK1634" s="9">
        <v>0</v>
      </c>
    </row>
    <row r="1635" spans="1:37">
      <c r="A1635" s="9">
        <v>20</v>
      </c>
      <c r="B1635" s="9">
        <v>2024</v>
      </c>
      <c r="C1635" s="9" t="s">
        <v>46</v>
      </c>
      <c r="D1635" s="9" t="s">
        <v>47</v>
      </c>
      <c r="E1635" s="9" t="s">
        <v>47</v>
      </c>
      <c r="F1635" s="10">
        <v>45423</v>
      </c>
      <c r="G1635" s="9" t="s">
        <v>155</v>
      </c>
      <c r="H1635" s="9" t="s">
        <v>51</v>
      </c>
      <c r="I1635" s="9">
        <v>1</v>
      </c>
      <c r="J1635" s="9">
        <v>12</v>
      </c>
      <c r="K1635" s="9">
        <v>640</v>
      </c>
      <c r="L1635" s="9">
        <v>0.38</v>
      </c>
      <c r="M1635" s="9">
        <v>243.2</v>
      </c>
      <c r="N1635" s="9" t="s">
        <v>49</v>
      </c>
      <c r="Q1635" s="9">
        <f>IF(Auction_Sales[[#This Row],[Payment Date]]=0,"",-1+WEEKNUM(Auction_Sales[[#This Row],[Payment Date]]))</f>
        <v>20</v>
      </c>
      <c r="R1635" s="9">
        <v>640</v>
      </c>
      <c r="S1635" s="9" t="s">
        <v>155</v>
      </c>
      <c r="T1635" s="9" t="s">
        <v>51</v>
      </c>
      <c r="W1635" s="13">
        <v>0</v>
      </c>
      <c r="X1635" s="14">
        <v>0</v>
      </c>
      <c r="Y1635" s="13">
        <v>0</v>
      </c>
      <c r="Z1635" s="10">
        <v>45434</v>
      </c>
      <c r="AA1635" s="9">
        <v>-640</v>
      </c>
      <c r="AC1635" s="9">
        <v>440146</v>
      </c>
      <c r="AD1635" s="14">
        <v>42.935000000000002</v>
      </c>
      <c r="AF1635" s="14">
        <v>0</v>
      </c>
      <c r="AH1635" s="14">
        <v>42.935000000000002</v>
      </c>
      <c r="AI1635" s="13">
        <v>-42.935000000000002</v>
      </c>
      <c r="AK1635" s="9">
        <v>0</v>
      </c>
    </row>
    <row r="1636" spans="1:37">
      <c r="A1636" s="9">
        <v>20</v>
      </c>
      <c r="B1636" s="9">
        <v>2024</v>
      </c>
      <c r="C1636" s="9" t="s">
        <v>46</v>
      </c>
      <c r="D1636" s="9" t="s">
        <v>47</v>
      </c>
      <c r="E1636" s="9" t="s">
        <v>47</v>
      </c>
      <c r="F1636" s="10">
        <v>45423</v>
      </c>
      <c r="G1636" s="9" t="s">
        <v>154</v>
      </c>
      <c r="H1636" s="9" t="s">
        <v>51</v>
      </c>
      <c r="I1636" s="9">
        <v>1</v>
      </c>
      <c r="J1636" s="9">
        <v>6</v>
      </c>
      <c r="K1636" s="9">
        <v>200</v>
      </c>
      <c r="L1636" s="9">
        <v>0.38</v>
      </c>
      <c r="M1636" s="9">
        <v>76</v>
      </c>
      <c r="N1636" s="9" t="s">
        <v>49</v>
      </c>
      <c r="Q1636" s="9">
        <f>IF(Auction_Sales[[#This Row],[Payment Date]]=0,"",-1+WEEKNUM(Auction_Sales[[#This Row],[Payment Date]]))</f>
        <v>20</v>
      </c>
      <c r="R1636" s="9">
        <v>-520</v>
      </c>
      <c r="S1636" s="9" t="s">
        <v>154</v>
      </c>
      <c r="T1636" s="9" t="s">
        <v>51</v>
      </c>
      <c r="U1636" s="9">
        <v>720</v>
      </c>
      <c r="V1636" s="13">
        <v>0.44499999999999995</v>
      </c>
      <c r="W1636" s="13">
        <v>320.39999999999998</v>
      </c>
      <c r="X1636" s="14">
        <v>-36.451711026615989</v>
      </c>
      <c r="Y1636" s="13">
        <v>283.94828897338397</v>
      </c>
      <c r="Z1636" s="10">
        <v>45434</v>
      </c>
      <c r="AA1636" s="9">
        <v>520</v>
      </c>
      <c r="AC1636" s="9">
        <v>440146</v>
      </c>
      <c r="AD1636" s="14">
        <v>21.467500000000001</v>
      </c>
      <c r="AF1636" s="14">
        <v>14.4</v>
      </c>
      <c r="AH1636" s="14">
        <v>35.8675</v>
      </c>
      <c r="AI1636" s="13">
        <v>248.08078897338396</v>
      </c>
      <c r="AK1636" s="9">
        <v>720</v>
      </c>
    </row>
    <row r="1637" spans="1:37">
      <c r="A1637" s="9">
        <v>20</v>
      </c>
      <c r="B1637" s="9">
        <v>2024</v>
      </c>
      <c r="C1637" s="9" t="s">
        <v>46</v>
      </c>
      <c r="D1637" s="9" t="s">
        <v>47</v>
      </c>
      <c r="E1637" s="9" t="s">
        <v>47</v>
      </c>
      <c r="F1637" s="10">
        <v>45423</v>
      </c>
      <c r="G1637" s="9" t="s">
        <v>154</v>
      </c>
      <c r="H1637" s="9" t="s">
        <v>48</v>
      </c>
      <c r="J1637" s="9">
        <v>1.2000000000000002</v>
      </c>
      <c r="K1637" s="9">
        <v>40</v>
      </c>
      <c r="L1637" s="9">
        <v>0.47</v>
      </c>
      <c r="M1637" s="9">
        <v>18.8</v>
      </c>
      <c r="N1637" s="9" t="s">
        <v>49</v>
      </c>
      <c r="Q1637" s="9">
        <f>IF(Auction_Sales[[#This Row],[Payment Date]]=0,"",-1+WEEKNUM(Auction_Sales[[#This Row],[Payment Date]]))</f>
        <v>20</v>
      </c>
      <c r="R1637" s="9">
        <v>0</v>
      </c>
      <c r="S1637" s="9" t="s">
        <v>154</v>
      </c>
      <c r="T1637" s="9" t="s">
        <v>48</v>
      </c>
      <c r="U1637" s="9">
        <v>40</v>
      </c>
      <c r="V1637" s="13">
        <v>0.83000000000000007</v>
      </c>
      <c r="W1637" s="13">
        <v>33.200000000000003</v>
      </c>
      <c r="X1637" s="14">
        <v>-2.0250950570342221</v>
      </c>
      <c r="Y1637" s="13">
        <v>31.174904942965782</v>
      </c>
      <c r="Z1637" s="10">
        <v>45434</v>
      </c>
      <c r="AA1637" s="9">
        <v>0</v>
      </c>
      <c r="AC1637" s="9">
        <v>440146</v>
      </c>
      <c r="AD1637" s="14">
        <v>4.2935000000000008</v>
      </c>
      <c r="AF1637" s="14">
        <v>0.8</v>
      </c>
      <c r="AH1637" s="14">
        <v>5.0935000000000006</v>
      </c>
      <c r="AI1637" s="13">
        <v>26.081404942965783</v>
      </c>
      <c r="AK1637" s="9">
        <v>40</v>
      </c>
    </row>
    <row r="1638" spans="1:37">
      <c r="A1638" s="9">
        <v>20</v>
      </c>
      <c r="B1638" s="9">
        <v>2024</v>
      </c>
      <c r="C1638" s="9" t="s">
        <v>46</v>
      </c>
      <c r="D1638" s="9" t="s">
        <v>47</v>
      </c>
      <c r="E1638" s="9" t="s">
        <v>47</v>
      </c>
      <c r="F1638" s="10">
        <v>45423</v>
      </c>
      <c r="G1638" s="9" t="s">
        <v>154</v>
      </c>
      <c r="H1638" s="9" t="s">
        <v>54</v>
      </c>
      <c r="J1638" s="9">
        <v>1.2000000000000002</v>
      </c>
      <c r="K1638" s="9">
        <v>40</v>
      </c>
      <c r="L1638" s="9">
        <v>0.56999999999999995</v>
      </c>
      <c r="M1638" s="9">
        <v>22.8</v>
      </c>
      <c r="N1638" s="9" t="s">
        <v>49</v>
      </c>
      <c r="Q1638" s="9">
        <f>IF(Auction_Sales[[#This Row],[Payment Date]]=0,"",-1+WEEKNUM(Auction_Sales[[#This Row],[Payment Date]]))</f>
        <v>20</v>
      </c>
      <c r="R1638" s="9">
        <v>10</v>
      </c>
      <c r="S1638" s="9" t="s">
        <v>154</v>
      </c>
      <c r="T1638" s="9" t="s">
        <v>54</v>
      </c>
      <c r="U1638" s="9">
        <v>30</v>
      </c>
      <c r="V1638" s="13">
        <v>0.83</v>
      </c>
      <c r="W1638" s="13">
        <v>24.9</v>
      </c>
      <c r="X1638" s="14">
        <v>-1.5188212927756664</v>
      </c>
      <c r="Y1638" s="13">
        <v>23.381178707224333</v>
      </c>
      <c r="Z1638" s="10">
        <v>45434</v>
      </c>
      <c r="AA1638" s="9">
        <v>-10</v>
      </c>
      <c r="AC1638" s="9">
        <v>440146</v>
      </c>
      <c r="AD1638" s="14">
        <v>4.2935000000000008</v>
      </c>
      <c r="AF1638" s="14">
        <v>0.6</v>
      </c>
      <c r="AH1638" s="14">
        <v>4.8935000000000004</v>
      </c>
      <c r="AI1638" s="13">
        <v>18.487678707224333</v>
      </c>
      <c r="AK1638" s="9">
        <v>30</v>
      </c>
    </row>
    <row r="1639" spans="1:37">
      <c r="A1639" s="9">
        <v>20</v>
      </c>
      <c r="B1639" s="9">
        <v>2024</v>
      </c>
      <c r="C1639" s="9" t="s">
        <v>46</v>
      </c>
      <c r="D1639" s="9" t="s">
        <v>47</v>
      </c>
      <c r="E1639" s="9" t="s">
        <v>47</v>
      </c>
      <c r="F1639" s="10">
        <v>45423</v>
      </c>
      <c r="G1639" s="9" t="s">
        <v>154</v>
      </c>
      <c r="H1639" s="9" t="s">
        <v>56</v>
      </c>
      <c r="J1639" s="9">
        <v>3.5999999999999996</v>
      </c>
      <c r="K1639" s="9">
        <v>120</v>
      </c>
      <c r="L1639" s="9">
        <v>0.75</v>
      </c>
      <c r="M1639" s="9">
        <v>90</v>
      </c>
      <c r="N1639" s="9" t="s">
        <v>49</v>
      </c>
      <c r="Q1639" s="9">
        <f>IF(Auction_Sales[[#This Row],[Payment Date]]=0,"",-1+WEEKNUM(Auction_Sales[[#This Row],[Payment Date]]))</f>
        <v>20</v>
      </c>
      <c r="R1639" s="9">
        <v>0</v>
      </c>
      <c r="S1639" s="9" t="s">
        <v>154</v>
      </c>
      <c r="T1639" s="9" t="s">
        <v>56</v>
      </c>
      <c r="U1639" s="9">
        <v>120</v>
      </c>
      <c r="V1639" s="13">
        <v>0.43</v>
      </c>
      <c r="W1639" s="13">
        <v>51.6</v>
      </c>
      <c r="X1639" s="14">
        <v>-6.0752851711026654</v>
      </c>
      <c r="Y1639" s="13">
        <v>45.524714828897338</v>
      </c>
      <c r="Z1639" s="10">
        <v>45434</v>
      </c>
      <c r="AA1639" s="9">
        <v>0</v>
      </c>
      <c r="AC1639" s="9">
        <v>440146</v>
      </c>
      <c r="AD1639" s="14">
        <v>12.8805</v>
      </c>
      <c r="AF1639" s="14">
        <v>2.4</v>
      </c>
      <c r="AH1639" s="14">
        <v>15.2805</v>
      </c>
      <c r="AI1639" s="13">
        <v>30.244214828897338</v>
      </c>
      <c r="AK1639" s="9">
        <v>120</v>
      </c>
    </row>
    <row r="1640" spans="1:37">
      <c r="A1640" s="9">
        <v>20</v>
      </c>
      <c r="B1640" s="9">
        <v>2024</v>
      </c>
      <c r="C1640" s="9" t="s">
        <v>46</v>
      </c>
      <c r="D1640" s="9" t="s">
        <v>47</v>
      </c>
      <c r="E1640" s="9" t="s">
        <v>47</v>
      </c>
      <c r="F1640" s="10">
        <v>45423</v>
      </c>
      <c r="G1640" s="9" t="s">
        <v>154</v>
      </c>
      <c r="H1640" s="9" t="s">
        <v>57</v>
      </c>
      <c r="I1640" s="9">
        <v>1</v>
      </c>
      <c r="J1640" s="9">
        <v>3.4285714285714284</v>
      </c>
      <c r="K1640" s="9">
        <v>80</v>
      </c>
      <c r="L1640" s="9">
        <v>0.94</v>
      </c>
      <c r="M1640" s="9">
        <v>75.2</v>
      </c>
      <c r="N1640" s="9" t="s">
        <v>49</v>
      </c>
      <c r="Q1640" s="9">
        <f>IF(Auction_Sales[[#This Row],[Payment Date]]=0,"",-1+WEEKNUM(Auction_Sales[[#This Row],[Payment Date]]))</f>
        <v>20</v>
      </c>
      <c r="R1640" s="9">
        <v>0</v>
      </c>
      <c r="S1640" s="9" t="s">
        <v>154</v>
      </c>
      <c r="T1640" s="9" t="s">
        <v>57</v>
      </c>
      <c r="U1640" s="9">
        <v>80</v>
      </c>
      <c r="V1640" s="13">
        <v>0.31</v>
      </c>
      <c r="W1640" s="13">
        <v>24.8</v>
      </c>
      <c r="X1640" s="14">
        <v>-4.0501901140684442</v>
      </c>
      <c r="Y1640" s="13">
        <v>20.749809885931555</v>
      </c>
      <c r="Z1640" s="10">
        <v>45434</v>
      </c>
      <c r="AA1640" s="9">
        <v>0</v>
      </c>
      <c r="AC1640" s="9">
        <v>440146</v>
      </c>
      <c r="AD1640" s="14">
        <v>12.267142857142858</v>
      </c>
      <c r="AF1640" s="14">
        <v>1.6</v>
      </c>
      <c r="AH1640" s="14">
        <v>13.867142857142857</v>
      </c>
      <c r="AI1640" s="13">
        <v>6.8826670287886973</v>
      </c>
      <c r="AK1640" s="9">
        <v>80</v>
      </c>
    </row>
    <row r="1641" spans="1:37">
      <c r="A1641" s="9">
        <v>20</v>
      </c>
      <c r="B1641" s="9">
        <v>2024</v>
      </c>
      <c r="C1641" s="9" t="s">
        <v>46</v>
      </c>
      <c r="D1641" s="9" t="s">
        <v>47</v>
      </c>
      <c r="E1641" s="9" t="s">
        <v>47</v>
      </c>
      <c r="F1641" s="10">
        <v>45423</v>
      </c>
      <c r="G1641" s="9" t="s">
        <v>155</v>
      </c>
      <c r="H1641" s="9" t="s">
        <v>51</v>
      </c>
      <c r="J1641" s="9">
        <v>8.5714285714285712</v>
      </c>
      <c r="K1641" s="9">
        <v>200</v>
      </c>
      <c r="L1641" s="9">
        <v>0.38</v>
      </c>
      <c r="M1641" s="9">
        <v>76</v>
      </c>
      <c r="N1641" s="9" t="s">
        <v>49</v>
      </c>
      <c r="Q1641" s="9">
        <f>IF(Auction_Sales[[#This Row],[Payment Date]]=0,"",-1+WEEKNUM(Auction_Sales[[#This Row],[Payment Date]]))</f>
        <v>20</v>
      </c>
      <c r="R1641" s="9">
        <v>-640</v>
      </c>
      <c r="S1641" s="9" t="s">
        <v>155</v>
      </c>
      <c r="T1641" s="9" t="s">
        <v>51</v>
      </c>
      <c r="U1641" s="9">
        <v>840</v>
      </c>
      <c r="V1641" s="13">
        <v>0.57476190476190481</v>
      </c>
      <c r="W1641" s="13">
        <v>482.8</v>
      </c>
      <c r="X1641" s="14">
        <v>-42.52699619771866</v>
      </c>
      <c r="Y1641" s="13">
        <v>440.27300380228132</v>
      </c>
      <c r="Z1641" s="10">
        <v>45434</v>
      </c>
      <c r="AA1641" s="9">
        <v>640</v>
      </c>
      <c r="AC1641" s="9">
        <v>440146</v>
      </c>
      <c r="AD1641" s="14">
        <v>30.667857142857144</v>
      </c>
      <c r="AF1641" s="14">
        <v>16.8</v>
      </c>
      <c r="AH1641" s="14">
        <v>47.467857142857142</v>
      </c>
      <c r="AI1641" s="13">
        <v>392.80514665942417</v>
      </c>
      <c r="AK1641" s="9">
        <v>840</v>
      </c>
    </row>
    <row r="1642" spans="1:37">
      <c r="A1642" s="9">
        <v>20</v>
      </c>
      <c r="B1642" s="9">
        <v>2024</v>
      </c>
      <c r="C1642" s="9" t="s">
        <v>46</v>
      </c>
      <c r="D1642" s="9" t="s">
        <v>47</v>
      </c>
      <c r="E1642" s="9" t="s">
        <v>47</v>
      </c>
      <c r="F1642" s="10">
        <v>45423</v>
      </c>
      <c r="G1642" s="9" t="s">
        <v>155</v>
      </c>
      <c r="H1642" s="9" t="s">
        <v>48</v>
      </c>
      <c r="I1642" s="9">
        <v>1</v>
      </c>
      <c r="J1642" s="9">
        <v>8</v>
      </c>
      <c r="K1642" s="9">
        <v>80</v>
      </c>
      <c r="L1642" s="9">
        <v>0.47</v>
      </c>
      <c r="M1642" s="9">
        <v>37.6</v>
      </c>
      <c r="N1642" s="9" t="s">
        <v>49</v>
      </c>
      <c r="Q1642" s="9">
        <f>IF(Auction_Sales[[#This Row],[Payment Date]]=0,"",-1+WEEKNUM(Auction_Sales[[#This Row],[Payment Date]]))</f>
        <v>20</v>
      </c>
      <c r="R1642" s="9">
        <v>0</v>
      </c>
      <c r="S1642" s="9" t="s">
        <v>155</v>
      </c>
      <c r="T1642" s="9" t="s">
        <v>48</v>
      </c>
      <c r="U1642" s="9">
        <v>80</v>
      </c>
      <c r="V1642" s="13">
        <v>0.63</v>
      </c>
      <c r="W1642" s="13">
        <v>50.4</v>
      </c>
      <c r="X1642" s="14">
        <v>-4.0501901140684442</v>
      </c>
      <c r="Y1642" s="13">
        <v>46.349809885931556</v>
      </c>
      <c r="Z1642" s="10">
        <v>45434</v>
      </c>
      <c r="AA1642" s="9">
        <v>0</v>
      </c>
      <c r="AC1642" s="9">
        <v>440146</v>
      </c>
      <c r="AD1642" s="14">
        <v>28.623333333333335</v>
      </c>
      <c r="AF1642" s="14">
        <v>1.6</v>
      </c>
      <c r="AH1642" s="14">
        <v>30.223333333333336</v>
      </c>
      <c r="AI1642" s="13">
        <v>16.12647655259822</v>
      </c>
      <c r="AK1642" s="9">
        <v>80</v>
      </c>
    </row>
    <row r="1643" spans="1:37">
      <c r="A1643" s="9">
        <v>20</v>
      </c>
      <c r="B1643" s="9">
        <v>2024</v>
      </c>
      <c r="C1643" s="9" t="s">
        <v>46</v>
      </c>
      <c r="D1643" s="9" t="s">
        <v>47</v>
      </c>
      <c r="E1643" s="9" t="s">
        <v>47</v>
      </c>
      <c r="F1643" s="10">
        <v>45423</v>
      </c>
      <c r="G1643" s="9" t="s">
        <v>155</v>
      </c>
      <c r="H1643" s="9" t="s">
        <v>52</v>
      </c>
      <c r="J1643" s="9">
        <v>4</v>
      </c>
      <c r="K1643" s="9">
        <v>40</v>
      </c>
      <c r="L1643" s="9">
        <v>0.52</v>
      </c>
      <c r="M1643" s="9">
        <v>20.8</v>
      </c>
      <c r="N1643" s="9" t="s">
        <v>49</v>
      </c>
      <c r="Q1643" s="9">
        <f>IF(Auction_Sales[[#This Row],[Payment Date]]=0,"",-1+WEEKNUM(Auction_Sales[[#This Row],[Payment Date]]))</f>
        <v>20</v>
      </c>
      <c r="R1643" s="9">
        <v>0</v>
      </c>
      <c r="S1643" s="9" t="s">
        <v>155</v>
      </c>
      <c r="T1643" s="9" t="s">
        <v>52</v>
      </c>
      <c r="U1643" s="9">
        <v>40</v>
      </c>
      <c r="V1643" s="13">
        <v>0.75</v>
      </c>
      <c r="W1643" s="13">
        <v>30</v>
      </c>
      <c r="X1643" s="14">
        <v>-2.0250950570342221</v>
      </c>
      <c r="Y1643" s="13">
        <v>27.974904942965779</v>
      </c>
      <c r="Z1643" s="10">
        <v>45434</v>
      </c>
      <c r="AA1643" s="9">
        <v>0</v>
      </c>
      <c r="AC1643" s="9">
        <v>440146</v>
      </c>
      <c r="AD1643" s="14">
        <v>14.311666666666667</v>
      </c>
      <c r="AF1643" s="14">
        <v>0.8</v>
      </c>
      <c r="AH1643" s="14">
        <v>15.111666666666668</v>
      </c>
      <c r="AI1643" s="13">
        <v>12.863238276299111</v>
      </c>
      <c r="AK1643" s="9">
        <v>40</v>
      </c>
    </row>
    <row r="1644" spans="1:37">
      <c r="A1644" s="9">
        <v>20</v>
      </c>
      <c r="B1644" s="9">
        <v>2024</v>
      </c>
      <c r="C1644" s="9" t="s">
        <v>46</v>
      </c>
      <c r="D1644" s="9" t="s">
        <v>47</v>
      </c>
      <c r="E1644" s="9" t="s">
        <v>47</v>
      </c>
      <c r="F1644" s="10">
        <v>45423</v>
      </c>
      <c r="G1644" s="9" t="s">
        <v>155</v>
      </c>
      <c r="H1644" s="9" t="s">
        <v>57</v>
      </c>
      <c r="I1644" s="9">
        <v>1</v>
      </c>
      <c r="J1644" s="9">
        <v>1.4117647058823528</v>
      </c>
      <c r="K1644" s="9">
        <v>80</v>
      </c>
      <c r="L1644" s="9">
        <v>0.94</v>
      </c>
      <c r="M1644" s="9">
        <v>75.2</v>
      </c>
      <c r="N1644" s="9" t="s">
        <v>49</v>
      </c>
      <c r="Q1644" s="9">
        <f>IF(Auction_Sales[[#This Row],[Payment Date]]=0,"",-1+WEEKNUM(Auction_Sales[[#This Row],[Payment Date]]))</f>
        <v>20</v>
      </c>
      <c r="R1644" s="9">
        <v>0</v>
      </c>
      <c r="S1644" s="9" t="s">
        <v>155</v>
      </c>
      <c r="T1644" s="9" t="s">
        <v>57</v>
      </c>
      <c r="U1644" s="9">
        <v>80</v>
      </c>
      <c r="V1644" s="13">
        <v>0.51</v>
      </c>
      <c r="W1644" s="13">
        <v>40.799999999999997</v>
      </c>
      <c r="X1644" s="14">
        <v>-4.0501901140684442</v>
      </c>
      <c r="Y1644" s="13">
        <v>36.749809885931555</v>
      </c>
      <c r="Z1644" s="10">
        <v>45434</v>
      </c>
      <c r="AA1644" s="9">
        <v>0</v>
      </c>
      <c r="AC1644" s="9">
        <v>440146</v>
      </c>
      <c r="AD1644" s="14">
        <v>5.0511764705882358</v>
      </c>
      <c r="AF1644" s="14">
        <v>1.6</v>
      </c>
      <c r="AH1644" s="14">
        <v>6.6511764705882364</v>
      </c>
      <c r="AI1644" s="13">
        <v>30.098633415343318</v>
      </c>
      <c r="AK1644" s="9">
        <v>80</v>
      </c>
    </row>
    <row r="1645" spans="1:37">
      <c r="A1645" s="9">
        <v>20</v>
      </c>
      <c r="B1645" s="9">
        <v>2024</v>
      </c>
      <c r="C1645" s="9" t="s">
        <v>46</v>
      </c>
      <c r="D1645" s="9" t="s">
        <v>47</v>
      </c>
      <c r="E1645" s="9" t="s">
        <v>47</v>
      </c>
      <c r="F1645" s="10">
        <v>45423</v>
      </c>
      <c r="G1645" s="9" t="s">
        <v>156</v>
      </c>
      <c r="H1645" s="9" t="s">
        <v>51</v>
      </c>
      <c r="J1645" s="9">
        <v>4.2352941176470589</v>
      </c>
      <c r="K1645" s="9">
        <v>240</v>
      </c>
      <c r="L1645" s="9">
        <v>0.42</v>
      </c>
      <c r="M1645" s="9">
        <v>100.8</v>
      </c>
      <c r="N1645" s="9" t="s">
        <v>49</v>
      </c>
      <c r="Q1645" s="9">
        <f>IF(Auction_Sales[[#This Row],[Payment Date]]=0,"",-1+WEEKNUM(Auction_Sales[[#This Row],[Payment Date]]))</f>
        <v>20</v>
      </c>
      <c r="R1645" s="9">
        <v>0</v>
      </c>
      <c r="S1645" s="9" t="s">
        <v>156</v>
      </c>
      <c r="T1645" s="9" t="s">
        <v>51</v>
      </c>
      <c r="U1645" s="9">
        <v>240</v>
      </c>
      <c r="V1645" s="13">
        <v>0.48000000000000004</v>
      </c>
      <c r="W1645" s="13">
        <v>115.2</v>
      </c>
      <c r="X1645" s="14">
        <v>-12.150570342205331</v>
      </c>
      <c r="Y1645" s="13">
        <v>103.04942965779468</v>
      </c>
      <c r="Z1645" s="10">
        <v>45434</v>
      </c>
      <c r="AA1645" s="9">
        <v>0</v>
      </c>
      <c r="AC1645" s="9">
        <v>440146</v>
      </c>
      <c r="AD1645" s="14">
        <v>15.153529411764707</v>
      </c>
      <c r="AF1645" s="14">
        <v>4.8</v>
      </c>
      <c r="AH1645" s="14">
        <v>19.953529411764706</v>
      </c>
      <c r="AI1645" s="13">
        <v>83.09590024602997</v>
      </c>
      <c r="AK1645" s="9">
        <v>240</v>
      </c>
    </row>
    <row r="1646" spans="1:37">
      <c r="A1646" s="9">
        <v>20</v>
      </c>
      <c r="B1646" s="9">
        <v>2024</v>
      </c>
      <c r="C1646" s="9" t="s">
        <v>46</v>
      </c>
      <c r="D1646" s="9" t="s">
        <v>47</v>
      </c>
      <c r="E1646" s="9" t="s">
        <v>47</v>
      </c>
      <c r="F1646" s="10">
        <v>45423</v>
      </c>
      <c r="G1646" s="9" t="s">
        <v>156</v>
      </c>
      <c r="H1646" s="9" t="s">
        <v>48</v>
      </c>
      <c r="J1646" s="9">
        <v>6.3529411764705888</v>
      </c>
      <c r="K1646" s="9">
        <v>360</v>
      </c>
      <c r="L1646" s="9">
        <v>0.52</v>
      </c>
      <c r="M1646" s="9">
        <v>187.2</v>
      </c>
      <c r="N1646" s="9" t="s">
        <v>49</v>
      </c>
      <c r="Q1646" s="9">
        <f>IF(Auction_Sales[[#This Row],[Payment Date]]=0,"",-1+WEEKNUM(Auction_Sales[[#This Row],[Payment Date]]))</f>
        <v>20</v>
      </c>
      <c r="R1646" s="9">
        <v>0</v>
      </c>
      <c r="S1646" s="9" t="s">
        <v>156</v>
      </c>
      <c r="T1646" s="9" t="s">
        <v>48</v>
      </c>
      <c r="U1646" s="9">
        <v>360</v>
      </c>
      <c r="V1646" s="13">
        <v>0.60444444444444445</v>
      </c>
      <c r="W1646" s="13">
        <v>217.6</v>
      </c>
      <c r="X1646" s="14">
        <v>-18.225855513307994</v>
      </c>
      <c r="Y1646" s="13">
        <v>199.37414448669199</v>
      </c>
      <c r="Z1646" s="10">
        <v>45434</v>
      </c>
      <c r="AA1646" s="9">
        <v>0</v>
      </c>
      <c r="AC1646" s="9">
        <v>440146</v>
      </c>
      <c r="AD1646" s="14">
        <v>22.730294117647063</v>
      </c>
      <c r="AF1646" s="14">
        <v>7.2</v>
      </c>
      <c r="AH1646" s="14">
        <v>29.930294117647062</v>
      </c>
      <c r="AI1646" s="13">
        <v>169.44385036904492</v>
      </c>
      <c r="AK1646" s="9">
        <v>360</v>
      </c>
    </row>
    <row r="1647" spans="1:37">
      <c r="A1647" s="9">
        <v>20</v>
      </c>
      <c r="B1647" s="9">
        <v>2024</v>
      </c>
      <c r="C1647" s="9" t="s">
        <v>46</v>
      </c>
      <c r="D1647" s="9" t="s">
        <v>47</v>
      </c>
      <c r="E1647" s="9" t="s">
        <v>47</v>
      </c>
      <c r="F1647" s="10">
        <v>45423</v>
      </c>
      <c r="G1647" s="9" t="s">
        <v>154</v>
      </c>
      <c r="H1647" s="9" t="s">
        <v>51</v>
      </c>
      <c r="N1647" s="9" t="s">
        <v>49</v>
      </c>
      <c r="Q1647" s="9">
        <f>IF(Auction_Sales[[#This Row],[Payment Date]]=0,"",-1+WEEKNUM(Auction_Sales[[#This Row],[Payment Date]]))</f>
        <v>20</v>
      </c>
      <c r="R1647" s="9">
        <v>-400</v>
      </c>
      <c r="S1647" s="9" t="s">
        <v>154</v>
      </c>
      <c r="T1647" s="9" t="s">
        <v>51</v>
      </c>
      <c r="U1647" s="9">
        <v>400</v>
      </c>
      <c r="V1647" s="13">
        <v>0.03</v>
      </c>
      <c r="W1647" s="13">
        <v>12</v>
      </c>
      <c r="X1647" s="14">
        <v>0</v>
      </c>
      <c r="Y1647" s="13">
        <v>12</v>
      </c>
      <c r="Z1647" s="10">
        <v>45434</v>
      </c>
      <c r="AA1647" s="9">
        <v>400</v>
      </c>
      <c r="AC1647" s="9">
        <v>440146</v>
      </c>
      <c r="AD1647" s="14">
        <v>0</v>
      </c>
      <c r="AF1647" s="14">
        <v>8</v>
      </c>
      <c r="AH1647" s="14">
        <v>8</v>
      </c>
      <c r="AI1647" s="13">
        <v>4</v>
      </c>
      <c r="AK1647" s="9">
        <v>400</v>
      </c>
    </row>
    <row r="1648" spans="1:37">
      <c r="A1648" s="9">
        <v>20</v>
      </c>
      <c r="B1648" s="9">
        <v>2024</v>
      </c>
      <c r="C1648" s="9" t="s">
        <v>46</v>
      </c>
      <c r="D1648" s="9" t="s">
        <v>47</v>
      </c>
      <c r="E1648" s="9" t="s">
        <v>47</v>
      </c>
      <c r="F1648" s="10">
        <v>45423</v>
      </c>
      <c r="G1648" s="9" t="s">
        <v>154</v>
      </c>
      <c r="H1648" s="9" t="s">
        <v>48</v>
      </c>
      <c r="N1648" s="9" t="s">
        <v>49</v>
      </c>
      <c r="Q1648" s="9">
        <f>IF(Auction_Sales[[#This Row],[Payment Date]]=0,"",-1+WEEKNUM(Auction_Sales[[#This Row],[Payment Date]]))</f>
        <v>20</v>
      </c>
      <c r="R1648" s="9">
        <v>-360</v>
      </c>
      <c r="S1648" s="9" t="s">
        <v>154</v>
      </c>
      <c r="T1648" s="9" t="s">
        <v>48</v>
      </c>
      <c r="U1648" s="9">
        <v>360</v>
      </c>
      <c r="V1648" s="13">
        <v>0.04</v>
      </c>
      <c r="W1648" s="13">
        <v>14.4</v>
      </c>
      <c r="X1648" s="14">
        <v>0</v>
      </c>
      <c r="Y1648" s="13">
        <v>14.4</v>
      </c>
      <c r="Z1648" s="10">
        <v>45434</v>
      </c>
      <c r="AA1648" s="9">
        <v>360</v>
      </c>
      <c r="AC1648" s="9">
        <v>440146</v>
      </c>
      <c r="AD1648" s="14">
        <v>0</v>
      </c>
      <c r="AF1648" s="14">
        <v>7.2</v>
      </c>
      <c r="AH1648" s="14">
        <v>7.2</v>
      </c>
      <c r="AI1648" s="13">
        <v>7.2</v>
      </c>
      <c r="AK1648" s="9">
        <v>360</v>
      </c>
    </row>
    <row r="1649" spans="1:37">
      <c r="A1649" s="9">
        <v>20</v>
      </c>
      <c r="B1649" s="9">
        <v>2024</v>
      </c>
      <c r="C1649" s="9" t="s">
        <v>46</v>
      </c>
      <c r="D1649" s="9" t="s">
        <v>47</v>
      </c>
      <c r="E1649" s="9" t="s">
        <v>47</v>
      </c>
      <c r="F1649" s="10">
        <v>45423</v>
      </c>
      <c r="G1649" s="9" t="s">
        <v>155</v>
      </c>
      <c r="H1649" s="9" t="s">
        <v>51</v>
      </c>
      <c r="N1649" s="9" t="s">
        <v>49</v>
      </c>
      <c r="Q1649" s="9">
        <f>IF(Auction_Sales[[#This Row],[Payment Date]]=0,"",-1+WEEKNUM(Auction_Sales[[#This Row],[Payment Date]]))</f>
        <v>20</v>
      </c>
      <c r="R1649" s="9">
        <v>-800</v>
      </c>
      <c r="S1649" s="9" t="s">
        <v>155</v>
      </c>
      <c r="T1649" s="9" t="s">
        <v>51</v>
      </c>
      <c r="U1649" s="9">
        <v>800</v>
      </c>
      <c r="V1649" s="13">
        <v>0.06</v>
      </c>
      <c r="W1649" s="13">
        <v>48</v>
      </c>
      <c r="X1649" s="14">
        <v>0</v>
      </c>
      <c r="Y1649" s="13">
        <v>48</v>
      </c>
      <c r="Z1649" s="10">
        <v>45434</v>
      </c>
      <c r="AA1649" s="9">
        <v>800</v>
      </c>
      <c r="AC1649" s="9">
        <v>440146</v>
      </c>
      <c r="AD1649" s="14">
        <v>0</v>
      </c>
      <c r="AF1649" s="14">
        <v>16</v>
      </c>
      <c r="AH1649" s="14">
        <v>16</v>
      </c>
      <c r="AI1649" s="13">
        <v>32</v>
      </c>
      <c r="AK1649" s="9">
        <v>800</v>
      </c>
    </row>
    <row r="1650" spans="1:37">
      <c r="A1650" s="9">
        <v>20</v>
      </c>
      <c r="B1650" s="9">
        <v>2024</v>
      </c>
      <c r="C1650" s="9" t="s">
        <v>46</v>
      </c>
      <c r="D1650" s="9" t="s">
        <v>47</v>
      </c>
      <c r="E1650" s="9" t="s">
        <v>47</v>
      </c>
      <c r="F1650" s="10">
        <v>45423</v>
      </c>
      <c r="G1650" s="9" t="s">
        <v>154</v>
      </c>
      <c r="H1650" s="9" t="s">
        <v>51</v>
      </c>
      <c r="N1650" s="9" t="s">
        <v>49</v>
      </c>
      <c r="Q1650" s="9">
        <f>IF(Auction_Sales[[#This Row],[Payment Date]]=0,"",-1+WEEKNUM(Auction_Sales[[#This Row],[Payment Date]]))</f>
        <v>20</v>
      </c>
      <c r="R1650" s="9">
        <v>400</v>
      </c>
      <c r="S1650" s="9" t="s">
        <v>154</v>
      </c>
      <c r="T1650" s="9" t="s">
        <v>51</v>
      </c>
      <c r="U1650" s="9">
        <v>-400</v>
      </c>
      <c r="V1650" s="13">
        <v>0.62</v>
      </c>
      <c r="W1650" s="13">
        <v>-248</v>
      </c>
      <c r="X1650" s="14">
        <v>-1.0435897435897563</v>
      </c>
      <c r="Y1650" s="13">
        <v>-249.04358974358976</v>
      </c>
      <c r="Z1650" s="10">
        <v>45434</v>
      </c>
      <c r="AA1650" s="9">
        <v>-400</v>
      </c>
      <c r="AC1650" s="9">
        <v>440146</v>
      </c>
      <c r="AD1650" s="14">
        <v>0</v>
      </c>
      <c r="AF1650" s="14">
        <v>-8</v>
      </c>
      <c r="AH1650" s="14">
        <v>-8</v>
      </c>
      <c r="AI1650" s="13">
        <v>-241.04358974358976</v>
      </c>
      <c r="AK1650" s="9">
        <v>-400</v>
      </c>
    </row>
    <row r="1651" spans="1:37">
      <c r="A1651" s="9">
        <v>20</v>
      </c>
      <c r="B1651" s="9">
        <v>2024</v>
      </c>
      <c r="C1651" s="9" t="s">
        <v>46</v>
      </c>
      <c r="D1651" s="9" t="s">
        <v>47</v>
      </c>
      <c r="E1651" s="9" t="s">
        <v>47</v>
      </c>
      <c r="F1651" s="10">
        <v>45423</v>
      </c>
      <c r="G1651" s="9" t="s">
        <v>154</v>
      </c>
      <c r="H1651" s="9" t="s">
        <v>48</v>
      </c>
      <c r="N1651" s="9" t="s">
        <v>49</v>
      </c>
      <c r="Q1651" s="9">
        <f>IF(Auction_Sales[[#This Row],[Payment Date]]=0,"",-1+WEEKNUM(Auction_Sales[[#This Row],[Payment Date]]))</f>
        <v>20</v>
      </c>
      <c r="R1651" s="9">
        <v>360</v>
      </c>
      <c r="S1651" s="9" t="s">
        <v>154</v>
      </c>
      <c r="T1651" s="9" t="s">
        <v>48</v>
      </c>
      <c r="U1651" s="9">
        <v>-360</v>
      </c>
      <c r="V1651" s="13">
        <v>0.63</v>
      </c>
      <c r="W1651" s="13">
        <v>-226.8</v>
      </c>
      <c r="X1651" s="14">
        <v>-0.93923076923078075</v>
      </c>
      <c r="Y1651" s="13">
        <v>-227.7392307692308</v>
      </c>
      <c r="Z1651" s="10">
        <v>45434</v>
      </c>
      <c r="AA1651" s="9">
        <v>-360</v>
      </c>
      <c r="AC1651" s="9">
        <v>440146</v>
      </c>
      <c r="AD1651" s="14">
        <v>0</v>
      </c>
      <c r="AF1651" s="14">
        <v>-7.2</v>
      </c>
      <c r="AH1651" s="14">
        <v>-7.2</v>
      </c>
      <c r="AI1651" s="13">
        <v>-220.53923076923081</v>
      </c>
      <c r="AK1651" s="9">
        <v>-360</v>
      </c>
    </row>
    <row r="1652" spans="1:37">
      <c r="A1652" s="9">
        <v>20</v>
      </c>
      <c r="B1652" s="9">
        <v>2024</v>
      </c>
      <c r="C1652" s="9" t="s">
        <v>46</v>
      </c>
      <c r="D1652" s="9" t="s">
        <v>47</v>
      </c>
      <c r="E1652" s="9" t="s">
        <v>47</v>
      </c>
      <c r="F1652" s="10">
        <v>45423</v>
      </c>
      <c r="G1652" s="9" t="s">
        <v>155</v>
      </c>
      <c r="H1652" s="9" t="s">
        <v>51</v>
      </c>
      <c r="N1652" s="9" t="s">
        <v>49</v>
      </c>
      <c r="Q1652" s="9">
        <f>IF(Auction_Sales[[#This Row],[Payment Date]]=0,"",-1+WEEKNUM(Auction_Sales[[#This Row],[Payment Date]]))</f>
        <v>20</v>
      </c>
      <c r="R1652" s="9">
        <v>800</v>
      </c>
      <c r="S1652" s="9" t="s">
        <v>155</v>
      </c>
      <c r="T1652" s="9" t="s">
        <v>51</v>
      </c>
      <c r="U1652" s="9">
        <v>-800</v>
      </c>
      <c r="V1652" s="13">
        <v>0.61</v>
      </c>
      <c r="W1652" s="13">
        <v>-488</v>
      </c>
      <c r="X1652" s="14">
        <v>-2.0871794871795126</v>
      </c>
      <c r="Y1652" s="13">
        <v>-490.08717948717953</v>
      </c>
      <c r="Z1652" s="10">
        <v>45434</v>
      </c>
      <c r="AA1652" s="9">
        <v>-800</v>
      </c>
      <c r="AC1652" s="9">
        <v>440146</v>
      </c>
      <c r="AD1652" s="14">
        <v>0</v>
      </c>
      <c r="AF1652" s="14">
        <v>-16</v>
      </c>
      <c r="AH1652" s="14">
        <v>-16</v>
      </c>
      <c r="AI1652" s="13">
        <v>-474.08717948717953</v>
      </c>
      <c r="AK1652" s="9">
        <v>-800</v>
      </c>
    </row>
    <row r="1653" spans="1:37">
      <c r="A1653" s="9">
        <v>20</v>
      </c>
      <c r="B1653" s="9">
        <v>2024</v>
      </c>
      <c r="C1653" s="9" t="s">
        <v>46</v>
      </c>
      <c r="D1653" s="9" t="s">
        <v>47</v>
      </c>
      <c r="E1653" s="9" t="s">
        <v>47</v>
      </c>
      <c r="F1653" s="10">
        <v>45425</v>
      </c>
      <c r="G1653" s="9" t="s">
        <v>153</v>
      </c>
      <c r="H1653" s="9" t="s">
        <v>52</v>
      </c>
      <c r="I1653" s="9">
        <v>1</v>
      </c>
      <c r="J1653" s="9">
        <v>12</v>
      </c>
      <c r="K1653" s="9">
        <v>480</v>
      </c>
      <c r="L1653" s="9">
        <v>0.28000000000000003</v>
      </c>
      <c r="M1653" s="9">
        <v>134.4</v>
      </c>
      <c r="N1653" s="9" t="s">
        <v>49</v>
      </c>
      <c r="Q1653" s="9">
        <f>IF(Auction_Sales[[#This Row],[Payment Date]]=0,"",-1+WEEKNUM(Auction_Sales[[#This Row],[Payment Date]]))</f>
        <v>20</v>
      </c>
      <c r="R1653" s="9">
        <v>0</v>
      </c>
      <c r="S1653" s="9" t="s">
        <v>153</v>
      </c>
      <c r="T1653" s="9" t="s">
        <v>52</v>
      </c>
      <c r="U1653" s="9">
        <v>480</v>
      </c>
      <c r="V1653" s="13">
        <v>0.38083333333333336</v>
      </c>
      <c r="W1653" s="13">
        <v>182.8</v>
      </c>
      <c r="X1653" s="14">
        <v>-25.276666666666642</v>
      </c>
      <c r="Y1653" s="13">
        <v>157.52333333333337</v>
      </c>
      <c r="Z1653" s="10">
        <v>45434</v>
      </c>
      <c r="AA1653" s="9">
        <v>0</v>
      </c>
      <c r="AC1653" s="9" t="s">
        <v>116</v>
      </c>
      <c r="AD1653" s="14">
        <v>46.206000000000003</v>
      </c>
      <c r="AF1653" s="14">
        <v>9.6</v>
      </c>
      <c r="AH1653" s="14">
        <v>55.806000000000004</v>
      </c>
      <c r="AI1653" s="13">
        <v>101.71733333333336</v>
      </c>
      <c r="AK1653" s="9">
        <v>480</v>
      </c>
    </row>
    <row r="1654" spans="1:37">
      <c r="A1654" s="9">
        <v>20</v>
      </c>
      <c r="B1654" s="9">
        <v>2024</v>
      </c>
      <c r="C1654" s="9" t="s">
        <v>46</v>
      </c>
      <c r="D1654" s="9" t="s">
        <v>47</v>
      </c>
      <c r="E1654" s="9" t="s">
        <v>47</v>
      </c>
      <c r="F1654" s="10">
        <v>45425</v>
      </c>
      <c r="G1654" s="9" t="s">
        <v>153</v>
      </c>
      <c r="H1654" s="9" t="s">
        <v>54</v>
      </c>
      <c r="I1654" s="9">
        <v>1</v>
      </c>
      <c r="J1654" s="9">
        <v>12</v>
      </c>
      <c r="K1654" s="9">
        <v>480</v>
      </c>
      <c r="L1654" s="9">
        <v>0.33</v>
      </c>
      <c r="M1654" s="9">
        <v>158.4</v>
      </c>
      <c r="N1654" s="9" t="s">
        <v>49</v>
      </c>
      <c r="Q1654" s="9">
        <f>IF(Auction_Sales[[#This Row],[Payment Date]]=0,"",-1+WEEKNUM(Auction_Sales[[#This Row],[Payment Date]]))</f>
        <v>20</v>
      </c>
      <c r="R1654" s="9">
        <v>0</v>
      </c>
      <c r="S1654" s="9" t="s">
        <v>153</v>
      </c>
      <c r="T1654" s="9" t="s">
        <v>54</v>
      </c>
      <c r="U1654" s="9">
        <v>480</v>
      </c>
      <c r="V1654" s="13">
        <v>0.49083333333333334</v>
      </c>
      <c r="W1654" s="13">
        <v>235.6</v>
      </c>
      <c r="X1654" s="14">
        <v>-25.276666666666642</v>
      </c>
      <c r="Y1654" s="13">
        <v>210.32333333333335</v>
      </c>
      <c r="Z1654" s="10">
        <v>45434</v>
      </c>
      <c r="AA1654" s="9">
        <v>0</v>
      </c>
      <c r="AC1654" s="9" t="s">
        <v>116</v>
      </c>
      <c r="AD1654" s="14">
        <v>46.206000000000003</v>
      </c>
      <c r="AF1654" s="14">
        <v>9.6</v>
      </c>
      <c r="AH1654" s="14">
        <v>55.806000000000004</v>
      </c>
      <c r="AI1654" s="13">
        <v>154.51733333333334</v>
      </c>
      <c r="AK1654" s="9">
        <v>480</v>
      </c>
    </row>
    <row r="1655" spans="1:37">
      <c r="A1655" s="9">
        <v>20</v>
      </c>
      <c r="B1655" s="9">
        <v>2024</v>
      </c>
      <c r="C1655" s="9" t="s">
        <v>46</v>
      </c>
      <c r="D1655" s="9" t="s">
        <v>47</v>
      </c>
      <c r="E1655" s="9" t="s">
        <v>47</v>
      </c>
      <c r="F1655" s="10">
        <v>45425</v>
      </c>
      <c r="G1655" s="9" t="s">
        <v>155</v>
      </c>
      <c r="H1655" s="9" t="s">
        <v>51</v>
      </c>
      <c r="I1655" s="9">
        <v>1</v>
      </c>
      <c r="J1655" s="9">
        <v>12</v>
      </c>
      <c r="K1655" s="9">
        <v>640</v>
      </c>
      <c r="L1655" s="9">
        <v>0.38</v>
      </c>
      <c r="M1655" s="9">
        <v>243.2</v>
      </c>
      <c r="N1655" s="9" t="s">
        <v>49</v>
      </c>
      <c r="Q1655" s="9">
        <f>IF(Auction_Sales[[#This Row],[Payment Date]]=0,"",-1+WEEKNUM(Auction_Sales[[#This Row],[Payment Date]]))</f>
        <v>20</v>
      </c>
      <c r="R1655" s="9">
        <v>640</v>
      </c>
      <c r="S1655" s="9" t="s">
        <v>155</v>
      </c>
      <c r="T1655" s="9" t="s">
        <v>51</v>
      </c>
      <c r="W1655" s="13">
        <v>0</v>
      </c>
      <c r="X1655" s="14">
        <v>0</v>
      </c>
      <c r="Y1655" s="13">
        <v>0</v>
      </c>
      <c r="Z1655" s="10">
        <v>45434</v>
      </c>
      <c r="AA1655" s="9">
        <v>-640</v>
      </c>
      <c r="AC1655" s="9" t="s">
        <v>116</v>
      </c>
      <c r="AD1655" s="14">
        <v>46.206000000000003</v>
      </c>
      <c r="AF1655" s="14">
        <v>0</v>
      </c>
      <c r="AH1655" s="14">
        <v>46.206000000000003</v>
      </c>
      <c r="AI1655" s="13">
        <v>-46.206000000000003</v>
      </c>
      <c r="AK1655" s="9">
        <v>0</v>
      </c>
    </row>
    <row r="1656" spans="1:37">
      <c r="A1656" s="9">
        <v>20</v>
      </c>
      <c r="B1656" s="9">
        <v>2024</v>
      </c>
      <c r="C1656" s="9" t="s">
        <v>46</v>
      </c>
      <c r="D1656" s="9" t="s">
        <v>47</v>
      </c>
      <c r="E1656" s="9" t="s">
        <v>47</v>
      </c>
      <c r="F1656" s="10">
        <v>45425</v>
      </c>
      <c r="G1656" s="9" t="s">
        <v>155</v>
      </c>
      <c r="H1656" s="9" t="s">
        <v>48</v>
      </c>
      <c r="I1656" s="9">
        <v>1</v>
      </c>
      <c r="J1656" s="9">
        <v>12</v>
      </c>
      <c r="K1656" s="9">
        <v>440</v>
      </c>
      <c r="L1656" s="9">
        <v>0.47</v>
      </c>
      <c r="M1656" s="9">
        <v>206.8</v>
      </c>
      <c r="N1656" s="9" t="s">
        <v>49</v>
      </c>
      <c r="Q1656" s="9">
        <f>IF(Auction_Sales[[#This Row],[Payment Date]]=0,"",-1+WEEKNUM(Auction_Sales[[#This Row],[Payment Date]]))</f>
        <v>20</v>
      </c>
      <c r="R1656" s="9">
        <v>440</v>
      </c>
      <c r="S1656" s="9" t="s">
        <v>155</v>
      </c>
      <c r="T1656" s="9" t="s">
        <v>48</v>
      </c>
      <c r="W1656" s="13">
        <v>0</v>
      </c>
      <c r="X1656" s="14">
        <v>0</v>
      </c>
      <c r="Y1656" s="13">
        <v>0</v>
      </c>
      <c r="Z1656" s="10">
        <v>45434</v>
      </c>
      <c r="AA1656" s="9">
        <v>-440</v>
      </c>
      <c r="AC1656" s="9" t="s">
        <v>116</v>
      </c>
      <c r="AD1656" s="14">
        <v>46.206000000000003</v>
      </c>
      <c r="AF1656" s="14">
        <v>0</v>
      </c>
      <c r="AH1656" s="14">
        <v>46.206000000000003</v>
      </c>
      <c r="AI1656" s="13">
        <v>-46.206000000000003</v>
      </c>
      <c r="AK1656" s="9">
        <v>0</v>
      </c>
    </row>
    <row r="1657" spans="1:37">
      <c r="A1657" s="9">
        <v>20</v>
      </c>
      <c r="B1657" s="9">
        <v>2024</v>
      </c>
      <c r="C1657" s="9" t="s">
        <v>46</v>
      </c>
      <c r="D1657" s="9" t="s">
        <v>47</v>
      </c>
      <c r="E1657" s="9" t="s">
        <v>47</v>
      </c>
      <c r="F1657" s="10">
        <v>45425</v>
      </c>
      <c r="G1657" s="9" t="s">
        <v>154</v>
      </c>
      <c r="H1657" s="9" t="s">
        <v>48</v>
      </c>
      <c r="I1657" s="9">
        <v>1</v>
      </c>
      <c r="J1657" s="9">
        <v>12</v>
      </c>
      <c r="K1657" s="9">
        <v>440</v>
      </c>
      <c r="L1657" s="9">
        <v>0.47</v>
      </c>
      <c r="M1657" s="9">
        <v>206.8</v>
      </c>
      <c r="N1657" s="9" t="s">
        <v>49</v>
      </c>
      <c r="Q1657" s="9">
        <f>IF(Auction_Sales[[#This Row],[Payment Date]]=0,"",-1+WEEKNUM(Auction_Sales[[#This Row],[Payment Date]]))</f>
        <v>20</v>
      </c>
      <c r="R1657" s="9">
        <v>-80</v>
      </c>
      <c r="S1657" s="9" t="s">
        <v>154</v>
      </c>
      <c r="T1657" s="9" t="s">
        <v>48</v>
      </c>
      <c r="U1657" s="9">
        <v>520</v>
      </c>
      <c r="V1657" s="13">
        <v>0.65769230769230769</v>
      </c>
      <c r="W1657" s="13">
        <v>342</v>
      </c>
      <c r="X1657" s="14">
        <v>-27.383055555555529</v>
      </c>
      <c r="Y1657" s="13">
        <v>314.61694444444447</v>
      </c>
      <c r="Z1657" s="10">
        <v>45434</v>
      </c>
      <c r="AA1657" s="9">
        <v>80</v>
      </c>
      <c r="AC1657" s="9" t="s">
        <v>116</v>
      </c>
      <c r="AD1657" s="14">
        <v>46.206000000000003</v>
      </c>
      <c r="AF1657" s="14">
        <v>10.4</v>
      </c>
      <c r="AH1657" s="14">
        <v>56.606000000000002</v>
      </c>
      <c r="AI1657" s="13">
        <v>258.01094444444448</v>
      </c>
      <c r="AK1657" s="9">
        <v>520</v>
      </c>
    </row>
    <row r="1658" spans="1:37">
      <c r="A1658" s="9">
        <v>20</v>
      </c>
      <c r="B1658" s="9">
        <v>2024</v>
      </c>
      <c r="C1658" s="9" t="s">
        <v>46</v>
      </c>
      <c r="D1658" s="9" t="s">
        <v>47</v>
      </c>
      <c r="E1658" s="9" t="s">
        <v>47</v>
      </c>
      <c r="F1658" s="10">
        <v>45425</v>
      </c>
      <c r="G1658" s="9" t="s">
        <v>153</v>
      </c>
      <c r="H1658" s="9" t="s">
        <v>56</v>
      </c>
      <c r="I1658" s="9">
        <v>1</v>
      </c>
      <c r="J1658" s="9">
        <v>7.6363636363636367</v>
      </c>
      <c r="K1658" s="9">
        <v>280</v>
      </c>
      <c r="L1658" s="9">
        <v>0.38</v>
      </c>
      <c r="M1658" s="9">
        <v>106.4</v>
      </c>
      <c r="N1658" s="9" t="s">
        <v>49</v>
      </c>
      <c r="Q1658" s="9">
        <f>IF(Auction_Sales[[#This Row],[Payment Date]]=0,"",-1+WEEKNUM(Auction_Sales[[#This Row],[Payment Date]]))</f>
        <v>20</v>
      </c>
      <c r="R1658" s="9">
        <v>0</v>
      </c>
      <c r="S1658" s="9" t="s">
        <v>153</v>
      </c>
      <c r="T1658" s="9" t="s">
        <v>56</v>
      </c>
      <c r="U1658" s="9">
        <v>280</v>
      </c>
      <c r="V1658" s="13">
        <v>0.40714285714285714</v>
      </c>
      <c r="W1658" s="13">
        <v>114</v>
      </c>
      <c r="X1658" s="14">
        <v>-14.744722222222208</v>
      </c>
      <c r="Y1658" s="13">
        <v>99.255277777777792</v>
      </c>
      <c r="Z1658" s="10">
        <v>45434</v>
      </c>
      <c r="AA1658" s="9">
        <v>0</v>
      </c>
      <c r="AC1658" s="9" t="s">
        <v>116</v>
      </c>
      <c r="AD1658" s="14">
        <v>29.403818181818185</v>
      </c>
      <c r="AF1658" s="14">
        <v>5.6000000000000005</v>
      </c>
      <c r="AH1658" s="14">
        <v>35.003818181818183</v>
      </c>
      <c r="AI1658" s="13">
        <v>64.251459595959602</v>
      </c>
      <c r="AK1658" s="9">
        <v>280</v>
      </c>
    </row>
    <row r="1659" spans="1:37">
      <c r="A1659" s="9">
        <v>20</v>
      </c>
      <c r="B1659" s="9">
        <v>2024</v>
      </c>
      <c r="C1659" s="9" t="s">
        <v>46</v>
      </c>
      <c r="D1659" s="9" t="s">
        <v>47</v>
      </c>
      <c r="E1659" s="9" t="s">
        <v>47</v>
      </c>
      <c r="F1659" s="10">
        <v>45425</v>
      </c>
      <c r="G1659" s="9" t="s">
        <v>153</v>
      </c>
      <c r="H1659" s="9" t="s">
        <v>57</v>
      </c>
      <c r="J1659" s="9">
        <v>4.3636363636363633</v>
      </c>
      <c r="K1659" s="9">
        <v>160</v>
      </c>
      <c r="L1659" s="9">
        <v>0.47</v>
      </c>
      <c r="M1659" s="9">
        <v>75.2</v>
      </c>
      <c r="N1659" s="9" t="s">
        <v>49</v>
      </c>
      <c r="Q1659" s="9">
        <f>IF(Auction_Sales[[#This Row],[Payment Date]]=0,"",-1+WEEKNUM(Auction_Sales[[#This Row],[Payment Date]]))</f>
        <v>20</v>
      </c>
      <c r="R1659" s="9">
        <v>0</v>
      </c>
      <c r="S1659" s="9" t="s">
        <v>153</v>
      </c>
      <c r="T1659" s="9" t="s">
        <v>57</v>
      </c>
      <c r="U1659" s="9">
        <v>160</v>
      </c>
      <c r="V1659" s="13">
        <v>0.59499999999999997</v>
      </c>
      <c r="W1659" s="13">
        <v>95.199999999999989</v>
      </c>
      <c r="X1659" s="14">
        <v>-8.4255555555555475</v>
      </c>
      <c r="Y1659" s="13">
        <v>86.774444444444441</v>
      </c>
      <c r="Z1659" s="10">
        <v>45434</v>
      </c>
      <c r="AA1659" s="9">
        <v>0</v>
      </c>
      <c r="AC1659" s="9" t="s">
        <v>116</v>
      </c>
      <c r="AD1659" s="14">
        <v>16.802181818181818</v>
      </c>
      <c r="AF1659" s="14">
        <v>3.2</v>
      </c>
      <c r="AH1659" s="14">
        <v>20.002181818181818</v>
      </c>
      <c r="AI1659" s="13">
        <v>66.772262626262631</v>
      </c>
      <c r="AK1659" s="9">
        <v>160</v>
      </c>
    </row>
    <row r="1660" spans="1:37">
      <c r="A1660" s="9">
        <v>20</v>
      </c>
      <c r="B1660" s="9">
        <v>2024</v>
      </c>
      <c r="C1660" s="9" t="s">
        <v>46</v>
      </c>
      <c r="D1660" s="9" t="s">
        <v>47</v>
      </c>
      <c r="E1660" s="9" t="s">
        <v>47</v>
      </c>
      <c r="F1660" s="10">
        <v>45425</v>
      </c>
      <c r="G1660" s="9" t="s">
        <v>155</v>
      </c>
      <c r="H1660" s="9" t="s">
        <v>51</v>
      </c>
      <c r="I1660" s="9">
        <v>1</v>
      </c>
      <c r="J1660" s="9">
        <v>10.5</v>
      </c>
      <c r="K1660" s="9">
        <v>280</v>
      </c>
      <c r="L1660" s="9">
        <v>0.38</v>
      </c>
      <c r="M1660" s="9">
        <v>106.4</v>
      </c>
      <c r="N1660" s="9" t="s">
        <v>49</v>
      </c>
      <c r="Q1660" s="9">
        <f>IF(Auction_Sales[[#This Row],[Payment Date]]=0,"",-1+WEEKNUM(Auction_Sales[[#This Row],[Payment Date]]))</f>
        <v>20</v>
      </c>
      <c r="R1660" s="9">
        <v>-640</v>
      </c>
      <c r="S1660" s="9" t="s">
        <v>155</v>
      </c>
      <c r="T1660" s="9" t="s">
        <v>51</v>
      </c>
      <c r="U1660" s="9">
        <v>920</v>
      </c>
      <c r="V1660" s="13">
        <v>0.54304347826086963</v>
      </c>
      <c r="W1660" s="13">
        <v>499.60000000000008</v>
      </c>
      <c r="X1660" s="14">
        <v>-48.446944444444398</v>
      </c>
      <c r="Y1660" s="13">
        <v>451.15305555555568</v>
      </c>
      <c r="Z1660" s="10">
        <v>45434</v>
      </c>
      <c r="AA1660" s="9">
        <v>640</v>
      </c>
      <c r="AC1660" s="9" t="s">
        <v>116</v>
      </c>
      <c r="AD1660" s="14">
        <v>40.430250000000001</v>
      </c>
      <c r="AF1660" s="14">
        <v>18.400000000000002</v>
      </c>
      <c r="AH1660" s="14">
        <v>58.830250000000007</v>
      </c>
      <c r="AI1660" s="13">
        <v>392.32280555555565</v>
      </c>
      <c r="AK1660" s="9">
        <v>920</v>
      </c>
    </row>
    <row r="1661" spans="1:37">
      <c r="A1661" s="9">
        <v>20</v>
      </c>
      <c r="B1661" s="9">
        <v>2024</v>
      </c>
      <c r="C1661" s="9" t="s">
        <v>46</v>
      </c>
      <c r="D1661" s="9" t="s">
        <v>47</v>
      </c>
      <c r="E1661" s="9" t="s">
        <v>47</v>
      </c>
      <c r="F1661" s="10">
        <v>45425</v>
      </c>
      <c r="G1661" s="9" t="s">
        <v>155</v>
      </c>
      <c r="H1661" s="9" t="s">
        <v>48</v>
      </c>
      <c r="J1661" s="9">
        <v>1.5</v>
      </c>
      <c r="K1661" s="9">
        <v>40</v>
      </c>
      <c r="L1661" s="9">
        <v>0.47</v>
      </c>
      <c r="M1661" s="9">
        <v>18.8</v>
      </c>
      <c r="N1661" s="9" t="s">
        <v>49</v>
      </c>
      <c r="Q1661" s="9">
        <f>IF(Auction_Sales[[#This Row],[Payment Date]]=0,"",-1+WEEKNUM(Auction_Sales[[#This Row],[Payment Date]]))</f>
        <v>20</v>
      </c>
      <c r="R1661" s="9">
        <v>-440</v>
      </c>
      <c r="S1661" s="9" t="s">
        <v>155</v>
      </c>
      <c r="T1661" s="9" t="s">
        <v>48</v>
      </c>
      <c r="U1661" s="9">
        <v>480</v>
      </c>
      <c r="V1661" s="13">
        <v>0.77083333333333337</v>
      </c>
      <c r="W1661" s="13">
        <v>370</v>
      </c>
      <c r="X1661" s="14">
        <v>-25.276666666666642</v>
      </c>
      <c r="Y1661" s="13">
        <v>344.72333333333336</v>
      </c>
      <c r="Z1661" s="10">
        <v>45434</v>
      </c>
      <c r="AA1661" s="9">
        <v>440</v>
      </c>
      <c r="AC1661" s="9" t="s">
        <v>116</v>
      </c>
      <c r="AD1661" s="14">
        <v>5.7757500000000004</v>
      </c>
      <c r="AF1661" s="14">
        <v>9.6</v>
      </c>
      <c r="AH1661" s="14">
        <v>15.37575</v>
      </c>
      <c r="AI1661" s="13">
        <v>329.34758333333338</v>
      </c>
      <c r="AK1661" s="9">
        <v>480</v>
      </c>
    </row>
    <row r="1662" spans="1:37">
      <c r="A1662" s="9">
        <v>20</v>
      </c>
      <c r="B1662" s="9">
        <v>2024</v>
      </c>
      <c r="C1662" s="9" t="s">
        <v>46</v>
      </c>
      <c r="D1662" s="9" t="s">
        <v>47</v>
      </c>
      <c r="E1662" s="9" t="s">
        <v>47</v>
      </c>
      <c r="F1662" s="10">
        <v>45425</v>
      </c>
      <c r="G1662" s="9" t="s">
        <v>155</v>
      </c>
      <c r="H1662" s="9" t="s">
        <v>54</v>
      </c>
      <c r="I1662" s="9">
        <v>1</v>
      </c>
      <c r="J1662" s="9">
        <v>8</v>
      </c>
      <c r="K1662" s="9">
        <v>80</v>
      </c>
      <c r="L1662" s="9">
        <v>0.56999999999999995</v>
      </c>
      <c r="M1662" s="9">
        <v>45.6</v>
      </c>
      <c r="N1662" s="9" t="s">
        <v>49</v>
      </c>
      <c r="Q1662" s="9">
        <f>IF(Auction_Sales[[#This Row],[Payment Date]]=0,"",-1+WEEKNUM(Auction_Sales[[#This Row],[Payment Date]]))</f>
        <v>20</v>
      </c>
      <c r="R1662" s="9">
        <v>0</v>
      </c>
      <c r="S1662" s="9" t="s">
        <v>155</v>
      </c>
      <c r="T1662" s="9" t="s">
        <v>54</v>
      </c>
      <c r="U1662" s="9">
        <v>80</v>
      </c>
      <c r="V1662" s="13">
        <v>1.08</v>
      </c>
      <c r="W1662" s="13">
        <v>86.4</v>
      </c>
      <c r="X1662" s="14">
        <v>-4.2127777777777737</v>
      </c>
      <c r="Y1662" s="13">
        <v>82.187222222222232</v>
      </c>
      <c r="Z1662" s="10">
        <v>45434</v>
      </c>
      <c r="AA1662" s="9">
        <v>0</v>
      </c>
      <c r="AC1662" s="9" t="s">
        <v>116</v>
      </c>
      <c r="AD1662" s="14">
        <v>30.803999999999998</v>
      </c>
      <c r="AF1662" s="14">
        <v>1.6</v>
      </c>
      <c r="AH1662" s="14">
        <v>32.403999999999996</v>
      </c>
      <c r="AI1662" s="13">
        <v>49.783222222222236</v>
      </c>
      <c r="AK1662" s="9">
        <v>80</v>
      </c>
    </row>
    <row r="1663" spans="1:37">
      <c r="A1663" s="9">
        <v>20</v>
      </c>
      <c r="B1663" s="9">
        <v>2024</v>
      </c>
      <c r="C1663" s="9" t="s">
        <v>46</v>
      </c>
      <c r="D1663" s="9" t="s">
        <v>47</v>
      </c>
      <c r="E1663" s="9" t="s">
        <v>47</v>
      </c>
      <c r="F1663" s="10">
        <v>45425</v>
      </c>
      <c r="G1663" s="9" t="s">
        <v>155</v>
      </c>
      <c r="H1663" s="9" t="s">
        <v>56</v>
      </c>
      <c r="J1663" s="9">
        <v>4</v>
      </c>
      <c r="K1663" s="9">
        <v>40</v>
      </c>
      <c r="L1663" s="9">
        <v>0.75</v>
      </c>
      <c r="M1663" s="9">
        <v>30</v>
      </c>
      <c r="N1663" s="9" t="s">
        <v>49</v>
      </c>
      <c r="Q1663" s="9">
        <f>IF(Auction_Sales[[#This Row],[Payment Date]]=0,"",-1+WEEKNUM(Auction_Sales[[#This Row],[Payment Date]]))</f>
        <v>20</v>
      </c>
      <c r="R1663" s="9">
        <v>0</v>
      </c>
      <c r="S1663" s="9" t="s">
        <v>155</v>
      </c>
      <c r="T1663" s="9" t="s">
        <v>56</v>
      </c>
      <c r="U1663" s="9">
        <v>40</v>
      </c>
      <c r="V1663" s="13">
        <v>1.01</v>
      </c>
      <c r="W1663" s="13">
        <v>40.4</v>
      </c>
      <c r="X1663" s="14">
        <v>-2.1063888888888869</v>
      </c>
      <c r="Y1663" s="13">
        <v>38.293611111111112</v>
      </c>
      <c r="Z1663" s="10">
        <v>45434</v>
      </c>
      <c r="AA1663" s="9">
        <v>0</v>
      </c>
      <c r="AC1663" s="9" t="s">
        <v>116</v>
      </c>
      <c r="AD1663" s="14">
        <v>15.401999999999999</v>
      </c>
      <c r="AF1663" s="14">
        <v>0.8</v>
      </c>
      <c r="AH1663" s="14">
        <v>16.201999999999998</v>
      </c>
      <c r="AI1663" s="13">
        <v>22.091611111111114</v>
      </c>
      <c r="AK1663" s="9">
        <v>40</v>
      </c>
    </row>
    <row r="1664" spans="1:37">
      <c r="A1664" s="9">
        <v>20</v>
      </c>
      <c r="B1664" s="9">
        <v>2024</v>
      </c>
      <c r="C1664" s="9" t="s">
        <v>46</v>
      </c>
      <c r="D1664" s="9" t="s">
        <v>47</v>
      </c>
      <c r="E1664" s="9" t="s">
        <v>47</v>
      </c>
      <c r="F1664" s="10">
        <v>45425</v>
      </c>
      <c r="G1664" s="9" t="s">
        <v>154</v>
      </c>
      <c r="H1664" s="9" t="s">
        <v>56</v>
      </c>
      <c r="I1664" s="9">
        <v>1</v>
      </c>
      <c r="J1664" s="9">
        <v>10</v>
      </c>
      <c r="K1664" s="9">
        <v>400</v>
      </c>
      <c r="L1664" s="9">
        <v>0.75</v>
      </c>
      <c r="M1664" s="9">
        <v>300</v>
      </c>
      <c r="N1664" s="9" t="s">
        <v>49</v>
      </c>
      <c r="Q1664" s="9">
        <f>IF(Auction_Sales[[#This Row],[Payment Date]]=0,"",-1+WEEKNUM(Auction_Sales[[#This Row],[Payment Date]]))</f>
        <v>20</v>
      </c>
      <c r="R1664" s="9">
        <v>280</v>
      </c>
      <c r="S1664" s="9" t="s">
        <v>154</v>
      </c>
      <c r="T1664" s="9" t="s">
        <v>56</v>
      </c>
      <c r="U1664" s="9">
        <v>120</v>
      </c>
      <c r="V1664" s="13">
        <v>0.72000000000000008</v>
      </c>
      <c r="W1664" s="13">
        <v>86.4</v>
      </c>
      <c r="X1664" s="14">
        <v>-6.3191666666666606</v>
      </c>
      <c r="Y1664" s="13">
        <v>80.080833333333345</v>
      </c>
      <c r="Z1664" s="10">
        <v>45434</v>
      </c>
      <c r="AA1664" s="9">
        <v>-280</v>
      </c>
      <c r="AC1664" s="9" t="s">
        <v>116</v>
      </c>
      <c r="AD1664" s="14">
        <v>38.504999999999995</v>
      </c>
      <c r="AF1664" s="14">
        <v>2.4</v>
      </c>
      <c r="AH1664" s="14">
        <v>40.904999999999994</v>
      </c>
      <c r="AI1664" s="13">
        <v>39.175833333333351</v>
      </c>
      <c r="AK1664" s="9">
        <v>120</v>
      </c>
    </row>
    <row r="1665" spans="1:37">
      <c r="A1665" s="9">
        <v>20</v>
      </c>
      <c r="B1665" s="9">
        <v>2024</v>
      </c>
      <c r="C1665" s="9" t="s">
        <v>46</v>
      </c>
      <c r="D1665" s="9" t="s">
        <v>47</v>
      </c>
      <c r="E1665" s="9" t="s">
        <v>47</v>
      </c>
      <c r="F1665" s="10">
        <v>45425</v>
      </c>
      <c r="G1665" s="9" t="s">
        <v>154</v>
      </c>
      <c r="H1665" s="9" t="s">
        <v>57</v>
      </c>
      <c r="J1665" s="9">
        <v>2</v>
      </c>
      <c r="K1665" s="9">
        <v>80</v>
      </c>
      <c r="L1665" s="9">
        <v>0.94</v>
      </c>
      <c r="M1665" s="9">
        <v>75.2</v>
      </c>
      <c r="N1665" s="9" t="s">
        <v>49</v>
      </c>
      <c r="Q1665" s="9">
        <f>IF(Auction_Sales[[#This Row],[Payment Date]]=0,"",-1+WEEKNUM(Auction_Sales[[#This Row],[Payment Date]]))</f>
        <v>20</v>
      </c>
      <c r="R1665" s="9">
        <v>40</v>
      </c>
      <c r="S1665" s="9" t="s">
        <v>154</v>
      </c>
      <c r="T1665" s="9" t="s">
        <v>57</v>
      </c>
      <c r="U1665" s="9">
        <v>40</v>
      </c>
      <c r="V1665" s="13">
        <v>0.76</v>
      </c>
      <c r="W1665" s="13">
        <v>30.4</v>
      </c>
      <c r="X1665" s="14">
        <v>-2.1063888888888869</v>
      </c>
      <c r="Y1665" s="13">
        <v>28.293611111111112</v>
      </c>
      <c r="Z1665" s="10">
        <v>45434</v>
      </c>
      <c r="AA1665" s="9">
        <v>-40</v>
      </c>
      <c r="AC1665" s="9" t="s">
        <v>116</v>
      </c>
      <c r="AD1665" s="14">
        <v>7.7009999999999996</v>
      </c>
      <c r="AF1665" s="14">
        <v>0.8</v>
      </c>
      <c r="AH1665" s="14">
        <v>8.5009999999999994</v>
      </c>
      <c r="AI1665" s="13">
        <v>19.792611111111114</v>
      </c>
      <c r="AK1665" s="9">
        <v>40</v>
      </c>
    </row>
    <row r="1666" spans="1:37">
      <c r="A1666" s="9">
        <v>20</v>
      </c>
      <c r="B1666" s="9">
        <v>2024</v>
      </c>
      <c r="C1666" s="9" t="s">
        <v>46</v>
      </c>
      <c r="D1666" s="9" t="s">
        <v>47</v>
      </c>
      <c r="E1666" s="9" t="s">
        <v>47</v>
      </c>
      <c r="F1666" s="10">
        <v>45425</v>
      </c>
      <c r="G1666" s="9" t="s">
        <v>154</v>
      </c>
      <c r="H1666" s="9" t="s">
        <v>56</v>
      </c>
      <c r="I1666" s="9">
        <v>1</v>
      </c>
      <c r="J1666" s="9">
        <v>2.5714285714285712</v>
      </c>
      <c r="K1666" s="9">
        <v>120</v>
      </c>
      <c r="L1666" s="9">
        <v>0.75</v>
      </c>
      <c r="M1666" s="9">
        <v>90</v>
      </c>
      <c r="N1666" s="9" t="s">
        <v>49</v>
      </c>
      <c r="Q1666" s="9">
        <f>IF(Auction_Sales[[#This Row],[Payment Date]]=0,"",-1+WEEKNUM(Auction_Sales[[#This Row],[Payment Date]]))</f>
        <v>20</v>
      </c>
      <c r="R1666" s="9">
        <v>120</v>
      </c>
      <c r="S1666" s="9" t="s">
        <v>154</v>
      </c>
      <c r="T1666" s="9" t="s">
        <v>56</v>
      </c>
      <c r="W1666" s="13">
        <v>0</v>
      </c>
      <c r="X1666" s="14">
        <v>0</v>
      </c>
      <c r="Y1666" s="13">
        <v>0</v>
      </c>
      <c r="Z1666" s="10">
        <v>45434</v>
      </c>
      <c r="AA1666" s="9">
        <v>-120</v>
      </c>
      <c r="AC1666" s="9" t="s">
        <v>116</v>
      </c>
      <c r="AD1666" s="14">
        <v>9.9012857142857129</v>
      </c>
      <c r="AF1666" s="14">
        <v>0</v>
      </c>
      <c r="AH1666" s="14">
        <v>9.9012857142857129</v>
      </c>
      <c r="AI1666" s="13">
        <v>-9.9012857142857129</v>
      </c>
      <c r="AK1666" s="9">
        <v>0</v>
      </c>
    </row>
    <row r="1667" spans="1:37">
      <c r="A1667" s="9">
        <v>20</v>
      </c>
      <c r="B1667" s="9">
        <v>2024</v>
      </c>
      <c r="C1667" s="9" t="s">
        <v>46</v>
      </c>
      <c r="D1667" s="9" t="s">
        <v>47</v>
      </c>
      <c r="E1667" s="9" t="s">
        <v>47</v>
      </c>
      <c r="F1667" s="10">
        <v>45425</v>
      </c>
      <c r="G1667" s="9" t="s">
        <v>154</v>
      </c>
      <c r="H1667" s="9" t="s">
        <v>57</v>
      </c>
      <c r="J1667" s="9">
        <v>1.7142857142857142</v>
      </c>
      <c r="K1667" s="9">
        <v>80</v>
      </c>
      <c r="L1667" s="9">
        <v>0.94</v>
      </c>
      <c r="M1667" s="9">
        <v>75.2</v>
      </c>
      <c r="N1667" s="9" t="s">
        <v>49</v>
      </c>
      <c r="Q1667" s="9">
        <f>IF(Auction_Sales[[#This Row],[Payment Date]]=0,"",-1+WEEKNUM(Auction_Sales[[#This Row],[Payment Date]]))</f>
        <v>20</v>
      </c>
      <c r="R1667" s="9">
        <v>80</v>
      </c>
      <c r="S1667" s="9" t="s">
        <v>154</v>
      </c>
      <c r="T1667" s="9" t="s">
        <v>57</v>
      </c>
      <c r="W1667" s="13">
        <v>0</v>
      </c>
      <c r="X1667" s="14">
        <v>0</v>
      </c>
      <c r="Y1667" s="13">
        <v>0</v>
      </c>
      <c r="Z1667" s="10">
        <v>45434</v>
      </c>
      <c r="AA1667" s="9">
        <v>-80</v>
      </c>
      <c r="AC1667" s="9" t="s">
        <v>116</v>
      </c>
      <c r="AD1667" s="14">
        <v>6.6008571428571425</v>
      </c>
      <c r="AF1667" s="14">
        <v>0</v>
      </c>
      <c r="AH1667" s="14">
        <v>6.6008571428571425</v>
      </c>
      <c r="AI1667" s="13">
        <v>-6.6008571428571425</v>
      </c>
      <c r="AK1667" s="9">
        <v>0</v>
      </c>
    </row>
    <row r="1668" spans="1:37">
      <c r="A1668" s="9">
        <v>20</v>
      </c>
      <c r="B1668" s="9">
        <v>2024</v>
      </c>
      <c r="C1668" s="9" t="s">
        <v>46</v>
      </c>
      <c r="D1668" s="9" t="s">
        <v>47</v>
      </c>
      <c r="E1668" s="9" t="s">
        <v>47</v>
      </c>
      <c r="F1668" s="10">
        <v>45425</v>
      </c>
      <c r="G1668" s="9" t="s">
        <v>156</v>
      </c>
      <c r="H1668" s="9" t="s">
        <v>51</v>
      </c>
      <c r="J1668" s="9">
        <v>2.5714285714285712</v>
      </c>
      <c r="K1668" s="9">
        <v>120</v>
      </c>
      <c r="L1668" s="9">
        <v>0.42</v>
      </c>
      <c r="M1668" s="9">
        <v>50.4</v>
      </c>
      <c r="N1668" s="9" t="s">
        <v>49</v>
      </c>
      <c r="Q1668" s="9">
        <f>IF(Auction_Sales[[#This Row],[Payment Date]]=0,"",-1+WEEKNUM(Auction_Sales[[#This Row],[Payment Date]]))</f>
        <v>20</v>
      </c>
      <c r="R1668" s="9">
        <v>0</v>
      </c>
      <c r="S1668" s="9" t="s">
        <v>156</v>
      </c>
      <c r="T1668" s="9" t="s">
        <v>51</v>
      </c>
      <c r="U1668" s="9">
        <v>120</v>
      </c>
      <c r="V1668" s="13">
        <v>0.53999999999999992</v>
      </c>
      <c r="W1668" s="13">
        <v>64.8</v>
      </c>
      <c r="X1668" s="14">
        <v>-6.3191666666666606</v>
      </c>
      <c r="Y1668" s="13">
        <v>58.480833333333337</v>
      </c>
      <c r="Z1668" s="10">
        <v>45434</v>
      </c>
      <c r="AA1668" s="9">
        <v>0</v>
      </c>
      <c r="AC1668" s="9" t="s">
        <v>116</v>
      </c>
      <c r="AD1668" s="14">
        <v>9.9012857142857129</v>
      </c>
      <c r="AF1668" s="14">
        <v>2.4</v>
      </c>
      <c r="AH1668" s="14">
        <v>12.301285714285713</v>
      </c>
      <c r="AI1668" s="13">
        <v>46.179547619047625</v>
      </c>
      <c r="AK1668" s="9">
        <v>120</v>
      </c>
    </row>
    <row r="1669" spans="1:37">
      <c r="A1669" s="9">
        <v>20</v>
      </c>
      <c r="B1669" s="9">
        <v>2024</v>
      </c>
      <c r="C1669" s="9" t="s">
        <v>46</v>
      </c>
      <c r="D1669" s="9" t="s">
        <v>47</v>
      </c>
      <c r="E1669" s="9" t="s">
        <v>47</v>
      </c>
      <c r="F1669" s="10">
        <v>45425</v>
      </c>
      <c r="G1669" s="9" t="s">
        <v>156</v>
      </c>
      <c r="H1669" s="9" t="s">
        <v>48</v>
      </c>
      <c r="J1669" s="9">
        <v>4.2857142857142856</v>
      </c>
      <c r="K1669" s="9">
        <v>200</v>
      </c>
      <c r="L1669" s="9">
        <v>0.52</v>
      </c>
      <c r="M1669" s="9">
        <v>104</v>
      </c>
      <c r="N1669" s="9" t="s">
        <v>49</v>
      </c>
      <c r="Q1669" s="9">
        <f>IF(Auction_Sales[[#This Row],[Payment Date]]=0,"",-1+WEEKNUM(Auction_Sales[[#This Row],[Payment Date]]))</f>
        <v>20</v>
      </c>
      <c r="R1669" s="9">
        <v>40</v>
      </c>
      <c r="S1669" s="9" t="s">
        <v>156</v>
      </c>
      <c r="T1669" s="9" t="s">
        <v>48</v>
      </c>
      <c r="U1669" s="9">
        <v>160</v>
      </c>
      <c r="V1669" s="13">
        <v>0.7</v>
      </c>
      <c r="W1669" s="13">
        <v>112</v>
      </c>
      <c r="X1669" s="14">
        <v>-8.4255555555555475</v>
      </c>
      <c r="Y1669" s="13">
        <v>103.57444444444445</v>
      </c>
      <c r="Z1669" s="10">
        <v>45434</v>
      </c>
      <c r="AA1669" s="9">
        <v>-40</v>
      </c>
      <c r="AC1669" s="9" t="s">
        <v>116</v>
      </c>
      <c r="AD1669" s="14">
        <v>16.502142857142857</v>
      </c>
      <c r="AF1669" s="14">
        <v>3.2</v>
      </c>
      <c r="AH1669" s="14">
        <v>19.702142857142857</v>
      </c>
      <c r="AI1669" s="13">
        <v>83.872301587301592</v>
      </c>
      <c r="AK1669" s="9">
        <v>160</v>
      </c>
    </row>
    <row r="1670" spans="1:37">
      <c r="A1670" s="9">
        <v>20</v>
      </c>
      <c r="B1670" s="9">
        <v>2024</v>
      </c>
      <c r="C1670" s="9" t="s">
        <v>46</v>
      </c>
      <c r="D1670" s="9" t="s">
        <v>47</v>
      </c>
      <c r="E1670" s="9" t="s">
        <v>47</v>
      </c>
      <c r="F1670" s="10">
        <v>45425</v>
      </c>
      <c r="G1670" s="9" t="s">
        <v>156</v>
      </c>
      <c r="H1670" s="9" t="s">
        <v>52</v>
      </c>
      <c r="J1670" s="9">
        <v>0.8571428571428571</v>
      </c>
      <c r="K1670" s="9">
        <v>40</v>
      </c>
      <c r="L1670" s="9">
        <v>0.61</v>
      </c>
      <c r="M1670" s="9">
        <v>24.4</v>
      </c>
      <c r="N1670" s="9" t="s">
        <v>49</v>
      </c>
      <c r="Q1670" s="9">
        <f>IF(Auction_Sales[[#This Row],[Payment Date]]=0,"",-1+WEEKNUM(Auction_Sales[[#This Row],[Payment Date]]))</f>
        <v>20</v>
      </c>
      <c r="R1670" s="9">
        <v>0</v>
      </c>
      <c r="S1670" s="9" t="s">
        <v>156</v>
      </c>
      <c r="T1670" s="9" t="s">
        <v>52</v>
      </c>
      <c r="U1670" s="9">
        <v>40</v>
      </c>
      <c r="V1670" s="13">
        <v>0.74</v>
      </c>
      <c r="W1670" s="13">
        <v>29.6</v>
      </c>
      <c r="X1670" s="14">
        <v>-2.1063888888888869</v>
      </c>
      <c r="Y1670" s="13">
        <v>27.493611111111115</v>
      </c>
      <c r="Z1670" s="10">
        <v>45434</v>
      </c>
      <c r="AA1670" s="9">
        <v>0</v>
      </c>
      <c r="AC1670" s="9" t="s">
        <v>116</v>
      </c>
      <c r="AD1670" s="14">
        <v>3.3004285714285713</v>
      </c>
      <c r="AF1670" s="14">
        <v>0.8</v>
      </c>
      <c r="AH1670" s="14">
        <v>4.1004285714285711</v>
      </c>
      <c r="AI1670" s="13">
        <v>23.393182539682542</v>
      </c>
      <c r="AK1670" s="9">
        <v>40</v>
      </c>
    </row>
    <row r="1671" spans="1:37">
      <c r="A1671" s="9">
        <v>20</v>
      </c>
      <c r="B1671" s="9">
        <v>2024</v>
      </c>
      <c r="C1671" s="9" t="s">
        <v>46</v>
      </c>
      <c r="D1671" s="9" t="s">
        <v>47</v>
      </c>
      <c r="E1671" s="9" t="s">
        <v>47</v>
      </c>
      <c r="F1671" s="10">
        <v>45425</v>
      </c>
      <c r="G1671" s="9" t="s">
        <v>156</v>
      </c>
      <c r="H1671" s="9" t="s">
        <v>51</v>
      </c>
      <c r="N1671" s="9" t="s">
        <v>49</v>
      </c>
      <c r="Q1671" s="9">
        <f>IF(Auction_Sales[[#This Row],[Payment Date]]=0,"",-1+WEEKNUM(Auction_Sales[[#This Row],[Payment Date]]))</f>
        <v>20</v>
      </c>
      <c r="R1671" s="9">
        <v>240</v>
      </c>
      <c r="S1671" s="9" t="s">
        <v>156</v>
      </c>
      <c r="T1671" s="9" t="s">
        <v>51</v>
      </c>
      <c r="U1671" s="9">
        <v>-240</v>
      </c>
      <c r="V1671" s="13">
        <v>0.48000000000000004</v>
      </c>
      <c r="W1671" s="13">
        <v>-115.2</v>
      </c>
      <c r="X1671" s="14">
        <v>12.638333333333321</v>
      </c>
      <c r="Y1671" s="13">
        <v>-102.56166666666668</v>
      </c>
      <c r="Z1671" s="10">
        <v>45434</v>
      </c>
      <c r="AA1671" s="9">
        <v>-240</v>
      </c>
      <c r="AC1671" s="9" t="s">
        <v>116</v>
      </c>
      <c r="AD1671" s="14">
        <v>0</v>
      </c>
      <c r="AF1671" s="14">
        <v>-4.8</v>
      </c>
      <c r="AH1671" s="14">
        <v>-4.8</v>
      </c>
      <c r="AI1671" s="13">
        <v>-97.761666666666684</v>
      </c>
      <c r="AK1671" s="9">
        <v>-240</v>
      </c>
    </row>
    <row r="1672" spans="1:37">
      <c r="A1672" s="9">
        <v>20</v>
      </c>
      <c r="B1672" s="9">
        <v>2024</v>
      </c>
      <c r="C1672" s="9" t="s">
        <v>46</v>
      </c>
      <c r="D1672" s="9" t="s">
        <v>47</v>
      </c>
      <c r="E1672" s="9" t="s">
        <v>47</v>
      </c>
      <c r="F1672" s="10">
        <v>45425</v>
      </c>
      <c r="G1672" s="9" t="s">
        <v>156</v>
      </c>
      <c r="H1672" s="9" t="s">
        <v>51</v>
      </c>
      <c r="N1672" s="9" t="s">
        <v>49</v>
      </c>
      <c r="Q1672" s="9">
        <f>IF(Auction_Sales[[#This Row],[Payment Date]]=0,"",-1+WEEKNUM(Auction_Sales[[#This Row],[Payment Date]]))</f>
        <v>20</v>
      </c>
      <c r="R1672" s="9">
        <v>-240</v>
      </c>
      <c r="S1672" s="9" t="s">
        <v>156</v>
      </c>
      <c r="T1672" s="9" t="s">
        <v>51</v>
      </c>
      <c r="U1672" s="9">
        <v>240</v>
      </c>
      <c r="V1672" s="13">
        <v>0</v>
      </c>
      <c r="W1672" s="13">
        <v>0</v>
      </c>
      <c r="X1672" s="14">
        <v>-12.638333333333321</v>
      </c>
      <c r="Y1672" s="13">
        <v>-12.638333333333321</v>
      </c>
      <c r="Z1672" s="10">
        <v>45434</v>
      </c>
      <c r="AA1672" s="9">
        <v>240</v>
      </c>
      <c r="AC1672" s="9" t="s">
        <v>116</v>
      </c>
      <c r="AD1672" s="14">
        <v>0</v>
      </c>
      <c r="AF1672" s="14">
        <v>4.8</v>
      </c>
      <c r="AH1672" s="14">
        <v>4.8</v>
      </c>
      <c r="AI1672" s="13">
        <v>-17.438333333333322</v>
      </c>
      <c r="AK1672" s="9">
        <v>240</v>
      </c>
    </row>
    <row r="1673" spans="1:37">
      <c r="A1673" s="9">
        <v>20</v>
      </c>
      <c r="B1673" s="9">
        <v>2024</v>
      </c>
      <c r="C1673" s="9" t="s">
        <v>46</v>
      </c>
      <c r="D1673" s="9" t="s">
        <v>47</v>
      </c>
      <c r="E1673" s="9" t="s">
        <v>47</v>
      </c>
      <c r="F1673" s="10">
        <v>45425</v>
      </c>
      <c r="G1673" s="9" t="s">
        <v>154</v>
      </c>
      <c r="H1673" s="9" t="s">
        <v>51</v>
      </c>
      <c r="N1673" s="9" t="s">
        <v>49</v>
      </c>
      <c r="Q1673" s="9">
        <f>IF(Auction_Sales[[#This Row],[Payment Date]]=0,"",-1+WEEKNUM(Auction_Sales[[#This Row],[Payment Date]]))</f>
        <v>20</v>
      </c>
      <c r="R1673" s="9">
        <v>-400</v>
      </c>
      <c r="S1673" s="9" t="s">
        <v>154</v>
      </c>
      <c r="T1673" s="9" t="s">
        <v>51</v>
      </c>
      <c r="U1673" s="9">
        <v>400</v>
      </c>
      <c r="V1673" s="13">
        <v>0.56000000000000005</v>
      </c>
      <c r="W1673" s="13">
        <v>224.00000000000003</v>
      </c>
      <c r="X1673" s="14">
        <v>-21.063888888888869</v>
      </c>
      <c r="Y1673" s="13">
        <v>202.93611111111116</v>
      </c>
      <c r="Z1673" s="10">
        <v>45434</v>
      </c>
      <c r="AA1673" s="9">
        <v>400</v>
      </c>
      <c r="AC1673" s="9" t="s">
        <v>116</v>
      </c>
      <c r="AD1673" s="14">
        <v>0</v>
      </c>
      <c r="AF1673" s="14">
        <v>8</v>
      </c>
      <c r="AH1673" s="14">
        <v>8</v>
      </c>
      <c r="AI1673" s="13">
        <v>194.93611111111116</v>
      </c>
      <c r="AK1673" s="9">
        <v>400</v>
      </c>
    </row>
    <row r="1674" spans="1:37">
      <c r="A1674" s="9">
        <v>20</v>
      </c>
      <c r="B1674" s="9">
        <v>2024</v>
      </c>
      <c r="C1674" s="9" t="s">
        <v>46</v>
      </c>
      <c r="D1674" s="9" t="s">
        <v>47</v>
      </c>
      <c r="E1674" s="9" t="s">
        <v>47</v>
      </c>
      <c r="F1674" s="10">
        <v>45428</v>
      </c>
      <c r="G1674" s="9" t="s">
        <v>154</v>
      </c>
      <c r="H1674" s="9" t="s">
        <v>51</v>
      </c>
      <c r="I1674" s="9">
        <v>1</v>
      </c>
      <c r="J1674" s="9">
        <v>12</v>
      </c>
      <c r="K1674" s="9">
        <v>440</v>
      </c>
      <c r="L1674" s="9">
        <v>0.38</v>
      </c>
      <c r="M1674" s="9">
        <v>167.2</v>
      </c>
      <c r="N1674" s="9" t="s">
        <v>49</v>
      </c>
      <c r="Q1674" s="9">
        <f>IF(Auction_Sales[[#This Row],[Payment Date]]=0,"",-1+WEEKNUM(Auction_Sales[[#This Row],[Payment Date]]))</f>
        <v>21</v>
      </c>
      <c r="R1674" s="9">
        <v>0</v>
      </c>
      <c r="S1674" s="9" t="s">
        <v>154</v>
      </c>
      <c r="T1674" s="9" t="s">
        <v>51</v>
      </c>
      <c r="U1674" s="9">
        <v>440</v>
      </c>
      <c r="V1674" s="13">
        <v>0.70727272727272728</v>
      </c>
      <c r="W1674" s="13">
        <v>311.2</v>
      </c>
      <c r="X1674" s="14">
        <v>-21.85333333333331</v>
      </c>
      <c r="Y1674" s="13">
        <v>289.34666666666669</v>
      </c>
      <c r="Z1674" s="10">
        <v>45441</v>
      </c>
      <c r="AA1674" s="9">
        <v>0</v>
      </c>
      <c r="AC1674" s="9">
        <v>440948</v>
      </c>
      <c r="AD1674" s="14">
        <v>41.207142857142856</v>
      </c>
      <c r="AF1674" s="14">
        <v>8.8000000000000007</v>
      </c>
      <c r="AH1674" s="14">
        <v>50.007142857142853</v>
      </c>
      <c r="AI1674" s="13">
        <v>239.33952380952383</v>
      </c>
      <c r="AK1674" s="9">
        <v>440</v>
      </c>
    </row>
    <row r="1675" spans="1:37">
      <c r="A1675" s="9">
        <v>20</v>
      </c>
      <c r="B1675" s="9">
        <v>2024</v>
      </c>
      <c r="C1675" s="9" t="s">
        <v>46</v>
      </c>
      <c r="D1675" s="9" t="s">
        <v>47</v>
      </c>
      <c r="E1675" s="9" t="s">
        <v>47</v>
      </c>
      <c r="F1675" s="10">
        <v>45428</v>
      </c>
      <c r="G1675" s="9" t="s">
        <v>155</v>
      </c>
      <c r="H1675" s="9" t="s">
        <v>51</v>
      </c>
      <c r="I1675" s="9">
        <v>1</v>
      </c>
      <c r="J1675" s="9">
        <v>12</v>
      </c>
      <c r="K1675" s="9">
        <v>520</v>
      </c>
      <c r="L1675" s="9">
        <v>0.38</v>
      </c>
      <c r="M1675" s="9">
        <v>197.6</v>
      </c>
      <c r="N1675" s="9" t="s">
        <v>49</v>
      </c>
      <c r="Q1675" s="9">
        <f>IF(Auction_Sales[[#This Row],[Payment Date]]=0,"",-1+WEEKNUM(Auction_Sales[[#This Row],[Payment Date]]))</f>
        <v>21</v>
      </c>
      <c r="R1675" s="9">
        <v>0</v>
      </c>
      <c r="S1675" s="9" t="s">
        <v>155</v>
      </c>
      <c r="T1675" s="9" t="s">
        <v>51</v>
      </c>
      <c r="U1675" s="9">
        <v>520</v>
      </c>
      <c r="V1675" s="13">
        <v>0.80384615384615388</v>
      </c>
      <c r="W1675" s="13">
        <v>418</v>
      </c>
      <c r="X1675" s="14">
        <v>-25.826666666666643</v>
      </c>
      <c r="Y1675" s="13">
        <v>392.17333333333335</v>
      </c>
      <c r="Z1675" s="10">
        <v>45441</v>
      </c>
      <c r="AA1675" s="9">
        <v>0</v>
      </c>
      <c r="AC1675" s="9">
        <v>440948</v>
      </c>
      <c r="AD1675" s="14">
        <v>41.207142857142856</v>
      </c>
      <c r="AF1675" s="14">
        <v>10.4</v>
      </c>
      <c r="AH1675" s="14">
        <v>51.607142857142854</v>
      </c>
      <c r="AI1675" s="13">
        <v>340.56619047619051</v>
      </c>
      <c r="AK1675" s="9">
        <v>520</v>
      </c>
    </row>
    <row r="1676" spans="1:37">
      <c r="A1676" s="9">
        <v>20</v>
      </c>
      <c r="B1676" s="9">
        <v>2024</v>
      </c>
      <c r="C1676" s="9" t="s">
        <v>46</v>
      </c>
      <c r="D1676" s="9" t="s">
        <v>47</v>
      </c>
      <c r="E1676" s="9" t="s">
        <v>47</v>
      </c>
      <c r="F1676" s="10">
        <v>45428</v>
      </c>
      <c r="G1676" s="9" t="s">
        <v>154</v>
      </c>
      <c r="H1676" s="9" t="s">
        <v>54</v>
      </c>
      <c r="I1676" s="9">
        <v>1</v>
      </c>
      <c r="J1676" s="9">
        <v>6</v>
      </c>
      <c r="K1676" s="9">
        <v>120</v>
      </c>
      <c r="L1676" s="9">
        <v>0.56999999999999995</v>
      </c>
      <c r="M1676" s="9">
        <v>68.400000000000006</v>
      </c>
      <c r="N1676" s="9" t="s">
        <v>49</v>
      </c>
      <c r="Q1676" s="9">
        <f>IF(Auction_Sales[[#This Row],[Payment Date]]=0,"",-1+WEEKNUM(Auction_Sales[[#This Row],[Payment Date]]))</f>
        <v>21</v>
      </c>
      <c r="R1676" s="9">
        <v>0</v>
      </c>
      <c r="S1676" s="9" t="s">
        <v>154</v>
      </c>
      <c r="T1676" s="9" t="s">
        <v>54</v>
      </c>
      <c r="U1676" s="9">
        <v>120</v>
      </c>
      <c r="V1676" s="13">
        <v>0.87</v>
      </c>
      <c r="W1676" s="13">
        <v>104.4</v>
      </c>
      <c r="X1676" s="14">
        <v>-5.9599999999999937</v>
      </c>
      <c r="Y1676" s="13">
        <v>98.440000000000012</v>
      </c>
      <c r="Z1676" s="10">
        <v>45441</v>
      </c>
      <c r="AA1676" s="9">
        <v>0</v>
      </c>
      <c r="AC1676" s="9">
        <v>440948</v>
      </c>
      <c r="AD1676" s="14">
        <v>20.603571428571428</v>
      </c>
      <c r="AF1676" s="14">
        <v>2.4</v>
      </c>
      <c r="AH1676" s="14">
        <v>23.003571428571426</v>
      </c>
      <c r="AI1676" s="13">
        <v>75.436428571428593</v>
      </c>
      <c r="AK1676" s="9">
        <v>120</v>
      </c>
    </row>
    <row r="1677" spans="1:37">
      <c r="A1677" s="9">
        <v>20</v>
      </c>
      <c r="B1677" s="9">
        <v>2024</v>
      </c>
      <c r="C1677" s="9" t="s">
        <v>46</v>
      </c>
      <c r="D1677" s="9" t="s">
        <v>47</v>
      </c>
      <c r="E1677" s="9" t="s">
        <v>47</v>
      </c>
      <c r="F1677" s="10">
        <v>45428</v>
      </c>
      <c r="G1677" s="9" t="s">
        <v>154</v>
      </c>
      <c r="H1677" s="9" t="s">
        <v>56</v>
      </c>
      <c r="J1677" s="9">
        <v>6</v>
      </c>
      <c r="K1677" s="9">
        <v>120</v>
      </c>
      <c r="L1677" s="9">
        <v>0.75</v>
      </c>
      <c r="M1677" s="9">
        <v>90</v>
      </c>
      <c r="N1677" s="9" t="s">
        <v>49</v>
      </c>
      <c r="Q1677" s="9">
        <f>IF(Auction_Sales[[#This Row],[Payment Date]]=0,"",-1+WEEKNUM(Auction_Sales[[#This Row],[Payment Date]]))</f>
        <v>21</v>
      </c>
      <c r="R1677" s="9">
        <v>0</v>
      </c>
      <c r="S1677" s="9" t="s">
        <v>154</v>
      </c>
      <c r="T1677" s="9" t="s">
        <v>56</v>
      </c>
      <c r="U1677" s="9">
        <v>120</v>
      </c>
      <c r="V1677" s="13">
        <v>0.85</v>
      </c>
      <c r="W1677" s="13">
        <v>102</v>
      </c>
      <c r="X1677" s="14">
        <v>-5.9599999999999937</v>
      </c>
      <c r="Y1677" s="13">
        <v>96.04</v>
      </c>
      <c r="Z1677" s="10">
        <v>45441</v>
      </c>
      <c r="AA1677" s="9">
        <v>0</v>
      </c>
      <c r="AC1677" s="9">
        <v>440948</v>
      </c>
      <c r="AD1677" s="14">
        <v>20.603571428571428</v>
      </c>
      <c r="AF1677" s="14">
        <v>2.4</v>
      </c>
      <c r="AH1677" s="14">
        <v>23.003571428571426</v>
      </c>
      <c r="AI1677" s="13">
        <v>73.036428571428587</v>
      </c>
      <c r="AK1677" s="9">
        <v>120</v>
      </c>
    </row>
    <row r="1678" spans="1:37">
      <c r="A1678" s="9">
        <v>20</v>
      </c>
      <c r="B1678" s="9">
        <v>2024</v>
      </c>
      <c r="C1678" s="9" t="s">
        <v>46</v>
      </c>
      <c r="D1678" s="9" t="s">
        <v>47</v>
      </c>
      <c r="E1678" s="9" t="s">
        <v>47</v>
      </c>
      <c r="F1678" s="10">
        <v>45428</v>
      </c>
      <c r="G1678" s="9" t="s">
        <v>156</v>
      </c>
      <c r="H1678" s="9" t="s">
        <v>51</v>
      </c>
      <c r="I1678" s="9">
        <v>1</v>
      </c>
      <c r="J1678" s="9">
        <v>3.5999999999999996</v>
      </c>
      <c r="K1678" s="9">
        <v>120</v>
      </c>
      <c r="L1678" s="9">
        <v>0.42</v>
      </c>
      <c r="M1678" s="9">
        <v>50.4</v>
      </c>
      <c r="N1678" s="9" t="s">
        <v>49</v>
      </c>
      <c r="Q1678" s="9">
        <f>IF(Auction_Sales[[#This Row],[Payment Date]]=0,"",-1+WEEKNUM(Auction_Sales[[#This Row],[Payment Date]]))</f>
        <v>21</v>
      </c>
      <c r="R1678" s="9">
        <v>0</v>
      </c>
      <c r="S1678" s="9" t="s">
        <v>156</v>
      </c>
      <c r="T1678" s="9" t="s">
        <v>51</v>
      </c>
      <c r="U1678" s="9">
        <v>120</v>
      </c>
      <c r="V1678" s="13">
        <v>0.51666666666666672</v>
      </c>
      <c r="W1678" s="13">
        <v>62.000000000000007</v>
      </c>
      <c r="X1678" s="14">
        <v>-5.9599999999999937</v>
      </c>
      <c r="Y1678" s="13">
        <v>56.040000000000013</v>
      </c>
      <c r="Z1678" s="10">
        <v>45441</v>
      </c>
      <c r="AA1678" s="9">
        <v>0</v>
      </c>
      <c r="AC1678" s="9">
        <v>440948</v>
      </c>
      <c r="AD1678" s="14">
        <v>12.362142857142855</v>
      </c>
      <c r="AF1678" s="14">
        <v>2.4</v>
      </c>
      <c r="AH1678" s="14">
        <v>14.762142857142855</v>
      </c>
      <c r="AI1678" s="13">
        <v>41.277857142857158</v>
      </c>
      <c r="AK1678" s="9">
        <v>120</v>
      </c>
    </row>
    <row r="1679" spans="1:37">
      <c r="A1679" s="9">
        <v>20</v>
      </c>
      <c r="B1679" s="9">
        <v>2024</v>
      </c>
      <c r="C1679" s="9" t="s">
        <v>46</v>
      </c>
      <c r="D1679" s="9" t="s">
        <v>47</v>
      </c>
      <c r="E1679" s="9" t="s">
        <v>47</v>
      </c>
      <c r="F1679" s="10">
        <v>45428</v>
      </c>
      <c r="G1679" s="9" t="s">
        <v>156</v>
      </c>
      <c r="H1679" s="9" t="s">
        <v>48</v>
      </c>
      <c r="J1679" s="9">
        <v>8.3999999999999986</v>
      </c>
      <c r="K1679" s="9">
        <v>280</v>
      </c>
      <c r="L1679" s="9">
        <v>0.52</v>
      </c>
      <c r="M1679" s="9">
        <v>145.6</v>
      </c>
      <c r="N1679" s="9" t="s">
        <v>49</v>
      </c>
      <c r="Q1679" s="9">
        <f>IF(Auction_Sales[[#This Row],[Payment Date]]=0,"",-1+WEEKNUM(Auction_Sales[[#This Row],[Payment Date]]))</f>
        <v>21</v>
      </c>
      <c r="R1679" s="9">
        <v>0</v>
      </c>
      <c r="S1679" s="9" t="s">
        <v>156</v>
      </c>
      <c r="T1679" s="9" t="s">
        <v>48</v>
      </c>
      <c r="U1679" s="9">
        <v>280</v>
      </c>
      <c r="V1679" s="13">
        <v>0.66714285714285715</v>
      </c>
      <c r="W1679" s="13">
        <v>186.8</v>
      </c>
      <c r="X1679" s="14">
        <v>-13.906666666666652</v>
      </c>
      <c r="Y1679" s="13">
        <v>172.89333333333337</v>
      </c>
      <c r="Z1679" s="10">
        <v>45441</v>
      </c>
      <c r="AA1679" s="9">
        <v>0</v>
      </c>
      <c r="AC1679" s="9">
        <v>440948</v>
      </c>
      <c r="AD1679" s="14">
        <v>28.844999999999992</v>
      </c>
      <c r="AF1679" s="14">
        <v>5.6000000000000005</v>
      </c>
      <c r="AH1679" s="14">
        <v>34.444999999999993</v>
      </c>
      <c r="AI1679" s="13">
        <v>138.44833333333338</v>
      </c>
      <c r="AK1679" s="9">
        <v>280</v>
      </c>
    </row>
    <row r="1680" spans="1:37">
      <c r="A1680" s="9">
        <v>20</v>
      </c>
      <c r="B1680" s="9">
        <v>2024</v>
      </c>
      <c r="C1680" s="9" t="s">
        <v>46</v>
      </c>
      <c r="D1680" s="9" t="s">
        <v>47</v>
      </c>
      <c r="E1680" s="9" t="s">
        <v>47</v>
      </c>
      <c r="F1680" s="10">
        <v>45428</v>
      </c>
      <c r="G1680" s="9" t="s">
        <v>153</v>
      </c>
      <c r="H1680" s="9" t="s">
        <v>48</v>
      </c>
      <c r="I1680" s="9">
        <v>1</v>
      </c>
      <c r="J1680" s="9">
        <v>10.153846153846153</v>
      </c>
      <c r="K1680" s="9">
        <v>440</v>
      </c>
      <c r="L1680" s="9">
        <v>0.24</v>
      </c>
      <c r="M1680" s="9">
        <v>105.6</v>
      </c>
      <c r="N1680" s="9" t="s">
        <v>49</v>
      </c>
      <c r="Q1680" s="9">
        <f>IF(Auction_Sales[[#This Row],[Payment Date]]=0,"",-1+WEEKNUM(Auction_Sales[[#This Row],[Payment Date]]))</f>
        <v>21</v>
      </c>
      <c r="R1680" s="9">
        <v>0</v>
      </c>
      <c r="S1680" s="9" t="s">
        <v>153</v>
      </c>
      <c r="T1680" s="9" t="s">
        <v>48</v>
      </c>
      <c r="U1680" s="9">
        <v>440</v>
      </c>
      <c r="V1680" s="13">
        <v>0.37000000000000005</v>
      </c>
      <c r="W1680" s="13">
        <v>162.80000000000001</v>
      </c>
      <c r="X1680" s="14">
        <v>-21.85333333333331</v>
      </c>
      <c r="Y1680" s="13">
        <v>140.94666666666672</v>
      </c>
      <c r="Z1680" s="10">
        <v>45441</v>
      </c>
      <c r="AA1680" s="9">
        <v>0</v>
      </c>
      <c r="AC1680" s="9">
        <v>440948</v>
      </c>
      <c r="AD1680" s="14">
        <v>34.867582417582412</v>
      </c>
      <c r="AF1680" s="14">
        <v>8.8000000000000007</v>
      </c>
      <c r="AH1680" s="14">
        <v>43.667582417582409</v>
      </c>
      <c r="AI1680" s="13">
        <v>97.279084249084306</v>
      </c>
      <c r="AK1680" s="9">
        <v>440</v>
      </c>
    </row>
    <row r="1681" spans="1:37">
      <c r="A1681" s="9">
        <v>20</v>
      </c>
      <c r="B1681" s="9">
        <v>2024</v>
      </c>
      <c r="C1681" s="9" t="s">
        <v>46</v>
      </c>
      <c r="D1681" s="9" t="s">
        <v>47</v>
      </c>
      <c r="E1681" s="9" t="s">
        <v>47</v>
      </c>
      <c r="F1681" s="10">
        <v>45428</v>
      </c>
      <c r="G1681" s="9" t="s">
        <v>153</v>
      </c>
      <c r="H1681" s="9" t="s">
        <v>52</v>
      </c>
      <c r="J1681" s="9">
        <v>1.8461538461538463</v>
      </c>
      <c r="K1681" s="9">
        <v>80</v>
      </c>
      <c r="L1681" s="9">
        <v>0.28000000000000003</v>
      </c>
      <c r="M1681" s="9">
        <v>22.4</v>
      </c>
      <c r="N1681" s="9" t="s">
        <v>49</v>
      </c>
      <c r="Q1681" s="9">
        <f>IF(Auction_Sales[[#This Row],[Payment Date]]=0,"",-1+WEEKNUM(Auction_Sales[[#This Row],[Payment Date]]))</f>
        <v>21</v>
      </c>
      <c r="R1681" s="9">
        <v>0</v>
      </c>
      <c r="S1681" s="9" t="s">
        <v>153</v>
      </c>
      <c r="T1681" s="9" t="s">
        <v>52</v>
      </c>
      <c r="U1681" s="9">
        <v>80</v>
      </c>
      <c r="V1681" s="13">
        <v>0.48</v>
      </c>
      <c r="W1681" s="13">
        <v>38.4</v>
      </c>
      <c r="X1681" s="14">
        <v>-3.9733333333333296</v>
      </c>
      <c r="Y1681" s="13">
        <v>34.426666666666669</v>
      </c>
      <c r="Z1681" s="10">
        <v>45441</v>
      </c>
      <c r="AA1681" s="9">
        <v>0</v>
      </c>
      <c r="AC1681" s="9">
        <v>440948</v>
      </c>
      <c r="AD1681" s="14">
        <v>6.3395604395604401</v>
      </c>
      <c r="AF1681" s="14">
        <v>1.6</v>
      </c>
      <c r="AH1681" s="14">
        <v>7.9395604395604398</v>
      </c>
      <c r="AI1681" s="13">
        <v>26.487106227106231</v>
      </c>
      <c r="AK1681" s="9">
        <v>80</v>
      </c>
    </row>
    <row r="1682" spans="1:37">
      <c r="A1682" s="9">
        <v>20</v>
      </c>
      <c r="B1682" s="9">
        <v>2024</v>
      </c>
      <c r="C1682" s="9" t="s">
        <v>46</v>
      </c>
      <c r="D1682" s="9" t="s">
        <v>47</v>
      </c>
      <c r="E1682" s="9" t="s">
        <v>47</v>
      </c>
      <c r="F1682" s="10">
        <v>45428</v>
      </c>
      <c r="G1682" s="9" t="s">
        <v>153</v>
      </c>
      <c r="H1682" s="9" t="s">
        <v>51</v>
      </c>
      <c r="I1682" s="9">
        <v>1</v>
      </c>
      <c r="J1682" s="9">
        <v>9.75</v>
      </c>
      <c r="K1682" s="9">
        <v>520</v>
      </c>
      <c r="L1682" s="9">
        <v>0.14000000000000001</v>
      </c>
      <c r="M1682" s="9">
        <v>72.8</v>
      </c>
      <c r="N1682" s="9" t="s">
        <v>49</v>
      </c>
      <c r="Q1682" s="9">
        <f>IF(Auction_Sales[[#This Row],[Payment Date]]=0,"",-1+WEEKNUM(Auction_Sales[[#This Row],[Payment Date]]))</f>
        <v>21</v>
      </c>
      <c r="R1682" s="9">
        <v>0</v>
      </c>
      <c r="S1682" s="9" t="s">
        <v>153</v>
      </c>
      <c r="T1682" s="9" t="s">
        <v>51</v>
      </c>
      <c r="U1682" s="9">
        <v>520</v>
      </c>
      <c r="V1682" s="13">
        <v>0.31</v>
      </c>
      <c r="W1682" s="13">
        <v>161.19999999999999</v>
      </c>
      <c r="X1682" s="14">
        <v>-25.826666666666643</v>
      </c>
      <c r="Y1682" s="13">
        <v>135.37333333333333</v>
      </c>
      <c r="Z1682" s="10">
        <v>45441</v>
      </c>
      <c r="AA1682" s="9">
        <v>0</v>
      </c>
      <c r="AC1682" s="9">
        <v>440948</v>
      </c>
      <c r="AD1682" s="14">
        <v>33.480803571428574</v>
      </c>
      <c r="AF1682" s="14">
        <v>10.4</v>
      </c>
      <c r="AH1682" s="14">
        <v>43.880803571428572</v>
      </c>
      <c r="AI1682" s="13">
        <v>91.492529761904763</v>
      </c>
      <c r="AK1682" s="9">
        <v>520</v>
      </c>
    </row>
    <row r="1683" spans="1:37">
      <c r="A1683" s="9">
        <v>20</v>
      </c>
      <c r="B1683" s="9">
        <v>2024</v>
      </c>
      <c r="C1683" s="9" t="s">
        <v>46</v>
      </c>
      <c r="D1683" s="9" t="s">
        <v>47</v>
      </c>
      <c r="E1683" s="9" t="s">
        <v>47</v>
      </c>
      <c r="F1683" s="10">
        <v>45428</v>
      </c>
      <c r="G1683" s="9" t="s">
        <v>153</v>
      </c>
      <c r="H1683" s="9" t="s">
        <v>57</v>
      </c>
      <c r="J1683" s="9">
        <v>2.25</v>
      </c>
      <c r="K1683" s="9">
        <v>120</v>
      </c>
      <c r="L1683" s="9">
        <v>0.47</v>
      </c>
      <c r="M1683" s="9">
        <v>56.4</v>
      </c>
      <c r="N1683" s="9" t="s">
        <v>49</v>
      </c>
      <c r="Q1683" s="9">
        <f>IF(Auction_Sales[[#This Row],[Payment Date]]=0,"",-1+WEEKNUM(Auction_Sales[[#This Row],[Payment Date]]))</f>
        <v>21</v>
      </c>
      <c r="R1683" s="9">
        <v>0</v>
      </c>
      <c r="S1683" s="9" t="s">
        <v>153</v>
      </c>
      <c r="T1683" s="9" t="s">
        <v>57</v>
      </c>
      <c r="U1683" s="9">
        <v>120</v>
      </c>
      <c r="V1683" s="13">
        <v>0.61333333333333329</v>
      </c>
      <c r="W1683" s="13">
        <v>73.599999999999994</v>
      </c>
      <c r="X1683" s="14">
        <v>-5.9599999999999937</v>
      </c>
      <c r="Y1683" s="13">
        <v>67.64</v>
      </c>
      <c r="Z1683" s="10">
        <v>45441</v>
      </c>
      <c r="AA1683" s="9">
        <v>0</v>
      </c>
      <c r="AC1683" s="9">
        <v>440948</v>
      </c>
      <c r="AD1683" s="14">
        <v>7.7263392857142854</v>
      </c>
      <c r="AF1683" s="14">
        <v>2.4</v>
      </c>
      <c r="AH1683" s="14">
        <v>10.126339285714286</v>
      </c>
      <c r="AI1683" s="13">
        <v>57.513660714285713</v>
      </c>
      <c r="AK1683" s="9">
        <v>120</v>
      </c>
    </row>
    <row r="1684" spans="1:37">
      <c r="A1684" s="9">
        <v>20</v>
      </c>
      <c r="B1684" s="9">
        <v>2024</v>
      </c>
      <c r="C1684" s="9" t="s">
        <v>46</v>
      </c>
      <c r="D1684" s="9" t="s">
        <v>47</v>
      </c>
      <c r="E1684" s="9" t="s">
        <v>47</v>
      </c>
      <c r="F1684" s="10">
        <v>45428</v>
      </c>
      <c r="G1684" s="9" t="s">
        <v>153</v>
      </c>
      <c r="H1684" s="9" t="s">
        <v>54</v>
      </c>
      <c r="I1684" s="9">
        <v>1</v>
      </c>
      <c r="J1684" s="9">
        <v>7</v>
      </c>
      <c r="K1684" s="9">
        <v>280</v>
      </c>
      <c r="L1684" s="9">
        <v>0.33</v>
      </c>
      <c r="M1684" s="9">
        <v>92.4</v>
      </c>
      <c r="N1684" s="9" t="s">
        <v>49</v>
      </c>
      <c r="Q1684" s="9">
        <f>IF(Auction_Sales[[#This Row],[Payment Date]]=0,"",-1+WEEKNUM(Auction_Sales[[#This Row],[Payment Date]]))</f>
        <v>21</v>
      </c>
      <c r="R1684" s="9">
        <v>0</v>
      </c>
      <c r="S1684" s="9" t="s">
        <v>153</v>
      </c>
      <c r="T1684" s="9" t="s">
        <v>54</v>
      </c>
      <c r="U1684" s="9">
        <v>280</v>
      </c>
      <c r="V1684" s="13">
        <v>0.60857142857142854</v>
      </c>
      <c r="W1684" s="13">
        <v>170.39999999999998</v>
      </c>
      <c r="X1684" s="14">
        <v>-13.906666666666652</v>
      </c>
      <c r="Y1684" s="13">
        <v>156.49333333333334</v>
      </c>
      <c r="Z1684" s="10">
        <v>45441</v>
      </c>
      <c r="AA1684" s="9">
        <v>0</v>
      </c>
      <c r="AC1684" s="9">
        <v>440948</v>
      </c>
      <c r="AD1684" s="14">
        <v>24.037499999999998</v>
      </c>
      <c r="AF1684" s="14">
        <v>5.6000000000000005</v>
      </c>
      <c r="AH1684" s="14">
        <v>29.637499999999999</v>
      </c>
      <c r="AI1684" s="13">
        <v>126.85583333333334</v>
      </c>
      <c r="AK1684" s="9">
        <v>280</v>
      </c>
    </row>
    <row r="1685" spans="1:37">
      <c r="A1685" s="9">
        <v>20</v>
      </c>
      <c r="B1685" s="9">
        <v>2024</v>
      </c>
      <c r="C1685" s="9" t="s">
        <v>46</v>
      </c>
      <c r="D1685" s="9" t="s">
        <v>47</v>
      </c>
      <c r="E1685" s="9" t="s">
        <v>47</v>
      </c>
      <c r="F1685" s="10">
        <v>45428</v>
      </c>
      <c r="G1685" s="9" t="s">
        <v>153</v>
      </c>
      <c r="H1685" s="9" t="s">
        <v>56</v>
      </c>
      <c r="J1685" s="9">
        <v>5</v>
      </c>
      <c r="K1685" s="9">
        <v>200</v>
      </c>
      <c r="L1685" s="9">
        <v>0.38</v>
      </c>
      <c r="M1685" s="9">
        <v>76</v>
      </c>
      <c r="N1685" s="9" t="s">
        <v>49</v>
      </c>
      <c r="Q1685" s="9">
        <f>IF(Auction_Sales[[#This Row],[Payment Date]]=0,"",-1+WEEKNUM(Auction_Sales[[#This Row],[Payment Date]]))</f>
        <v>21</v>
      </c>
      <c r="R1685" s="9">
        <v>0</v>
      </c>
      <c r="S1685" s="9" t="s">
        <v>153</v>
      </c>
      <c r="T1685" s="9" t="s">
        <v>56</v>
      </c>
      <c r="U1685" s="9">
        <v>200</v>
      </c>
      <c r="V1685" s="13">
        <v>0.53</v>
      </c>
      <c r="W1685" s="13">
        <v>106</v>
      </c>
      <c r="X1685" s="14">
        <v>-9.9333333333333247</v>
      </c>
      <c r="Y1685" s="13">
        <v>96.066666666666677</v>
      </c>
      <c r="Z1685" s="10">
        <v>45441</v>
      </c>
      <c r="AA1685" s="9">
        <v>0</v>
      </c>
      <c r="AC1685" s="9">
        <v>440948</v>
      </c>
      <c r="AD1685" s="14">
        <v>17.169642857142854</v>
      </c>
      <c r="AF1685" s="14">
        <v>4</v>
      </c>
      <c r="AH1685" s="14">
        <v>21.169642857142854</v>
      </c>
      <c r="AI1685" s="13">
        <v>74.89702380952383</v>
      </c>
      <c r="AK1685" s="9">
        <v>200</v>
      </c>
    </row>
    <row r="1686" spans="1:37">
      <c r="A1686" s="9">
        <v>21</v>
      </c>
      <c r="B1686" s="9">
        <v>2024</v>
      </c>
      <c r="C1686" s="9" t="s">
        <v>46</v>
      </c>
      <c r="D1686" s="9" t="s">
        <v>47</v>
      </c>
      <c r="E1686" s="9" t="s">
        <v>47</v>
      </c>
      <c r="F1686" s="10">
        <v>45430</v>
      </c>
      <c r="G1686" s="9" t="s">
        <v>156</v>
      </c>
      <c r="H1686" s="9" t="s">
        <v>51</v>
      </c>
      <c r="I1686" s="9">
        <v>1</v>
      </c>
      <c r="J1686" s="9">
        <v>4</v>
      </c>
      <c r="K1686" s="9">
        <v>120</v>
      </c>
      <c r="L1686" s="9">
        <v>0.42</v>
      </c>
      <c r="M1686" s="9">
        <v>50.4</v>
      </c>
      <c r="N1686" s="9" t="s">
        <v>49</v>
      </c>
      <c r="Q1686" s="9">
        <f>IF(Auction_Sales[[#This Row],[Payment Date]]=0,"",-1+WEEKNUM(Auction_Sales[[#This Row],[Payment Date]]))</f>
        <v>21</v>
      </c>
      <c r="R1686" s="9">
        <v>0</v>
      </c>
      <c r="S1686" s="9" t="s">
        <v>156</v>
      </c>
      <c r="T1686" s="9" t="s">
        <v>51</v>
      </c>
      <c r="U1686" s="9">
        <v>120</v>
      </c>
      <c r="V1686" s="13">
        <v>0.25</v>
      </c>
      <c r="W1686" s="13">
        <v>30</v>
      </c>
      <c r="X1686" s="14">
        <v>-5.0126865671641765</v>
      </c>
      <c r="Y1686" s="13">
        <v>24.987313432835823</v>
      </c>
      <c r="Z1686" s="10">
        <v>45441</v>
      </c>
      <c r="AA1686" s="9">
        <v>0</v>
      </c>
      <c r="AC1686" s="9">
        <v>440954</v>
      </c>
      <c r="AD1686" s="14">
        <v>14.604999999999999</v>
      </c>
      <c r="AF1686" s="14">
        <v>2.4</v>
      </c>
      <c r="AH1686" s="14">
        <v>17.004999999999999</v>
      </c>
      <c r="AI1686" s="13">
        <v>7.9823134328358236</v>
      </c>
      <c r="AK1686" s="9">
        <v>120</v>
      </c>
    </row>
    <row r="1687" spans="1:37">
      <c r="A1687" s="9">
        <v>21</v>
      </c>
      <c r="B1687" s="9">
        <v>2024</v>
      </c>
      <c r="C1687" s="9" t="s">
        <v>46</v>
      </c>
      <c r="D1687" s="9" t="s">
        <v>47</v>
      </c>
      <c r="E1687" s="9" t="s">
        <v>47</v>
      </c>
      <c r="F1687" s="10">
        <v>45430</v>
      </c>
      <c r="G1687" s="9" t="s">
        <v>156</v>
      </c>
      <c r="H1687" s="9" t="s">
        <v>48</v>
      </c>
      <c r="J1687" s="9">
        <v>8</v>
      </c>
      <c r="K1687" s="9">
        <v>240</v>
      </c>
      <c r="L1687" s="9">
        <v>0.52</v>
      </c>
      <c r="M1687" s="9">
        <v>124.8</v>
      </c>
      <c r="N1687" s="9" t="s">
        <v>49</v>
      </c>
      <c r="Q1687" s="9">
        <f>IF(Auction_Sales[[#This Row],[Payment Date]]=0,"",-1+WEEKNUM(Auction_Sales[[#This Row],[Payment Date]]))</f>
        <v>21</v>
      </c>
      <c r="R1687" s="9">
        <v>0</v>
      </c>
      <c r="S1687" s="9" t="s">
        <v>156</v>
      </c>
      <c r="T1687" s="9" t="s">
        <v>48</v>
      </c>
      <c r="U1687" s="9">
        <v>240</v>
      </c>
      <c r="V1687" s="13">
        <v>0.31</v>
      </c>
      <c r="W1687" s="13">
        <v>74.400000000000006</v>
      </c>
      <c r="X1687" s="14">
        <v>-10.025373134328353</v>
      </c>
      <c r="Y1687" s="13">
        <v>64.374626865671658</v>
      </c>
      <c r="Z1687" s="10">
        <v>45441</v>
      </c>
      <c r="AA1687" s="9">
        <v>0</v>
      </c>
      <c r="AC1687" s="9">
        <v>440954</v>
      </c>
      <c r="AD1687" s="14">
        <v>29.209999999999997</v>
      </c>
      <c r="AF1687" s="14">
        <v>4.8</v>
      </c>
      <c r="AH1687" s="14">
        <v>34.01</v>
      </c>
      <c r="AI1687" s="13">
        <v>30.36462686567166</v>
      </c>
      <c r="AK1687" s="9">
        <v>240</v>
      </c>
    </row>
    <row r="1688" spans="1:37">
      <c r="A1688" s="9">
        <v>21</v>
      </c>
      <c r="B1688" s="9">
        <v>2024</v>
      </c>
      <c r="C1688" s="9" t="s">
        <v>46</v>
      </c>
      <c r="D1688" s="9" t="s">
        <v>47</v>
      </c>
      <c r="E1688" s="9" t="s">
        <v>47</v>
      </c>
      <c r="F1688" s="10">
        <v>45430</v>
      </c>
      <c r="G1688" s="9" t="s">
        <v>153</v>
      </c>
      <c r="H1688" s="9" t="s">
        <v>52</v>
      </c>
      <c r="I1688" s="9">
        <v>1</v>
      </c>
      <c r="J1688" s="9">
        <v>12</v>
      </c>
      <c r="K1688" s="9">
        <v>400</v>
      </c>
      <c r="L1688" s="9">
        <v>0.28000000000000003</v>
      </c>
      <c r="M1688" s="9">
        <v>112</v>
      </c>
      <c r="N1688" s="9" t="s">
        <v>49</v>
      </c>
      <c r="Q1688" s="9">
        <f>IF(Auction_Sales[[#This Row],[Payment Date]]=0,"",-1+WEEKNUM(Auction_Sales[[#This Row],[Payment Date]]))</f>
        <v>21</v>
      </c>
      <c r="R1688" s="9">
        <v>-160</v>
      </c>
      <c r="S1688" s="9" t="s">
        <v>153</v>
      </c>
      <c r="T1688" s="9" t="s">
        <v>52</v>
      </c>
      <c r="U1688" s="9">
        <v>560</v>
      </c>
      <c r="V1688" s="13">
        <v>0.38357142857142862</v>
      </c>
      <c r="W1688" s="13">
        <v>214.80000000000004</v>
      </c>
      <c r="X1688" s="14">
        <v>-23.392537313432822</v>
      </c>
      <c r="Y1688" s="13">
        <v>191.40746268656721</v>
      </c>
      <c r="Z1688" s="10">
        <v>45441</v>
      </c>
      <c r="AA1688" s="9">
        <v>160</v>
      </c>
      <c r="AC1688" s="9">
        <v>440954</v>
      </c>
      <c r="AD1688" s="14">
        <v>43.814999999999998</v>
      </c>
      <c r="AF1688" s="14">
        <v>11.200000000000001</v>
      </c>
      <c r="AH1688" s="14">
        <v>55.015000000000001</v>
      </c>
      <c r="AI1688" s="13">
        <v>136.39246268656723</v>
      </c>
      <c r="AK1688" s="9">
        <v>560</v>
      </c>
    </row>
    <row r="1689" spans="1:37">
      <c r="A1689" s="9">
        <v>21</v>
      </c>
      <c r="B1689" s="9">
        <v>2024</v>
      </c>
      <c r="C1689" s="9" t="s">
        <v>46</v>
      </c>
      <c r="D1689" s="9" t="s">
        <v>47</v>
      </c>
      <c r="E1689" s="9" t="s">
        <v>47</v>
      </c>
      <c r="F1689" s="10">
        <v>45430</v>
      </c>
      <c r="G1689" s="9" t="s">
        <v>153</v>
      </c>
      <c r="H1689" s="9" t="s">
        <v>54</v>
      </c>
      <c r="I1689" s="9">
        <v>1</v>
      </c>
      <c r="J1689" s="9">
        <v>12</v>
      </c>
      <c r="K1689" s="9">
        <v>400</v>
      </c>
      <c r="L1689" s="9">
        <v>0.33</v>
      </c>
      <c r="M1689" s="9">
        <v>132</v>
      </c>
      <c r="N1689" s="9" t="s">
        <v>49</v>
      </c>
      <c r="Q1689" s="9">
        <f>IF(Auction_Sales[[#This Row],[Payment Date]]=0,"",-1+WEEKNUM(Auction_Sales[[#This Row],[Payment Date]]))</f>
        <v>21</v>
      </c>
      <c r="R1689" s="9">
        <v>400</v>
      </c>
      <c r="S1689" s="9" t="s">
        <v>153</v>
      </c>
      <c r="T1689" s="9" t="s">
        <v>54</v>
      </c>
      <c r="W1689" s="13">
        <v>0</v>
      </c>
      <c r="X1689" s="14">
        <v>0</v>
      </c>
      <c r="Y1689" s="13">
        <v>0</v>
      </c>
      <c r="Z1689" s="10">
        <v>45441</v>
      </c>
      <c r="AA1689" s="9">
        <v>-400</v>
      </c>
      <c r="AC1689" s="9">
        <v>440954</v>
      </c>
      <c r="AD1689" s="14">
        <v>43.814999999999998</v>
      </c>
      <c r="AF1689" s="14">
        <v>0</v>
      </c>
      <c r="AH1689" s="14">
        <v>43.814999999999998</v>
      </c>
      <c r="AI1689" s="13">
        <v>-43.814999999999998</v>
      </c>
      <c r="AK1689" s="9">
        <v>0</v>
      </c>
    </row>
    <row r="1690" spans="1:37">
      <c r="A1690" s="9">
        <v>21</v>
      </c>
      <c r="B1690" s="9">
        <v>2024</v>
      </c>
      <c r="C1690" s="9" t="s">
        <v>46</v>
      </c>
      <c r="D1690" s="9" t="s">
        <v>47</v>
      </c>
      <c r="E1690" s="9" t="s">
        <v>47</v>
      </c>
      <c r="F1690" s="10">
        <v>45430</v>
      </c>
      <c r="G1690" s="9" t="s">
        <v>153</v>
      </c>
      <c r="H1690" s="9" t="s">
        <v>56</v>
      </c>
      <c r="I1690" s="9">
        <v>1</v>
      </c>
      <c r="J1690" s="9">
        <v>8.3999999999999986</v>
      </c>
      <c r="K1690" s="9">
        <v>280</v>
      </c>
      <c r="L1690" s="9">
        <v>0.38</v>
      </c>
      <c r="M1690" s="9">
        <v>106.4</v>
      </c>
      <c r="N1690" s="9" t="s">
        <v>49</v>
      </c>
      <c r="Q1690" s="9">
        <f>IF(Auction_Sales[[#This Row],[Payment Date]]=0,"",-1+WEEKNUM(Auction_Sales[[#This Row],[Payment Date]]))</f>
        <v>21</v>
      </c>
      <c r="R1690" s="9">
        <v>0</v>
      </c>
      <c r="S1690" s="9" t="s">
        <v>153</v>
      </c>
      <c r="T1690" s="9" t="s">
        <v>56</v>
      </c>
      <c r="U1690" s="9">
        <v>280</v>
      </c>
      <c r="V1690" s="13">
        <v>0.23</v>
      </c>
      <c r="W1690" s="13">
        <v>64.400000000000006</v>
      </c>
      <c r="X1690" s="14">
        <v>-11.696268656716411</v>
      </c>
      <c r="Y1690" s="13">
        <v>52.703731343283593</v>
      </c>
      <c r="Z1690" s="10">
        <v>45441</v>
      </c>
      <c r="AA1690" s="9">
        <v>0</v>
      </c>
      <c r="AC1690" s="9">
        <v>440954</v>
      </c>
      <c r="AD1690" s="14">
        <v>30.67049999999999</v>
      </c>
      <c r="AF1690" s="14">
        <v>5.6000000000000005</v>
      </c>
      <c r="AH1690" s="14">
        <v>36.270499999999991</v>
      </c>
      <c r="AI1690" s="13">
        <v>16.433231343283602</v>
      </c>
      <c r="AK1690" s="9">
        <v>280</v>
      </c>
    </row>
    <row r="1691" spans="1:37">
      <c r="A1691" s="9">
        <v>21</v>
      </c>
      <c r="B1691" s="9">
        <v>2024</v>
      </c>
      <c r="C1691" s="9" t="s">
        <v>46</v>
      </c>
      <c r="D1691" s="9" t="s">
        <v>47</v>
      </c>
      <c r="E1691" s="9" t="s">
        <v>47</v>
      </c>
      <c r="F1691" s="10">
        <v>45430</v>
      </c>
      <c r="G1691" s="9" t="s">
        <v>153</v>
      </c>
      <c r="H1691" s="9" t="s">
        <v>57</v>
      </c>
      <c r="J1691" s="9">
        <v>3.5999999999999996</v>
      </c>
      <c r="K1691" s="9">
        <v>120</v>
      </c>
      <c r="L1691" s="9">
        <v>0.47</v>
      </c>
      <c r="M1691" s="9">
        <v>56.4</v>
      </c>
      <c r="N1691" s="9" t="s">
        <v>49</v>
      </c>
      <c r="Q1691" s="9">
        <f>IF(Auction_Sales[[#This Row],[Payment Date]]=0,"",-1+WEEKNUM(Auction_Sales[[#This Row],[Payment Date]]))</f>
        <v>21</v>
      </c>
      <c r="R1691" s="9">
        <v>0</v>
      </c>
      <c r="S1691" s="9" t="s">
        <v>153</v>
      </c>
      <c r="T1691" s="9" t="s">
        <v>57</v>
      </c>
      <c r="U1691" s="9">
        <v>120</v>
      </c>
      <c r="V1691" s="13">
        <v>0.21666666666666667</v>
      </c>
      <c r="W1691" s="13">
        <v>26</v>
      </c>
      <c r="X1691" s="14">
        <v>-5.0126865671641765</v>
      </c>
      <c r="Y1691" s="13">
        <v>20.987313432835823</v>
      </c>
      <c r="Z1691" s="10">
        <v>45441</v>
      </c>
      <c r="AA1691" s="9">
        <v>0</v>
      </c>
      <c r="AC1691" s="9">
        <v>440954</v>
      </c>
      <c r="AD1691" s="14">
        <v>13.144499999999999</v>
      </c>
      <c r="AF1691" s="14">
        <v>2.4</v>
      </c>
      <c r="AH1691" s="14">
        <v>15.544499999999999</v>
      </c>
      <c r="AI1691" s="13">
        <v>5.4428134328358233</v>
      </c>
      <c r="AK1691" s="9">
        <v>120</v>
      </c>
    </row>
    <row r="1692" spans="1:37">
      <c r="A1692" s="9">
        <v>21</v>
      </c>
      <c r="B1692" s="9">
        <v>2024</v>
      </c>
      <c r="C1692" s="9" t="s">
        <v>46</v>
      </c>
      <c r="D1692" s="9" t="s">
        <v>47</v>
      </c>
      <c r="E1692" s="9" t="s">
        <v>47</v>
      </c>
      <c r="F1692" s="10">
        <v>45430</v>
      </c>
      <c r="G1692" s="9" t="s">
        <v>153</v>
      </c>
      <c r="H1692" s="9" t="s">
        <v>52</v>
      </c>
      <c r="I1692" s="9">
        <v>1</v>
      </c>
      <c r="J1692" s="9">
        <v>5.333333333333333</v>
      </c>
      <c r="K1692" s="9">
        <v>160</v>
      </c>
      <c r="L1692" s="9">
        <v>0.28000000000000003</v>
      </c>
      <c r="M1692" s="9">
        <v>44.8</v>
      </c>
      <c r="N1692" s="9" t="s">
        <v>49</v>
      </c>
      <c r="Q1692" s="9">
        <f>IF(Auction_Sales[[#This Row],[Payment Date]]=0,"",-1+WEEKNUM(Auction_Sales[[#This Row],[Payment Date]]))</f>
        <v>21</v>
      </c>
      <c r="R1692" s="9">
        <v>160</v>
      </c>
      <c r="S1692" s="9" t="s">
        <v>153</v>
      </c>
      <c r="T1692" s="9" t="s">
        <v>52</v>
      </c>
      <c r="W1692" s="13">
        <v>0</v>
      </c>
      <c r="X1692" s="14">
        <v>0</v>
      </c>
      <c r="Y1692" s="13">
        <v>0</v>
      </c>
      <c r="Z1692" s="10">
        <v>45441</v>
      </c>
      <c r="AA1692" s="9">
        <v>-160</v>
      </c>
      <c r="AC1692" s="9">
        <v>440954</v>
      </c>
      <c r="AD1692" s="14">
        <v>19.473333333333333</v>
      </c>
      <c r="AF1692" s="14">
        <v>0</v>
      </c>
      <c r="AH1692" s="14">
        <v>19.473333333333333</v>
      </c>
      <c r="AI1692" s="13">
        <v>-19.473333333333333</v>
      </c>
      <c r="AK1692" s="9">
        <v>0</v>
      </c>
    </row>
    <row r="1693" spans="1:37">
      <c r="A1693" s="9">
        <v>21</v>
      </c>
      <c r="B1693" s="9">
        <v>2024</v>
      </c>
      <c r="C1693" s="9" t="s">
        <v>46</v>
      </c>
      <c r="D1693" s="9" t="s">
        <v>47</v>
      </c>
      <c r="E1693" s="9" t="s">
        <v>47</v>
      </c>
      <c r="F1693" s="10">
        <v>45430</v>
      </c>
      <c r="G1693" s="9" t="s">
        <v>153</v>
      </c>
      <c r="H1693" s="9" t="s">
        <v>54</v>
      </c>
      <c r="J1693" s="9">
        <v>6.666666666666667</v>
      </c>
      <c r="K1693" s="9">
        <v>200</v>
      </c>
      <c r="L1693" s="9">
        <v>0.33</v>
      </c>
      <c r="M1693" s="9">
        <v>66</v>
      </c>
      <c r="N1693" s="9" t="s">
        <v>49</v>
      </c>
      <c r="Q1693" s="9">
        <f>IF(Auction_Sales[[#This Row],[Payment Date]]=0,"",-1+WEEKNUM(Auction_Sales[[#This Row],[Payment Date]]))</f>
        <v>21</v>
      </c>
      <c r="R1693" s="9">
        <v>-400</v>
      </c>
      <c r="S1693" s="9" t="s">
        <v>153</v>
      </c>
      <c r="T1693" s="9" t="s">
        <v>54</v>
      </c>
      <c r="U1693" s="9">
        <v>600</v>
      </c>
      <c r="V1693" s="13">
        <v>0.39</v>
      </c>
      <c r="W1693" s="13">
        <v>234</v>
      </c>
      <c r="X1693" s="14">
        <v>-25.06343283582088</v>
      </c>
      <c r="Y1693" s="13">
        <v>208.93656716417911</v>
      </c>
      <c r="Z1693" s="10">
        <v>45441</v>
      </c>
      <c r="AA1693" s="9">
        <v>400</v>
      </c>
      <c r="AC1693" s="9">
        <v>440954</v>
      </c>
      <c r="AD1693" s="14">
        <v>24.341666666666669</v>
      </c>
      <c r="AF1693" s="14">
        <v>12</v>
      </c>
      <c r="AH1693" s="14">
        <v>36.341666666666669</v>
      </c>
      <c r="AI1693" s="13">
        <v>172.59490049751244</v>
      </c>
      <c r="AK1693" s="9">
        <v>600</v>
      </c>
    </row>
    <row r="1694" spans="1:37">
      <c r="A1694" s="9">
        <v>21</v>
      </c>
      <c r="B1694" s="9">
        <v>2024</v>
      </c>
      <c r="C1694" s="9" t="s">
        <v>46</v>
      </c>
      <c r="D1694" s="9" t="s">
        <v>47</v>
      </c>
      <c r="E1694" s="9" t="s">
        <v>47</v>
      </c>
      <c r="F1694" s="10">
        <v>45430</v>
      </c>
      <c r="G1694" s="9" t="s">
        <v>155</v>
      </c>
      <c r="H1694" s="9" t="s">
        <v>51</v>
      </c>
      <c r="I1694" s="9">
        <v>1</v>
      </c>
      <c r="J1694" s="9">
        <v>12</v>
      </c>
      <c r="K1694" s="9">
        <v>760</v>
      </c>
      <c r="L1694" s="9">
        <v>0.38</v>
      </c>
      <c r="M1694" s="9">
        <v>288.8</v>
      </c>
      <c r="N1694" s="9" t="s">
        <v>49</v>
      </c>
      <c r="Q1694" s="9">
        <f>IF(Auction_Sales[[#This Row],[Payment Date]]=0,"",-1+WEEKNUM(Auction_Sales[[#This Row],[Payment Date]]))</f>
        <v>21</v>
      </c>
      <c r="R1694" s="9">
        <v>0</v>
      </c>
      <c r="S1694" s="9" t="s">
        <v>155</v>
      </c>
      <c r="T1694" s="9" t="s">
        <v>51</v>
      </c>
      <c r="U1694" s="9">
        <v>760</v>
      </c>
      <c r="V1694" s="13">
        <v>0.53947368421052633</v>
      </c>
      <c r="W1694" s="13">
        <v>410</v>
      </c>
      <c r="X1694" s="14">
        <v>-31.747014925373112</v>
      </c>
      <c r="Y1694" s="13">
        <v>378.25298507462691</v>
      </c>
      <c r="Z1694" s="10">
        <v>45441</v>
      </c>
      <c r="AA1694" s="9">
        <v>0</v>
      </c>
      <c r="AC1694" s="9">
        <v>440954</v>
      </c>
      <c r="AD1694" s="14">
        <v>43.814999999999998</v>
      </c>
      <c r="AF1694" s="14">
        <v>15.200000000000001</v>
      </c>
      <c r="AH1694" s="14">
        <v>59.015000000000001</v>
      </c>
      <c r="AI1694" s="13">
        <v>319.23798507462692</v>
      </c>
      <c r="AK1694" s="9">
        <v>760</v>
      </c>
    </row>
    <row r="1695" spans="1:37">
      <c r="A1695" s="9">
        <v>21</v>
      </c>
      <c r="B1695" s="9">
        <v>2024</v>
      </c>
      <c r="C1695" s="9" t="s">
        <v>46</v>
      </c>
      <c r="D1695" s="9" t="s">
        <v>47</v>
      </c>
      <c r="E1695" s="9" t="s">
        <v>47</v>
      </c>
      <c r="F1695" s="10">
        <v>45432</v>
      </c>
      <c r="G1695" s="9" t="s">
        <v>154</v>
      </c>
      <c r="H1695" s="9" t="s">
        <v>51</v>
      </c>
      <c r="I1695" s="9">
        <v>1</v>
      </c>
      <c r="J1695" s="9">
        <v>12</v>
      </c>
      <c r="K1695" s="9">
        <v>480</v>
      </c>
      <c r="L1695" s="9">
        <v>0.38</v>
      </c>
      <c r="M1695" s="9">
        <v>182.4</v>
      </c>
      <c r="N1695" s="9" t="s">
        <v>49</v>
      </c>
      <c r="Q1695" s="9">
        <f>IF(Auction_Sales[[#This Row],[Payment Date]]=0,"",-1+WEEKNUM(Auction_Sales[[#This Row],[Payment Date]]))</f>
        <v>21</v>
      </c>
      <c r="R1695" s="9">
        <v>-320</v>
      </c>
      <c r="S1695" s="9" t="s">
        <v>154</v>
      </c>
      <c r="T1695" s="9" t="s">
        <v>51</v>
      </c>
      <c r="U1695" s="9">
        <v>800</v>
      </c>
      <c r="V1695" s="13">
        <v>0.39</v>
      </c>
      <c r="W1695" s="13">
        <v>312</v>
      </c>
      <c r="X1695" s="14">
        <v>-31.84225352112675</v>
      </c>
      <c r="Y1695" s="13">
        <v>280.15774647887326</v>
      </c>
      <c r="Z1695" s="10">
        <v>45441</v>
      </c>
      <c r="AA1695" s="9">
        <v>320</v>
      </c>
      <c r="AC1695" s="9" t="s">
        <v>117</v>
      </c>
      <c r="AD1695" s="14">
        <v>52.916666666666664</v>
      </c>
      <c r="AF1695" s="14">
        <v>16</v>
      </c>
      <c r="AH1695" s="14">
        <v>68.916666666666657</v>
      </c>
      <c r="AI1695" s="13">
        <v>211.24107981220661</v>
      </c>
      <c r="AK1695" s="9">
        <v>800</v>
      </c>
    </row>
    <row r="1696" spans="1:37">
      <c r="A1696" s="9">
        <v>21</v>
      </c>
      <c r="B1696" s="9">
        <v>2024</v>
      </c>
      <c r="C1696" s="9" t="s">
        <v>46</v>
      </c>
      <c r="D1696" s="9" t="s">
        <v>47</v>
      </c>
      <c r="E1696" s="9" t="s">
        <v>47</v>
      </c>
      <c r="F1696" s="10">
        <v>45432</v>
      </c>
      <c r="G1696" s="9" t="s">
        <v>153</v>
      </c>
      <c r="H1696" s="9" t="s">
        <v>52</v>
      </c>
      <c r="I1696" s="9">
        <v>1</v>
      </c>
      <c r="J1696" s="9">
        <v>12</v>
      </c>
      <c r="K1696" s="9">
        <v>520</v>
      </c>
      <c r="L1696" s="9">
        <v>0.28000000000000003</v>
      </c>
      <c r="M1696" s="9">
        <v>145.6</v>
      </c>
      <c r="N1696" s="9" t="s">
        <v>49</v>
      </c>
      <c r="Q1696" s="9">
        <f>IF(Auction_Sales[[#This Row],[Payment Date]]=0,"",-1+WEEKNUM(Auction_Sales[[#This Row],[Payment Date]]))</f>
        <v>21</v>
      </c>
      <c r="R1696" s="9">
        <v>-160</v>
      </c>
      <c r="S1696" s="9" t="s">
        <v>153</v>
      </c>
      <c r="T1696" s="9" t="s">
        <v>52</v>
      </c>
      <c r="U1696" s="9">
        <v>680</v>
      </c>
      <c r="V1696" s="13">
        <v>0.3488235294117647</v>
      </c>
      <c r="W1696" s="13">
        <v>237.2</v>
      </c>
      <c r="X1696" s="14">
        <v>-27.065915492957739</v>
      </c>
      <c r="Y1696" s="13">
        <v>210.13408450704225</v>
      </c>
      <c r="Z1696" s="10">
        <v>45441</v>
      </c>
      <c r="AA1696" s="9">
        <v>160</v>
      </c>
      <c r="AC1696" s="9" t="s">
        <v>117</v>
      </c>
      <c r="AD1696" s="14">
        <v>52.916666666666664</v>
      </c>
      <c r="AF1696" s="14">
        <v>13.6</v>
      </c>
      <c r="AH1696" s="14">
        <v>66.516666666666666</v>
      </c>
      <c r="AI1696" s="13">
        <v>143.61741784037559</v>
      </c>
      <c r="AK1696" s="9">
        <v>680</v>
      </c>
    </row>
    <row r="1697" spans="1:37">
      <c r="A1697" s="9">
        <v>21</v>
      </c>
      <c r="B1697" s="9">
        <v>2024</v>
      </c>
      <c r="C1697" s="9" t="s">
        <v>46</v>
      </c>
      <c r="D1697" s="9" t="s">
        <v>47</v>
      </c>
      <c r="E1697" s="9" t="s">
        <v>47</v>
      </c>
      <c r="F1697" s="10">
        <v>45432</v>
      </c>
      <c r="G1697" s="9" t="s">
        <v>153</v>
      </c>
      <c r="H1697" s="9" t="s">
        <v>54</v>
      </c>
      <c r="I1697" s="9">
        <v>1</v>
      </c>
      <c r="J1697" s="9">
        <v>12</v>
      </c>
      <c r="K1697" s="9">
        <v>480</v>
      </c>
      <c r="L1697" s="9">
        <v>0.33</v>
      </c>
      <c r="M1697" s="9">
        <v>158.4</v>
      </c>
      <c r="N1697" s="9" t="s">
        <v>49</v>
      </c>
      <c r="Q1697" s="9">
        <f>IF(Auction_Sales[[#This Row],[Payment Date]]=0,"",-1+WEEKNUM(Auction_Sales[[#This Row],[Payment Date]]))</f>
        <v>21</v>
      </c>
      <c r="R1697" s="9">
        <v>0</v>
      </c>
      <c r="S1697" s="9" t="s">
        <v>153</v>
      </c>
      <c r="T1697" s="9" t="s">
        <v>54</v>
      </c>
      <c r="U1697" s="9">
        <v>480</v>
      </c>
      <c r="V1697" s="13">
        <v>0.28999999999999998</v>
      </c>
      <c r="W1697" s="13">
        <v>139.19999999999999</v>
      </c>
      <c r="X1697" s="14">
        <v>-19.105352112676051</v>
      </c>
      <c r="Y1697" s="13">
        <v>120.09464788732393</v>
      </c>
      <c r="Z1697" s="10">
        <v>45441</v>
      </c>
      <c r="AA1697" s="9">
        <v>0</v>
      </c>
      <c r="AC1697" s="9" t="s">
        <v>117</v>
      </c>
      <c r="AD1697" s="14">
        <v>52.916666666666664</v>
      </c>
      <c r="AF1697" s="14">
        <v>9.6</v>
      </c>
      <c r="AH1697" s="14">
        <v>62.516666666666666</v>
      </c>
      <c r="AI1697" s="13">
        <v>57.577981220657264</v>
      </c>
      <c r="AK1697" s="9">
        <v>480</v>
      </c>
    </row>
    <row r="1698" spans="1:37">
      <c r="A1698" s="9">
        <v>21</v>
      </c>
      <c r="B1698" s="9">
        <v>2024</v>
      </c>
      <c r="C1698" s="9" t="s">
        <v>46</v>
      </c>
      <c r="D1698" s="9" t="s">
        <v>47</v>
      </c>
      <c r="E1698" s="9" t="s">
        <v>47</v>
      </c>
      <c r="F1698" s="10">
        <v>45432</v>
      </c>
      <c r="G1698" s="9" t="s">
        <v>154</v>
      </c>
      <c r="H1698" s="9" t="s">
        <v>51</v>
      </c>
      <c r="I1698" s="9">
        <v>1</v>
      </c>
      <c r="J1698" s="9">
        <v>7.384615384615385</v>
      </c>
      <c r="K1698" s="9">
        <v>320</v>
      </c>
      <c r="L1698" s="9">
        <v>0.38</v>
      </c>
      <c r="M1698" s="9">
        <v>121.6</v>
      </c>
      <c r="N1698" s="9" t="s">
        <v>49</v>
      </c>
      <c r="Q1698" s="9">
        <f>IF(Auction_Sales[[#This Row],[Payment Date]]=0,"",-1+WEEKNUM(Auction_Sales[[#This Row],[Payment Date]]))</f>
        <v>21</v>
      </c>
      <c r="R1698" s="9">
        <v>320</v>
      </c>
      <c r="S1698" s="9" t="s">
        <v>154</v>
      </c>
      <c r="T1698" s="9" t="s">
        <v>51</v>
      </c>
      <c r="W1698" s="13">
        <v>0</v>
      </c>
      <c r="X1698" s="14">
        <v>0</v>
      </c>
      <c r="Y1698" s="13">
        <v>0</v>
      </c>
      <c r="Z1698" s="10">
        <v>45441</v>
      </c>
      <c r="AA1698" s="9">
        <v>-320</v>
      </c>
      <c r="AC1698" s="9" t="s">
        <v>117</v>
      </c>
      <c r="AD1698" s="14">
        <v>32.564102564102569</v>
      </c>
      <c r="AF1698" s="14">
        <v>0</v>
      </c>
      <c r="AH1698" s="14">
        <v>32.564102564102569</v>
      </c>
      <c r="AI1698" s="13">
        <v>-32.564102564102569</v>
      </c>
      <c r="AK1698" s="9">
        <v>0</v>
      </c>
    </row>
    <row r="1699" spans="1:37">
      <c r="A1699" s="9">
        <v>21</v>
      </c>
      <c r="B1699" s="9">
        <v>2024</v>
      </c>
      <c r="C1699" s="9" t="s">
        <v>46</v>
      </c>
      <c r="D1699" s="9" t="s">
        <v>47</v>
      </c>
      <c r="E1699" s="9" t="s">
        <v>47</v>
      </c>
      <c r="F1699" s="10">
        <v>45432</v>
      </c>
      <c r="G1699" s="9" t="s">
        <v>154</v>
      </c>
      <c r="H1699" s="9" t="s">
        <v>48</v>
      </c>
      <c r="J1699" s="9">
        <v>4.6153846153846159</v>
      </c>
      <c r="K1699" s="9">
        <v>200</v>
      </c>
      <c r="L1699" s="9">
        <v>0.47</v>
      </c>
      <c r="M1699" s="9">
        <v>94</v>
      </c>
      <c r="N1699" s="9" t="s">
        <v>49</v>
      </c>
      <c r="Q1699" s="9">
        <f>IF(Auction_Sales[[#This Row],[Payment Date]]=0,"",-1+WEEKNUM(Auction_Sales[[#This Row],[Payment Date]]))</f>
        <v>21</v>
      </c>
      <c r="R1699" s="9">
        <v>0</v>
      </c>
      <c r="S1699" s="9" t="s">
        <v>154</v>
      </c>
      <c r="T1699" s="9" t="s">
        <v>48</v>
      </c>
      <c r="U1699" s="9">
        <v>200</v>
      </c>
      <c r="V1699" s="13">
        <v>0.47</v>
      </c>
      <c r="W1699" s="13">
        <v>94</v>
      </c>
      <c r="X1699" s="14">
        <v>-7.9605633802816875</v>
      </c>
      <c r="Y1699" s="13">
        <v>86.039436619718316</v>
      </c>
      <c r="Z1699" s="10">
        <v>45441</v>
      </c>
      <c r="AA1699" s="9">
        <v>0</v>
      </c>
      <c r="AC1699" s="9" t="s">
        <v>117</v>
      </c>
      <c r="AD1699" s="14">
        <v>20.352564102564106</v>
      </c>
      <c r="AF1699" s="14">
        <v>4</v>
      </c>
      <c r="AH1699" s="14">
        <v>24.352564102564106</v>
      </c>
      <c r="AI1699" s="13">
        <v>61.686872517154214</v>
      </c>
      <c r="AK1699" s="9">
        <v>200</v>
      </c>
    </row>
    <row r="1700" spans="1:37">
      <c r="A1700" s="9">
        <v>21</v>
      </c>
      <c r="B1700" s="9">
        <v>2024</v>
      </c>
      <c r="C1700" s="9" t="s">
        <v>46</v>
      </c>
      <c r="D1700" s="9" t="s">
        <v>47</v>
      </c>
      <c r="E1700" s="9" t="s">
        <v>47</v>
      </c>
      <c r="F1700" s="10">
        <v>45432</v>
      </c>
      <c r="G1700" s="9" t="s">
        <v>153</v>
      </c>
      <c r="H1700" s="9" t="s">
        <v>52</v>
      </c>
      <c r="I1700" s="9">
        <v>1</v>
      </c>
      <c r="J1700" s="9">
        <v>4.8000000000000007</v>
      </c>
      <c r="K1700" s="9">
        <v>160</v>
      </c>
      <c r="L1700" s="9">
        <v>0.28000000000000003</v>
      </c>
      <c r="M1700" s="9">
        <v>44.8</v>
      </c>
      <c r="N1700" s="9" t="s">
        <v>49</v>
      </c>
      <c r="Q1700" s="9">
        <f>IF(Auction_Sales[[#This Row],[Payment Date]]=0,"",-1+WEEKNUM(Auction_Sales[[#This Row],[Payment Date]]))</f>
        <v>21</v>
      </c>
      <c r="R1700" s="9">
        <v>160</v>
      </c>
      <c r="S1700" s="9" t="s">
        <v>153</v>
      </c>
      <c r="T1700" s="9" t="s">
        <v>52</v>
      </c>
      <c r="W1700" s="13">
        <v>0</v>
      </c>
      <c r="X1700" s="14">
        <v>0</v>
      </c>
      <c r="Y1700" s="13">
        <v>0</v>
      </c>
      <c r="Z1700" s="10">
        <v>45441</v>
      </c>
      <c r="AA1700" s="9">
        <v>-160</v>
      </c>
      <c r="AC1700" s="9" t="s">
        <v>117</v>
      </c>
      <c r="AD1700" s="14">
        <v>21.166666666666671</v>
      </c>
      <c r="AF1700" s="14">
        <v>0</v>
      </c>
      <c r="AH1700" s="14">
        <v>21.166666666666671</v>
      </c>
      <c r="AI1700" s="13">
        <v>-21.166666666666671</v>
      </c>
      <c r="AK1700" s="9">
        <v>0</v>
      </c>
    </row>
    <row r="1701" spans="1:37">
      <c r="A1701" s="9">
        <v>21</v>
      </c>
      <c r="B1701" s="9">
        <v>2024</v>
      </c>
      <c r="C1701" s="9" t="s">
        <v>46</v>
      </c>
      <c r="D1701" s="9" t="s">
        <v>47</v>
      </c>
      <c r="E1701" s="9" t="s">
        <v>47</v>
      </c>
      <c r="F1701" s="10">
        <v>45432</v>
      </c>
      <c r="G1701" s="9" t="s">
        <v>153</v>
      </c>
      <c r="H1701" s="9" t="s">
        <v>56</v>
      </c>
      <c r="J1701" s="9">
        <v>7.1999999999999993</v>
      </c>
      <c r="K1701" s="9">
        <v>240</v>
      </c>
      <c r="L1701" s="9">
        <v>0.38</v>
      </c>
      <c r="M1701" s="9">
        <v>91.2</v>
      </c>
      <c r="N1701" s="9" t="s">
        <v>49</v>
      </c>
      <c r="Q1701" s="9">
        <f>IF(Auction_Sales[[#This Row],[Payment Date]]=0,"",-1+WEEKNUM(Auction_Sales[[#This Row],[Payment Date]]))</f>
        <v>21</v>
      </c>
      <c r="R1701" s="9">
        <v>0</v>
      </c>
      <c r="S1701" s="9" t="s">
        <v>153</v>
      </c>
      <c r="T1701" s="9" t="s">
        <v>56</v>
      </c>
      <c r="U1701" s="9">
        <v>240</v>
      </c>
      <c r="V1701" s="13">
        <v>0.32166666666666666</v>
      </c>
      <c r="W1701" s="13">
        <v>77.2</v>
      </c>
      <c r="X1701" s="14">
        <v>-9.5526760563380257</v>
      </c>
      <c r="Y1701" s="13">
        <v>67.647323943661974</v>
      </c>
      <c r="Z1701" s="10">
        <v>45441</v>
      </c>
      <c r="AA1701" s="9">
        <v>0</v>
      </c>
      <c r="AC1701" s="9" t="s">
        <v>117</v>
      </c>
      <c r="AD1701" s="14">
        <v>31.749999999999996</v>
      </c>
      <c r="AF1701" s="14">
        <v>4.8</v>
      </c>
      <c r="AH1701" s="14">
        <v>36.549999999999997</v>
      </c>
      <c r="AI1701" s="13">
        <v>31.097323943661976</v>
      </c>
      <c r="AK1701" s="9">
        <v>240</v>
      </c>
    </row>
    <row r="1702" spans="1:37">
      <c r="A1702" s="9">
        <v>21</v>
      </c>
      <c r="B1702" s="9">
        <v>2024</v>
      </c>
      <c r="C1702" s="9" t="s">
        <v>46</v>
      </c>
      <c r="D1702" s="9" t="s">
        <v>47</v>
      </c>
      <c r="E1702" s="9" t="s">
        <v>47</v>
      </c>
      <c r="F1702" s="10">
        <v>45432</v>
      </c>
      <c r="G1702" s="9" t="s">
        <v>156</v>
      </c>
      <c r="H1702" s="9" t="s">
        <v>51</v>
      </c>
      <c r="I1702" s="9">
        <v>1</v>
      </c>
      <c r="J1702" s="9">
        <v>3.2727272727272725</v>
      </c>
      <c r="K1702" s="9">
        <v>120</v>
      </c>
      <c r="L1702" s="9">
        <v>0.42</v>
      </c>
      <c r="M1702" s="9">
        <v>50.4</v>
      </c>
      <c r="N1702" s="9" t="s">
        <v>49</v>
      </c>
      <c r="Q1702" s="9">
        <f>IF(Auction_Sales[[#This Row],[Payment Date]]=0,"",-1+WEEKNUM(Auction_Sales[[#This Row],[Payment Date]]))</f>
        <v>21</v>
      </c>
      <c r="R1702" s="9">
        <v>0</v>
      </c>
      <c r="S1702" s="9" t="s">
        <v>156</v>
      </c>
      <c r="T1702" s="9" t="s">
        <v>51</v>
      </c>
      <c r="U1702" s="9">
        <v>120</v>
      </c>
      <c r="V1702" s="13">
        <v>0.38</v>
      </c>
      <c r="W1702" s="13">
        <v>45.6</v>
      </c>
      <c r="X1702" s="14">
        <v>-4.7763380281690129</v>
      </c>
      <c r="Y1702" s="13">
        <v>40.823661971830987</v>
      </c>
      <c r="Z1702" s="10">
        <v>45441</v>
      </c>
      <c r="AA1702" s="9">
        <v>0</v>
      </c>
      <c r="AC1702" s="9" t="s">
        <v>117</v>
      </c>
      <c r="AD1702" s="14">
        <v>14.43181818181818</v>
      </c>
      <c r="AF1702" s="14">
        <v>2.4</v>
      </c>
      <c r="AH1702" s="14">
        <v>16.831818181818178</v>
      </c>
      <c r="AI1702" s="13">
        <v>23.991843790012808</v>
      </c>
      <c r="AK1702" s="9">
        <v>120</v>
      </c>
    </row>
    <row r="1703" spans="1:37">
      <c r="A1703" s="9">
        <v>21</v>
      </c>
      <c r="B1703" s="9">
        <v>2024</v>
      </c>
      <c r="C1703" s="9" t="s">
        <v>46</v>
      </c>
      <c r="D1703" s="9" t="s">
        <v>47</v>
      </c>
      <c r="E1703" s="9" t="s">
        <v>47</v>
      </c>
      <c r="F1703" s="10">
        <v>45432</v>
      </c>
      <c r="G1703" s="9" t="s">
        <v>156</v>
      </c>
      <c r="H1703" s="9" t="s">
        <v>48</v>
      </c>
      <c r="J1703" s="9">
        <v>8.7272727272727266</v>
      </c>
      <c r="K1703" s="9">
        <v>320</v>
      </c>
      <c r="L1703" s="9">
        <v>0.52</v>
      </c>
      <c r="M1703" s="9">
        <v>166.4</v>
      </c>
      <c r="N1703" s="9" t="s">
        <v>49</v>
      </c>
      <c r="Q1703" s="9">
        <f>IF(Auction_Sales[[#This Row],[Payment Date]]=0,"",-1+WEEKNUM(Auction_Sales[[#This Row],[Payment Date]]))</f>
        <v>21</v>
      </c>
      <c r="R1703" s="9">
        <v>0</v>
      </c>
      <c r="S1703" s="9" t="s">
        <v>156</v>
      </c>
      <c r="T1703" s="9" t="s">
        <v>48</v>
      </c>
      <c r="U1703" s="9">
        <v>320</v>
      </c>
      <c r="V1703" s="13">
        <v>0.47000000000000003</v>
      </c>
      <c r="W1703" s="13">
        <v>150.4</v>
      </c>
      <c r="X1703" s="14">
        <v>-12.7369014084507</v>
      </c>
      <c r="Y1703" s="13">
        <v>137.6630985915493</v>
      </c>
      <c r="Z1703" s="10">
        <v>45441</v>
      </c>
      <c r="AA1703" s="9">
        <v>0</v>
      </c>
      <c r="AC1703" s="9" t="s">
        <v>117</v>
      </c>
      <c r="AD1703" s="14">
        <v>38.484848484848484</v>
      </c>
      <c r="AF1703" s="14">
        <v>6.4</v>
      </c>
      <c r="AH1703" s="14">
        <v>44.884848484848483</v>
      </c>
      <c r="AI1703" s="13">
        <v>92.778250106700824</v>
      </c>
      <c r="AK1703" s="9">
        <v>320</v>
      </c>
    </row>
    <row r="1704" spans="1:37">
      <c r="A1704" s="9">
        <v>21</v>
      </c>
      <c r="B1704" s="9">
        <v>2024</v>
      </c>
      <c r="C1704" s="9" t="s">
        <v>46</v>
      </c>
      <c r="D1704" s="9" t="s">
        <v>47</v>
      </c>
      <c r="E1704" s="9" t="s">
        <v>47</v>
      </c>
      <c r="F1704" s="10">
        <v>45435</v>
      </c>
      <c r="G1704" s="9" t="s">
        <v>155</v>
      </c>
      <c r="H1704" s="9" t="s">
        <v>51</v>
      </c>
      <c r="I1704" s="9">
        <v>2</v>
      </c>
      <c r="J1704" s="9">
        <v>24</v>
      </c>
      <c r="K1704" s="9">
        <v>1520</v>
      </c>
      <c r="L1704" s="9">
        <v>0.38</v>
      </c>
      <c r="M1704" s="9">
        <v>577.6</v>
      </c>
      <c r="N1704" s="9" t="s">
        <v>49</v>
      </c>
      <c r="Q1704" s="9">
        <f>IF(Auction_Sales[[#This Row],[Payment Date]]=0,"",-1+WEEKNUM(Auction_Sales[[#This Row],[Payment Date]]))</f>
        <v>22</v>
      </c>
      <c r="R1704" s="9">
        <v>-80</v>
      </c>
      <c r="S1704" s="9" t="s">
        <v>155</v>
      </c>
      <c r="T1704" s="9" t="s">
        <v>51</v>
      </c>
      <c r="U1704" s="9">
        <v>1600</v>
      </c>
      <c r="V1704" s="13">
        <v>0.61275000000000002</v>
      </c>
      <c r="W1704" s="13">
        <v>980.4</v>
      </c>
      <c r="X1704" s="14">
        <v>-64.276470588235384</v>
      </c>
      <c r="Y1704" s="13">
        <v>916.12352941176459</v>
      </c>
      <c r="Z1704" s="10">
        <v>45448</v>
      </c>
      <c r="AA1704" s="9">
        <v>80</v>
      </c>
      <c r="AC1704" s="9">
        <v>442267</v>
      </c>
      <c r="AD1704" s="14">
        <v>84.651428571428553</v>
      </c>
      <c r="AF1704" s="14">
        <v>32</v>
      </c>
      <c r="AH1704" s="14">
        <v>116.65142857142855</v>
      </c>
      <c r="AI1704" s="13">
        <v>799.472100840336</v>
      </c>
      <c r="AK1704" s="9">
        <v>1600</v>
      </c>
    </row>
    <row r="1705" spans="1:37">
      <c r="A1705" s="9">
        <v>21</v>
      </c>
      <c r="B1705" s="9">
        <v>2024</v>
      </c>
      <c r="C1705" s="9" t="s">
        <v>46</v>
      </c>
      <c r="D1705" s="9" t="s">
        <v>47</v>
      </c>
      <c r="E1705" s="9" t="s">
        <v>47</v>
      </c>
      <c r="F1705" s="10">
        <v>45435</v>
      </c>
      <c r="G1705" s="9" t="s">
        <v>155</v>
      </c>
      <c r="H1705" s="9" t="s">
        <v>48</v>
      </c>
      <c r="I1705" s="9">
        <v>1</v>
      </c>
      <c r="J1705" s="9">
        <v>12</v>
      </c>
      <c r="K1705" s="9">
        <v>520</v>
      </c>
      <c r="L1705" s="9">
        <v>0.47</v>
      </c>
      <c r="M1705" s="9">
        <v>244.4</v>
      </c>
      <c r="N1705" s="9" t="s">
        <v>49</v>
      </c>
      <c r="Q1705" s="9">
        <f>IF(Auction_Sales[[#This Row],[Payment Date]]=0,"",-1+WEEKNUM(Auction_Sales[[#This Row],[Payment Date]]))</f>
        <v>22</v>
      </c>
      <c r="R1705" s="9">
        <v>-200</v>
      </c>
      <c r="S1705" s="9" t="s">
        <v>155</v>
      </c>
      <c r="T1705" s="9" t="s">
        <v>48</v>
      </c>
      <c r="U1705" s="9">
        <v>720</v>
      </c>
      <c r="V1705" s="13">
        <v>0.7877777777777778</v>
      </c>
      <c r="W1705" s="13">
        <v>567.20000000000005</v>
      </c>
      <c r="X1705" s="14">
        <v>-28.924411764705919</v>
      </c>
      <c r="Y1705" s="13">
        <v>538.27558823529409</v>
      </c>
      <c r="Z1705" s="10">
        <v>45448</v>
      </c>
      <c r="AA1705" s="9">
        <v>200</v>
      </c>
      <c r="AC1705" s="9">
        <v>442267</v>
      </c>
      <c r="AD1705" s="14">
        <v>42.325714285714277</v>
      </c>
      <c r="AF1705" s="14">
        <v>14.4</v>
      </c>
      <c r="AH1705" s="14">
        <v>56.725714285714275</v>
      </c>
      <c r="AI1705" s="13">
        <v>481.54987394957982</v>
      </c>
      <c r="AK1705" s="9">
        <v>720</v>
      </c>
    </row>
    <row r="1706" spans="1:37">
      <c r="A1706" s="9">
        <v>21</v>
      </c>
      <c r="B1706" s="9">
        <v>2024</v>
      </c>
      <c r="C1706" s="9" t="s">
        <v>46</v>
      </c>
      <c r="D1706" s="9" t="s">
        <v>47</v>
      </c>
      <c r="E1706" s="9" t="s">
        <v>47</v>
      </c>
      <c r="F1706" s="10">
        <v>45435</v>
      </c>
      <c r="G1706" s="9" t="s">
        <v>154</v>
      </c>
      <c r="H1706" s="9" t="s">
        <v>51</v>
      </c>
      <c r="I1706" s="9">
        <v>1</v>
      </c>
      <c r="J1706" s="9">
        <v>12</v>
      </c>
      <c r="K1706" s="9">
        <v>520</v>
      </c>
      <c r="L1706" s="9">
        <v>0.38</v>
      </c>
      <c r="M1706" s="9">
        <v>197.6</v>
      </c>
      <c r="N1706" s="9" t="s">
        <v>49</v>
      </c>
      <c r="Q1706" s="9">
        <f>IF(Auction_Sales[[#This Row],[Payment Date]]=0,"",-1+WEEKNUM(Auction_Sales[[#This Row],[Payment Date]]))</f>
        <v>22</v>
      </c>
      <c r="R1706" s="9">
        <v>520</v>
      </c>
      <c r="S1706" s="9" t="s">
        <v>154</v>
      </c>
      <c r="T1706" s="9" t="s">
        <v>51</v>
      </c>
      <c r="W1706" s="13">
        <v>0</v>
      </c>
      <c r="X1706" s="14">
        <v>0</v>
      </c>
      <c r="Y1706" s="13">
        <v>0</v>
      </c>
      <c r="Z1706" s="10">
        <v>45448</v>
      </c>
      <c r="AA1706" s="9">
        <v>-520</v>
      </c>
      <c r="AC1706" s="9">
        <v>442267</v>
      </c>
      <c r="AD1706" s="14">
        <v>42.325714285714277</v>
      </c>
      <c r="AF1706" s="14">
        <v>0</v>
      </c>
      <c r="AH1706" s="14">
        <v>42.325714285714277</v>
      </c>
      <c r="AI1706" s="13">
        <v>-42.325714285714277</v>
      </c>
      <c r="AK1706" s="9">
        <v>0</v>
      </c>
    </row>
    <row r="1707" spans="1:37">
      <c r="A1707" s="9">
        <v>21</v>
      </c>
      <c r="B1707" s="9">
        <v>2024</v>
      </c>
      <c r="C1707" s="9" t="s">
        <v>46</v>
      </c>
      <c r="D1707" s="9" t="s">
        <v>47</v>
      </c>
      <c r="E1707" s="9" t="s">
        <v>47</v>
      </c>
      <c r="F1707" s="10">
        <v>45435</v>
      </c>
      <c r="G1707" s="9" t="s">
        <v>156</v>
      </c>
      <c r="H1707" s="9" t="s">
        <v>48</v>
      </c>
      <c r="I1707" s="9">
        <v>1</v>
      </c>
      <c r="J1707" s="9">
        <v>12</v>
      </c>
      <c r="K1707" s="9">
        <v>480</v>
      </c>
      <c r="L1707" s="9">
        <v>0.52</v>
      </c>
      <c r="M1707" s="9">
        <v>249.6</v>
      </c>
      <c r="N1707" s="9" t="s">
        <v>49</v>
      </c>
      <c r="Q1707" s="9">
        <f>IF(Auction_Sales[[#This Row],[Payment Date]]=0,"",-1+WEEKNUM(Auction_Sales[[#This Row],[Payment Date]]))</f>
        <v>22</v>
      </c>
      <c r="R1707" s="9">
        <v>-40</v>
      </c>
      <c r="S1707" s="9" t="s">
        <v>156</v>
      </c>
      <c r="T1707" s="9" t="s">
        <v>48</v>
      </c>
      <c r="U1707" s="9">
        <v>520</v>
      </c>
      <c r="V1707" s="13">
        <v>0.57538461538461538</v>
      </c>
      <c r="W1707" s="13">
        <v>299.2</v>
      </c>
      <c r="X1707" s="14">
        <v>-20.889852941176496</v>
      </c>
      <c r="Y1707" s="13">
        <v>278.31014705882347</v>
      </c>
      <c r="Z1707" s="10">
        <v>45448</v>
      </c>
      <c r="AA1707" s="9">
        <v>40</v>
      </c>
      <c r="AC1707" s="9">
        <v>442267</v>
      </c>
      <c r="AD1707" s="14">
        <v>42.325714285714277</v>
      </c>
      <c r="AF1707" s="14">
        <v>10.4</v>
      </c>
      <c r="AH1707" s="14">
        <v>52.725714285714275</v>
      </c>
      <c r="AI1707" s="13">
        <v>225.5844327731092</v>
      </c>
      <c r="AK1707" s="9">
        <v>520</v>
      </c>
    </row>
    <row r="1708" spans="1:37">
      <c r="A1708" s="9">
        <v>21</v>
      </c>
      <c r="B1708" s="9">
        <v>2024</v>
      </c>
      <c r="C1708" s="9" t="s">
        <v>46</v>
      </c>
      <c r="D1708" s="9" t="s">
        <v>47</v>
      </c>
      <c r="E1708" s="9" t="s">
        <v>47</v>
      </c>
      <c r="F1708" s="10">
        <v>45435</v>
      </c>
      <c r="G1708" s="9" t="s">
        <v>153</v>
      </c>
      <c r="H1708" s="9" t="s">
        <v>48</v>
      </c>
      <c r="I1708" s="9">
        <v>1</v>
      </c>
      <c r="J1708" s="9">
        <v>12</v>
      </c>
      <c r="K1708" s="9">
        <v>720</v>
      </c>
      <c r="L1708" s="9">
        <v>0.24</v>
      </c>
      <c r="M1708" s="9">
        <v>172.8</v>
      </c>
      <c r="N1708" s="9" t="s">
        <v>49</v>
      </c>
      <c r="Q1708" s="9">
        <f>IF(Auction_Sales[[#This Row],[Payment Date]]=0,"",-1+WEEKNUM(Auction_Sales[[#This Row],[Payment Date]]))</f>
        <v>22</v>
      </c>
      <c r="R1708" s="9">
        <v>-600</v>
      </c>
      <c r="S1708" s="9" t="s">
        <v>153</v>
      </c>
      <c r="T1708" s="9" t="s">
        <v>48</v>
      </c>
      <c r="U1708" s="9">
        <v>1320</v>
      </c>
      <c r="V1708" s="13">
        <v>0.26</v>
      </c>
      <c r="W1708" s="13">
        <v>343.2</v>
      </c>
      <c r="X1708" s="14">
        <v>-53.028088235294184</v>
      </c>
      <c r="Y1708" s="13">
        <v>290.17191176470578</v>
      </c>
      <c r="Z1708" s="10">
        <v>45448</v>
      </c>
      <c r="AA1708" s="9">
        <v>600</v>
      </c>
      <c r="AC1708" s="9">
        <v>442267</v>
      </c>
      <c r="AD1708" s="14">
        <v>42.325714285714277</v>
      </c>
      <c r="AF1708" s="14">
        <v>26.400000000000002</v>
      </c>
      <c r="AH1708" s="14">
        <v>68.725714285714275</v>
      </c>
      <c r="AI1708" s="13">
        <v>221.44619747899151</v>
      </c>
      <c r="AK1708" s="9">
        <v>1320</v>
      </c>
    </row>
    <row r="1709" spans="1:37">
      <c r="A1709" s="9">
        <v>21</v>
      </c>
      <c r="B1709" s="9">
        <v>2024</v>
      </c>
      <c r="C1709" s="9" t="s">
        <v>46</v>
      </c>
      <c r="D1709" s="9" t="s">
        <v>47</v>
      </c>
      <c r="E1709" s="9" t="s">
        <v>47</v>
      </c>
      <c r="F1709" s="10">
        <v>45435</v>
      </c>
      <c r="G1709" s="9" t="s">
        <v>153</v>
      </c>
      <c r="H1709" s="9" t="s">
        <v>52</v>
      </c>
      <c r="I1709" s="9">
        <v>1</v>
      </c>
      <c r="J1709" s="9">
        <v>12</v>
      </c>
      <c r="K1709" s="9">
        <v>520</v>
      </c>
      <c r="L1709" s="9">
        <v>0.28000000000000003</v>
      </c>
      <c r="M1709" s="9">
        <v>145.6</v>
      </c>
      <c r="N1709" s="9" t="s">
        <v>49</v>
      </c>
      <c r="Q1709" s="9">
        <f>IF(Auction_Sales[[#This Row],[Payment Date]]=0,"",-1+WEEKNUM(Auction_Sales[[#This Row],[Payment Date]]))</f>
        <v>22</v>
      </c>
      <c r="R1709" s="9">
        <v>-80</v>
      </c>
      <c r="S1709" s="9" t="s">
        <v>153</v>
      </c>
      <c r="T1709" s="9" t="s">
        <v>52</v>
      </c>
      <c r="U1709" s="9">
        <v>600</v>
      </c>
      <c r="V1709" s="13">
        <v>0.32200000000000001</v>
      </c>
      <c r="W1709" s="13">
        <v>193.20000000000002</v>
      </c>
      <c r="X1709" s="14">
        <v>-24.103676470588265</v>
      </c>
      <c r="Y1709" s="13">
        <v>169.09632352941176</v>
      </c>
      <c r="Z1709" s="10">
        <v>45448</v>
      </c>
      <c r="AA1709" s="9">
        <v>80</v>
      </c>
      <c r="AC1709" s="9">
        <v>442267</v>
      </c>
      <c r="AD1709" s="14">
        <v>42.325714285714277</v>
      </c>
      <c r="AF1709" s="14">
        <v>12</v>
      </c>
      <c r="AH1709" s="14">
        <v>54.325714285714277</v>
      </c>
      <c r="AI1709" s="13">
        <v>114.77060924369749</v>
      </c>
      <c r="AK1709" s="9">
        <v>600</v>
      </c>
    </row>
    <row r="1710" spans="1:37">
      <c r="A1710" s="9">
        <v>21</v>
      </c>
      <c r="B1710" s="9">
        <v>2024</v>
      </c>
      <c r="C1710" s="9" t="s">
        <v>46</v>
      </c>
      <c r="D1710" s="9" t="s">
        <v>47</v>
      </c>
      <c r="E1710" s="9" t="s">
        <v>47</v>
      </c>
      <c r="F1710" s="10">
        <v>45435</v>
      </c>
      <c r="G1710" s="9" t="s">
        <v>153</v>
      </c>
      <c r="H1710" s="9" t="s">
        <v>54</v>
      </c>
      <c r="I1710" s="9">
        <v>1</v>
      </c>
      <c r="J1710" s="9">
        <v>12</v>
      </c>
      <c r="K1710" s="9">
        <v>480</v>
      </c>
      <c r="L1710" s="9">
        <v>0.33</v>
      </c>
      <c r="M1710" s="9">
        <v>158.4</v>
      </c>
      <c r="N1710" s="9" t="s">
        <v>49</v>
      </c>
      <c r="Q1710" s="9">
        <f>IF(Auction_Sales[[#This Row],[Payment Date]]=0,"",-1+WEEKNUM(Auction_Sales[[#This Row],[Payment Date]]))</f>
        <v>22</v>
      </c>
      <c r="R1710" s="9">
        <v>0</v>
      </c>
      <c r="S1710" s="9" t="s">
        <v>153</v>
      </c>
      <c r="T1710" s="9" t="s">
        <v>54</v>
      </c>
      <c r="U1710" s="9">
        <v>480</v>
      </c>
      <c r="V1710" s="13">
        <v>0.38250000000000001</v>
      </c>
      <c r="W1710" s="13">
        <v>183.6</v>
      </c>
      <c r="X1710" s="14">
        <v>-19.282941176470612</v>
      </c>
      <c r="Y1710" s="13">
        <v>164.31705882352938</v>
      </c>
      <c r="Z1710" s="10">
        <v>45448</v>
      </c>
      <c r="AA1710" s="9">
        <v>0</v>
      </c>
      <c r="AC1710" s="9">
        <v>442267</v>
      </c>
      <c r="AD1710" s="14">
        <v>42.325714285714277</v>
      </c>
      <c r="AF1710" s="14">
        <v>9.6</v>
      </c>
      <c r="AH1710" s="14">
        <v>51.925714285714278</v>
      </c>
      <c r="AI1710" s="13">
        <v>112.3913445378151</v>
      </c>
      <c r="AK1710" s="9">
        <v>480</v>
      </c>
    </row>
    <row r="1711" spans="1:37">
      <c r="A1711" s="9">
        <v>21</v>
      </c>
      <c r="B1711" s="9">
        <v>2024</v>
      </c>
      <c r="C1711" s="9" t="s">
        <v>46</v>
      </c>
      <c r="D1711" s="9" t="s">
        <v>47</v>
      </c>
      <c r="E1711" s="9" t="s">
        <v>47</v>
      </c>
      <c r="F1711" s="10">
        <v>45435</v>
      </c>
      <c r="G1711" s="9" t="s">
        <v>153</v>
      </c>
      <c r="H1711" s="9" t="s">
        <v>51</v>
      </c>
      <c r="I1711" s="9">
        <v>1</v>
      </c>
      <c r="J1711" s="9">
        <v>12</v>
      </c>
      <c r="K1711" s="9">
        <v>920</v>
      </c>
      <c r="L1711" s="9">
        <v>0.14000000000000001</v>
      </c>
      <c r="M1711" s="9">
        <v>128.80000000000001</v>
      </c>
      <c r="N1711" s="9" t="s">
        <v>49</v>
      </c>
      <c r="Q1711" s="9">
        <f>IF(Auction_Sales[[#This Row],[Payment Date]]=0,"",-1+WEEKNUM(Auction_Sales[[#This Row],[Payment Date]]))</f>
        <v>22</v>
      </c>
      <c r="R1711" s="9">
        <v>0</v>
      </c>
      <c r="S1711" s="9" t="s">
        <v>153</v>
      </c>
      <c r="T1711" s="9" t="s">
        <v>51</v>
      </c>
      <c r="U1711" s="9">
        <v>920</v>
      </c>
      <c r="V1711" s="13">
        <v>0.13</v>
      </c>
      <c r="W1711" s="13">
        <v>119.60000000000001</v>
      </c>
      <c r="X1711" s="14">
        <v>-36.958970588235339</v>
      </c>
      <c r="Y1711" s="13">
        <v>82.641029411764663</v>
      </c>
      <c r="Z1711" s="10">
        <v>45448</v>
      </c>
      <c r="AA1711" s="9">
        <v>0</v>
      </c>
      <c r="AC1711" s="9">
        <v>442267</v>
      </c>
      <c r="AD1711" s="14">
        <v>42.325714285714277</v>
      </c>
      <c r="AF1711" s="14">
        <v>18.400000000000002</v>
      </c>
      <c r="AH1711" s="14">
        <v>60.725714285714275</v>
      </c>
      <c r="AI1711" s="13">
        <v>21.915315126050388</v>
      </c>
      <c r="AK1711" s="9">
        <v>920</v>
      </c>
    </row>
    <row r="1712" spans="1:37">
      <c r="A1712" s="9">
        <v>21</v>
      </c>
      <c r="B1712" s="9">
        <v>2024</v>
      </c>
      <c r="C1712" s="9" t="s">
        <v>46</v>
      </c>
      <c r="D1712" s="9" t="s">
        <v>47</v>
      </c>
      <c r="E1712" s="9" t="s">
        <v>47</v>
      </c>
      <c r="F1712" s="10">
        <v>45435</v>
      </c>
      <c r="G1712" s="9" t="s">
        <v>154</v>
      </c>
      <c r="H1712" s="9" t="s">
        <v>51</v>
      </c>
      <c r="I1712" s="9">
        <v>1</v>
      </c>
      <c r="J1712" s="9">
        <v>3.2727272727272725</v>
      </c>
      <c r="K1712" s="9">
        <v>120</v>
      </c>
      <c r="L1712" s="9">
        <v>0.38</v>
      </c>
      <c r="M1712" s="9">
        <v>45.6</v>
      </c>
      <c r="N1712" s="9" t="s">
        <v>49</v>
      </c>
      <c r="Q1712" s="9">
        <f>IF(Auction_Sales[[#This Row],[Payment Date]]=0,"",-1+WEEKNUM(Auction_Sales[[#This Row],[Payment Date]]))</f>
        <v>22</v>
      </c>
      <c r="R1712" s="9">
        <v>-520</v>
      </c>
      <c r="S1712" s="9" t="s">
        <v>154</v>
      </c>
      <c r="T1712" s="9" t="s">
        <v>51</v>
      </c>
      <c r="U1712" s="9">
        <v>640</v>
      </c>
      <c r="V1712" s="13">
        <v>0.58062500000000006</v>
      </c>
      <c r="W1712" s="13">
        <v>371.6</v>
      </c>
      <c r="X1712" s="14">
        <v>-25.71058823529415</v>
      </c>
      <c r="Y1712" s="13">
        <v>345.88941176470587</v>
      </c>
      <c r="Z1712" s="10">
        <v>45448</v>
      </c>
      <c r="AA1712" s="9">
        <v>520</v>
      </c>
      <c r="AC1712" s="9">
        <v>442267</v>
      </c>
      <c r="AD1712" s="14">
        <v>11.543376623376622</v>
      </c>
      <c r="AF1712" s="14">
        <v>12.8</v>
      </c>
      <c r="AH1712" s="14">
        <v>24.343376623376621</v>
      </c>
      <c r="AI1712" s="13">
        <v>321.54603514132924</v>
      </c>
      <c r="AK1712" s="9">
        <v>640</v>
      </c>
    </row>
    <row r="1713" spans="1:37">
      <c r="A1713" s="9">
        <v>21</v>
      </c>
      <c r="B1713" s="9">
        <v>2024</v>
      </c>
      <c r="C1713" s="9" t="s">
        <v>46</v>
      </c>
      <c r="D1713" s="9" t="s">
        <v>47</v>
      </c>
      <c r="E1713" s="9" t="s">
        <v>47</v>
      </c>
      <c r="F1713" s="10">
        <v>45435</v>
      </c>
      <c r="G1713" s="9" t="s">
        <v>154</v>
      </c>
      <c r="H1713" s="9" t="s">
        <v>48</v>
      </c>
      <c r="J1713" s="9">
        <v>6.545454545454545</v>
      </c>
      <c r="K1713" s="9">
        <v>240</v>
      </c>
      <c r="L1713" s="9">
        <v>0.47</v>
      </c>
      <c r="M1713" s="9">
        <v>112.8</v>
      </c>
      <c r="N1713" s="9" t="s">
        <v>49</v>
      </c>
      <c r="Q1713" s="9">
        <f>IF(Auction_Sales[[#This Row],[Payment Date]]=0,"",-1+WEEKNUM(Auction_Sales[[#This Row],[Payment Date]]))</f>
        <v>22</v>
      </c>
      <c r="R1713" s="9">
        <v>0</v>
      </c>
      <c r="S1713" s="9" t="s">
        <v>154</v>
      </c>
      <c r="T1713" s="9" t="s">
        <v>48</v>
      </c>
      <c r="U1713" s="9">
        <v>240</v>
      </c>
      <c r="V1713" s="13">
        <v>0.77833333333333343</v>
      </c>
      <c r="W1713" s="13">
        <v>186.8</v>
      </c>
      <c r="X1713" s="14">
        <v>-9.6414705882353058</v>
      </c>
      <c r="Y1713" s="13">
        <v>177.1585294117647</v>
      </c>
      <c r="Z1713" s="10">
        <v>45448</v>
      </c>
      <c r="AA1713" s="9">
        <v>0</v>
      </c>
      <c r="AC1713" s="9">
        <v>442267</v>
      </c>
      <c r="AD1713" s="14">
        <v>23.086753246753243</v>
      </c>
      <c r="AF1713" s="14">
        <v>4.8</v>
      </c>
      <c r="AH1713" s="14">
        <v>27.886753246753244</v>
      </c>
      <c r="AI1713" s="13">
        <v>149.27177616501146</v>
      </c>
      <c r="AK1713" s="9">
        <v>240</v>
      </c>
    </row>
    <row r="1714" spans="1:37">
      <c r="A1714" s="9">
        <v>21</v>
      </c>
      <c r="B1714" s="9">
        <v>2024</v>
      </c>
      <c r="C1714" s="9" t="s">
        <v>46</v>
      </c>
      <c r="D1714" s="9" t="s">
        <v>47</v>
      </c>
      <c r="E1714" s="9" t="s">
        <v>47</v>
      </c>
      <c r="F1714" s="10">
        <v>45435</v>
      </c>
      <c r="G1714" s="9" t="s">
        <v>154</v>
      </c>
      <c r="H1714" s="9" t="s">
        <v>54</v>
      </c>
      <c r="J1714" s="9">
        <v>1.0909090909090908</v>
      </c>
      <c r="K1714" s="9">
        <v>40</v>
      </c>
      <c r="L1714" s="9">
        <v>0.56999999999999995</v>
      </c>
      <c r="M1714" s="9">
        <v>22.8</v>
      </c>
      <c r="N1714" s="9" t="s">
        <v>49</v>
      </c>
      <c r="Q1714" s="9">
        <f>IF(Auction_Sales[[#This Row],[Payment Date]]=0,"",-1+WEEKNUM(Auction_Sales[[#This Row],[Payment Date]]))</f>
        <v>22</v>
      </c>
      <c r="R1714" s="9">
        <v>0</v>
      </c>
      <c r="S1714" s="9" t="s">
        <v>154</v>
      </c>
      <c r="T1714" s="9" t="s">
        <v>54</v>
      </c>
      <c r="U1714" s="9">
        <v>40</v>
      </c>
      <c r="V1714" s="13">
        <v>0.5</v>
      </c>
      <c r="W1714" s="13">
        <v>20</v>
      </c>
      <c r="X1714" s="14">
        <v>-1.6069117647058844</v>
      </c>
      <c r="Y1714" s="13">
        <v>18.393088235294115</v>
      </c>
      <c r="Z1714" s="10">
        <v>45448</v>
      </c>
      <c r="AA1714" s="9">
        <v>0</v>
      </c>
      <c r="AC1714" s="9">
        <v>442267</v>
      </c>
      <c r="AD1714" s="14">
        <v>3.8477922077922071</v>
      </c>
      <c r="AF1714" s="14">
        <v>0.8</v>
      </c>
      <c r="AH1714" s="14">
        <v>4.6477922077922074</v>
      </c>
      <c r="AI1714" s="13">
        <v>13.745296027501908</v>
      </c>
      <c r="AK1714" s="9">
        <v>40</v>
      </c>
    </row>
    <row r="1715" spans="1:37">
      <c r="A1715" s="9">
        <v>21</v>
      </c>
      <c r="B1715" s="9">
        <v>2024</v>
      </c>
      <c r="C1715" s="9" t="s">
        <v>46</v>
      </c>
      <c r="D1715" s="9" t="s">
        <v>47</v>
      </c>
      <c r="E1715" s="9" t="s">
        <v>47</v>
      </c>
      <c r="F1715" s="10">
        <v>45435</v>
      </c>
      <c r="G1715" s="9" t="s">
        <v>154</v>
      </c>
      <c r="H1715" s="9" t="s">
        <v>56</v>
      </c>
      <c r="J1715" s="9">
        <v>1.0909090909090908</v>
      </c>
      <c r="K1715" s="9">
        <v>40</v>
      </c>
      <c r="L1715" s="9">
        <v>0.75</v>
      </c>
      <c r="M1715" s="9">
        <v>30</v>
      </c>
      <c r="N1715" s="9" t="s">
        <v>49</v>
      </c>
      <c r="Q1715" s="9">
        <f>IF(Auction_Sales[[#This Row],[Payment Date]]=0,"",-1+WEEKNUM(Auction_Sales[[#This Row],[Payment Date]]))</f>
        <v>22</v>
      </c>
      <c r="R1715" s="9">
        <v>0</v>
      </c>
      <c r="S1715" s="9" t="s">
        <v>154</v>
      </c>
      <c r="T1715" s="9" t="s">
        <v>56</v>
      </c>
      <c r="U1715" s="9">
        <v>40</v>
      </c>
      <c r="V1715" s="13">
        <v>0.41</v>
      </c>
      <c r="W1715" s="13">
        <v>16.399999999999999</v>
      </c>
      <c r="X1715" s="14">
        <v>-1.6069117647058844</v>
      </c>
      <c r="Y1715" s="13">
        <v>14.793088235294114</v>
      </c>
      <c r="Z1715" s="10">
        <v>45448</v>
      </c>
      <c r="AA1715" s="9">
        <v>0</v>
      </c>
      <c r="AC1715" s="9">
        <v>442267</v>
      </c>
      <c r="AD1715" s="14">
        <v>3.8477922077922071</v>
      </c>
      <c r="AF1715" s="14">
        <v>0.8</v>
      </c>
      <c r="AH1715" s="14">
        <v>4.6477922077922074</v>
      </c>
      <c r="AI1715" s="13">
        <v>10.145296027501907</v>
      </c>
      <c r="AK1715" s="9">
        <v>40</v>
      </c>
    </row>
    <row r="1716" spans="1:37">
      <c r="A1716" s="9">
        <v>21</v>
      </c>
      <c r="B1716" s="9">
        <v>2024</v>
      </c>
      <c r="C1716" s="9" t="s">
        <v>46</v>
      </c>
      <c r="D1716" s="9" t="s">
        <v>47</v>
      </c>
      <c r="E1716" s="9" t="s">
        <v>47</v>
      </c>
      <c r="F1716" s="10">
        <v>45435</v>
      </c>
      <c r="G1716" s="9" t="s">
        <v>155</v>
      </c>
      <c r="H1716" s="9" t="s">
        <v>51</v>
      </c>
      <c r="I1716" s="9">
        <v>1</v>
      </c>
      <c r="J1716" s="9">
        <v>2.1818181818181817</v>
      </c>
      <c r="K1716" s="9">
        <v>80</v>
      </c>
      <c r="L1716" s="9">
        <v>0.38</v>
      </c>
      <c r="M1716" s="9">
        <v>30.4</v>
      </c>
      <c r="N1716" s="9" t="s">
        <v>49</v>
      </c>
      <c r="Q1716" s="9">
        <f>IF(Auction_Sales[[#This Row],[Payment Date]]=0,"",-1+WEEKNUM(Auction_Sales[[#This Row],[Payment Date]]))</f>
        <v>22</v>
      </c>
      <c r="R1716" s="9">
        <v>80</v>
      </c>
      <c r="S1716" s="9" t="s">
        <v>155</v>
      </c>
      <c r="T1716" s="9" t="s">
        <v>51</v>
      </c>
      <c r="W1716" s="13">
        <v>0</v>
      </c>
      <c r="X1716" s="14">
        <v>0</v>
      </c>
      <c r="Y1716" s="13">
        <v>0</v>
      </c>
      <c r="Z1716" s="10">
        <v>45448</v>
      </c>
      <c r="AA1716" s="9">
        <v>-80</v>
      </c>
      <c r="AC1716" s="9">
        <v>442267</v>
      </c>
      <c r="AD1716" s="14">
        <v>7.6955844155844142</v>
      </c>
      <c r="AF1716" s="14">
        <v>0</v>
      </c>
      <c r="AH1716" s="14">
        <v>7.6955844155844142</v>
      </c>
      <c r="AI1716" s="13">
        <v>-7.6955844155844142</v>
      </c>
      <c r="AK1716" s="9">
        <v>0</v>
      </c>
    </row>
    <row r="1717" spans="1:37">
      <c r="A1717" s="9">
        <v>21</v>
      </c>
      <c r="B1717" s="9">
        <v>2024</v>
      </c>
      <c r="C1717" s="9" t="s">
        <v>46</v>
      </c>
      <c r="D1717" s="9" t="s">
        <v>47</v>
      </c>
      <c r="E1717" s="9" t="s">
        <v>47</v>
      </c>
      <c r="F1717" s="10">
        <v>45435</v>
      </c>
      <c r="G1717" s="9" t="s">
        <v>155</v>
      </c>
      <c r="H1717" s="9" t="s">
        <v>48</v>
      </c>
      <c r="J1717" s="9">
        <v>5.4545454545454541</v>
      </c>
      <c r="K1717" s="9">
        <v>200</v>
      </c>
      <c r="L1717" s="9">
        <v>0.47</v>
      </c>
      <c r="M1717" s="9">
        <v>94</v>
      </c>
      <c r="N1717" s="9" t="s">
        <v>49</v>
      </c>
      <c r="Q1717" s="9">
        <f>IF(Auction_Sales[[#This Row],[Payment Date]]=0,"",-1+WEEKNUM(Auction_Sales[[#This Row],[Payment Date]]))</f>
        <v>22</v>
      </c>
      <c r="R1717" s="9">
        <v>200</v>
      </c>
      <c r="S1717" s="9" t="s">
        <v>155</v>
      </c>
      <c r="T1717" s="9" t="s">
        <v>48</v>
      </c>
      <c r="W1717" s="13">
        <v>0</v>
      </c>
      <c r="X1717" s="14">
        <v>0</v>
      </c>
      <c r="Y1717" s="13">
        <v>0</v>
      </c>
      <c r="Z1717" s="10">
        <v>45448</v>
      </c>
      <c r="AA1717" s="9">
        <v>-200</v>
      </c>
      <c r="AC1717" s="9">
        <v>442267</v>
      </c>
      <c r="AD1717" s="14">
        <v>19.238961038961037</v>
      </c>
      <c r="AF1717" s="14">
        <v>0</v>
      </c>
      <c r="AH1717" s="14">
        <v>19.238961038961037</v>
      </c>
      <c r="AI1717" s="13">
        <v>-19.238961038961037</v>
      </c>
      <c r="AK1717" s="9">
        <v>0</v>
      </c>
    </row>
    <row r="1718" spans="1:37">
      <c r="A1718" s="9">
        <v>21</v>
      </c>
      <c r="B1718" s="9">
        <v>2024</v>
      </c>
      <c r="C1718" s="9" t="s">
        <v>46</v>
      </c>
      <c r="D1718" s="9" t="s">
        <v>47</v>
      </c>
      <c r="E1718" s="9" t="s">
        <v>47</v>
      </c>
      <c r="F1718" s="10">
        <v>45435</v>
      </c>
      <c r="G1718" s="9" t="s">
        <v>155</v>
      </c>
      <c r="H1718" s="9" t="s">
        <v>52</v>
      </c>
      <c r="J1718" s="9">
        <v>2.1818181818181817</v>
      </c>
      <c r="K1718" s="9">
        <v>80</v>
      </c>
      <c r="L1718" s="9">
        <v>0.52</v>
      </c>
      <c r="M1718" s="9">
        <v>41.6</v>
      </c>
      <c r="N1718" s="9" t="s">
        <v>49</v>
      </c>
      <c r="Q1718" s="9">
        <f>IF(Auction_Sales[[#This Row],[Payment Date]]=0,"",-1+WEEKNUM(Auction_Sales[[#This Row],[Payment Date]]))</f>
        <v>22</v>
      </c>
      <c r="R1718" s="9">
        <v>0</v>
      </c>
      <c r="S1718" s="9" t="s">
        <v>155</v>
      </c>
      <c r="T1718" s="9" t="s">
        <v>52</v>
      </c>
      <c r="U1718" s="9">
        <v>80</v>
      </c>
      <c r="V1718" s="13">
        <v>0.94000000000000006</v>
      </c>
      <c r="W1718" s="13">
        <v>75.2</v>
      </c>
      <c r="X1718" s="14">
        <v>-3.2138235294117687</v>
      </c>
      <c r="Y1718" s="13">
        <v>71.986176470588234</v>
      </c>
      <c r="Z1718" s="10">
        <v>45448</v>
      </c>
      <c r="AA1718" s="9">
        <v>0</v>
      </c>
      <c r="AC1718" s="9">
        <v>442267</v>
      </c>
      <c r="AD1718" s="14">
        <v>7.6955844155844142</v>
      </c>
      <c r="AF1718" s="14">
        <v>1.6</v>
      </c>
      <c r="AH1718" s="14">
        <v>9.2955844155844147</v>
      </c>
      <c r="AI1718" s="13">
        <v>62.690592055003819</v>
      </c>
      <c r="AK1718" s="9">
        <v>80</v>
      </c>
    </row>
    <row r="1719" spans="1:37">
      <c r="A1719" s="9">
        <v>21</v>
      </c>
      <c r="B1719" s="9">
        <v>2024</v>
      </c>
      <c r="C1719" s="9" t="s">
        <v>46</v>
      </c>
      <c r="D1719" s="9" t="s">
        <v>47</v>
      </c>
      <c r="E1719" s="9" t="s">
        <v>47</v>
      </c>
      <c r="F1719" s="10">
        <v>45435</v>
      </c>
      <c r="G1719" s="9" t="s">
        <v>155</v>
      </c>
      <c r="H1719" s="9" t="s">
        <v>54</v>
      </c>
      <c r="J1719" s="9">
        <v>2.1818181818181817</v>
      </c>
      <c r="K1719" s="9">
        <v>80</v>
      </c>
      <c r="L1719" s="9">
        <v>0.56999999999999995</v>
      </c>
      <c r="M1719" s="9">
        <v>45.6</v>
      </c>
      <c r="N1719" s="9" t="s">
        <v>49</v>
      </c>
      <c r="Q1719" s="9">
        <f>IF(Auction_Sales[[#This Row],[Payment Date]]=0,"",-1+WEEKNUM(Auction_Sales[[#This Row],[Payment Date]]))</f>
        <v>22</v>
      </c>
      <c r="R1719" s="9">
        <v>80</v>
      </c>
      <c r="S1719" s="9" t="s">
        <v>155</v>
      </c>
      <c r="T1719" s="9" t="s">
        <v>54</v>
      </c>
      <c r="W1719" s="13">
        <v>0</v>
      </c>
      <c r="X1719" s="14">
        <v>0</v>
      </c>
      <c r="Y1719" s="13">
        <v>0</v>
      </c>
      <c r="Z1719" s="10">
        <v>45448</v>
      </c>
      <c r="AA1719" s="9">
        <v>-80</v>
      </c>
      <c r="AC1719" s="9">
        <v>442267</v>
      </c>
      <c r="AD1719" s="14">
        <v>7.6955844155844142</v>
      </c>
      <c r="AF1719" s="14">
        <v>0</v>
      </c>
      <c r="AH1719" s="14">
        <v>7.6955844155844142</v>
      </c>
      <c r="AI1719" s="13">
        <v>-7.6955844155844142</v>
      </c>
      <c r="AK1719" s="9">
        <v>0</v>
      </c>
    </row>
    <row r="1720" spans="1:37">
      <c r="A1720" s="9">
        <v>21</v>
      </c>
      <c r="B1720" s="9">
        <v>2024</v>
      </c>
      <c r="C1720" s="9" t="s">
        <v>46</v>
      </c>
      <c r="D1720" s="9" t="s">
        <v>47</v>
      </c>
      <c r="E1720" s="9" t="s">
        <v>47</v>
      </c>
      <c r="F1720" s="10">
        <v>45435</v>
      </c>
      <c r="G1720" s="9" t="s">
        <v>156</v>
      </c>
      <c r="H1720" s="9" t="s">
        <v>51</v>
      </c>
      <c r="I1720" s="9">
        <v>1</v>
      </c>
      <c r="J1720" s="9">
        <v>10.909090909090908</v>
      </c>
      <c r="K1720" s="9">
        <v>400</v>
      </c>
      <c r="L1720" s="9">
        <v>0.42</v>
      </c>
      <c r="M1720" s="9">
        <v>168</v>
      </c>
      <c r="N1720" s="9" t="s">
        <v>49</v>
      </c>
      <c r="Q1720" s="9">
        <f>IF(Auction_Sales[[#This Row],[Payment Date]]=0,"",-1+WEEKNUM(Auction_Sales[[#This Row],[Payment Date]]))</f>
        <v>22</v>
      </c>
      <c r="R1720" s="9">
        <v>0</v>
      </c>
      <c r="S1720" s="9" t="s">
        <v>156</v>
      </c>
      <c r="T1720" s="9" t="s">
        <v>51</v>
      </c>
      <c r="U1720" s="9">
        <v>400</v>
      </c>
      <c r="V1720" s="13">
        <v>0.39600000000000002</v>
      </c>
      <c r="W1720" s="13">
        <v>158.4</v>
      </c>
      <c r="X1720" s="14">
        <v>-16.069117647058846</v>
      </c>
      <c r="Y1720" s="13">
        <v>142.33088235294116</v>
      </c>
      <c r="Z1720" s="10">
        <v>45448</v>
      </c>
      <c r="AA1720" s="9">
        <v>0</v>
      </c>
      <c r="AC1720" s="9">
        <v>442267</v>
      </c>
      <c r="AD1720" s="14">
        <v>38.477922077922074</v>
      </c>
      <c r="AF1720" s="14">
        <v>8</v>
      </c>
      <c r="AH1720" s="14">
        <v>46.477922077922074</v>
      </c>
      <c r="AI1720" s="13">
        <v>95.852960275019086</v>
      </c>
      <c r="AK1720" s="9">
        <v>400</v>
      </c>
    </row>
    <row r="1721" spans="1:37">
      <c r="A1721" s="9">
        <v>21</v>
      </c>
      <c r="B1721" s="9">
        <v>2024</v>
      </c>
      <c r="C1721" s="9" t="s">
        <v>46</v>
      </c>
      <c r="D1721" s="9" t="s">
        <v>47</v>
      </c>
      <c r="E1721" s="9" t="s">
        <v>47</v>
      </c>
      <c r="F1721" s="10">
        <v>45435</v>
      </c>
      <c r="G1721" s="9" t="s">
        <v>156</v>
      </c>
      <c r="H1721" s="9" t="s">
        <v>48</v>
      </c>
      <c r="J1721" s="9">
        <v>1.0909090909090908</v>
      </c>
      <c r="K1721" s="9">
        <v>40</v>
      </c>
      <c r="L1721" s="9">
        <v>0.52</v>
      </c>
      <c r="M1721" s="9">
        <v>20.8</v>
      </c>
      <c r="N1721" s="9" t="s">
        <v>49</v>
      </c>
      <c r="Q1721" s="9">
        <f>IF(Auction_Sales[[#This Row],[Payment Date]]=0,"",-1+WEEKNUM(Auction_Sales[[#This Row],[Payment Date]]))</f>
        <v>22</v>
      </c>
      <c r="R1721" s="9">
        <v>40</v>
      </c>
      <c r="S1721" s="9" t="s">
        <v>156</v>
      </c>
      <c r="T1721" s="9" t="s">
        <v>48</v>
      </c>
      <c r="W1721" s="13">
        <v>0</v>
      </c>
      <c r="X1721" s="14">
        <v>0</v>
      </c>
      <c r="Y1721" s="13">
        <v>0</v>
      </c>
      <c r="Z1721" s="10">
        <v>45448</v>
      </c>
      <c r="AA1721" s="9">
        <v>-40</v>
      </c>
      <c r="AC1721" s="9">
        <v>442267</v>
      </c>
      <c r="AD1721" s="14">
        <v>3.8477922077922071</v>
      </c>
      <c r="AF1721" s="14">
        <v>0</v>
      </c>
      <c r="AH1721" s="14">
        <v>3.8477922077922071</v>
      </c>
      <c r="AI1721" s="13">
        <v>-3.8477922077922071</v>
      </c>
      <c r="AK1721" s="9">
        <v>0</v>
      </c>
    </row>
    <row r="1722" spans="1:37">
      <c r="A1722" s="9">
        <v>21</v>
      </c>
      <c r="B1722" s="9">
        <v>2024</v>
      </c>
      <c r="C1722" s="9" t="s">
        <v>46</v>
      </c>
      <c r="D1722" s="9" t="s">
        <v>47</v>
      </c>
      <c r="E1722" s="9" t="s">
        <v>47</v>
      </c>
      <c r="F1722" s="10">
        <v>45435</v>
      </c>
      <c r="G1722" s="9" t="s">
        <v>153</v>
      </c>
      <c r="H1722" s="9" t="s">
        <v>57</v>
      </c>
      <c r="I1722" s="9">
        <v>1</v>
      </c>
      <c r="J1722" s="9">
        <v>2</v>
      </c>
      <c r="K1722" s="9">
        <v>120</v>
      </c>
      <c r="L1722" s="9">
        <v>0.47</v>
      </c>
      <c r="M1722" s="9">
        <v>56.4</v>
      </c>
      <c r="N1722" s="9" t="s">
        <v>49</v>
      </c>
      <c r="Q1722" s="9">
        <f>IF(Auction_Sales[[#This Row],[Payment Date]]=0,"",-1+WEEKNUM(Auction_Sales[[#This Row],[Payment Date]]))</f>
        <v>22</v>
      </c>
      <c r="R1722" s="9">
        <v>0</v>
      </c>
      <c r="S1722" s="9" t="s">
        <v>153</v>
      </c>
      <c r="T1722" s="9" t="s">
        <v>57</v>
      </c>
      <c r="U1722" s="9">
        <v>120</v>
      </c>
      <c r="V1722" s="13">
        <v>0.46666666666666667</v>
      </c>
      <c r="W1722" s="13">
        <v>56</v>
      </c>
      <c r="X1722" s="14">
        <v>-4.8207352941176529</v>
      </c>
      <c r="Y1722" s="13">
        <v>51.179264705882346</v>
      </c>
      <c r="Z1722" s="10">
        <v>45448</v>
      </c>
      <c r="AA1722" s="9">
        <v>0</v>
      </c>
      <c r="AC1722" s="9">
        <v>442267</v>
      </c>
      <c r="AD1722" s="14">
        <v>7.0542857142857134</v>
      </c>
      <c r="AF1722" s="14">
        <v>2.4</v>
      </c>
      <c r="AH1722" s="14">
        <v>9.4542857142857137</v>
      </c>
      <c r="AI1722" s="13">
        <v>41.724978991596629</v>
      </c>
      <c r="AK1722" s="9">
        <v>120</v>
      </c>
    </row>
    <row r="1723" spans="1:37">
      <c r="A1723" s="9">
        <v>21</v>
      </c>
      <c r="B1723" s="9">
        <v>2024</v>
      </c>
      <c r="C1723" s="9" t="s">
        <v>46</v>
      </c>
      <c r="D1723" s="9" t="s">
        <v>47</v>
      </c>
      <c r="E1723" s="9" t="s">
        <v>47</v>
      </c>
      <c r="F1723" s="10">
        <v>45435</v>
      </c>
      <c r="G1723" s="9" t="s">
        <v>153</v>
      </c>
      <c r="H1723" s="9" t="s">
        <v>48</v>
      </c>
      <c r="J1723" s="9">
        <v>10</v>
      </c>
      <c r="K1723" s="9">
        <v>600</v>
      </c>
      <c r="L1723" s="9">
        <v>0.24</v>
      </c>
      <c r="M1723" s="9">
        <v>144</v>
      </c>
      <c r="N1723" s="9" t="s">
        <v>49</v>
      </c>
      <c r="Q1723" s="9">
        <f>IF(Auction_Sales[[#This Row],[Payment Date]]=0,"",-1+WEEKNUM(Auction_Sales[[#This Row],[Payment Date]]))</f>
        <v>22</v>
      </c>
      <c r="R1723" s="9">
        <v>600</v>
      </c>
      <c r="S1723" s="9" t="s">
        <v>153</v>
      </c>
      <c r="T1723" s="9" t="s">
        <v>48</v>
      </c>
      <c r="W1723" s="13">
        <v>0</v>
      </c>
      <c r="X1723" s="14">
        <v>0</v>
      </c>
      <c r="Y1723" s="13">
        <v>0</v>
      </c>
      <c r="Z1723" s="10">
        <v>45448</v>
      </c>
      <c r="AA1723" s="9">
        <v>-600</v>
      </c>
      <c r="AC1723" s="9">
        <v>442267</v>
      </c>
      <c r="AD1723" s="14">
        <v>35.271428571428565</v>
      </c>
      <c r="AF1723" s="14">
        <v>0</v>
      </c>
      <c r="AH1723" s="14">
        <v>35.271428571428565</v>
      </c>
      <c r="AI1723" s="13">
        <v>-35.271428571428565</v>
      </c>
      <c r="AK1723" s="9">
        <v>0</v>
      </c>
    </row>
    <row r="1724" spans="1:37">
      <c r="A1724" s="9">
        <v>21</v>
      </c>
      <c r="B1724" s="9">
        <v>2024</v>
      </c>
      <c r="C1724" s="9" t="s">
        <v>46</v>
      </c>
      <c r="D1724" s="9" t="s">
        <v>47</v>
      </c>
      <c r="E1724" s="9" t="s">
        <v>47</v>
      </c>
      <c r="F1724" s="10">
        <v>45435</v>
      </c>
      <c r="G1724" s="9" t="s">
        <v>153</v>
      </c>
      <c r="H1724" s="9" t="s">
        <v>52</v>
      </c>
      <c r="I1724" s="9">
        <v>1</v>
      </c>
      <c r="J1724" s="9">
        <v>2.1818181818181817</v>
      </c>
      <c r="K1724" s="9">
        <v>80</v>
      </c>
      <c r="L1724" s="9">
        <v>0.28000000000000003</v>
      </c>
      <c r="M1724" s="9">
        <v>22.4</v>
      </c>
      <c r="N1724" s="9" t="s">
        <v>49</v>
      </c>
      <c r="Q1724" s="9">
        <f>IF(Auction_Sales[[#This Row],[Payment Date]]=0,"",-1+WEEKNUM(Auction_Sales[[#This Row],[Payment Date]]))</f>
        <v>22</v>
      </c>
      <c r="R1724" s="9">
        <v>80</v>
      </c>
      <c r="S1724" s="9" t="s">
        <v>153</v>
      </c>
      <c r="T1724" s="9" t="s">
        <v>52</v>
      </c>
      <c r="W1724" s="13">
        <v>0</v>
      </c>
      <c r="X1724" s="14">
        <v>0</v>
      </c>
      <c r="Y1724" s="13">
        <v>0</v>
      </c>
      <c r="Z1724" s="10">
        <v>45448</v>
      </c>
      <c r="AA1724" s="9">
        <v>-80</v>
      </c>
      <c r="AC1724" s="9">
        <v>442267</v>
      </c>
      <c r="AD1724" s="14">
        <v>7.6955844155844142</v>
      </c>
      <c r="AF1724" s="14">
        <v>0</v>
      </c>
      <c r="AH1724" s="14">
        <v>7.6955844155844142</v>
      </c>
      <c r="AI1724" s="13">
        <v>-7.6955844155844142</v>
      </c>
      <c r="AK1724" s="9">
        <v>0</v>
      </c>
    </row>
    <row r="1725" spans="1:37">
      <c r="A1725" s="9">
        <v>21</v>
      </c>
      <c r="B1725" s="9">
        <v>2024</v>
      </c>
      <c r="C1725" s="9" t="s">
        <v>46</v>
      </c>
      <c r="D1725" s="9" t="s">
        <v>47</v>
      </c>
      <c r="E1725" s="9" t="s">
        <v>47</v>
      </c>
      <c r="F1725" s="10">
        <v>45435</v>
      </c>
      <c r="G1725" s="9" t="s">
        <v>153</v>
      </c>
      <c r="H1725" s="9" t="s">
        <v>56</v>
      </c>
      <c r="J1725" s="9">
        <v>9.8181818181818183</v>
      </c>
      <c r="K1725" s="9">
        <v>360</v>
      </c>
      <c r="L1725" s="9">
        <v>0.38</v>
      </c>
      <c r="M1725" s="9">
        <v>136.80000000000001</v>
      </c>
      <c r="N1725" s="9" t="s">
        <v>49</v>
      </c>
      <c r="Q1725" s="9">
        <f>IF(Auction_Sales[[#This Row],[Payment Date]]=0,"",-1+WEEKNUM(Auction_Sales[[#This Row],[Payment Date]]))</f>
        <v>22</v>
      </c>
      <c r="R1725" s="9">
        <v>0</v>
      </c>
      <c r="S1725" s="9" t="s">
        <v>153</v>
      </c>
      <c r="T1725" s="9" t="s">
        <v>56</v>
      </c>
      <c r="U1725" s="9">
        <v>360</v>
      </c>
      <c r="V1725" s="13">
        <v>0.32</v>
      </c>
      <c r="W1725" s="13">
        <v>115.2</v>
      </c>
      <c r="X1725" s="14">
        <v>-14.46220588235296</v>
      </c>
      <c r="Y1725" s="13">
        <v>100.73779411764704</v>
      </c>
      <c r="Z1725" s="10">
        <v>45448</v>
      </c>
      <c r="AA1725" s="9">
        <v>0</v>
      </c>
      <c r="AC1725" s="9">
        <v>442267</v>
      </c>
      <c r="AD1725" s="14">
        <v>34.630129870129863</v>
      </c>
      <c r="AF1725" s="14">
        <v>7.2</v>
      </c>
      <c r="AH1725" s="14">
        <v>41.830129870129866</v>
      </c>
      <c r="AI1725" s="13">
        <v>58.907664247517175</v>
      </c>
      <c r="AK1725" s="9">
        <v>360</v>
      </c>
    </row>
    <row r="1726" spans="1:37">
      <c r="A1726" s="9">
        <v>21</v>
      </c>
      <c r="B1726" s="9">
        <v>2024</v>
      </c>
      <c r="C1726" s="9" t="s">
        <v>46</v>
      </c>
      <c r="D1726" s="9" t="s">
        <v>47</v>
      </c>
      <c r="E1726" s="9" t="s">
        <v>47</v>
      </c>
      <c r="F1726" s="10">
        <v>45435</v>
      </c>
      <c r="G1726" s="9" t="s">
        <v>155</v>
      </c>
      <c r="H1726" s="9" t="s">
        <v>57</v>
      </c>
      <c r="N1726" s="9" t="s">
        <v>49</v>
      </c>
      <c r="Q1726" s="9">
        <f>IF(Auction_Sales[[#This Row],[Payment Date]]=0,"",-1+WEEKNUM(Auction_Sales[[#This Row],[Payment Date]]))</f>
        <v>22</v>
      </c>
      <c r="R1726" s="9">
        <v>-80</v>
      </c>
      <c r="S1726" s="9" t="s">
        <v>155</v>
      </c>
      <c r="T1726" s="9" t="s">
        <v>57</v>
      </c>
      <c r="U1726" s="9">
        <v>80</v>
      </c>
      <c r="V1726" s="13">
        <v>1.0349999999999999</v>
      </c>
      <c r="W1726" s="13">
        <v>82.8</v>
      </c>
      <c r="X1726" s="14">
        <v>-3.2138235294117687</v>
      </c>
      <c r="Y1726" s="13">
        <v>79.586176470588228</v>
      </c>
      <c r="Z1726" s="10">
        <v>45448</v>
      </c>
      <c r="AA1726" s="9">
        <v>80</v>
      </c>
      <c r="AC1726" s="9">
        <v>442267</v>
      </c>
      <c r="AD1726" s="14">
        <v>0</v>
      </c>
      <c r="AF1726" s="14">
        <v>1.6</v>
      </c>
      <c r="AH1726" s="14">
        <v>1.6</v>
      </c>
      <c r="AI1726" s="13">
        <v>77.986176470588234</v>
      </c>
      <c r="AK1726" s="9">
        <v>80</v>
      </c>
    </row>
    <row r="1727" spans="1:37">
      <c r="A1727" s="9">
        <v>22</v>
      </c>
      <c r="B1727" s="9">
        <v>2024</v>
      </c>
      <c r="C1727" s="9" t="s">
        <v>46</v>
      </c>
      <c r="D1727" s="9" t="s">
        <v>47</v>
      </c>
      <c r="E1727" s="9" t="s">
        <v>47</v>
      </c>
      <c r="F1727" s="10">
        <v>45437</v>
      </c>
      <c r="G1727" s="9" t="s">
        <v>155</v>
      </c>
      <c r="H1727" s="9" t="s">
        <v>51</v>
      </c>
      <c r="I1727" s="9">
        <v>1</v>
      </c>
      <c r="J1727" s="9">
        <v>12</v>
      </c>
      <c r="K1727" s="9">
        <v>760</v>
      </c>
      <c r="L1727" s="9">
        <v>0.38</v>
      </c>
      <c r="M1727" s="9">
        <v>288.8</v>
      </c>
      <c r="N1727" s="9" t="s">
        <v>49</v>
      </c>
      <c r="Q1727" s="9">
        <f>IF(Auction_Sales[[#This Row],[Payment Date]]=0,"",-1+WEEKNUM(Auction_Sales[[#This Row],[Payment Date]]))</f>
        <v>22</v>
      </c>
      <c r="R1727" s="9">
        <v>-200</v>
      </c>
      <c r="S1727" s="9" t="s">
        <v>155</v>
      </c>
      <c r="T1727" s="9" t="s">
        <v>51</v>
      </c>
      <c r="U1727" s="9">
        <v>960</v>
      </c>
      <c r="V1727" s="13">
        <v>0.56833333333333336</v>
      </c>
      <c r="W1727" s="13">
        <v>545.6</v>
      </c>
      <c r="X1727" s="14">
        <v>-47.547499999999985</v>
      </c>
      <c r="Y1727" s="13">
        <v>498.05250000000001</v>
      </c>
      <c r="Z1727" s="10">
        <v>45448</v>
      </c>
      <c r="AA1727" s="9">
        <v>200</v>
      </c>
      <c r="AC1727" s="9">
        <v>442281</v>
      </c>
      <c r="AD1727" s="14">
        <v>43.402500000000003</v>
      </c>
      <c r="AF1727" s="14">
        <v>19.2</v>
      </c>
      <c r="AH1727" s="14">
        <v>62.602500000000006</v>
      </c>
      <c r="AI1727" s="13">
        <v>435.45</v>
      </c>
      <c r="AK1727" s="9">
        <v>960</v>
      </c>
    </row>
    <row r="1728" spans="1:37">
      <c r="A1728" s="9">
        <v>22</v>
      </c>
      <c r="B1728" s="9">
        <v>2024</v>
      </c>
      <c r="C1728" s="9" t="s">
        <v>46</v>
      </c>
      <c r="D1728" s="9" t="s">
        <v>47</v>
      </c>
      <c r="E1728" s="9" t="s">
        <v>47</v>
      </c>
      <c r="F1728" s="10">
        <v>45437</v>
      </c>
      <c r="G1728" s="9" t="s">
        <v>154</v>
      </c>
      <c r="H1728" s="9" t="s">
        <v>51</v>
      </c>
      <c r="I1728" s="9">
        <v>1</v>
      </c>
      <c r="J1728" s="9">
        <v>12</v>
      </c>
      <c r="K1728" s="9">
        <v>520</v>
      </c>
      <c r="L1728" s="9">
        <v>0.38</v>
      </c>
      <c r="M1728" s="9">
        <v>197.6</v>
      </c>
      <c r="N1728" s="9" t="s">
        <v>49</v>
      </c>
      <c r="Q1728" s="9">
        <f>IF(Auction_Sales[[#This Row],[Payment Date]]=0,"",-1+WEEKNUM(Auction_Sales[[#This Row],[Payment Date]]))</f>
        <v>22</v>
      </c>
      <c r="R1728" s="9">
        <v>520</v>
      </c>
      <c r="S1728" s="9" t="s">
        <v>154</v>
      </c>
      <c r="T1728" s="9" t="s">
        <v>51</v>
      </c>
      <c r="W1728" s="13">
        <v>0</v>
      </c>
      <c r="X1728" s="14">
        <v>0</v>
      </c>
      <c r="Y1728" s="13">
        <v>0</v>
      </c>
      <c r="Z1728" s="10">
        <v>45448</v>
      </c>
      <c r="AA1728" s="9">
        <v>-520</v>
      </c>
      <c r="AC1728" s="9">
        <v>442281</v>
      </c>
      <c r="AD1728" s="14">
        <v>43.402500000000003</v>
      </c>
      <c r="AF1728" s="14">
        <v>0</v>
      </c>
      <c r="AH1728" s="14">
        <v>43.402500000000003</v>
      </c>
      <c r="AI1728" s="13">
        <v>-43.402500000000003</v>
      </c>
      <c r="AK1728" s="9">
        <v>0</v>
      </c>
    </row>
    <row r="1729" spans="1:37">
      <c r="A1729" s="9">
        <v>22</v>
      </c>
      <c r="B1729" s="9">
        <v>2024</v>
      </c>
      <c r="C1729" s="9" t="s">
        <v>46</v>
      </c>
      <c r="D1729" s="9" t="s">
        <v>47</v>
      </c>
      <c r="E1729" s="9" t="s">
        <v>47</v>
      </c>
      <c r="F1729" s="10">
        <v>45437</v>
      </c>
      <c r="G1729" s="9" t="s">
        <v>153</v>
      </c>
      <c r="H1729" s="9" t="s">
        <v>52</v>
      </c>
      <c r="I1729" s="9">
        <v>1</v>
      </c>
      <c r="J1729" s="9">
        <v>12</v>
      </c>
      <c r="K1729" s="9">
        <v>520</v>
      </c>
      <c r="L1729" s="9">
        <v>0.28000000000000003</v>
      </c>
      <c r="M1729" s="9">
        <v>145.6</v>
      </c>
      <c r="N1729" s="9" t="s">
        <v>49</v>
      </c>
      <c r="Q1729" s="9">
        <f>IF(Auction_Sales[[#This Row],[Payment Date]]=0,"",-1+WEEKNUM(Auction_Sales[[#This Row],[Payment Date]]))</f>
        <v>22</v>
      </c>
      <c r="R1729" s="9">
        <v>-280</v>
      </c>
      <c r="S1729" s="9" t="s">
        <v>153</v>
      </c>
      <c r="T1729" s="9" t="s">
        <v>52</v>
      </c>
      <c r="U1729" s="9">
        <v>800</v>
      </c>
      <c r="V1729" s="13">
        <v>0.23899999999999999</v>
      </c>
      <c r="W1729" s="13">
        <v>191.2</v>
      </c>
      <c r="X1729" s="14">
        <v>-39.622916666666654</v>
      </c>
      <c r="Y1729" s="13">
        <v>151.57708333333335</v>
      </c>
      <c r="Z1729" s="10">
        <v>45448</v>
      </c>
      <c r="AA1729" s="9">
        <v>280</v>
      </c>
      <c r="AC1729" s="9">
        <v>442281</v>
      </c>
      <c r="AD1729" s="14">
        <v>43.402500000000003</v>
      </c>
      <c r="AF1729" s="14">
        <v>16</v>
      </c>
      <c r="AH1729" s="14">
        <v>59.402500000000003</v>
      </c>
      <c r="AI1729" s="13">
        <v>92.174583333333345</v>
      </c>
      <c r="AK1729" s="9">
        <v>800</v>
      </c>
    </row>
    <row r="1730" spans="1:37">
      <c r="A1730" s="9">
        <v>22</v>
      </c>
      <c r="B1730" s="9">
        <v>2024</v>
      </c>
      <c r="C1730" s="9" t="s">
        <v>46</v>
      </c>
      <c r="D1730" s="9" t="s">
        <v>47</v>
      </c>
      <c r="E1730" s="9" t="s">
        <v>47</v>
      </c>
      <c r="F1730" s="10">
        <v>45437</v>
      </c>
      <c r="G1730" s="9" t="s">
        <v>153</v>
      </c>
      <c r="H1730" s="9" t="s">
        <v>56</v>
      </c>
      <c r="I1730" s="9">
        <v>1</v>
      </c>
      <c r="J1730" s="9">
        <v>12</v>
      </c>
      <c r="K1730" s="9">
        <v>280</v>
      </c>
      <c r="L1730" s="9">
        <v>0.38</v>
      </c>
      <c r="M1730" s="9">
        <v>106.4</v>
      </c>
      <c r="N1730" s="9" t="s">
        <v>49</v>
      </c>
      <c r="Q1730" s="9">
        <f>IF(Auction_Sales[[#This Row],[Payment Date]]=0,"",-1+WEEKNUM(Auction_Sales[[#This Row],[Payment Date]]))</f>
        <v>22</v>
      </c>
      <c r="R1730" s="9">
        <v>0</v>
      </c>
      <c r="S1730" s="9" t="s">
        <v>153</v>
      </c>
      <c r="T1730" s="9" t="s">
        <v>56</v>
      </c>
      <c r="U1730" s="9">
        <v>280</v>
      </c>
      <c r="V1730" s="13">
        <v>0.43857142857142856</v>
      </c>
      <c r="W1730" s="13">
        <v>122.8</v>
      </c>
      <c r="X1730" s="14">
        <v>-13.868020833333329</v>
      </c>
      <c r="Y1730" s="13">
        <v>108.93197916666666</v>
      </c>
      <c r="Z1730" s="10">
        <v>45448</v>
      </c>
      <c r="AA1730" s="9">
        <v>0</v>
      </c>
      <c r="AC1730" s="9">
        <v>442281</v>
      </c>
      <c r="AD1730" s="14">
        <v>43.402500000000003</v>
      </c>
      <c r="AF1730" s="14">
        <v>5.6000000000000005</v>
      </c>
      <c r="AH1730" s="14">
        <v>49.002500000000005</v>
      </c>
      <c r="AI1730" s="13">
        <v>59.92947916666666</v>
      </c>
      <c r="AK1730" s="9">
        <v>280</v>
      </c>
    </row>
    <row r="1731" spans="1:37">
      <c r="A1731" s="9">
        <v>22</v>
      </c>
      <c r="B1731" s="9">
        <v>2024</v>
      </c>
      <c r="C1731" s="9" t="s">
        <v>46</v>
      </c>
      <c r="D1731" s="9" t="s">
        <v>47</v>
      </c>
      <c r="E1731" s="9" t="s">
        <v>47</v>
      </c>
      <c r="F1731" s="10">
        <v>45437</v>
      </c>
      <c r="G1731" s="9" t="s">
        <v>154</v>
      </c>
      <c r="H1731" s="9" t="s">
        <v>51</v>
      </c>
      <c r="I1731" s="9">
        <v>1</v>
      </c>
      <c r="J1731" s="9">
        <v>6</v>
      </c>
      <c r="K1731" s="9">
        <v>160</v>
      </c>
      <c r="L1731" s="9">
        <v>0.38</v>
      </c>
      <c r="M1731" s="9">
        <v>60.8</v>
      </c>
      <c r="N1731" s="9" t="s">
        <v>49</v>
      </c>
      <c r="Q1731" s="9">
        <f>IF(Auction_Sales[[#This Row],[Payment Date]]=0,"",-1+WEEKNUM(Auction_Sales[[#This Row],[Payment Date]]))</f>
        <v>22</v>
      </c>
      <c r="R1731" s="9">
        <v>-520</v>
      </c>
      <c r="S1731" s="9" t="s">
        <v>154</v>
      </c>
      <c r="T1731" s="9" t="s">
        <v>51</v>
      </c>
      <c r="U1731" s="9">
        <v>680</v>
      </c>
      <c r="V1731" s="13">
        <v>0.59411764705882353</v>
      </c>
      <c r="W1731" s="13">
        <v>404</v>
      </c>
      <c r="X1731" s="14">
        <v>-33.679479166666653</v>
      </c>
      <c r="Y1731" s="13">
        <v>370.32052083333338</v>
      </c>
      <c r="Z1731" s="10">
        <v>45448</v>
      </c>
      <c r="AA1731" s="9">
        <v>520</v>
      </c>
      <c r="AC1731" s="9">
        <v>442281</v>
      </c>
      <c r="AD1731" s="14">
        <v>21.701250000000002</v>
      </c>
      <c r="AF1731" s="14">
        <v>13.6</v>
      </c>
      <c r="AH1731" s="14">
        <v>35.301250000000003</v>
      </c>
      <c r="AI1731" s="13">
        <v>335.01927083333339</v>
      </c>
      <c r="AK1731" s="9">
        <v>680</v>
      </c>
    </row>
    <row r="1732" spans="1:37">
      <c r="A1732" s="9">
        <v>22</v>
      </c>
      <c r="B1732" s="9">
        <v>2024</v>
      </c>
      <c r="C1732" s="9" t="s">
        <v>46</v>
      </c>
      <c r="D1732" s="9" t="s">
        <v>47</v>
      </c>
      <c r="E1732" s="9" t="s">
        <v>47</v>
      </c>
      <c r="F1732" s="10">
        <v>45437</v>
      </c>
      <c r="G1732" s="9" t="s">
        <v>154</v>
      </c>
      <c r="H1732" s="9" t="s">
        <v>52</v>
      </c>
      <c r="J1732" s="9">
        <v>3</v>
      </c>
      <c r="K1732" s="9">
        <v>80</v>
      </c>
      <c r="L1732" s="9">
        <v>0.52</v>
      </c>
      <c r="M1732" s="9">
        <v>41.6</v>
      </c>
      <c r="N1732" s="9" t="s">
        <v>49</v>
      </c>
      <c r="Q1732" s="9">
        <f>IF(Auction_Sales[[#This Row],[Payment Date]]=0,"",-1+WEEKNUM(Auction_Sales[[#This Row],[Payment Date]]))</f>
        <v>22</v>
      </c>
      <c r="R1732" s="9">
        <v>0</v>
      </c>
      <c r="S1732" s="9" t="s">
        <v>154</v>
      </c>
      <c r="T1732" s="9" t="s">
        <v>52</v>
      </c>
      <c r="U1732" s="9">
        <v>80</v>
      </c>
      <c r="V1732" s="13">
        <v>0.32</v>
      </c>
      <c r="W1732" s="13">
        <v>25.6</v>
      </c>
      <c r="X1732" s="14">
        <v>-3.9622916666666654</v>
      </c>
      <c r="Y1732" s="13">
        <v>21.637708333333336</v>
      </c>
      <c r="Z1732" s="10">
        <v>45448</v>
      </c>
      <c r="AA1732" s="9">
        <v>0</v>
      </c>
      <c r="AC1732" s="9">
        <v>442281</v>
      </c>
      <c r="AD1732" s="14">
        <v>10.850625000000001</v>
      </c>
      <c r="AF1732" s="14">
        <v>1.6</v>
      </c>
      <c r="AH1732" s="14">
        <v>12.450625</v>
      </c>
      <c r="AI1732" s="13">
        <v>9.1870833333333355</v>
      </c>
      <c r="AK1732" s="9">
        <v>80</v>
      </c>
    </row>
    <row r="1733" spans="1:37">
      <c r="A1733" s="9">
        <v>22</v>
      </c>
      <c r="B1733" s="9">
        <v>2024</v>
      </c>
      <c r="C1733" s="9" t="s">
        <v>46</v>
      </c>
      <c r="D1733" s="9" t="s">
        <v>47</v>
      </c>
      <c r="E1733" s="9" t="s">
        <v>47</v>
      </c>
      <c r="F1733" s="10">
        <v>45437</v>
      </c>
      <c r="G1733" s="9" t="s">
        <v>154</v>
      </c>
      <c r="H1733" s="9" t="s">
        <v>54</v>
      </c>
      <c r="J1733" s="9">
        <v>3</v>
      </c>
      <c r="K1733" s="9">
        <v>80</v>
      </c>
      <c r="L1733" s="9">
        <v>0.56999999999999995</v>
      </c>
      <c r="M1733" s="9">
        <v>45.6</v>
      </c>
      <c r="N1733" s="9" t="s">
        <v>49</v>
      </c>
      <c r="Q1733" s="9">
        <f>IF(Auction_Sales[[#This Row],[Payment Date]]=0,"",-1+WEEKNUM(Auction_Sales[[#This Row],[Payment Date]]))</f>
        <v>22</v>
      </c>
      <c r="R1733" s="9">
        <v>0</v>
      </c>
      <c r="S1733" s="9" t="s">
        <v>154</v>
      </c>
      <c r="T1733" s="9" t="s">
        <v>54</v>
      </c>
      <c r="U1733" s="9">
        <v>80</v>
      </c>
      <c r="V1733" s="13">
        <v>0.27999999999999997</v>
      </c>
      <c r="W1733" s="13">
        <v>22.4</v>
      </c>
      <c r="X1733" s="14">
        <v>-3.9622916666666654</v>
      </c>
      <c r="Y1733" s="13">
        <v>18.437708333333333</v>
      </c>
      <c r="Z1733" s="10">
        <v>45448</v>
      </c>
      <c r="AA1733" s="9">
        <v>0</v>
      </c>
      <c r="AC1733" s="9">
        <v>442281</v>
      </c>
      <c r="AD1733" s="14">
        <v>10.850625000000001</v>
      </c>
      <c r="AF1733" s="14">
        <v>1.6</v>
      </c>
      <c r="AH1733" s="14">
        <v>12.450625</v>
      </c>
      <c r="AI1733" s="13">
        <v>5.9870833333333326</v>
      </c>
      <c r="AK1733" s="9">
        <v>80</v>
      </c>
    </row>
    <row r="1734" spans="1:37">
      <c r="A1734" s="9">
        <v>22</v>
      </c>
      <c r="B1734" s="9">
        <v>2024</v>
      </c>
      <c r="C1734" s="9" t="s">
        <v>46</v>
      </c>
      <c r="D1734" s="9" t="s">
        <v>47</v>
      </c>
      <c r="E1734" s="9" t="s">
        <v>47</v>
      </c>
      <c r="F1734" s="10">
        <v>45437</v>
      </c>
      <c r="G1734" s="9" t="s">
        <v>156</v>
      </c>
      <c r="H1734" s="9" t="s">
        <v>51</v>
      </c>
      <c r="I1734" s="9">
        <v>1</v>
      </c>
      <c r="J1734" s="9">
        <v>6</v>
      </c>
      <c r="K1734" s="9">
        <v>280</v>
      </c>
      <c r="L1734" s="9">
        <v>0.42</v>
      </c>
      <c r="M1734" s="9">
        <v>117.6</v>
      </c>
      <c r="N1734" s="9" t="s">
        <v>49</v>
      </c>
      <c r="Q1734" s="9">
        <f>IF(Auction_Sales[[#This Row],[Payment Date]]=0,"",-1+WEEKNUM(Auction_Sales[[#This Row],[Payment Date]]))</f>
        <v>22</v>
      </c>
      <c r="R1734" s="9">
        <v>0</v>
      </c>
      <c r="S1734" s="9" t="s">
        <v>156</v>
      </c>
      <c r="T1734" s="9" t="s">
        <v>51</v>
      </c>
      <c r="U1734" s="9">
        <v>280</v>
      </c>
      <c r="V1734" s="13">
        <v>0.17857142857142858</v>
      </c>
      <c r="W1734" s="13">
        <v>50</v>
      </c>
      <c r="X1734" s="14">
        <v>-13.868020833333329</v>
      </c>
      <c r="Y1734" s="13">
        <v>36.131979166666667</v>
      </c>
      <c r="Z1734" s="10">
        <v>45448</v>
      </c>
      <c r="AA1734" s="9">
        <v>0</v>
      </c>
      <c r="AC1734" s="9">
        <v>442281</v>
      </c>
      <c r="AD1734" s="14">
        <v>21.701250000000002</v>
      </c>
      <c r="AF1734" s="14">
        <v>5.6000000000000005</v>
      </c>
      <c r="AH1734" s="14">
        <v>27.301250000000003</v>
      </c>
      <c r="AI1734" s="13">
        <v>8.8307291666666643</v>
      </c>
      <c r="AK1734" s="9">
        <v>280</v>
      </c>
    </row>
    <row r="1735" spans="1:37">
      <c r="A1735" s="9">
        <v>22</v>
      </c>
      <c r="B1735" s="9">
        <v>2024</v>
      </c>
      <c r="C1735" s="9" t="s">
        <v>46</v>
      </c>
      <c r="D1735" s="9" t="s">
        <v>47</v>
      </c>
      <c r="E1735" s="9" t="s">
        <v>47</v>
      </c>
      <c r="F1735" s="10">
        <v>45437</v>
      </c>
      <c r="G1735" s="9" t="s">
        <v>156</v>
      </c>
      <c r="H1735" s="9" t="s">
        <v>48</v>
      </c>
      <c r="J1735" s="9">
        <v>4.2857142857142856</v>
      </c>
      <c r="K1735" s="9">
        <v>200</v>
      </c>
      <c r="L1735" s="9">
        <v>0.52</v>
      </c>
      <c r="M1735" s="9">
        <v>104</v>
      </c>
      <c r="N1735" s="9" t="s">
        <v>49</v>
      </c>
      <c r="Q1735" s="9">
        <f>IF(Auction_Sales[[#This Row],[Payment Date]]=0,"",-1+WEEKNUM(Auction_Sales[[#This Row],[Payment Date]]))</f>
        <v>22</v>
      </c>
      <c r="R1735" s="9">
        <v>0</v>
      </c>
      <c r="S1735" s="9" t="s">
        <v>156</v>
      </c>
      <c r="T1735" s="9" t="s">
        <v>48</v>
      </c>
      <c r="U1735" s="9">
        <v>200</v>
      </c>
      <c r="V1735" s="13">
        <v>0.39799999999999996</v>
      </c>
      <c r="W1735" s="13">
        <v>79.599999999999994</v>
      </c>
      <c r="X1735" s="14">
        <v>-9.9057291666666636</v>
      </c>
      <c r="Y1735" s="13">
        <v>69.694270833333334</v>
      </c>
      <c r="Z1735" s="10">
        <v>45448</v>
      </c>
      <c r="AA1735" s="9">
        <v>0</v>
      </c>
      <c r="AC1735" s="9">
        <v>442281</v>
      </c>
      <c r="AD1735" s="14">
        <v>15.500892857142858</v>
      </c>
      <c r="AF1735" s="14">
        <v>4</v>
      </c>
      <c r="AH1735" s="14">
        <v>19.500892857142858</v>
      </c>
      <c r="AI1735" s="13">
        <v>50.193377976190476</v>
      </c>
      <c r="AK1735" s="9">
        <v>200</v>
      </c>
    </row>
    <row r="1736" spans="1:37">
      <c r="A1736" s="9">
        <v>22</v>
      </c>
      <c r="B1736" s="9">
        <v>2024</v>
      </c>
      <c r="C1736" s="9" t="s">
        <v>46</v>
      </c>
      <c r="D1736" s="9" t="s">
        <v>47</v>
      </c>
      <c r="E1736" s="9" t="s">
        <v>47</v>
      </c>
      <c r="F1736" s="10">
        <v>45437</v>
      </c>
      <c r="G1736" s="9" t="s">
        <v>156</v>
      </c>
      <c r="H1736" s="9" t="s">
        <v>52</v>
      </c>
      <c r="J1736" s="9">
        <v>1.7142857142857142</v>
      </c>
      <c r="K1736" s="9">
        <v>80</v>
      </c>
      <c r="L1736" s="9">
        <v>0.61</v>
      </c>
      <c r="M1736" s="9">
        <v>48.8</v>
      </c>
      <c r="N1736" s="9" t="s">
        <v>49</v>
      </c>
      <c r="Q1736" s="9">
        <f>IF(Auction_Sales[[#This Row],[Payment Date]]=0,"",-1+WEEKNUM(Auction_Sales[[#This Row],[Payment Date]]))</f>
        <v>22</v>
      </c>
      <c r="R1736" s="9">
        <v>0</v>
      </c>
      <c r="S1736" s="9" t="s">
        <v>156</v>
      </c>
      <c r="T1736" s="9" t="s">
        <v>52</v>
      </c>
      <c r="U1736" s="9">
        <v>80</v>
      </c>
      <c r="V1736" s="13">
        <v>0.6</v>
      </c>
      <c r="W1736" s="13">
        <v>48</v>
      </c>
      <c r="X1736" s="14">
        <v>-3.9622916666666654</v>
      </c>
      <c r="Y1736" s="13">
        <v>44.037708333333335</v>
      </c>
      <c r="Z1736" s="10">
        <v>45448</v>
      </c>
      <c r="AA1736" s="9">
        <v>0</v>
      </c>
      <c r="AC1736" s="9">
        <v>442281</v>
      </c>
      <c r="AD1736" s="14">
        <v>6.2003571428571433</v>
      </c>
      <c r="AF1736" s="14">
        <v>1.6</v>
      </c>
      <c r="AH1736" s="14">
        <v>7.800357142857143</v>
      </c>
      <c r="AI1736" s="13">
        <v>36.23735119047619</v>
      </c>
      <c r="AK1736" s="9">
        <v>80</v>
      </c>
    </row>
    <row r="1737" spans="1:37">
      <c r="A1737" s="9">
        <v>22</v>
      </c>
      <c r="B1737" s="9">
        <v>2024</v>
      </c>
      <c r="C1737" s="9" t="s">
        <v>46</v>
      </c>
      <c r="D1737" s="9" t="s">
        <v>47</v>
      </c>
      <c r="E1737" s="9" t="s">
        <v>47</v>
      </c>
      <c r="F1737" s="10">
        <v>45437</v>
      </c>
      <c r="G1737" s="9" t="s">
        <v>155</v>
      </c>
      <c r="H1737" s="9" t="s">
        <v>51</v>
      </c>
      <c r="I1737" s="9">
        <v>1</v>
      </c>
      <c r="J1737" s="9">
        <v>6</v>
      </c>
      <c r="K1737" s="9">
        <v>200</v>
      </c>
      <c r="L1737" s="9">
        <v>0.38</v>
      </c>
      <c r="M1737" s="9">
        <v>76</v>
      </c>
      <c r="N1737" s="9" t="s">
        <v>49</v>
      </c>
      <c r="Q1737" s="9">
        <f>IF(Auction_Sales[[#This Row],[Payment Date]]=0,"",-1+WEEKNUM(Auction_Sales[[#This Row],[Payment Date]]))</f>
        <v>22</v>
      </c>
      <c r="R1737" s="9">
        <v>-280</v>
      </c>
      <c r="S1737" s="9" t="s">
        <v>155</v>
      </c>
      <c r="T1737" s="9" t="s">
        <v>51</v>
      </c>
      <c r="U1737" s="9">
        <v>480</v>
      </c>
      <c r="V1737" s="13">
        <v>7.0000000000000007E-2</v>
      </c>
      <c r="W1737" s="13">
        <v>33.6</v>
      </c>
      <c r="X1737" s="14">
        <v>-23.773749999999993</v>
      </c>
      <c r="Y1737" s="13">
        <v>9.8262500000000088</v>
      </c>
      <c r="Z1737" s="10">
        <v>45448</v>
      </c>
      <c r="AA1737" s="9">
        <v>280</v>
      </c>
      <c r="AC1737" s="9">
        <v>442281</v>
      </c>
      <c r="AD1737" s="14">
        <v>21.701250000000002</v>
      </c>
      <c r="AF1737" s="14">
        <v>9.6</v>
      </c>
      <c r="AH1737" s="14">
        <v>31.301250000000003</v>
      </c>
      <c r="AI1737" s="13">
        <v>-21.474999999999994</v>
      </c>
      <c r="AK1737" s="9">
        <v>480</v>
      </c>
    </row>
    <row r="1738" spans="1:37">
      <c r="A1738" s="9">
        <v>22</v>
      </c>
      <c r="B1738" s="9">
        <v>2024</v>
      </c>
      <c r="C1738" s="9" t="s">
        <v>46</v>
      </c>
      <c r="D1738" s="9" t="s">
        <v>47</v>
      </c>
      <c r="E1738" s="9" t="s">
        <v>47</v>
      </c>
      <c r="F1738" s="10">
        <v>45437</v>
      </c>
      <c r="G1738" s="9" t="s">
        <v>155</v>
      </c>
      <c r="H1738" s="9" t="s">
        <v>56</v>
      </c>
      <c r="J1738" s="9">
        <v>2.4000000000000004</v>
      </c>
      <c r="K1738" s="9">
        <v>80</v>
      </c>
      <c r="L1738" s="9">
        <v>0.75</v>
      </c>
      <c r="M1738" s="9">
        <v>60</v>
      </c>
      <c r="N1738" s="9" t="s">
        <v>49</v>
      </c>
      <c r="Q1738" s="9">
        <f>IF(Auction_Sales[[#This Row],[Payment Date]]=0,"",-1+WEEKNUM(Auction_Sales[[#This Row],[Payment Date]]))</f>
        <v>22</v>
      </c>
      <c r="R1738" s="9">
        <v>0</v>
      </c>
      <c r="S1738" s="9" t="s">
        <v>155</v>
      </c>
      <c r="T1738" s="9" t="s">
        <v>56</v>
      </c>
      <c r="U1738" s="9">
        <v>80</v>
      </c>
      <c r="V1738" s="13">
        <v>1.3199999999999998</v>
      </c>
      <c r="W1738" s="13">
        <v>105.6</v>
      </c>
      <c r="X1738" s="14">
        <v>-3.9622916666666654</v>
      </c>
      <c r="Y1738" s="13">
        <v>101.63770833333334</v>
      </c>
      <c r="Z1738" s="10">
        <v>45448</v>
      </c>
      <c r="AA1738" s="9">
        <v>0</v>
      </c>
      <c r="AC1738" s="9">
        <v>442281</v>
      </c>
      <c r="AD1738" s="14">
        <v>8.6805000000000021</v>
      </c>
      <c r="AF1738" s="14">
        <v>1.6</v>
      </c>
      <c r="AH1738" s="14">
        <v>10.280500000000002</v>
      </c>
      <c r="AI1738" s="13">
        <v>91.357208333333332</v>
      </c>
      <c r="AK1738" s="9">
        <v>80</v>
      </c>
    </row>
    <row r="1739" spans="1:37">
      <c r="A1739" s="9">
        <v>22</v>
      </c>
      <c r="B1739" s="9">
        <v>2024</v>
      </c>
      <c r="C1739" s="9" t="s">
        <v>46</v>
      </c>
      <c r="D1739" s="9" t="s">
        <v>47</v>
      </c>
      <c r="E1739" s="9" t="s">
        <v>47</v>
      </c>
      <c r="F1739" s="10">
        <v>45437</v>
      </c>
      <c r="G1739" s="9" t="s">
        <v>155</v>
      </c>
      <c r="H1739" s="9" t="s">
        <v>52</v>
      </c>
      <c r="J1739" s="9">
        <v>2.4000000000000004</v>
      </c>
      <c r="K1739" s="9">
        <v>80</v>
      </c>
      <c r="L1739" s="9">
        <v>0.52</v>
      </c>
      <c r="M1739" s="9">
        <v>41.6</v>
      </c>
      <c r="N1739" s="9" t="s">
        <v>49</v>
      </c>
      <c r="Q1739" s="9">
        <f>IF(Auction_Sales[[#This Row],[Payment Date]]=0,"",-1+WEEKNUM(Auction_Sales[[#This Row],[Payment Date]]))</f>
        <v>22</v>
      </c>
      <c r="R1739" s="9">
        <v>0</v>
      </c>
      <c r="S1739" s="9" t="s">
        <v>155</v>
      </c>
      <c r="T1739" s="9" t="s">
        <v>52</v>
      </c>
      <c r="U1739" s="9">
        <v>80</v>
      </c>
      <c r="V1739" s="13">
        <v>0.6</v>
      </c>
      <c r="W1739" s="13">
        <v>48</v>
      </c>
      <c r="X1739" s="14">
        <v>-3.9622916666666654</v>
      </c>
      <c r="Y1739" s="13">
        <v>44.037708333333335</v>
      </c>
      <c r="Z1739" s="10">
        <v>45448</v>
      </c>
      <c r="AA1739" s="9">
        <v>0</v>
      </c>
      <c r="AC1739" s="9">
        <v>442281</v>
      </c>
      <c r="AD1739" s="14">
        <v>8.6805000000000021</v>
      </c>
      <c r="AF1739" s="14">
        <v>1.6</v>
      </c>
      <c r="AH1739" s="14">
        <v>10.280500000000002</v>
      </c>
      <c r="AI1739" s="13">
        <v>33.757208333333331</v>
      </c>
      <c r="AK1739" s="9">
        <v>80</v>
      </c>
    </row>
    <row r="1740" spans="1:37">
      <c r="A1740" s="9">
        <v>22</v>
      </c>
      <c r="B1740" s="9">
        <v>2024</v>
      </c>
      <c r="C1740" s="9" t="s">
        <v>46</v>
      </c>
      <c r="D1740" s="9" t="s">
        <v>47</v>
      </c>
      <c r="E1740" s="9" t="s">
        <v>47</v>
      </c>
      <c r="F1740" s="10">
        <v>45437</v>
      </c>
      <c r="G1740" s="9" t="s">
        <v>155</v>
      </c>
      <c r="H1740" s="9" t="s">
        <v>54</v>
      </c>
      <c r="J1740" s="9">
        <v>1.2000000000000002</v>
      </c>
      <c r="K1740" s="9">
        <v>40</v>
      </c>
      <c r="L1740" s="9">
        <v>0.56999999999999995</v>
      </c>
      <c r="M1740" s="9">
        <v>22.8</v>
      </c>
      <c r="N1740" s="9" t="s">
        <v>49</v>
      </c>
      <c r="Q1740" s="9">
        <f>IF(Auction_Sales[[#This Row],[Payment Date]]=0,"",-1+WEEKNUM(Auction_Sales[[#This Row],[Payment Date]]))</f>
        <v>22</v>
      </c>
      <c r="R1740" s="9">
        <v>0</v>
      </c>
      <c r="S1740" s="9" t="s">
        <v>155</v>
      </c>
      <c r="T1740" s="9" t="s">
        <v>54</v>
      </c>
      <c r="U1740" s="9">
        <v>40</v>
      </c>
      <c r="V1740" s="13">
        <v>0.8</v>
      </c>
      <c r="W1740" s="13">
        <v>32</v>
      </c>
      <c r="X1740" s="14">
        <v>-1.9811458333333327</v>
      </c>
      <c r="Y1740" s="13">
        <v>30.018854166666667</v>
      </c>
      <c r="Z1740" s="10">
        <v>45448</v>
      </c>
      <c r="AA1740" s="9">
        <v>0</v>
      </c>
      <c r="AC1740" s="9">
        <v>442281</v>
      </c>
      <c r="AD1740" s="14">
        <v>4.3402500000000011</v>
      </c>
      <c r="AF1740" s="14">
        <v>0.8</v>
      </c>
      <c r="AH1740" s="14">
        <v>5.1402500000000009</v>
      </c>
      <c r="AI1740" s="13">
        <v>24.878604166666666</v>
      </c>
      <c r="AK1740" s="9">
        <v>40</v>
      </c>
    </row>
    <row r="1741" spans="1:37">
      <c r="A1741" s="9">
        <v>22</v>
      </c>
      <c r="B1741" s="9">
        <v>2024</v>
      </c>
      <c r="C1741" s="9" t="s">
        <v>46</v>
      </c>
      <c r="D1741" s="9" t="s">
        <v>47</v>
      </c>
      <c r="E1741" s="9" t="s">
        <v>47</v>
      </c>
      <c r="F1741" s="10">
        <v>45437</v>
      </c>
      <c r="G1741" s="9" t="s">
        <v>153</v>
      </c>
      <c r="H1741" s="9" t="s">
        <v>52</v>
      </c>
      <c r="I1741" s="9">
        <v>1</v>
      </c>
      <c r="J1741" s="9">
        <v>7</v>
      </c>
      <c r="K1741" s="9">
        <v>280</v>
      </c>
      <c r="L1741" s="9">
        <v>0.28000000000000003</v>
      </c>
      <c r="M1741" s="9">
        <v>78.400000000000006</v>
      </c>
      <c r="N1741" s="9" t="s">
        <v>49</v>
      </c>
      <c r="Q1741" s="9">
        <f>IF(Auction_Sales[[#This Row],[Payment Date]]=0,"",-1+WEEKNUM(Auction_Sales[[#This Row],[Payment Date]]))</f>
        <v>22</v>
      </c>
      <c r="R1741" s="9">
        <v>280</v>
      </c>
      <c r="S1741" s="9" t="s">
        <v>153</v>
      </c>
      <c r="T1741" s="9" t="s">
        <v>52</v>
      </c>
      <c r="W1741" s="13">
        <v>0</v>
      </c>
      <c r="X1741" s="14">
        <v>0</v>
      </c>
      <c r="Y1741" s="13">
        <v>0</v>
      </c>
      <c r="Z1741" s="10">
        <v>45448</v>
      </c>
      <c r="AA1741" s="9">
        <v>-280</v>
      </c>
      <c r="AC1741" s="9">
        <v>442281</v>
      </c>
      <c r="AD1741" s="14">
        <v>25.318125000000002</v>
      </c>
      <c r="AF1741" s="14">
        <v>0</v>
      </c>
      <c r="AH1741" s="14">
        <v>25.318125000000002</v>
      </c>
      <c r="AI1741" s="13">
        <v>-25.318125000000002</v>
      </c>
      <c r="AK1741" s="9">
        <v>0</v>
      </c>
    </row>
    <row r="1742" spans="1:37">
      <c r="A1742" s="9">
        <v>22</v>
      </c>
      <c r="B1742" s="9">
        <v>2024</v>
      </c>
      <c r="C1742" s="9" t="s">
        <v>46</v>
      </c>
      <c r="D1742" s="9" t="s">
        <v>47</v>
      </c>
      <c r="E1742" s="9" t="s">
        <v>47</v>
      </c>
      <c r="F1742" s="10">
        <v>45437</v>
      </c>
      <c r="G1742" s="9" t="s">
        <v>153</v>
      </c>
      <c r="H1742" s="9" t="s">
        <v>54</v>
      </c>
      <c r="J1742" s="9">
        <v>2</v>
      </c>
      <c r="K1742" s="9">
        <v>80</v>
      </c>
      <c r="L1742" s="9">
        <v>0.33</v>
      </c>
      <c r="M1742" s="9">
        <v>26.4</v>
      </c>
      <c r="N1742" s="9" t="s">
        <v>49</v>
      </c>
      <c r="Q1742" s="9">
        <f>IF(Auction_Sales[[#This Row],[Payment Date]]=0,"",-1+WEEKNUM(Auction_Sales[[#This Row],[Payment Date]]))</f>
        <v>22</v>
      </c>
      <c r="R1742" s="9">
        <v>0</v>
      </c>
      <c r="S1742" s="9" t="s">
        <v>153</v>
      </c>
      <c r="T1742" s="9" t="s">
        <v>54</v>
      </c>
      <c r="U1742" s="9">
        <v>80</v>
      </c>
      <c r="V1742" s="13">
        <v>0.36</v>
      </c>
      <c r="W1742" s="13">
        <v>28.799999999999997</v>
      </c>
      <c r="X1742" s="14">
        <v>-3.9622916666666654</v>
      </c>
      <c r="Y1742" s="13">
        <v>24.837708333333332</v>
      </c>
      <c r="Z1742" s="10">
        <v>45448</v>
      </c>
      <c r="AA1742" s="9">
        <v>0</v>
      </c>
      <c r="AC1742" s="9">
        <v>442281</v>
      </c>
      <c r="AD1742" s="14">
        <v>7.2337500000000006</v>
      </c>
      <c r="AF1742" s="14">
        <v>1.6</v>
      </c>
      <c r="AH1742" s="14">
        <v>8.8337500000000002</v>
      </c>
      <c r="AI1742" s="13">
        <v>16.00395833333333</v>
      </c>
      <c r="AK1742" s="9">
        <v>80</v>
      </c>
    </row>
    <row r="1743" spans="1:37">
      <c r="A1743" s="9">
        <v>22</v>
      </c>
      <c r="B1743" s="9">
        <v>2024</v>
      </c>
      <c r="C1743" s="9" t="s">
        <v>46</v>
      </c>
      <c r="D1743" s="9" t="s">
        <v>47</v>
      </c>
      <c r="E1743" s="9" t="s">
        <v>47</v>
      </c>
      <c r="F1743" s="10">
        <v>45437</v>
      </c>
      <c r="G1743" s="9" t="s">
        <v>153</v>
      </c>
      <c r="H1743" s="9" t="s">
        <v>57</v>
      </c>
      <c r="J1743" s="9">
        <v>3</v>
      </c>
      <c r="K1743" s="9">
        <v>120</v>
      </c>
      <c r="L1743" s="9">
        <v>0.47</v>
      </c>
      <c r="M1743" s="9">
        <v>56.4</v>
      </c>
      <c r="N1743" s="9" t="s">
        <v>49</v>
      </c>
      <c r="Q1743" s="9">
        <f>IF(Auction_Sales[[#This Row],[Payment Date]]=0,"",-1+WEEKNUM(Auction_Sales[[#This Row],[Payment Date]]))</f>
        <v>22</v>
      </c>
      <c r="R1743" s="9">
        <v>0</v>
      </c>
      <c r="S1743" s="9" t="s">
        <v>153</v>
      </c>
      <c r="T1743" s="9" t="s">
        <v>57</v>
      </c>
      <c r="U1743" s="9">
        <v>120</v>
      </c>
      <c r="V1743" s="13">
        <v>0.58333333333333337</v>
      </c>
      <c r="W1743" s="13">
        <v>70</v>
      </c>
      <c r="X1743" s="14">
        <v>-5.9434374999999982</v>
      </c>
      <c r="Y1743" s="13">
        <v>64.056562499999998</v>
      </c>
      <c r="Z1743" s="10">
        <v>45448</v>
      </c>
      <c r="AA1743" s="9">
        <v>0</v>
      </c>
      <c r="AC1743" s="9">
        <v>442281</v>
      </c>
      <c r="AD1743" s="14">
        <v>10.850625000000001</v>
      </c>
      <c r="AF1743" s="14">
        <v>2.4</v>
      </c>
      <c r="AH1743" s="14">
        <v>13.250625000000001</v>
      </c>
      <c r="AI1743" s="13">
        <v>50.805937499999999</v>
      </c>
      <c r="AK1743" s="9">
        <v>120</v>
      </c>
    </row>
    <row r="1744" spans="1:37">
      <c r="A1744" s="9">
        <v>22</v>
      </c>
      <c r="B1744" s="9">
        <v>2024</v>
      </c>
      <c r="C1744" s="9" t="s">
        <v>46</v>
      </c>
      <c r="D1744" s="9" t="s">
        <v>47</v>
      </c>
      <c r="E1744" s="9" t="s">
        <v>47</v>
      </c>
      <c r="F1744" s="10">
        <v>45437</v>
      </c>
      <c r="G1744" s="9" t="s">
        <v>155</v>
      </c>
      <c r="H1744" s="9" t="s">
        <v>48</v>
      </c>
      <c r="N1744" s="9" t="s">
        <v>49</v>
      </c>
      <c r="Q1744" s="9">
        <f>IF(Auction_Sales[[#This Row],[Payment Date]]=0,"",-1+WEEKNUM(Auction_Sales[[#This Row],[Payment Date]]))</f>
        <v>22</v>
      </c>
      <c r="R1744" s="9">
        <v>-360</v>
      </c>
      <c r="S1744" s="9" t="s">
        <v>155</v>
      </c>
      <c r="T1744" s="9" t="s">
        <v>48</v>
      </c>
      <c r="U1744" s="9">
        <v>360</v>
      </c>
      <c r="V1744" s="13">
        <v>0.08</v>
      </c>
      <c r="W1744" s="13">
        <v>28.8</v>
      </c>
      <c r="X1744" s="14">
        <v>-17.830312499999994</v>
      </c>
      <c r="Y1744" s="13">
        <v>10.969687500000006</v>
      </c>
      <c r="Z1744" s="10">
        <v>45448</v>
      </c>
      <c r="AA1744" s="9">
        <v>360</v>
      </c>
      <c r="AC1744" s="9">
        <v>442281</v>
      </c>
      <c r="AD1744" s="14">
        <v>0</v>
      </c>
      <c r="AF1744" s="14">
        <v>7.2</v>
      </c>
      <c r="AH1744" s="14">
        <v>7.2</v>
      </c>
      <c r="AI1744" s="13">
        <v>3.7696875000000061</v>
      </c>
      <c r="AK1744" s="9">
        <v>360</v>
      </c>
    </row>
    <row r="1745" spans="1:37">
      <c r="A1745" s="9">
        <v>22</v>
      </c>
      <c r="B1745" s="9">
        <v>2024</v>
      </c>
      <c r="C1745" s="9" t="s">
        <v>46</v>
      </c>
      <c r="D1745" s="9" t="s">
        <v>47</v>
      </c>
      <c r="E1745" s="9" t="s">
        <v>47</v>
      </c>
      <c r="F1745" s="10">
        <v>45437</v>
      </c>
      <c r="G1745" s="9" t="s">
        <v>155</v>
      </c>
      <c r="H1745" s="9" t="s">
        <v>51</v>
      </c>
      <c r="N1745" s="9" t="s">
        <v>49</v>
      </c>
      <c r="Q1745" s="9">
        <f>IF(Auction_Sales[[#This Row],[Payment Date]]=0,"",-1+WEEKNUM(Auction_Sales[[#This Row],[Payment Date]]))</f>
        <v>22</v>
      </c>
      <c r="R1745" s="9">
        <v>-240</v>
      </c>
      <c r="S1745" s="9" t="s">
        <v>155</v>
      </c>
      <c r="T1745" s="9" t="s">
        <v>51</v>
      </c>
      <c r="U1745" s="9">
        <v>240</v>
      </c>
      <c r="V1745" s="13">
        <v>6.0000000000000005E-2</v>
      </c>
      <c r="W1745" s="13">
        <v>14.4</v>
      </c>
      <c r="X1745" s="14">
        <v>-11.886874999999996</v>
      </c>
      <c r="Y1745" s="13">
        <v>2.5131250000000041</v>
      </c>
      <c r="Z1745" s="10">
        <v>45448</v>
      </c>
      <c r="AA1745" s="9">
        <v>240</v>
      </c>
      <c r="AC1745" s="9">
        <v>442281</v>
      </c>
      <c r="AD1745" s="14">
        <v>0</v>
      </c>
      <c r="AF1745" s="14">
        <v>4.8</v>
      </c>
      <c r="AH1745" s="14">
        <v>4.8</v>
      </c>
      <c r="AI1745" s="13">
        <v>-2.2868749999999958</v>
      </c>
      <c r="AK1745" s="9">
        <v>240</v>
      </c>
    </row>
    <row r="1746" spans="1:37">
      <c r="A1746" s="9">
        <v>22</v>
      </c>
      <c r="B1746" s="9">
        <v>2024</v>
      </c>
      <c r="C1746" s="9" t="s">
        <v>46</v>
      </c>
      <c r="D1746" s="9" t="s">
        <v>47</v>
      </c>
      <c r="E1746" s="9" t="s">
        <v>47</v>
      </c>
      <c r="F1746" s="10">
        <v>45437</v>
      </c>
      <c r="G1746" s="9" t="s">
        <v>155</v>
      </c>
      <c r="H1746" s="9" t="s">
        <v>48</v>
      </c>
      <c r="N1746" s="9" t="s">
        <v>49</v>
      </c>
      <c r="Q1746" s="9">
        <f>IF(Auction_Sales[[#This Row],[Payment Date]]=0,"",-1+WEEKNUM(Auction_Sales[[#This Row],[Payment Date]]))</f>
        <v>22</v>
      </c>
      <c r="R1746" s="9">
        <v>360</v>
      </c>
      <c r="S1746" s="9" t="s">
        <v>155</v>
      </c>
      <c r="T1746" s="9" t="s">
        <v>48</v>
      </c>
      <c r="U1746" s="9">
        <v>-360</v>
      </c>
      <c r="V1746" s="13">
        <v>0.8</v>
      </c>
      <c r="W1746" s="13">
        <v>-288</v>
      </c>
      <c r="X1746" s="14">
        <v>17.830312499999994</v>
      </c>
      <c r="Y1746" s="13">
        <v>-270.16968750000001</v>
      </c>
      <c r="Z1746" s="10">
        <v>45448</v>
      </c>
      <c r="AA1746" s="9">
        <v>-360</v>
      </c>
      <c r="AC1746" s="9">
        <v>442281</v>
      </c>
      <c r="AD1746" s="14">
        <v>0</v>
      </c>
      <c r="AF1746" s="14">
        <v>-7.2</v>
      </c>
      <c r="AH1746" s="14">
        <v>-7.2</v>
      </c>
      <c r="AI1746" s="13">
        <v>-262.96968750000002</v>
      </c>
      <c r="AK1746" s="9">
        <v>-360</v>
      </c>
    </row>
    <row r="1747" spans="1:37">
      <c r="A1747" s="9">
        <v>22</v>
      </c>
      <c r="B1747" s="9">
        <v>2024</v>
      </c>
      <c r="C1747" s="9" t="s">
        <v>46</v>
      </c>
      <c r="D1747" s="9" t="s">
        <v>47</v>
      </c>
      <c r="E1747" s="9" t="s">
        <v>47</v>
      </c>
      <c r="F1747" s="10">
        <v>45437</v>
      </c>
      <c r="G1747" s="9" t="s">
        <v>155</v>
      </c>
      <c r="H1747" s="9" t="s">
        <v>51</v>
      </c>
      <c r="N1747" s="9" t="s">
        <v>49</v>
      </c>
      <c r="Q1747" s="9">
        <f>IF(Auction_Sales[[#This Row],[Payment Date]]=0,"",-1+WEEKNUM(Auction_Sales[[#This Row],[Payment Date]]))</f>
        <v>22</v>
      </c>
      <c r="R1747" s="9">
        <v>480</v>
      </c>
      <c r="S1747" s="9" t="s">
        <v>155</v>
      </c>
      <c r="T1747" s="9" t="s">
        <v>51</v>
      </c>
      <c r="U1747" s="9">
        <v>-480</v>
      </c>
      <c r="V1747" s="13">
        <v>0.61</v>
      </c>
      <c r="W1747" s="13">
        <v>-292.8</v>
      </c>
      <c r="X1747" s="14">
        <v>23.773749999999993</v>
      </c>
      <c r="Y1747" s="13">
        <v>-269.02625</v>
      </c>
      <c r="Z1747" s="10">
        <v>45448</v>
      </c>
      <c r="AA1747" s="9">
        <v>-480</v>
      </c>
      <c r="AC1747" s="9">
        <v>442281</v>
      </c>
      <c r="AD1747" s="14">
        <v>0</v>
      </c>
      <c r="AF1747" s="14">
        <v>-9.6</v>
      </c>
      <c r="AH1747" s="14">
        <v>-9.6</v>
      </c>
      <c r="AI1747" s="13">
        <v>-259.42624999999998</v>
      </c>
      <c r="AK1747" s="9">
        <v>-480</v>
      </c>
    </row>
    <row r="1748" spans="1:37">
      <c r="A1748" s="9">
        <v>22</v>
      </c>
      <c r="B1748" s="9">
        <v>2024</v>
      </c>
      <c r="C1748" s="9" t="s">
        <v>46</v>
      </c>
      <c r="D1748" s="9" t="s">
        <v>47</v>
      </c>
      <c r="E1748" s="9" t="s">
        <v>47</v>
      </c>
      <c r="F1748" s="10">
        <v>45437</v>
      </c>
      <c r="G1748" s="9" t="s">
        <v>155</v>
      </c>
      <c r="H1748" s="9" t="s">
        <v>51</v>
      </c>
      <c r="N1748" s="9" t="s">
        <v>49</v>
      </c>
      <c r="Q1748" s="9">
        <f>IF(Auction_Sales[[#This Row],[Payment Date]]=0,"",-1+WEEKNUM(Auction_Sales[[#This Row],[Payment Date]]))</f>
        <v>22</v>
      </c>
      <c r="R1748" s="9">
        <v>240</v>
      </c>
      <c r="S1748" s="9" t="s">
        <v>155</v>
      </c>
      <c r="T1748" s="9" t="s">
        <v>51</v>
      </c>
      <c r="U1748" s="9">
        <v>-240</v>
      </c>
      <c r="V1748" s="13">
        <v>0.55000000000000004</v>
      </c>
      <c r="W1748" s="13">
        <v>-132</v>
      </c>
      <c r="X1748" s="14">
        <v>11.886874999999996</v>
      </c>
      <c r="Y1748" s="13">
        <v>-120.113125</v>
      </c>
      <c r="Z1748" s="10">
        <v>45448</v>
      </c>
      <c r="AA1748" s="9">
        <v>-240</v>
      </c>
      <c r="AC1748" s="9">
        <v>442281</v>
      </c>
      <c r="AD1748" s="14">
        <v>0</v>
      </c>
      <c r="AF1748" s="14">
        <v>-4.8</v>
      </c>
      <c r="AH1748" s="14">
        <v>-4.8</v>
      </c>
      <c r="AI1748" s="13">
        <v>-115.313125</v>
      </c>
      <c r="AK1748" s="9">
        <v>-240</v>
      </c>
    </row>
    <row r="1749" spans="1:37">
      <c r="A1749" s="9">
        <v>22</v>
      </c>
      <c r="B1749" s="9">
        <v>2024</v>
      </c>
      <c r="C1749" s="9" t="s">
        <v>46</v>
      </c>
      <c r="D1749" s="9" t="s">
        <v>47</v>
      </c>
      <c r="E1749" s="9" t="s">
        <v>47</v>
      </c>
      <c r="F1749" s="10">
        <v>45439</v>
      </c>
      <c r="G1749" s="9" t="s">
        <v>154</v>
      </c>
      <c r="H1749" s="9" t="s">
        <v>51</v>
      </c>
      <c r="I1749" s="9">
        <v>1</v>
      </c>
      <c r="J1749" s="9">
        <v>12</v>
      </c>
      <c r="K1749" s="9">
        <v>520</v>
      </c>
      <c r="L1749" s="9">
        <v>0.38</v>
      </c>
      <c r="M1749" s="9">
        <v>197.6</v>
      </c>
      <c r="N1749" s="9" t="s">
        <v>49</v>
      </c>
      <c r="Q1749" s="9">
        <f>IF(Auction_Sales[[#This Row],[Payment Date]]=0,"",-1+WEEKNUM(Auction_Sales[[#This Row],[Payment Date]]))</f>
        <v>22</v>
      </c>
      <c r="R1749" s="9">
        <v>520</v>
      </c>
      <c r="S1749" s="9" t="s">
        <v>154</v>
      </c>
      <c r="T1749" s="9" t="s">
        <v>51</v>
      </c>
      <c r="W1749" s="13">
        <v>0</v>
      </c>
      <c r="X1749" s="14">
        <v>0</v>
      </c>
      <c r="Y1749" s="13">
        <v>0</v>
      </c>
      <c r="Z1749" s="10">
        <v>45448</v>
      </c>
      <c r="AA1749" s="9">
        <v>-520</v>
      </c>
      <c r="AC1749" s="9" t="s">
        <v>119</v>
      </c>
      <c r="AD1749" s="14">
        <v>45.644999999999996</v>
      </c>
      <c r="AF1749" s="14">
        <v>0</v>
      </c>
      <c r="AH1749" s="14">
        <v>45.644999999999996</v>
      </c>
      <c r="AI1749" s="13">
        <v>-45.644999999999996</v>
      </c>
      <c r="AK1749" s="9">
        <v>0</v>
      </c>
    </row>
    <row r="1750" spans="1:37">
      <c r="A1750" s="9">
        <v>22</v>
      </c>
      <c r="B1750" s="9">
        <v>2024</v>
      </c>
      <c r="C1750" s="9" t="s">
        <v>46</v>
      </c>
      <c r="D1750" s="9" t="s">
        <v>47</v>
      </c>
      <c r="E1750" s="9" t="s">
        <v>47</v>
      </c>
      <c r="F1750" s="10">
        <v>45439</v>
      </c>
      <c r="G1750" s="9" t="s">
        <v>154</v>
      </c>
      <c r="H1750" s="9" t="s">
        <v>54</v>
      </c>
      <c r="I1750" s="9">
        <v>1</v>
      </c>
      <c r="J1750" s="9">
        <v>12</v>
      </c>
      <c r="K1750" s="9">
        <v>280</v>
      </c>
      <c r="L1750" s="9">
        <v>0.56999999999999995</v>
      </c>
      <c r="M1750" s="9">
        <v>159.6</v>
      </c>
      <c r="N1750" s="9" t="s">
        <v>49</v>
      </c>
      <c r="Q1750" s="9">
        <f>IF(Auction_Sales[[#This Row],[Payment Date]]=0,"",-1+WEEKNUM(Auction_Sales[[#This Row],[Payment Date]]))</f>
        <v>22</v>
      </c>
      <c r="R1750" s="9">
        <v>120</v>
      </c>
      <c r="S1750" s="9" t="s">
        <v>154</v>
      </c>
      <c r="T1750" s="9" t="s">
        <v>54</v>
      </c>
      <c r="U1750" s="9">
        <v>160</v>
      </c>
      <c r="V1750" s="13">
        <v>0.77750000000000008</v>
      </c>
      <c r="W1750" s="13">
        <v>124.4</v>
      </c>
      <c r="X1750" s="14">
        <v>-8.1921212121212168</v>
      </c>
      <c r="Y1750" s="13">
        <v>116.20787878787878</v>
      </c>
      <c r="Z1750" s="10">
        <v>45448</v>
      </c>
      <c r="AA1750" s="9">
        <v>-120</v>
      </c>
      <c r="AC1750" s="9" t="s">
        <v>119</v>
      </c>
      <c r="AD1750" s="14">
        <v>45.644999999999996</v>
      </c>
      <c r="AF1750" s="14">
        <v>3.2</v>
      </c>
      <c r="AH1750" s="14">
        <v>48.844999999999999</v>
      </c>
      <c r="AI1750" s="13">
        <v>67.362878787878785</v>
      </c>
      <c r="AK1750" s="9">
        <v>160</v>
      </c>
    </row>
    <row r="1751" spans="1:37">
      <c r="A1751" s="9">
        <v>22</v>
      </c>
      <c r="B1751" s="9">
        <v>2024</v>
      </c>
      <c r="C1751" s="9" t="s">
        <v>46</v>
      </c>
      <c r="D1751" s="9" t="s">
        <v>47</v>
      </c>
      <c r="E1751" s="9" t="s">
        <v>47</v>
      </c>
      <c r="F1751" s="10">
        <v>45439</v>
      </c>
      <c r="G1751" s="9" t="s">
        <v>153</v>
      </c>
      <c r="H1751" s="9" t="s">
        <v>52</v>
      </c>
      <c r="I1751" s="9">
        <v>1</v>
      </c>
      <c r="J1751" s="9">
        <v>12</v>
      </c>
      <c r="K1751" s="9">
        <v>520</v>
      </c>
      <c r="L1751" s="9">
        <v>0.28000000000000003</v>
      </c>
      <c r="M1751" s="9">
        <v>145.6</v>
      </c>
      <c r="N1751" s="9" t="s">
        <v>49</v>
      </c>
      <c r="Q1751" s="9">
        <f>IF(Auction_Sales[[#This Row],[Payment Date]]=0,"",-1+WEEKNUM(Auction_Sales[[#This Row],[Payment Date]]))</f>
        <v>22</v>
      </c>
      <c r="R1751" s="9">
        <v>0</v>
      </c>
      <c r="S1751" s="9" t="s">
        <v>153</v>
      </c>
      <c r="T1751" s="9" t="s">
        <v>52</v>
      </c>
      <c r="U1751" s="9">
        <v>520</v>
      </c>
      <c r="V1751" s="13">
        <v>0.32</v>
      </c>
      <c r="W1751" s="13">
        <v>166.4</v>
      </c>
      <c r="X1751" s="14">
        <v>-26.624393939393954</v>
      </c>
      <c r="Y1751" s="13">
        <v>139.77560606060604</v>
      </c>
      <c r="Z1751" s="10">
        <v>45448</v>
      </c>
      <c r="AA1751" s="9">
        <v>0</v>
      </c>
      <c r="AC1751" s="9" t="s">
        <v>119</v>
      </c>
      <c r="AD1751" s="14">
        <v>45.644999999999996</v>
      </c>
      <c r="AF1751" s="14">
        <v>10.4</v>
      </c>
      <c r="AH1751" s="14">
        <v>56.044999999999995</v>
      </c>
      <c r="AI1751" s="13">
        <v>83.73060606060605</v>
      </c>
      <c r="AK1751" s="9">
        <v>520</v>
      </c>
    </row>
    <row r="1752" spans="1:37">
      <c r="A1752" s="9">
        <v>22</v>
      </c>
      <c r="B1752" s="9">
        <v>2024</v>
      </c>
      <c r="C1752" s="9" t="s">
        <v>46</v>
      </c>
      <c r="D1752" s="9" t="s">
        <v>47</v>
      </c>
      <c r="E1752" s="9" t="s">
        <v>47</v>
      </c>
      <c r="F1752" s="10">
        <v>45439</v>
      </c>
      <c r="G1752" s="9" t="s">
        <v>155</v>
      </c>
      <c r="H1752" s="9" t="s">
        <v>51</v>
      </c>
      <c r="I1752" s="9">
        <v>1</v>
      </c>
      <c r="J1752" s="9">
        <v>12</v>
      </c>
      <c r="K1752" s="9">
        <v>760</v>
      </c>
      <c r="L1752" s="9">
        <v>0.38</v>
      </c>
      <c r="M1752" s="9">
        <v>288.8</v>
      </c>
      <c r="N1752" s="9" t="s">
        <v>49</v>
      </c>
      <c r="Q1752" s="9">
        <f>IF(Auction_Sales[[#This Row],[Payment Date]]=0,"",-1+WEEKNUM(Auction_Sales[[#This Row],[Payment Date]]))</f>
        <v>22</v>
      </c>
      <c r="R1752" s="9">
        <v>40</v>
      </c>
      <c r="S1752" s="9" t="s">
        <v>155</v>
      </c>
      <c r="T1752" s="9" t="s">
        <v>51</v>
      </c>
      <c r="U1752" s="9">
        <v>720</v>
      </c>
      <c r="V1752" s="13">
        <v>0.57055555555555559</v>
      </c>
      <c r="W1752" s="13">
        <v>410.8</v>
      </c>
      <c r="X1752" s="14">
        <v>-36.864545454545471</v>
      </c>
      <c r="Y1752" s="13">
        <v>373.93545454545455</v>
      </c>
      <c r="Z1752" s="10">
        <v>45448</v>
      </c>
      <c r="AA1752" s="9">
        <v>-40</v>
      </c>
      <c r="AC1752" s="9" t="s">
        <v>119</v>
      </c>
      <c r="AD1752" s="14">
        <v>45.644999999999996</v>
      </c>
      <c r="AF1752" s="14">
        <v>14.4</v>
      </c>
      <c r="AH1752" s="14">
        <v>60.044999999999995</v>
      </c>
      <c r="AI1752" s="13">
        <v>313.89045454545453</v>
      </c>
      <c r="AK1752" s="9">
        <v>720</v>
      </c>
    </row>
    <row r="1753" spans="1:37">
      <c r="A1753" s="9">
        <v>22</v>
      </c>
      <c r="B1753" s="9">
        <v>2024</v>
      </c>
      <c r="C1753" s="9" t="s">
        <v>46</v>
      </c>
      <c r="D1753" s="9" t="s">
        <v>47</v>
      </c>
      <c r="E1753" s="9" t="s">
        <v>47</v>
      </c>
      <c r="F1753" s="10">
        <v>45439</v>
      </c>
      <c r="G1753" s="9" t="s">
        <v>155</v>
      </c>
      <c r="H1753" s="9" t="s">
        <v>48</v>
      </c>
      <c r="I1753" s="9">
        <v>1</v>
      </c>
      <c r="J1753" s="9">
        <v>12</v>
      </c>
      <c r="K1753" s="9">
        <v>520</v>
      </c>
      <c r="L1753" s="9">
        <v>0.47</v>
      </c>
      <c r="M1753" s="9">
        <v>244.4</v>
      </c>
      <c r="N1753" s="9" t="s">
        <v>49</v>
      </c>
      <c r="Q1753" s="9">
        <f>IF(Auction_Sales[[#This Row],[Payment Date]]=0,"",-1+WEEKNUM(Auction_Sales[[#This Row],[Payment Date]]))</f>
        <v>22</v>
      </c>
      <c r="R1753" s="9">
        <v>520</v>
      </c>
      <c r="S1753" s="9" t="s">
        <v>155</v>
      </c>
      <c r="T1753" s="9" t="s">
        <v>48</v>
      </c>
      <c r="W1753" s="13">
        <v>0</v>
      </c>
      <c r="X1753" s="14">
        <v>0</v>
      </c>
      <c r="Y1753" s="13">
        <v>0</v>
      </c>
      <c r="Z1753" s="10">
        <v>45448</v>
      </c>
      <c r="AA1753" s="9">
        <v>-520</v>
      </c>
      <c r="AC1753" s="9" t="s">
        <v>119</v>
      </c>
      <c r="AD1753" s="14">
        <v>45.644999999999996</v>
      </c>
      <c r="AF1753" s="14">
        <v>0</v>
      </c>
      <c r="AH1753" s="14">
        <v>45.644999999999996</v>
      </c>
      <c r="AI1753" s="13">
        <v>-45.644999999999996</v>
      </c>
      <c r="AK1753" s="9">
        <v>0</v>
      </c>
    </row>
    <row r="1754" spans="1:37">
      <c r="A1754" s="9">
        <v>22</v>
      </c>
      <c r="B1754" s="9">
        <v>2024</v>
      </c>
      <c r="C1754" s="9" t="s">
        <v>46</v>
      </c>
      <c r="D1754" s="9" t="s">
        <v>47</v>
      </c>
      <c r="E1754" s="9" t="s">
        <v>47</v>
      </c>
      <c r="F1754" s="10">
        <v>45439</v>
      </c>
      <c r="G1754" s="9" t="s">
        <v>155</v>
      </c>
      <c r="H1754" s="9" t="s">
        <v>48</v>
      </c>
      <c r="I1754" s="9">
        <v>1</v>
      </c>
      <c r="J1754" s="9">
        <v>12</v>
      </c>
      <c r="K1754" s="9">
        <v>360</v>
      </c>
      <c r="L1754" s="9">
        <v>0.47</v>
      </c>
      <c r="M1754" s="9">
        <v>169.2</v>
      </c>
      <c r="N1754" s="9" t="s">
        <v>49</v>
      </c>
      <c r="Q1754" s="9">
        <f>IF(Auction_Sales[[#This Row],[Payment Date]]=0,"",-1+WEEKNUM(Auction_Sales[[#This Row],[Payment Date]]))</f>
        <v>22</v>
      </c>
      <c r="R1754" s="9">
        <v>-480</v>
      </c>
      <c r="S1754" s="9" t="s">
        <v>155</v>
      </c>
      <c r="T1754" s="9" t="s">
        <v>48</v>
      </c>
      <c r="U1754" s="9">
        <v>840</v>
      </c>
      <c r="V1754" s="13">
        <v>0.57000000000000006</v>
      </c>
      <c r="W1754" s="13">
        <v>478.80000000000007</v>
      </c>
      <c r="X1754" s="14">
        <v>-43.008636363636384</v>
      </c>
      <c r="Y1754" s="13">
        <v>435.79136363636371</v>
      </c>
      <c r="Z1754" s="10">
        <v>45448</v>
      </c>
      <c r="AA1754" s="9">
        <v>480</v>
      </c>
      <c r="AC1754" s="9" t="s">
        <v>119</v>
      </c>
      <c r="AD1754" s="14">
        <v>45.644999999999996</v>
      </c>
      <c r="AF1754" s="14">
        <v>16.8</v>
      </c>
      <c r="AH1754" s="14">
        <v>62.444999999999993</v>
      </c>
      <c r="AI1754" s="13">
        <v>373.34636363636372</v>
      </c>
      <c r="AK1754" s="9">
        <v>840</v>
      </c>
    </row>
    <row r="1755" spans="1:37">
      <c r="A1755" s="9">
        <v>22</v>
      </c>
      <c r="B1755" s="9">
        <v>2024</v>
      </c>
      <c r="C1755" s="9" t="s">
        <v>46</v>
      </c>
      <c r="D1755" s="9" t="s">
        <v>47</v>
      </c>
      <c r="E1755" s="9" t="s">
        <v>47</v>
      </c>
      <c r="F1755" s="10">
        <v>45439</v>
      </c>
      <c r="G1755" s="9" t="s">
        <v>155</v>
      </c>
      <c r="H1755" s="9" t="s">
        <v>52</v>
      </c>
      <c r="I1755" s="9">
        <v>1</v>
      </c>
      <c r="J1755" s="9">
        <v>12</v>
      </c>
      <c r="K1755" s="9">
        <v>400</v>
      </c>
      <c r="L1755" s="9">
        <v>0.52</v>
      </c>
      <c r="M1755" s="9">
        <v>208</v>
      </c>
      <c r="N1755" s="9" t="s">
        <v>49</v>
      </c>
      <c r="Q1755" s="9">
        <f>IF(Auction_Sales[[#This Row],[Payment Date]]=0,"",-1+WEEKNUM(Auction_Sales[[#This Row],[Payment Date]]))</f>
        <v>22</v>
      </c>
      <c r="R1755" s="9">
        <v>-120</v>
      </c>
      <c r="S1755" s="9" t="s">
        <v>155</v>
      </c>
      <c r="T1755" s="9" t="s">
        <v>52</v>
      </c>
      <c r="U1755" s="9">
        <v>520</v>
      </c>
      <c r="V1755" s="13">
        <v>0.78538461538461535</v>
      </c>
      <c r="W1755" s="13">
        <v>408.4</v>
      </c>
      <c r="X1755" s="14">
        <v>-26.624393939393954</v>
      </c>
      <c r="Y1755" s="13">
        <v>381.77560606060604</v>
      </c>
      <c r="Z1755" s="10">
        <v>45448</v>
      </c>
      <c r="AA1755" s="9">
        <v>120</v>
      </c>
      <c r="AC1755" s="9" t="s">
        <v>119</v>
      </c>
      <c r="AD1755" s="14">
        <v>45.644999999999996</v>
      </c>
      <c r="AF1755" s="14">
        <v>10.4</v>
      </c>
      <c r="AH1755" s="14">
        <v>56.044999999999995</v>
      </c>
      <c r="AI1755" s="13">
        <v>325.73060606060602</v>
      </c>
      <c r="AK1755" s="9">
        <v>520</v>
      </c>
    </row>
    <row r="1756" spans="1:37">
      <c r="A1756" s="9">
        <v>22</v>
      </c>
      <c r="B1756" s="9">
        <v>2024</v>
      </c>
      <c r="C1756" s="9" t="s">
        <v>46</v>
      </c>
      <c r="D1756" s="9" t="s">
        <v>47</v>
      </c>
      <c r="E1756" s="9" t="s">
        <v>47</v>
      </c>
      <c r="F1756" s="10">
        <v>45439</v>
      </c>
      <c r="G1756" s="9" t="s">
        <v>155</v>
      </c>
      <c r="H1756" s="9" t="s">
        <v>54</v>
      </c>
      <c r="I1756" s="9">
        <v>1</v>
      </c>
      <c r="J1756" s="9">
        <v>12</v>
      </c>
      <c r="K1756" s="9">
        <v>280</v>
      </c>
      <c r="L1756" s="9">
        <v>0.56999999999999995</v>
      </c>
      <c r="M1756" s="9">
        <v>159.6</v>
      </c>
      <c r="N1756" s="9" t="s">
        <v>49</v>
      </c>
      <c r="Q1756" s="9">
        <f>IF(Auction_Sales[[#This Row],[Payment Date]]=0,"",-1+WEEKNUM(Auction_Sales[[#This Row],[Payment Date]]))</f>
        <v>22</v>
      </c>
      <c r="R1756" s="9">
        <v>0</v>
      </c>
      <c r="S1756" s="9" t="s">
        <v>155</v>
      </c>
      <c r="T1756" s="9" t="s">
        <v>54</v>
      </c>
      <c r="U1756" s="9">
        <v>280</v>
      </c>
      <c r="V1756" s="13">
        <v>0.90142857142857147</v>
      </c>
      <c r="W1756" s="13">
        <v>252.4</v>
      </c>
      <c r="X1756" s="14">
        <v>-14.336212121212128</v>
      </c>
      <c r="Y1756" s="13">
        <v>238.06378787878788</v>
      </c>
      <c r="Z1756" s="10">
        <v>45448</v>
      </c>
      <c r="AA1756" s="9">
        <v>0</v>
      </c>
      <c r="AC1756" s="9" t="s">
        <v>119</v>
      </c>
      <c r="AD1756" s="14">
        <v>45.644999999999996</v>
      </c>
      <c r="AF1756" s="14">
        <v>5.6000000000000005</v>
      </c>
      <c r="AH1756" s="14">
        <v>51.244999999999997</v>
      </c>
      <c r="AI1756" s="13">
        <v>186.81878787878787</v>
      </c>
      <c r="AK1756" s="9">
        <v>280</v>
      </c>
    </row>
    <row r="1757" spans="1:37">
      <c r="A1757" s="9">
        <v>22</v>
      </c>
      <c r="B1757" s="9">
        <v>2024</v>
      </c>
      <c r="C1757" s="9" t="s">
        <v>46</v>
      </c>
      <c r="D1757" s="9" t="s">
        <v>47</v>
      </c>
      <c r="E1757" s="9" t="s">
        <v>47</v>
      </c>
      <c r="F1757" s="10">
        <v>45439</v>
      </c>
      <c r="G1757" s="9" t="s">
        <v>155</v>
      </c>
      <c r="H1757" s="9" t="s">
        <v>56</v>
      </c>
      <c r="I1757" s="9">
        <v>1</v>
      </c>
      <c r="J1757" s="9">
        <v>12</v>
      </c>
      <c r="K1757" s="9">
        <v>200</v>
      </c>
      <c r="L1757" s="9">
        <v>0.75</v>
      </c>
      <c r="M1757" s="9">
        <v>150</v>
      </c>
      <c r="N1757" s="9" t="s">
        <v>49</v>
      </c>
      <c r="Q1757" s="9">
        <f>IF(Auction_Sales[[#This Row],[Payment Date]]=0,"",-1+WEEKNUM(Auction_Sales[[#This Row],[Payment Date]]))</f>
        <v>22</v>
      </c>
      <c r="R1757" s="9">
        <v>-160</v>
      </c>
      <c r="S1757" s="9" t="s">
        <v>155</v>
      </c>
      <c r="T1757" s="9" t="s">
        <v>56</v>
      </c>
      <c r="U1757" s="9">
        <v>360</v>
      </c>
      <c r="V1757" s="13">
        <v>1.01</v>
      </c>
      <c r="W1757" s="13">
        <v>363.6</v>
      </c>
      <c r="X1757" s="14">
        <v>-18.432272727272736</v>
      </c>
      <c r="Y1757" s="13">
        <v>345.16772727272729</v>
      </c>
      <c r="Z1757" s="10">
        <v>45448</v>
      </c>
      <c r="AA1757" s="9">
        <v>160</v>
      </c>
      <c r="AC1757" s="9" t="s">
        <v>119</v>
      </c>
      <c r="AD1757" s="14">
        <v>45.644999999999996</v>
      </c>
      <c r="AF1757" s="14">
        <v>7.2</v>
      </c>
      <c r="AH1757" s="14">
        <v>52.844999999999999</v>
      </c>
      <c r="AI1757" s="13">
        <v>292.32272727272732</v>
      </c>
      <c r="AK1757" s="9">
        <v>360</v>
      </c>
    </row>
    <row r="1758" spans="1:37">
      <c r="A1758" s="9">
        <v>22</v>
      </c>
      <c r="B1758" s="9">
        <v>2024</v>
      </c>
      <c r="C1758" s="9" t="s">
        <v>46</v>
      </c>
      <c r="D1758" s="9" t="s">
        <v>47</v>
      </c>
      <c r="E1758" s="9" t="s">
        <v>47</v>
      </c>
      <c r="F1758" s="10">
        <v>45439</v>
      </c>
      <c r="G1758" s="9" t="s">
        <v>154</v>
      </c>
      <c r="H1758" s="9" t="s">
        <v>51</v>
      </c>
      <c r="I1758" s="9">
        <v>1</v>
      </c>
      <c r="J1758" s="9">
        <v>6.545454545454545</v>
      </c>
      <c r="K1758" s="9">
        <v>240</v>
      </c>
      <c r="L1758" s="9">
        <v>0.38</v>
      </c>
      <c r="M1758" s="9">
        <v>91.2</v>
      </c>
      <c r="N1758" s="9" t="s">
        <v>49</v>
      </c>
      <c r="Q1758" s="9">
        <f>IF(Auction_Sales[[#This Row],[Payment Date]]=0,"",-1+WEEKNUM(Auction_Sales[[#This Row],[Payment Date]]))</f>
        <v>22</v>
      </c>
      <c r="R1758" s="9">
        <v>-520</v>
      </c>
      <c r="S1758" s="9" t="s">
        <v>154</v>
      </c>
      <c r="T1758" s="9" t="s">
        <v>51</v>
      </c>
      <c r="U1758" s="9">
        <v>760</v>
      </c>
      <c r="V1758" s="13">
        <v>0.37</v>
      </c>
      <c r="W1758" s="13">
        <v>281.2</v>
      </c>
      <c r="X1758" s="14">
        <v>-38.91257575757578</v>
      </c>
      <c r="Y1758" s="13">
        <v>242.28742424242421</v>
      </c>
      <c r="Z1758" s="10">
        <v>45448</v>
      </c>
      <c r="AA1758" s="9">
        <v>520</v>
      </c>
      <c r="AC1758" s="9" t="s">
        <v>119</v>
      </c>
      <c r="AD1758" s="14">
        <v>24.897272727272725</v>
      </c>
      <c r="AF1758" s="14">
        <v>15.200000000000001</v>
      </c>
      <c r="AH1758" s="14">
        <v>40.097272727272724</v>
      </c>
      <c r="AI1758" s="13">
        <v>202.19015151515148</v>
      </c>
      <c r="AK1758" s="9">
        <v>760</v>
      </c>
    </row>
    <row r="1759" spans="1:37">
      <c r="A1759" s="9">
        <v>22</v>
      </c>
      <c r="B1759" s="9">
        <v>2024</v>
      </c>
      <c r="C1759" s="9" t="s">
        <v>46</v>
      </c>
      <c r="D1759" s="9" t="s">
        <v>47</v>
      </c>
      <c r="E1759" s="9" t="s">
        <v>47</v>
      </c>
      <c r="F1759" s="10">
        <v>45439</v>
      </c>
      <c r="G1759" s="9" t="s">
        <v>154</v>
      </c>
      <c r="H1759" s="9" t="s">
        <v>52</v>
      </c>
      <c r="J1759" s="9">
        <v>4.3636363636363633</v>
      </c>
      <c r="K1759" s="9">
        <v>160</v>
      </c>
      <c r="L1759" s="9">
        <v>0.52</v>
      </c>
      <c r="M1759" s="9">
        <v>83.2</v>
      </c>
      <c r="N1759" s="9" t="s">
        <v>49</v>
      </c>
      <c r="Q1759" s="9">
        <f>IF(Auction_Sales[[#This Row],[Payment Date]]=0,"",-1+WEEKNUM(Auction_Sales[[#This Row],[Payment Date]]))</f>
        <v>22</v>
      </c>
      <c r="R1759" s="9">
        <v>-80</v>
      </c>
      <c r="S1759" s="9" t="s">
        <v>154</v>
      </c>
      <c r="T1759" s="9" t="s">
        <v>52</v>
      </c>
      <c r="U1759" s="9">
        <v>240</v>
      </c>
      <c r="V1759" s="13">
        <v>0.80833333333333335</v>
      </c>
      <c r="W1759" s="13">
        <v>194</v>
      </c>
      <c r="X1759" s="14">
        <v>-12.288181818181824</v>
      </c>
      <c r="Y1759" s="13">
        <v>181.71181818181819</v>
      </c>
      <c r="Z1759" s="10">
        <v>45448</v>
      </c>
      <c r="AA1759" s="9">
        <v>80</v>
      </c>
      <c r="AC1759" s="9" t="s">
        <v>119</v>
      </c>
      <c r="AD1759" s="14">
        <v>16.598181818181818</v>
      </c>
      <c r="AF1759" s="14">
        <v>4.8</v>
      </c>
      <c r="AH1759" s="14">
        <v>21.398181818181818</v>
      </c>
      <c r="AI1759" s="13">
        <v>160.31363636363636</v>
      </c>
      <c r="AK1759" s="9">
        <v>240</v>
      </c>
    </row>
    <row r="1760" spans="1:37">
      <c r="A1760" s="9">
        <v>22</v>
      </c>
      <c r="B1760" s="9">
        <v>2024</v>
      </c>
      <c r="C1760" s="9" t="s">
        <v>46</v>
      </c>
      <c r="D1760" s="9" t="s">
        <v>47</v>
      </c>
      <c r="E1760" s="9" t="s">
        <v>47</v>
      </c>
      <c r="F1760" s="10">
        <v>45439</v>
      </c>
      <c r="G1760" s="9" t="s">
        <v>154</v>
      </c>
      <c r="H1760" s="9" t="s">
        <v>57</v>
      </c>
      <c r="J1760" s="9">
        <v>1.0909090909090908</v>
      </c>
      <c r="K1760" s="9">
        <v>40</v>
      </c>
      <c r="L1760" s="9">
        <v>0.94</v>
      </c>
      <c r="M1760" s="9">
        <v>37.6</v>
      </c>
      <c r="N1760" s="9" t="s">
        <v>49</v>
      </c>
      <c r="Q1760" s="9">
        <f>IF(Auction_Sales[[#This Row],[Payment Date]]=0,"",-1+WEEKNUM(Auction_Sales[[#This Row],[Payment Date]]))</f>
        <v>22</v>
      </c>
      <c r="R1760" s="9">
        <v>40</v>
      </c>
      <c r="S1760" s="9" t="s">
        <v>154</v>
      </c>
      <c r="T1760" s="9" t="s">
        <v>57</v>
      </c>
      <c r="W1760" s="13">
        <v>0</v>
      </c>
      <c r="X1760" s="14">
        <v>0</v>
      </c>
      <c r="Y1760" s="13">
        <v>0</v>
      </c>
      <c r="Z1760" s="10">
        <v>45448</v>
      </c>
      <c r="AA1760" s="9">
        <v>-40</v>
      </c>
      <c r="AC1760" s="9" t="s">
        <v>119</v>
      </c>
      <c r="AD1760" s="14">
        <v>4.1495454545454544</v>
      </c>
      <c r="AF1760" s="14">
        <v>0</v>
      </c>
      <c r="AH1760" s="14">
        <v>4.1495454545454544</v>
      </c>
      <c r="AI1760" s="13">
        <v>-4.1495454545454544</v>
      </c>
      <c r="AK1760" s="9">
        <v>0</v>
      </c>
    </row>
    <row r="1761" spans="1:37">
      <c r="A1761" s="9">
        <v>22</v>
      </c>
      <c r="B1761" s="9">
        <v>2024</v>
      </c>
      <c r="C1761" s="9" t="s">
        <v>46</v>
      </c>
      <c r="D1761" s="9" t="s">
        <v>47</v>
      </c>
      <c r="E1761" s="9" t="s">
        <v>47</v>
      </c>
      <c r="F1761" s="10">
        <v>45439</v>
      </c>
      <c r="G1761" s="9" t="s">
        <v>153</v>
      </c>
      <c r="H1761" s="9" t="s">
        <v>54</v>
      </c>
      <c r="I1761" s="9">
        <v>1</v>
      </c>
      <c r="J1761" s="9">
        <v>7.384615384615385</v>
      </c>
      <c r="K1761" s="9">
        <v>320</v>
      </c>
      <c r="L1761" s="9">
        <v>0.33</v>
      </c>
      <c r="M1761" s="9">
        <v>105.6</v>
      </c>
      <c r="N1761" s="9" t="s">
        <v>49</v>
      </c>
      <c r="Q1761" s="9">
        <f>IF(Auction_Sales[[#This Row],[Payment Date]]=0,"",-1+WEEKNUM(Auction_Sales[[#This Row],[Payment Date]]))</f>
        <v>22</v>
      </c>
      <c r="R1761" s="9">
        <v>40</v>
      </c>
      <c r="S1761" s="9" t="s">
        <v>153</v>
      </c>
      <c r="T1761" s="9" t="s">
        <v>54</v>
      </c>
      <c r="U1761" s="9">
        <v>280</v>
      </c>
      <c r="V1761" s="13">
        <v>0.51</v>
      </c>
      <c r="W1761" s="13">
        <v>142.80000000000001</v>
      </c>
      <c r="X1761" s="14">
        <v>35.472499999999997</v>
      </c>
      <c r="Y1761" s="13">
        <v>178.27250000000001</v>
      </c>
      <c r="Z1761" s="10">
        <v>45448</v>
      </c>
      <c r="AA1761" s="9">
        <v>-40</v>
      </c>
      <c r="AC1761" s="9" t="s">
        <v>119</v>
      </c>
      <c r="AD1761" s="14">
        <v>28.08923076923077</v>
      </c>
      <c r="AF1761" s="14">
        <v>5.6000000000000005</v>
      </c>
      <c r="AH1761" s="14">
        <v>33.689230769230768</v>
      </c>
      <c r="AI1761" s="13">
        <v>144.58326923076925</v>
      </c>
      <c r="AK1761" s="9">
        <v>280</v>
      </c>
    </row>
    <row r="1762" spans="1:37">
      <c r="A1762" s="9">
        <v>22</v>
      </c>
      <c r="B1762" s="9">
        <v>2024</v>
      </c>
      <c r="C1762" s="9" t="s">
        <v>46</v>
      </c>
      <c r="D1762" s="9" t="s">
        <v>47</v>
      </c>
      <c r="E1762" s="9" t="s">
        <v>47</v>
      </c>
      <c r="F1762" s="10">
        <v>45439</v>
      </c>
      <c r="G1762" s="9" t="s">
        <v>153</v>
      </c>
      <c r="H1762" s="9" t="s">
        <v>56</v>
      </c>
      <c r="J1762" s="9">
        <v>4.6153846153846159</v>
      </c>
      <c r="K1762" s="9">
        <v>200</v>
      </c>
      <c r="L1762" s="9">
        <v>0.38</v>
      </c>
      <c r="M1762" s="9">
        <v>76</v>
      </c>
      <c r="N1762" s="9" t="s">
        <v>49</v>
      </c>
      <c r="Q1762" s="9">
        <f>IF(Auction_Sales[[#This Row],[Payment Date]]=0,"",-1+WEEKNUM(Auction_Sales[[#This Row],[Payment Date]]))</f>
        <v>22</v>
      </c>
      <c r="R1762" s="9">
        <v>0</v>
      </c>
      <c r="S1762" s="9" t="s">
        <v>153</v>
      </c>
      <c r="T1762" s="9" t="s">
        <v>56</v>
      </c>
      <c r="U1762" s="9">
        <v>200</v>
      </c>
      <c r="V1762" s="13">
        <v>0.48</v>
      </c>
      <c r="W1762" s="13">
        <v>96</v>
      </c>
      <c r="X1762" s="14">
        <v>25.337499999999999</v>
      </c>
      <c r="Y1762" s="13">
        <v>121.33750000000001</v>
      </c>
      <c r="Z1762" s="10">
        <v>45448</v>
      </c>
      <c r="AA1762" s="9">
        <v>0</v>
      </c>
      <c r="AC1762" s="9" t="s">
        <v>119</v>
      </c>
      <c r="AD1762" s="14">
        <v>17.555769230769233</v>
      </c>
      <c r="AF1762" s="14">
        <v>4</v>
      </c>
      <c r="AH1762" s="14">
        <v>21.555769230769233</v>
      </c>
      <c r="AI1762" s="13">
        <v>99.781730769230776</v>
      </c>
      <c r="AK1762" s="9">
        <v>200</v>
      </c>
    </row>
    <row r="1763" spans="1:37">
      <c r="A1763" s="9">
        <v>22</v>
      </c>
      <c r="B1763" s="9">
        <v>2024</v>
      </c>
      <c r="C1763" s="9" t="s">
        <v>46</v>
      </c>
      <c r="D1763" s="9" t="s">
        <v>47</v>
      </c>
      <c r="E1763" s="9" t="s">
        <v>47</v>
      </c>
      <c r="F1763" s="10">
        <v>45439</v>
      </c>
      <c r="G1763" s="9" t="s">
        <v>156</v>
      </c>
      <c r="H1763" s="9" t="s">
        <v>51</v>
      </c>
      <c r="I1763" s="9">
        <v>1</v>
      </c>
      <c r="J1763" s="9">
        <v>10.666666666666666</v>
      </c>
      <c r="K1763" s="9">
        <v>320</v>
      </c>
      <c r="L1763" s="9">
        <v>0.42</v>
      </c>
      <c r="M1763" s="9">
        <v>134.4</v>
      </c>
      <c r="N1763" s="9" t="s">
        <v>49</v>
      </c>
      <c r="Q1763" s="9">
        <f>IF(Auction_Sales[[#This Row],[Payment Date]]=0,"",-1+WEEKNUM(Auction_Sales[[#This Row],[Payment Date]]))</f>
        <v>22</v>
      </c>
      <c r="R1763" s="9">
        <v>0</v>
      </c>
      <c r="S1763" s="9" t="s">
        <v>156</v>
      </c>
      <c r="T1763" s="9" t="s">
        <v>51</v>
      </c>
      <c r="U1763" s="9">
        <v>320</v>
      </c>
      <c r="V1763" s="13">
        <v>0.31</v>
      </c>
      <c r="W1763" s="13">
        <v>99.2</v>
      </c>
      <c r="X1763" s="14">
        <v>-16.384242424242434</v>
      </c>
      <c r="Y1763" s="13">
        <v>82.815757575757573</v>
      </c>
      <c r="Z1763" s="10">
        <v>45448</v>
      </c>
      <c r="AA1763" s="9">
        <v>0</v>
      </c>
      <c r="AC1763" s="9" t="s">
        <v>119</v>
      </c>
      <c r="AD1763" s="14">
        <v>40.573333333333331</v>
      </c>
      <c r="AF1763" s="14">
        <v>6.4</v>
      </c>
      <c r="AH1763" s="14">
        <v>46.973333333333329</v>
      </c>
      <c r="AI1763" s="13">
        <v>35.842424242424244</v>
      </c>
      <c r="AK1763" s="9">
        <v>320</v>
      </c>
    </row>
    <row r="1764" spans="1:37">
      <c r="A1764" s="9">
        <v>22</v>
      </c>
      <c r="B1764" s="9">
        <v>2024</v>
      </c>
      <c r="C1764" s="9" t="s">
        <v>46</v>
      </c>
      <c r="D1764" s="9" t="s">
        <v>47</v>
      </c>
      <c r="E1764" s="9" t="s">
        <v>47</v>
      </c>
      <c r="F1764" s="10">
        <v>45439</v>
      </c>
      <c r="G1764" s="9" t="s">
        <v>156</v>
      </c>
      <c r="H1764" s="9" t="s">
        <v>52</v>
      </c>
      <c r="J1764" s="9">
        <v>1.3333333333333333</v>
      </c>
      <c r="K1764" s="9">
        <v>40</v>
      </c>
      <c r="L1764" s="9">
        <v>0.61</v>
      </c>
      <c r="M1764" s="9">
        <v>24.4</v>
      </c>
      <c r="N1764" s="9" t="s">
        <v>49</v>
      </c>
      <c r="Q1764" s="9">
        <f>IF(Auction_Sales[[#This Row],[Payment Date]]=0,"",-1+WEEKNUM(Auction_Sales[[#This Row],[Payment Date]]))</f>
        <v>22</v>
      </c>
      <c r="R1764" s="9">
        <v>0</v>
      </c>
      <c r="S1764" s="9" t="s">
        <v>156</v>
      </c>
      <c r="T1764" s="9" t="s">
        <v>52</v>
      </c>
      <c r="U1764" s="9">
        <v>40</v>
      </c>
      <c r="V1764" s="13">
        <v>0.57000000000000006</v>
      </c>
      <c r="W1764" s="13">
        <v>22.800000000000004</v>
      </c>
      <c r="X1764" s="14">
        <v>-2.0480303030303042</v>
      </c>
      <c r="Y1764" s="13">
        <v>20.751969696969699</v>
      </c>
      <c r="Z1764" s="10">
        <v>45448</v>
      </c>
      <c r="AA1764" s="9">
        <v>0</v>
      </c>
      <c r="AC1764" s="9" t="s">
        <v>119</v>
      </c>
      <c r="AD1764" s="14">
        <v>5.0716666666666663</v>
      </c>
      <c r="AF1764" s="14">
        <v>0.8</v>
      </c>
      <c r="AH1764" s="14">
        <v>5.8716666666666661</v>
      </c>
      <c r="AI1764" s="13">
        <v>14.880303030303033</v>
      </c>
      <c r="AK1764" s="9">
        <v>40</v>
      </c>
    </row>
    <row r="1765" spans="1:37">
      <c r="A1765" s="9">
        <v>22</v>
      </c>
      <c r="B1765" s="9">
        <v>2024</v>
      </c>
      <c r="C1765" s="9" t="s">
        <v>46</v>
      </c>
      <c r="D1765" s="9" t="s">
        <v>47</v>
      </c>
      <c r="E1765" s="9" t="s">
        <v>47</v>
      </c>
      <c r="F1765" s="10">
        <v>45439</v>
      </c>
      <c r="G1765" s="9" t="s">
        <v>155</v>
      </c>
      <c r="H1765" s="9" t="s">
        <v>52</v>
      </c>
      <c r="I1765" s="9">
        <v>1</v>
      </c>
      <c r="J1765" s="9">
        <v>7.5</v>
      </c>
      <c r="K1765" s="9">
        <v>200</v>
      </c>
      <c r="L1765" s="9">
        <v>0.52</v>
      </c>
      <c r="M1765" s="9">
        <v>104</v>
      </c>
      <c r="N1765" s="9" t="s">
        <v>49</v>
      </c>
      <c r="Q1765" s="9">
        <f>IF(Auction_Sales[[#This Row],[Payment Date]]=0,"",-1+WEEKNUM(Auction_Sales[[#This Row],[Payment Date]]))</f>
        <v>22</v>
      </c>
      <c r="R1765" s="9">
        <v>200</v>
      </c>
      <c r="S1765" s="9" t="s">
        <v>155</v>
      </c>
      <c r="T1765" s="9" t="s">
        <v>52</v>
      </c>
      <c r="W1765" s="13">
        <v>0</v>
      </c>
      <c r="X1765" s="14">
        <v>0</v>
      </c>
      <c r="Y1765" s="13">
        <v>0</v>
      </c>
      <c r="Z1765" s="10">
        <v>45448</v>
      </c>
      <c r="AA1765" s="9">
        <v>-200</v>
      </c>
      <c r="AC1765" s="9" t="s">
        <v>119</v>
      </c>
      <c r="AD1765" s="14">
        <v>28.528124999999999</v>
      </c>
      <c r="AF1765" s="14">
        <v>0</v>
      </c>
      <c r="AH1765" s="14">
        <v>28.528124999999999</v>
      </c>
      <c r="AI1765" s="13">
        <v>-28.528124999999999</v>
      </c>
      <c r="AK1765" s="9">
        <v>0</v>
      </c>
    </row>
    <row r="1766" spans="1:37">
      <c r="A1766" s="9">
        <v>22</v>
      </c>
      <c r="B1766" s="9">
        <v>2024</v>
      </c>
      <c r="C1766" s="9" t="s">
        <v>46</v>
      </c>
      <c r="D1766" s="9" t="s">
        <v>47</v>
      </c>
      <c r="E1766" s="9" t="s">
        <v>47</v>
      </c>
      <c r="F1766" s="10">
        <v>45439</v>
      </c>
      <c r="G1766" s="9" t="s">
        <v>155</v>
      </c>
      <c r="H1766" s="9" t="s">
        <v>57</v>
      </c>
      <c r="J1766" s="9">
        <v>4.5</v>
      </c>
      <c r="K1766" s="9">
        <v>120</v>
      </c>
      <c r="L1766" s="9">
        <v>0.94</v>
      </c>
      <c r="M1766" s="9">
        <v>112.8</v>
      </c>
      <c r="N1766" s="9" t="s">
        <v>49</v>
      </c>
      <c r="Q1766" s="9">
        <f>IF(Auction_Sales[[#This Row],[Payment Date]]=0,"",-1+WEEKNUM(Auction_Sales[[#This Row],[Payment Date]]))</f>
        <v>22</v>
      </c>
      <c r="R1766" s="9">
        <v>40</v>
      </c>
      <c r="S1766" s="9" t="s">
        <v>155</v>
      </c>
      <c r="T1766" s="9" t="s">
        <v>57</v>
      </c>
      <c r="U1766" s="9">
        <v>80</v>
      </c>
      <c r="V1766" s="13">
        <v>1.25</v>
      </c>
      <c r="W1766" s="13">
        <v>100</v>
      </c>
      <c r="X1766" s="14">
        <v>-4.0960606060606084</v>
      </c>
      <c r="Y1766" s="13">
        <v>95.903939393939396</v>
      </c>
      <c r="Z1766" s="10">
        <v>45448</v>
      </c>
      <c r="AA1766" s="9">
        <v>-40</v>
      </c>
      <c r="AC1766" s="9" t="s">
        <v>119</v>
      </c>
      <c r="AD1766" s="14">
        <v>17.116874999999997</v>
      </c>
      <c r="AF1766" s="14">
        <v>1.6</v>
      </c>
      <c r="AH1766" s="14">
        <v>18.716874999999998</v>
      </c>
      <c r="AI1766" s="13">
        <v>77.187064393939394</v>
      </c>
      <c r="AK1766" s="9">
        <v>80</v>
      </c>
    </row>
    <row r="1767" spans="1:37">
      <c r="A1767" s="9">
        <v>22</v>
      </c>
      <c r="B1767" s="9">
        <v>2024</v>
      </c>
      <c r="C1767" s="9" t="s">
        <v>46</v>
      </c>
      <c r="D1767" s="9" t="s">
        <v>47</v>
      </c>
      <c r="E1767" s="9" t="s">
        <v>47</v>
      </c>
      <c r="F1767" s="10">
        <v>45439</v>
      </c>
      <c r="G1767" s="9" t="s">
        <v>156</v>
      </c>
      <c r="H1767" s="9" t="s">
        <v>48</v>
      </c>
      <c r="I1767" s="9">
        <v>1</v>
      </c>
      <c r="J1767" s="9">
        <v>9.3333333333333339</v>
      </c>
      <c r="K1767" s="9">
        <v>280</v>
      </c>
      <c r="L1767" s="9">
        <v>0.52</v>
      </c>
      <c r="M1767" s="9">
        <v>145.6</v>
      </c>
      <c r="N1767" s="9" t="s">
        <v>49</v>
      </c>
      <c r="Q1767" s="9">
        <f>IF(Auction_Sales[[#This Row],[Payment Date]]=0,"",-1+WEEKNUM(Auction_Sales[[#This Row],[Payment Date]]))</f>
        <v>22</v>
      </c>
      <c r="R1767" s="9">
        <v>-40</v>
      </c>
      <c r="S1767" s="9" t="s">
        <v>156</v>
      </c>
      <c r="T1767" s="9" t="s">
        <v>48</v>
      </c>
      <c r="U1767" s="9">
        <v>320</v>
      </c>
      <c r="V1767" s="13">
        <v>0.48499999999999999</v>
      </c>
      <c r="W1767" s="13">
        <v>155.19999999999999</v>
      </c>
      <c r="X1767" s="14">
        <v>-16.384242424242434</v>
      </c>
      <c r="Y1767" s="13">
        <v>138.81575757575754</v>
      </c>
      <c r="Z1767" s="10">
        <v>45448</v>
      </c>
      <c r="AA1767" s="9">
        <v>40</v>
      </c>
      <c r="AC1767" s="9" t="s">
        <v>119</v>
      </c>
      <c r="AD1767" s="14">
        <v>35.501666666666665</v>
      </c>
      <c r="AF1767" s="14">
        <v>6.4</v>
      </c>
      <c r="AH1767" s="14">
        <v>41.901666666666664</v>
      </c>
      <c r="AI1767" s="13">
        <v>96.914090909090874</v>
      </c>
      <c r="AK1767" s="9">
        <v>320</v>
      </c>
    </row>
    <row r="1768" spans="1:37">
      <c r="A1768" s="9">
        <v>22</v>
      </c>
      <c r="B1768" s="9">
        <v>2024</v>
      </c>
      <c r="C1768" s="9" t="s">
        <v>46</v>
      </c>
      <c r="D1768" s="9" t="s">
        <v>47</v>
      </c>
      <c r="E1768" s="9" t="s">
        <v>47</v>
      </c>
      <c r="F1768" s="10">
        <v>45439</v>
      </c>
      <c r="G1768" s="9" t="s">
        <v>156</v>
      </c>
      <c r="H1768" s="9" t="s">
        <v>54</v>
      </c>
      <c r="J1768" s="9">
        <v>2.6666666666666665</v>
      </c>
      <c r="K1768" s="9">
        <v>80</v>
      </c>
      <c r="L1768" s="9">
        <v>0.66</v>
      </c>
      <c r="M1768" s="9">
        <v>52.8</v>
      </c>
      <c r="N1768" s="9" t="s">
        <v>49</v>
      </c>
      <c r="Q1768" s="9">
        <f>IF(Auction_Sales[[#This Row],[Payment Date]]=0,"",-1+WEEKNUM(Auction_Sales[[#This Row],[Payment Date]]))</f>
        <v>22</v>
      </c>
      <c r="R1768" s="9">
        <v>40</v>
      </c>
      <c r="S1768" s="9" t="s">
        <v>156</v>
      </c>
      <c r="T1768" s="9" t="s">
        <v>54</v>
      </c>
      <c r="U1768" s="9">
        <v>40</v>
      </c>
      <c r="V1768" s="13">
        <v>0.71</v>
      </c>
      <c r="W1768" s="13">
        <v>28.4</v>
      </c>
      <c r="X1768" s="14">
        <v>-2.0480303030303042</v>
      </c>
      <c r="Y1768" s="13">
        <v>26.351969696969693</v>
      </c>
      <c r="Z1768" s="10">
        <v>45448</v>
      </c>
      <c r="AA1768" s="9">
        <v>-40</v>
      </c>
      <c r="AC1768" s="9" t="s">
        <v>119</v>
      </c>
      <c r="AD1768" s="14">
        <v>10.143333333333333</v>
      </c>
      <c r="AF1768" s="14">
        <v>0.8</v>
      </c>
      <c r="AH1768" s="14">
        <v>10.943333333333333</v>
      </c>
      <c r="AI1768" s="13">
        <v>15.40863636363636</v>
      </c>
      <c r="AK1768" s="9">
        <v>40</v>
      </c>
    </row>
    <row r="1769" spans="1:37">
      <c r="A1769" s="9">
        <v>22</v>
      </c>
      <c r="B1769" s="9">
        <v>2024</v>
      </c>
      <c r="C1769" s="9" t="s">
        <v>46</v>
      </c>
      <c r="D1769" s="9" t="s">
        <v>47</v>
      </c>
      <c r="E1769" s="9" t="s">
        <v>47</v>
      </c>
      <c r="F1769" s="10">
        <v>45439</v>
      </c>
      <c r="G1769" s="9" t="s">
        <v>154</v>
      </c>
      <c r="H1769" s="9" t="s">
        <v>56</v>
      </c>
      <c r="N1769" s="9" t="s">
        <v>49</v>
      </c>
      <c r="Q1769" s="9">
        <f>IF(Auction_Sales[[#This Row],[Payment Date]]=0,"",-1+WEEKNUM(Auction_Sales[[#This Row],[Payment Date]]))</f>
        <v>22</v>
      </c>
      <c r="R1769" s="9">
        <v>-80</v>
      </c>
      <c r="S1769" s="9" t="s">
        <v>154</v>
      </c>
      <c r="T1769" s="9" t="s">
        <v>56</v>
      </c>
      <c r="U1769" s="9">
        <v>80</v>
      </c>
      <c r="V1769" s="13">
        <v>0.86</v>
      </c>
      <c r="W1769" s="13">
        <v>68.8</v>
      </c>
      <c r="X1769" s="14">
        <v>-4.0960606060606084</v>
      </c>
      <c r="Y1769" s="13">
        <v>64.703939393939393</v>
      </c>
      <c r="Z1769" s="10">
        <v>45448</v>
      </c>
      <c r="AA1769" s="9">
        <v>80</v>
      </c>
      <c r="AC1769" s="9" t="s">
        <v>119</v>
      </c>
      <c r="AD1769" s="14">
        <v>0</v>
      </c>
      <c r="AF1769" s="14">
        <v>1.6</v>
      </c>
      <c r="AH1769" s="14">
        <v>1.6</v>
      </c>
      <c r="AI1769" s="13">
        <v>63.103939393939392</v>
      </c>
      <c r="AK1769" s="9">
        <v>80</v>
      </c>
    </row>
    <row r="1770" spans="1:37">
      <c r="A1770" s="9">
        <v>22</v>
      </c>
      <c r="B1770" s="9">
        <v>2024</v>
      </c>
      <c r="C1770" s="9" t="s">
        <v>46</v>
      </c>
      <c r="D1770" s="9" t="s">
        <v>47</v>
      </c>
      <c r="E1770" s="9" t="s">
        <v>47</v>
      </c>
      <c r="F1770" s="10">
        <v>45442</v>
      </c>
      <c r="G1770" s="9" t="s">
        <v>155</v>
      </c>
      <c r="H1770" s="9" t="s">
        <v>48</v>
      </c>
      <c r="I1770" s="9">
        <v>1</v>
      </c>
      <c r="J1770" s="9">
        <v>12</v>
      </c>
      <c r="K1770" s="9">
        <v>400</v>
      </c>
      <c r="L1770" s="9">
        <v>0.47</v>
      </c>
      <c r="M1770" s="9">
        <v>188</v>
      </c>
      <c r="N1770" s="9" t="s">
        <v>49</v>
      </c>
      <c r="Q1770" s="9">
        <f>IF(Auction_Sales[[#This Row],[Payment Date]]=0,"",-1+WEEKNUM(Auction_Sales[[#This Row],[Payment Date]]))</f>
        <v>23</v>
      </c>
      <c r="R1770" s="9">
        <v>-960</v>
      </c>
      <c r="S1770" s="9" t="s">
        <v>155</v>
      </c>
      <c r="T1770" s="9" t="s">
        <v>48</v>
      </c>
      <c r="U1770" s="9">
        <v>1360</v>
      </c>
      <c r="V1770" s="13">
        <v>0.69882352941176473</v>
      </c>
      <c r="W1770" s="13">
        <v>950.40000000000009</v>
      </c>
      <c r="X1770" s="14">
        <v>-64.115999999999985</v>
      </c>
      <c r="Y1770" s="13">
        <v>886.28400000000011</v>
      </c>
      <c r="Z1770" s="10">
        <v>45455</v>
      </c>
      <c r="AA1770" s="9">
        <v>960</v>
      </c>
      <c r="AC1770" s="9">
        <v>442699</v>
      </c>
      <c r="AD1770" s="14">
        <v>41.037333333333329</v>
      </c>
      <c r="AF1770" s="14">
        <v>27.2</v>
      </c>
      <c r="AH1770" s="14">
        <v>68.237333333333325</v>
      </c>
      <c r="AI1770" s="13">
        <v>818.04666666666674</v>
      </c>
      <c r="AK1770" s="9">
        <v>1360</v>
      </c>
    </row>
    <row r="1771" spans="1:37">
      <c r="A1771" s="9">
        <v>22</v>
      </c>
      <c r="B1771" s="9">
        <v>2024</v>
      </c>
      <c r="C1771" s="9" t="s">
        <v>46</v>
      </c>
      <c r="D1771" s="9" t="s">
        <v>47</v>
      </c>
      <c r="E1771" s="9" t="s">
        <v>47</v>
      </c>
      <c r="F1771" s="10">
        <v>45442</v>
      </c>
      <c r="G1771" s="9" t="s">
        <v>155</v>
      </c>
      <c r="H1771" s="9" t="s">
        <v>48</v>
      </c>
      <c r="I1771" s="9">
        <v>1</v>
      </c>
      <c r="J1771" s="9">
        <v>12</v>
      </c>
      <c r="K1771" s="9">
        <v>440</v>
      </c>
      <c r="L1771" s="9">
        <v>0.47</v>
      </c>
      <c r="M1771" s="9">
        <v>206.8</v>
      </c>
      <c r="N1771" s="9" t="s">
        <v>49</v>
      </c>
      <c r="Q1771" s="9">
        <f>IF(Auction_Sales[[#This Row],[Payment Date]]=0,"",-1+WEEKNUM(Auction_Sales[[#This Row],[Payment Date]]))</f>
        <v>23</v>
      </c>
      <c r="R1771" s="9">
        <v>440</v>
      </c>
      <c r="S1771" s="9" t="s">
        <v>155</v>
      </c>
      <c r="T1771" s="9" t="s">
        <v>48</v>
      </c>
      <c r="W1771" s="13">
        <v>0</v>
      </c>
      <c r="X1771" s="14">
        <v>0</v>
      </c>
      <c r="Y1771" s="13">
        <v>0</v>
      </c>
      <c r="Z1771" s="10">
        <v>45455</v>
      </c>
      <c r="AA1771" s="9">
        <v>-440</v>
      </c>
      <c r="AC1771" s="9">
        <v>442699</v>
      </c>
      <c r="AD1771" s="14">
        <v>41.037333333333329</v>
      </c>
      <c r="AF1771" s="14">
        <v>0</v>
      </c>
      <c r="AH1771" s="14">
        <v>41.037333333333329</v>
      </c>
      <c r="AI1771" s="13">
        <v>-41.037333333333329</v>
      </c>
      <c r="AK1771" s="9">
        <v>0</v>
      </c>
    </row>
    <row r="1772" spans="1:37">
      <c r="A1772" s="9">
        <v>22</v>
      </c>
      <c r="B1772" s="9">
        <v>2024</v>
      </c>
      <c r="C1772" s="9" t="s">
        <v>46</v>
      </c>
      <c r="D1772" s="9" t="s">
        <v>47</v>
      </c>
      <c r="E1772" s="9" t="s">
        <v>47</v>
      </c>
      <c r="F1772" s="10">
        <v>45442</v>
      </c>
      <c r="G1772" s="9" t="s">
        <v>155</v>
      </c>
      <c r="H1772" s="9" t="s">
        <v>48</v>
      </c>
      <c r="I1772" s="9">
        <v>1</v>
      </c>
      <c r="J1772" s="9">
        <v>12</v>
      </c>
      <c r="K1772" s="9">
        <v>520</v>
      </c>
      <c r="L1772" s="9">
        <v>0.47</v>
      </c>
      <c r="M1772" s="9">
        <v>244.4</v>
      </c>
      <c r="N1772" s="9" t="s">
        <v>49</v>
      </c>
      <c r="Q1772" s="9">
        <f>IF(Auction_Sales[[#This Row],[Payment Date]]=0,"",-1+WEEKNUM(Auction_Sales[[#This Row],[Payment Date]]))</f>
        <v>23</v>
      </c>
      <c r="R1772" s="9">
        <v>520</v>
      </c>
      <c r="S1772" s="9" t="s">
        <v>155</v>
      </c>
      <c r="T1772" s="9" t="s">
        <v>48</v>
      </c>
      <c r="W1772" s="13">
        <v>0</v>
      </c>
      <c r="X1772" s="14">
        <v>0</v>
      </c>
      <c r="Y1772" s="13">
        <v>0</v>
      </c>
      <c r="Z1772" s="10">
        <v>45455</v>
      </c>
      <c r="AA1772" s="9">
        <v>-520</v>
      </c>
      <c r="AC1772" s="9">
        <v>442699</v>
      </c>
      <c r="AD1772" s="14">
        <v>41.037333333333329</v>
      </c>
      <c r="AF1772" s="14">
        <v>0</v>
      </c>
      <c r="AH1772" s="14">
        <v>41.037333333333329</v>
      </c>
      <c r="AI1772" s="13">
        <v>-41.037333333333329</v>
      </c>
      <c r="AK1772" s="9">
        <v>0</v>
      </c>
    </row>
    <row r="1773" spans="1:37">
      <c r="A1773" s="9">
        <v>22</v>
      </c>
      <c r="B1773" s="9">
        <v>2024</v>
      </c>
      <c r="C1773" s="9" t="s">
        <v>46</v>
      </c>
      <c r="D1773" s="9" t="s">
        <v>47</v>
      </c>
      <c r="E1773" s="9" t="s">
        <v>47</v>
      </c>
      <c r="F1773" s="10">
        <v>45442</v>
      </c>
      <c r="G1773" s="9" t="s">
        <v>155</v>
      </c>
      <c r="H1773" s="9" t="s">
        <v>52</v>
      </c>
      <c r="I1773" s="9">
        <v>1</v>
      </c>
      <c r="J1773" s="9">
        <v>12</v>
      </c>
      <c r="K1773" s="9">
        <v>400</v>
      </c>
      <c r="L1773" s="9">
        <v>0.52</v>
      </c>
      <c r="M1773" s="9">
        <v>208</v>
      </c>
      <c r="N1773" s="9" t="s">
        <v>49</v>
      </c>
      <c r="Q1773" s="9">
        <f>IF(Auction_Sales[[#This Row],[Payment Date]]=0,"",-1+WEEKNUM(Auction_Sales[[#This Row],[Payment Date]]))</f>
        <v>23</v>
      </c>
      <c r="R1773" s="9">
        <v>-40</v>
      </c>
      <c r="S1773" s="9" t="s">
        <v>155</v>
      </c>
      <c r="T1773" s="9" t="s">
        <v>52</v>
      </c>
      <c r="U1773" s="9">
        <v>440</v>
      </c>
      <c r="V1773" s="13">
        <v>0.73</v>
      </c>
      <c r="W1773" s="13">
        <v>321.2</v>
      </c>
      <c r="X1773" s="14">
        <v>-20.743411764705876</v>
      </c>
      <c r="Y1773" s="13">
        <v>300.45658823529413</v>
      </c>
      <c r="Z1773" s="10">
        <v>45455</v>
      </c>
      <c r="AA1773" s="9">
        <v>40</v>
      </c>
      <c r="AC1773" s="9">
        <v>442699</v>
      </c>
      <c r="AD1773" s="14">
        <v>41.037333333333329</v>
      </c>
      <c r="AF1773" s="14">
        <v>8.8000000000000007</v>
      </c>
      <c r="AH1773" s="14">
        <v>49.837333333333333</v>
      </c>
      <c r="AI1773" s="13">
        <v>250.6192549019608</v>
      </c>
      <c r="AK1773" s="9">
        <v>440</v>
      </c>
    </row>
    <row r="1774" spans="1:37">
      <c r="A1774" s="9">
        <v>22</v>
      </c>
      <c r="B1774" s="9">
        <v>2024</v>
      </c>
      <c r="C1774" s="9" t="s">
        <v>46</v>
      </c>
      <c r="D1774" s="9" t="s">
        <v>47</v>
      </c>
      <c r="E1774" s="9" t="s">
        <v>47</v>
      </c>
      <c r="F1774" s="10">
        <v>45442</v>
      </c>
      <c r="G1774" s="9" t="s">
        <v>155</v>
      </c>
      <c r="H1774" s="9" t="s">
        <v>54</v>
      </c>
      <c r="I1774" s="9">
        <v>1</v>
      </c>
      <c r="J1774" s="9">
        <v>12</v>
      </c>
      <c r="K1774" s="9">
        <v>280</v>
      </c>
      <c r="L1774" s="9">
        <v>0.56999999999999995</v>
      </c>
      <c r="M1774" s="9">
        <v>159.6</v>
      </c>
      <c r="N1774" s="9" t="s">
        <v>49</v>
      </c>
      <c r="Q1774" s="9">
        <f>IF(Auction_Sales[[#This Row],[Payment Date]]=0,"",-1+WEEKNUM(Auction_Sales[[#This Row],[Payment Date]]))</f>
        <v>23</v>
      </c>
      <c r="R1774" s="9">
        <v>0</v>
      </c>
      <c r="S1774" s="9" t="s">
        <v>155</v>
      </c>
      <c r="T1774" s="9" t="s">
        <v>54</v>
      </c>
      <c r="U1774" s="9">
        <v>280</v>
      </c>
      <c r="V1774" s="13">
        <v>0.74571428571428577</v>
      </c>
      <c r="W1774" s="13">
        <v>208.8</v>
      </c>
      <c r="X1774" s="14">
        <v>-13.200352941176467</v>
      </c>
      <c r="Y1774" s="13">
        <v>195.59964705882354</v>
      </c>
      <c r="Z1774" s="10">
        <v>45455</v>
      </c>
      <c r="AA1774" s="9">
        <v>0</v>
      </c>
      <c r="AC1774" s="9">
        <v>442699</v>
      </c>
      <c r="AD1774" s="14">
        <v>41.037333333333329</v>
      </c>
      <c r="AF1774" s="14">
        <v>5.6000000000000005</v>
      </c>
      <c r="AH1774" s="14">
        <v>46.637333333333331</v>
      </c>
      <c r="AI1774" s="13">
        <v>148.96231372549022</v>
      </c>
      <c r="AK1774" s="9">
        <v>280</v>
      </c>
    </row>
    <row r="1775" spans="1:37">
      <c r="A1775" s="9">
        <v>22</v>
      </c>
      <c r="B1775" s="9">
        <v>2024</v>
      </c>
      <c r="C1775" s="9" t="s">
        <v>46</v>
      </c>
      <c r="D1775" s="9" t="s">
        <v>47</v>
      </c>
      <c r="E1775" s="9" t="s">
        <v>47</v>
      </c>
      <c r="F1775" s="10">
        <v>45442</v>
      </c>
      <c r="G1775" s="9" t="s">
        <v>154</v>
      </c>
      <c r="H1775" s="9" t="s">
        <v>51</v>
      </c>
      <c r="I1775" s="9">
        <v>1</v>
      </c>
      <c r="J1775" s="9">
        <v>12</v>
      </c>
      <c r="K1775" s="9">
        <v>520</v>
      </c>
      <c r="L1775" s="9">
        <v>0.38</v>
      </c>
      <c r="M1775" s="9">
        <v>197.6</v>
      </c>
      <c r="N1775" s="9" t="s">
        <v>49</v>
      </c>
      <c r="Q1775" s="9">
        <f>IF(Auction_Sales[[#This Row],[Payment Date]]=0,"",-1+WEEKNUM(Auction_Sales[[#This Row],[Payment Date]]))</f>
        <v>23</v>
      </c>
      <c r="R1775" s="9">
        <v>-400</v>
      </c>
      <c r="S1775" s="9" t="s">
        <v>154</v>
      </c>
      <c r="T1775" s="9" t="s">
        <v>51</v>
      </c>
      <c r="U1775" s="9">
        <v>920</v>
      </c>
      <c r="V1775" s="13">
        <v>0.44391304347826083</v>
      </c>
      <c r="W1775" s="13">
        <v>408.4</v>
      </c>
      <c r="X1775" s="14">
        <v>-43.372588235294103</v>
      </c>
      <c r="Y1775" s="13">
        <v>365.0274117647059</v>
      </c>
      <c r="Z1775" s="10">
        <v>45455</v>
      </c>
      <c r="AA1775" s="9">
        <v>400</v>
      </c>
      <c r="AC1775" s="9">
        <v>442699</v>
      </c>
      <c r="AD1775" s="14">
        <v>41.037333333333329</v>
      </c>
      <c r="AF1775" s="14">
        <v>18.400000000000002</v>
      </c>
      <c r="AH1775" s="14">
        <v>59.437333333333328</v>
      </c>
      <c r="AI1775" s="13">
        <v>305.5900784313726</v>
      </c>
      <c r="AK1775" s="9">
        <v>920</v>
      </c>
    </row>
    <row r="1776" spans="1:37">
      <c r="A1776" s="9">
        <v>22</v>
      </c>
      <c r="B1776" s="9">
        <v>2024</v>
      </c>
      <c r="C1776" s="9" t="s">
        <v>46</v>
      </c>
      <c r="D1776" s="9" t="s">
        <v>47</v>
      </c>
      <c r="E1776" s="9" t="s">
        <v>47</v>
      </c>
      <c r="F1776" s="10">
        <v>45442</v>
      </c>
      <c r="G1776" s="9" t="s">
        <v>156</v>
      </c>
      <c r="H1776" s="9" t="s">
        <v>51</v>
      </c>
      <c r="I1776" s="9">
        <v>1</v>
      </c>
      <c r="J1776" s="9">
        <v>12</v>
      </c>
      <c r="K1776" s="9">
        <v>440</v>
      </c>
      <c r="L1776" s="9">
        <v>0.42</v>
      </c>
      <c r="M1776" s="9">
        <v>184.8</v>
      </c>
      <c r="N1776" s="9" t="s">
        <v>49</v>
      </c>
      <c r="Q1776" s="9">
        <f>IF(Auction_Sales[[#This Row],[Payment Date]]=0,"",-1+WEEKNUM(Auction_Sales[[#This Row],[Payment Date]]))</f>
        <v>23</v>
      </c>
      <c r="R1776" s="9">
        <v>0</v>
      </c>
      <c r="S1776" s="9" t="s">
        <v>156</v>
      </c>
      <c r="T1776" s="9" t="s">
        <v>51</v>
      </c>
      <c r="U1776" s="9">
        <v>440</v>
      </c>
      <c r="V1776" s="13">
        <v>0.45909090909090911</v>
      </c>
      <c r="W1776" s="13">
        <v>202</v>
      </c>
      <c r="X1776" s="14">
        <v>-20.743411764705876</v>
      </c>
      <c r="Y1776" s="13">
        <v>181.25658823529412</v>
      </c>
      <c r="Z1776" s="10">
        <v>45455</v>
      </c>
      <c r="AA1776" s="9">
        <v>0</v>
      </c>
      <c r="AC1776" s="9">
        <v>442699</v>
      </c>
      <c r="AD1776" s="14">
        <v>41.037333333333329</v>
      </c>
      <c r="AF1776" s="14">
        <v>8.8000000000000007</v>
      </c>
      <c r="AH1776" s="14">
        <v>49.837333333333333</v>
      </c>
      <c r="AI1776" s="13">
        <v>131.41925490196078</v>
      </c>
      <c r="AK1776" s="9">
        <v>440</v>
      </c>
    </row>
    <row r="1777" spans="1:37">
      <c r="A1777" s="9">
        <v>22</v>
      </c>
      <c r="B1777" s="9">
        <v>2024</v>
      </c>
      <c r="C1777" s="9" t="s">
        <v>46</v>
      </c>
      <c r="D1777" s="9" t="s">
        <v>47</v>
      </c>
      <c r="E1777" s="9" t="s">
        <v>47</v>
      </c>
      <c r="F1777" s="10">
        <v>45442</v>
      </c>
      <c r="G1777" s="9" t="s">
        <v>156</v>
      </c>
      <c r="H1777" s="9" t="s">
        <v>48</v>
      </c>
      <c r="I1777" s="9">
        <v>1</v>
      </c>
      <c r="J1777" s="9">
        <v>12</v>
      </c>
      <c r="K1777" s="9">
        <v>400</v>
      </c>
      <c r="L1777" s="9">
        <v>0.52</v>
      </c>
      <c r="M1777" s="9">
        <v>208</v>
      </c>
      <c r="N1777" s="9" t="s">
        <v>49</v>
      </c>
      <c r="Q1777" s="9">
        <f>IF(Auction_Sales[[#This Row],[Payment Date]]=0,"",-1+WEEKNUM(Auction_Sales[[#This Row],[Payment Date]]))</f>
        <v>23</v>
      </c>
      <c r="R1777" s="9">
        <v>0</v>
      </c>
      <c r="S1777" s="9" t="s">
        <v>156</v>
      </c>
      <c r="T1777" s="9" t="s">
        <v>48</v>
      </c>
      <c r="U1777" s="9">
        <v>400</v>
      </c>
      <c r="V1777" s="13">
        <v>0.51</v>
      </c>
      <c r="W1777" s="13">
        <v>204</v>
      </c>
      <c r="X1777" s="14">
        <v>-18.857647058823524</v>
      </c>
      <c r="Y1777" s="13">
        <v>185.14235294117648</v>
      </c>
      <c r="Z1777" s="10">
        <v>45455</v>
      </c>
      <c r="AA1777" s="9">
        <v>0</v>
      </c>
      <c r="AC1777" s="9">
        <v>442699</v>
      </c>
      <c r="AD1777" s="14">
        <v>41.037333333333329</v>
      </c>
      <c r="AF1777" s="14">
        <v>8</v>
      </c>
      <c r="AH1777" s="14">
        <v>49.037333333333329</v>
      </c>
      <c r="AI1777" s="13">
        <v>136.10501960784316</v>
      </c>
      <c r="AK1777" s="9">
        <v>400</v>
      </c>
    </row>
    <row r="1778" spans="1:37">
      <c r="A1778" s="9">
        <v>22</v>
      </c>
      <c r="B1778" s="9">
        <v>2024</v>
      </c>
      <c r="C1778" s="9" t="s">
        <v>46</v>
      </c>
      <c r="D1778" s="9" t="s">
        <v>47</v>
      </c>
      <c r="E1778" s="9" t="s">
        <v>47</v>
      </c>
      <c r="F1778" s="10">
        <v>45442</v>
      </c>
      <c r="G1778" s="9" t="s">
        <v>153</v>
      </c>
      <c r="H1778" s="9" t="s">
        <v>48</v>
      </c>
      <c r="I1778" s="9">
        <v>1</v>
      </c>
      <c r="J1778" s="9">
        <v>12</v>
      </c>
      <c r="K1778" s="9">
        <v>720</v>
      </c>
      <c r="L1778" s="9">
        <v>0.24</v>
      </c>
      <c r="M1778" s="9">
        <v>172.8</v>
      </c>
      <c r="N1778" s="9" t="s">
        <v>49</v>
      </c>
      <c r="Q1778" s="9">
        <f>IF(Auction_Sales[[#This Row],[Payment Date]]=0,"",-1+WEEKNUM(Auction_Sales[[#This Row],[Payment Date]]))</f>
        <v>23</v>
      </c>
      <c r="R1778" s="9">
        <v>720</v>
      </c>
      <c r="S1778" s="9" t="s">
        <v>153</v>
      </c>
      <c r="T1778" s="9" t="s">
        <v>48</v>
      </c>
      <c r="W1778" s="13">
        <v>0</v>
      </c>
      <c r="X1778" s="14">
        <v>0</v>
      </c>
      <c r="Y1778" s="13">
        <v>0</v>
      </c>
      <c r="Z1778" s="10">
        <v>45455</v>
      </c>
      <c r="AA1778" s="9">
        <v>-720</v>
      </c>
      <c r="AC1778" s="9">
        <v>442699</v>
      </c>
      <c r="AD1778" s="14">
        <v>41.037333333333329</v>
      </c>
      <c r="AF1778" s="14">
        <v>0</v>
      </c>
      <c r="AH1778" s="14">
        <v>41.037333333333329</v>
      </c>
      <c r="AI1778" s="13">
        <v>-41.037333333333329</v>
      </c>
      <c r="AK1778" s="9">
        <v>0</v>
      </c>
    </row>
    <row r="1779" spans="1:37">
      <c r="A1779" s="9">
        <v>22</v>
      </c>
      <c r="B1779" s="9">
        <v>2024</v>
      </c>
      <c r="C1779" s="9" t="s">
        <v>46</v>
      </c>
      <c r="D1779" s="9" t="s">
        <v>47</v>
      </c>
      <c r="E1779" s="9" t="s">
        <v>47</v>
      </c>
      <c r="F1779" s="10">
        <v>45442</v>
      </c>
      <c r="G1779" s="9" t="s">
        <v>153</v>
      </c>
      <c r="H1779" s="9" t="s">
        <v>48</v>
      </c>
      <c r="I1779" s="9">
        <v>1</v>
      </c>
      <c r="J1779" s="9">
        <v>12</v>
      </c>
      <c r="K1779" s="9">
        <v>520</v>
      </c>
      <c r="L1779" s="9">
        <v>0.24</v>
      </c>
      <c r="M1779" s="9">
        <v>124.8</v>
      </c>
      <c r="N1779" s="9" t="s">
        <v>49</v>
      </c>
      <c r="Q1779" s="9">
        <f>IF(Auction_Sales[[#This Row],[Payment Date]]=0,"",-1+WEEKNUM(Auction_Sales[[#This Row],[Payment Date]]))</f>
        <v>23</v>
      </c>
      <c r="R1779" s="9">
        <v>-760</v>
      </c>
      <c r="S1779" s="9" t="s">
        <v>153</v>
      </c>
      <c r="T1779" s="9" t="s">
        <v>48</v>
      </c>
      <c r="U1779" s="9">
        <v>1280</v>
      </c>
      <c r="V1779" s="13">
        <v>0.43</v>
      </c>
      <c r="W1779" s="13">
        <v>550.4</v>
      </c>
      <c r="X1779" s="14">
        <v>-60.344470588235282</v>
      </c>
      <c r="Y1779" s="13">
        <v>490.05552941176472</v>
      </c>
      <c r="Z1779" s="10">
        <v>45455</v>
      </c>
      <c r="AA1779" s="9">
        <v>760</v>
      </c>
      <c r="AC1779" s="9">
        <v>442699</v>
      </c>
      <c r="AD1779" s="14">
        <v>41.037333333333329</v>
      </c>
      <c r="AF1779" s="14">
        <v>25.6</v>
      </c>
      <c r="AH1779" s="14">
        <v>66.637333333333331</v>
      </c>
      <c r="AI1779" s="13">
        <v>423.41819607843138</v>
      </c>
      <c r="AK1779" s="9">
        <v>1280</v>
      </c>
    </row>
    <row r="1780" spans="1:37">
      <c r="A1780" s="9">
        <v>22</v>
      </c>
      <c r="B1780" s="9">
        <v>2024</v>
      </c>
      <c r="C1780" s="9" t="s">
        <v>46</v>
      </c>
      <c r="D1780" s="9" t="s">
        <v>47</v>
      </c>
      <c r="E1780" s="9" t="s">
        <v>47</v>
      </c>
      <c r="F1780" s="10">
        <v>45442</v>
      </c>
      <c r="G1780" s="9" t="s">
        <v>153</v>
      </c>
      <c r="H1780" s="9" t="s">
        <v>54</v>
      </c>
      <c r="I1780" s="9">
        <v>1</v>
      </c>
      <c r="J1780" s="9">
        <v>12</v>
      </c>
      <c r="K1780" s="9">
        <v>480</v>
      </c>
      <c r="L1780" s="9">
        <v>0.33</v>
      </c>
      <c r="M1780" s="9">
        <v>158.4</v>
      </c>
      <c r="N1780" s="9" t="s">
        <v>49</v>
      </c>
      <c r="Q1780" s="9">
        <f>IF(Auction_Sales[[#This Row],[Payment Date]]=0,"",-1+WEEKNUM(Auction_Sales[[#This Row],[Payment Date]]))</f>
        <v>23</v>
      </c>
      <c r="R1780" s="9">
        <v>0</v>
      </c>
      <c r="S1780" s="9" t="s">
        <v>153</v>
      </c>
      <c r="T1780" s="9" t="s">
        <v>54</v>
      </c>
      <c r="U1780" s="9">
        <v>480</v>
      </c>
      <c r="V1780" s="13">
        <v>0.51</v>
      </c>
      <c r="W1780" s="13">
        <v>244.8</v>
      </c>
      <c r="X1780" s="14">
        <v>-22.629176470588231</v>
      </c>
      <c r="Y1780" s="13">
        <v>222.17082352941179</v>
      </c>
      <c r="Z1780" s="10">
        <v>45455</v>
      </c>
      <c r="AA1780" s="9">
        <v>0</v>
      </c>
      <c r="AC1780" s="9">
        <v>442699</v>
      </c>
      <c r="AD1780" s="14">
        <v>41.037333333333329</v>
      </c>
      <c r="AF1780" s="14">
        <v>9.6</v>
      </c>
      <c r="AH1780" s="14">
        <v>50.637333333333331</v>
      </c>
      <c r="AI1780" s="13">
        <v>171.53349019607845</v>
      </c>
      <c r="AK1780" s="9">
        <v>480</v>
      </c>
    </row>
    <row r="1781" spans="1:37">
      <c r="A1781" s="9">
        <v>22</v>
      </c>
      <c r="B1781" s="9">
        <v>2024</v>
      </c>
      <c r="C1781" s="9" t="s">
        <v>46</v>
      </c>
      <c r="D1781" s="9" t="s">
        <v>47</v>
      </c>
      <c r="E1781" s="9" t="s">
        <v>47</v>
      </c>
      <c r="F1781" s="10">
        <v>45442</v>
      </c>
      <c r="G1781" s="9" t="s">
        <v>153</v>
      </c>
      <c r="H1781" s="9" t="s">
        <v>56</v>
      </c>
      <c r="I1781" s="9">
        <v>1</v>
      </c>
      <c r="J1781" s="9">
        <v>10.5</v>
      </c>
      <c r="K1781" s="9">
        <v>280</v>
      </c>
      <c r="L1781" s="9">
        <v>0.38</v>
      </c>
      <c r="M1781" s="9">
        <v>106.4</v>
      </c>
      <c r="N1781" s="9" t="s">
        <v>49</v>
      </c>
      <c r="Q1781" s="9">
        <f>IF(Auction_Sales[[#This Row],[Payment Date]]=0,"",-1+WEEKNUM(Auction_Sales[[#This Row],[Payment Date]]))</f>
        <v>23</v>
      </c>
      <c r="R1781" s="9">
        <v>0</v>
      </c>
      <c r="S1781" s="9" t="s">
        <v>153</v>
      </c>
      <c r="T1781" s="9" t="s">
        <v>56</v>
      </c>
      <c r="U1781" s="9">
        <v>280</v>
      </c>
      <c r="V1781" s="13">
        <v>0.72142857142857142</v>
      </c>
      <c r="W1781" s="13">
        <v>202</v>
      </c>
      <c r="X1781" s="14">
        <v>-13.200352941176467</v>
      </c>
      <c r="Y1781" s="13">
        <v>188.79964705882352</v>
      </c>
      <c r="Z1781" s="10">
        <v>45455</v>
      </c>
      <c r="AA1781" s="9">
        <v>0</v>
      </c>
      <c r="AC1781" s="9">
        <v>442699</v>
      </c>
      <c r="AD1781" s="14">
        <v>35.907666666666664</v>
      </c>
      <c r="AF1781" s="14">
        <v>5.6000000000000005</v>
      </c>
      <c r="AH1781" s="14">
        <v>41.507666666666665</v>
      </c>
      <c r="AI1781" s="13">
        <v>147.29198039215686</v>
      </c>
      <c r="AK1781" s="9">
        <v>280</v>
      </c>
    </row>
    <row r="1782" spans="1:37">
      <c r="A1782" s="9">
        <v>22</v>
      </c>
      <c r="B1782" s="9">
        <v>2024</v>
      </c>
      <c r="C1782" s="9" t="s">
        <v>46</v>
      </c>
      <c r="D1782" s="9" t="s">
        <v>47</v>
      </c>
      <c r="E1782" s="9" t="s">
        <v>47</v>
      </c>
      <c r="F1782" s="10">
        <v>45442</v>
      </c>
      <c r="G1782" s="9" t="s">
        <v>153</v>
      </c>
      <c r="H1782" s="9" t="s">
        <v>57</v>
      </c>
      <c r="J1782" s="9">
        <v>1.5</v>
      </c>
      <c r="K1782" s="9">
        <v>40</v>
      </c>
      <c r="L1782" s="9">
        <v>0.47</v>
      </c>
      <c r="M1782" s="9">
        <v>18.8</v>
      </c>
      <c r="N1782" s="9" t="s">
        <v>49</v>
      </c>
      <c r="Q1782" s="9">
        <f>IF(Auction_Sales[[#This Row],[Payment Date]]=0,"",-1+WEEKNUM(Auction_Sales[[#This Row],[Payment Date]]))</f>
        <v>23</v>
      </c>
      <c r="R1782" s="9">
        <v>0</v>
      </c>
      <c r="S1782" s="9" t="s">
        <v>153</v>
      </c>
      <c r="T1782" s="9" t="s">
        <v>57</v>
      </c>
      <c r="U1782" s="9">
        <v>40</v>
      </c>
      <c r="V1782" s="13">
        <v>0.80999999999999994</v>
      </c>
      <c r="W1782" s="13">
        <v>32.4</v>
      </c>
      <c r="X1782" s="14">
        <v>-1.8857647058823526</v>
      </c>
      <c r="Y1782" s="13">
        <v>30.514235294117647</v>
      </c>
      <c r="Z1782" s="10">
        <v>45455</v>
      </c>
      <c r="AA1782" s="9">
        <v>0</v>
      </c>
      <c r="AC1782" s="9">
        <v>442699</v>
      </c>
      <c r="AD1782" s="14">
        <v>5.1296666666666662</v>
      </c>
      <c r="AF1782" s="14">
        <v>0.8</v>
      </c>
      <c r="AH1782" s="14">
        <v>5.929666666666666</v>
      </c>
      <c r="AI1782" s="13">
        <v>24.584568627450981</v>
      </c>
      <c r="AK1782" s="9">
        <v>40</v>
      </c>
    </row>
    <row r="1783" spans="1:37">
      <c r="A1783" s="9">
        <v>22</v>
      </c>
      <c r="B1783" s="9">
        <v>2024</v>
      </c>
      <c r="C1783" s="9" t="s">
        <v>46</v>
      </c>
      <c r="D1783" s="9" t="s">
        <v>47</v>
      </c>
      <c r="E1783" s="9" t="s">
        <v>47</v>
      </c>
      <c r="F1783" s="10">
        <v>45442</v>
      </c>
      <c r="G1783" s="9" t="s">
        <v>155</v>
      </c>
      <c r="H1783" s="9" t="s">
        <v>56</v>
      </c>
      <c r="I1783" s="9">
        <v>1</v>
      </c>
      <c r="J1783" s="9">
        <v>10.285714285714285</v>
      </c>
      <c r="K1783" s="9">
        <v>240</v>
      </c>
      <c r="L1783" s="9">
        <v>0.75</v>
      </c>
      <c r="M1783" s="9">
        <v>180</v>
      </c>
      <c r="N1783" s="9" t="s">
        <v>49</v>
      </c>
      <c r="Q1783" s="9">
        <f>IF(Auction_Sales[[#This Row],[Payment Date]]=0,"",-1+WEEKNUM(Auction_Sales[[#This Row],[Payment Date]]))</f>
        <v>23</v>
      </c>
      <c r="R1783" s="9">
        <v>0</v>
      </c>
      <c r="S1783" s="9" t="s">
        <v>155</v>
      </c>
      <c r="T1783" s="9" t="s">
        <v>56</v>
      </c>
      <c r="U1783" s="9">
        <v>240</v>
      </c>
      <c r="V1783" s="13">
        <v>0.88500000000000001</v>
      </c>
      <c r="W1783" s="13">
        <v>212.4</v>
      </c>
      <c r="X1783" s="14">
        <v>-11.314588235294115</v>
      </c>
      <c r="Y1783" s="13">
        <v>201.0854117647059</v>
      </c>
      <c r="Z1783" s="10">
        <v>45455</v>
      </c>
      <c r="AA1783" s="9">
        <v>0</v>
      </c>
      <c r="AC1783" s="9">
        <v>442699</v>
      </c>
      <c r="AD1783" s="14">
        <v>35.174857142857135</v>
      </c>
      <c r="AF1783" s="14">
        <v>4.8</v>
      </c>
      <c r="AH1783" s="14">
        <v>39.974857142857132</v>
      </c>
      <c r="AI1783" s="13">
        <v>161.11055462184876</v>
      </c>
      <c r="AK1783" s="9">
        <v>240</v>
      </c>
    </row>
    <row r="1784" spans="1:37">
      <c r="A1784" s="9">
        <v>22</v>
      </c>
      <c r="B1784" s="9">
        <v>2024</v>
      </c>
      <c r="C1784" s="9" t="s">
        <v>46</v>
      </c>
      <c r="D1784" s="9" t="s">
        <v>47</v>
      </c>
      <c r="E1784" s="9" t="s">
        <v>47</v>
      </c>
      <c r="F1784" s="10">
        <v>45442</v>
      </c>
      <c r="G1784" s="9" t="s">
        <v>155</v>
      </c>
      <c r="H1784" s="9" t="s">
        <v>52</v>
      </c>
      <c r="J1784" s="9">
        <v>1.7142857142857142</v>
      </c>
      <c r="K1784" s="9">
        <v>40</v>
      </c>
      <c r="L1784" s="9">
        <v>0.52</v>
      </c>
      <c r="M1784" s="9">
        <v>20.8</v>
      </c>
      <c r="N1784" s="9" t="s">
        <v>49</v>
      </c>
      <c r="Q1784" s="9">
        <f>IF(Auction_Sales[[#This Row],[Payment Date]]=0,"",-1+WEEKNUM(Auction_Sales[[#This Row],[Payment Date]]))</f>
        <v>23</v>
      </c>
      <c r="R1784" s="9">
        <v>40</v>
      </c>
      <c r="S1784" s="9" t="s">
        <v>155</v>
      </c>
      <c r="T1784" s="9" t="s">
        <v>52</v>
      </c>
      <c r="W1784" s="13">
        <v>0</v>
      </c>
      <c r="X1784" s="14">
        <v>0</v>
      </c>
      <c r="Y1784" s="13">
        <v>0</v>
      </c>
      <c r="Z1784" s="10">
        <v>45455</v>
      </c>
      <c r="AA1784" s="9">
        <v>-40</v>
      </c>
      <c r="AC1784" s="9">
        <v>442699</v>
      </c>
      <c r="AD1784" s="14">
        <v>5.8624761904761895</v>
      </c>
      <c r="AF1784" s="14">
        <v>0</v>
      </c>
      <c r="AH1784" s="14">
        <v>5.8624761904761895</v>
      </c>
      <c r="AI1784" s="13">
        <v>-5.8624761904761895</v>
      </c>
      <c r="AK1784" s="9">
        <v>0</v>
      </c>
    </row>
    <row r="1785" spans="1:37">
      <c r="A1785" s="9">
        <v>22</v>
      </c>
      <c r="B1785" s="9">
        <v>2024</v>
      </c>
      <c r="C1785" s="9" t="s">
        <v>46</v>
      </c>
      <c r="D1785" s="9" t="s">
        <v>47</v>
      </c>
      <c r="E1785" s="9" t="s">
        <v>47</v>
      </c>
      <c r="F1785" s="10">
        <v>45442</v>
      </c>
      <c r="G1785" s="9" t="s">
        <v>153</v>
      </c>
      <c r="H1785" s="9" t="s">
        <v>52</v>
      </c>
      <c r="I1785" s="9">
        <v>1</v>
      </c>
      <c r="J1785" s="9">
        <v>11</v>
      </c>
      <c r="K1785" s="9">
        <v>440</v>
      </c>
      <c r="L1785" s="9">
        <v>0.28000000000000003</v>
      </c>
      <c r="M1785" s="9">
        <v>123.2</v>
      </c>
      <c r="N1785" s="9" t="s">
        <v>49</v>
      </c>
      <c r="Q1785" s="9">
        <f>IF(Auction_Sales[[#This Row],[Payment Date]]=0,"",-1+WEEKNUM(Auction_Sales[[#This Row],[Payment Date]]))</f>
        <v>23</v>
      </c>
      <c r="R1785" s="9">
        <v>-40</v>
      </c>
      <c r="S1785" s="9" t="s">
        <v>153</v>
      </c>
      <c r="T1785" s="9" t="s">
        <v>52</v>
      </c>
      <c r="U1785" s="9">
        <v>480</v>
      </c>
      <c r="V1785" s="13">
        <v>0.54333333333333333</v>
      </c>
      <c r="W1785" s="13">
        <v>260.8</v>
      </c>
      <c r="X1785" s="14">
        <v>-22.629176470588231</v>
      </c>
      <c r="Y1785" s="13">
        <v>238.17082352941179</v>
      </c>
      <c r="Z1785" s="10">
        <v>45455</v>
      </c>
      <c r="AA1785" s="9">
        <v>40</v>
      </c>
      <c r="AC1785" s="9">
        <v>442699</v>
      </c>
      <c r="AD1785" s="14">
        <v>37.617555555555548</v>
      </c>
      <c r="AF1785" s="14">
        <v>9.6</v>
      </c>
      <c r="AH1785" s="14">
        <v>47.217555555555549</v>
      </c>
      <c r="AI1785" s="13">
        <v>190.95326797385624</v>
      </c>
      <c r="AK1785" s="9">
        <v>480</v>
      </c>
    </row>
    <row r="1786" spans="1:37">
      <c r="A1786" s="9">
        <v>22</v>
      </c>
      <c r="B1786" s="9">
        <v>2024</v>
      </c>
      <c r="C1786" s="9" t="s">
        <v>46</v>
      </c>
      <c r="D1786" s="9" t="s">
        <v>47</v>
      </c>
      <c r="E1786" s="9" t="s">
        <v>47</v>
      </c>
      <c r="F1786" s="10">
        <v>45442</v>
      </c>
      <c r="G1786" s="9" t="s">
        <v>153</v>
      </c>
      <c r="H1786" s="9" t="s">
        <v>54</v>
      </c>
      <c r="J1786" s="9">
        <v>1</v>
      </c>
      <c r="K1786" s="9">
        <v>40</v>
      </c>
      <c r="L1786" s="9">
        <v>0.33</v>
      </c>
      <c r="M1786" s="9">
        <v>13.2</v>
      </c>
      <c r="N1786" s="9" t="s">
        <v>49</v>
      </c>
      <c r="Q1786" s="9">
        <f>IF(Auction_Sales[[#This Row],[Payment Date]]=0,"",-1+WEEKNUM(Auction_Sales[[#This Row],[Payment Date]]))</f>
        <v>23</v>
      </c>
      <c r="R1786" s="9">
        <v>40</v>
      </c>
      <c r="S1786" s="9" t="s">
        <v>153</v>
      </c>
      <c r="T1786" s="9" t="s">
        <v>54</v>
      </c>
      <c r="W1786" s="13">
        <v>0</v>
      </c>
      <c r="X1786" s="14">
        <v>0</v>
      </c>
      <c r="Y1786" s="13">
        <v>0</v>
      </c>
      <c r="Z1786" s="10">
        <v>45455</v>
      </c>
      <c r="AA1786" s="9">
        <v>-40</v>
      </c>
      <c r="AC1786" s="9">
        <v>442699</v>
      </c>
      <c r="AD1786" s="14">
        <v>3.4197777777777776</v>
      </c>
      <c r="AF1786" s="14">
        <v>0</v>
      </c>
      <c r="AH1786" s="14">
        <v>3.4197777777777776</v>
      </c>
      <c r="AI1786" s="13">
        <v>-3.4197777777777776</v>
      </c>
      <c r="AK1786" s="9">
        <v>0</v>
      </c>
    </row>
    <row r="1787" spans="1:37">
      <c r="A1787" s="9">
        <v>22</v>
      </c>
      <c r="B1787" s="9">
        <v>2024</v>
      </c>
      <c r="C1787" s="9" t="s">
        <v>46</v>
      </c>
      <c r="D1787" s="9" t="s">
        <v>47</v>
      </c>
      <c r="E1787" s="9" t="s">
        <v>47</v>
      </c>
      <c r="F1787" s="10">
        <v>45442</v>
      </c>
      <c r="G1787" s="9" t="s">
        <v>154</v>
      </c>
      <c r="H1787" s="9" t="s">
        <v>51</v>
      </c>
      <c r="I1787" s="9">
        <v>1</v>
      </c>
      <c r="J1787" s="9">
        <v>8.5714285714285712</v>
      </c>
      <c r="K1787" s="9">
        <v>400</v>
      </c>
      <c r="L1787" s="9">
        <v>0.38</v>
      </c>
      <c r="M1787" s="9">
        <v>152</v>
      </c>
      <c r="N1787" s="9" t="s">
        <v>49</v>
      </c>
      <c r="Q1787" s="9">
        <f>IF(Auction_Sales[[#This Row],[Payment Date]]=0,"",-1+WEEKNUM(Auction_Sales[[#This Row],[Payment Date]]))</f>
        <v>23</v>
      </c>
      <c r="R1787" s="9">
        <v>400</v>
      </c>
      <c r="S1787" s="9" t="s">
        <v>154</v>
      </c>
      <c r="T1787" s="9" t="s">
        <v>51</v>
      </c>
      <c r="W1787" s="13">
        <v>0</v>
      </c>
      <c r="X1787" s="14">
        <v>0</v>
      </c>
      <c r="Y1787" s="13">
        <v>0</v>
      </c>
      <c r="Z1787" s="10">
        <v>45455</v>
      </c>
      <c r="AA1787" s="9">
        <v>-400</v>
      </c>
      <c r="AC1787" s="9">
        <v>442699</v>
      </c>
      <c r="AD1787" s="14">
        <v>29.312380952380948</v>
      </c>
      <c r="AF1787" s="14">
        <v>0</v>
      </c>
      <c r="AH1787" s="14">
        <v>29.312380952380948</v>
      </c>
      <c r="AI1787" s="13">
        <v>-29.312380952380948</v>
      </c>
      <c r="AK1787" s="9">
        <v>0</v>
      </c>
    </row>
    <row r="1788" spans="1:37">
      <c r="A1788" s="9">
        <v>22</v>
      </c>
      <c r="B1788" s="9">
        <v>2024</v>
      </c>
      <c r="C1788" s="9" t="s">
        <v>46</v>
      </c>
      <c r="D1788" s="9" t="s">
        <v>47</v>
      </c>
      <c r="E1788" s="9" t="s">
        <v>47</v>
      </c>
      <c r="F1788" s="10">
        <v>45442</v>
      </c>
      <c r="G1788" s="9" t="s">
        <v>154</v>
      </c>
      <c r="H1788" s="9" t="s">
        <v>48</v>
      </c>
      <c r="J1788" s="9">
        <v>3.4285714285714284</v>
      </c>
      <c r="K1788" s="9">
        <v>160</v>
      </c>
      <c r="L1788" s="9">
        <v>0.47</v>
      </c>
      <c r="M1788" s="9">
        <v>75.2</v>
      </c>
      <c r="N1788" s="9" t="s">
        <v>49</v>
      </c>
      <c r="Q1788" s="9">
        <f>IF(Auction_Sales[[#This Row],[Payment Date]]=0,"",-1+WEEKNUM(Auction_Sales[[#This Row],[Payment Date]]))</f>
        <v>23</v>
      </c>
      <c r="R1788" s="9">
        <v>0</v>
      </c>
      <c r="S1788" s="9" t="s">
        <v>154</v>
      </c>
      <c r="T1788" s="9" t="s">
        <v>48</v>
      </c>
      <c r="U1788" s="9">
        <v>160</v>
      </c>
      <c r="V1788" s="13">
        <v>0.59000000000000008</v>
      </c>
      <c r="W1788" s="13">
        <v>94.4</v>
      </c>
      <c r="X1788" s="14">
        <v>-7.5430588235294103</v>
      </c>
      <c r="Y1788" s="13">
        <v>86.856941176470599</v>
      </c>
      <c r="Z1788" s="10">
        <v>45455</v>
      </c>
      <c r="AA1788" s="9">
        <v>0</v>
      </c>
      <c r="AC1788" s="9">
        <v>442699</v>
      </c>
      <c r="AD1788" s="14">
        <v>11.724952380952379</v>
      </c>
      <c r="AF1788" s="14">
        <v>3.2</v>
      </c>
      <c r="AH1788" s="14">
        <v>14.92495238095238</v>
      </c>
      <c r="AI1788" s="13">
        <v>71.931988795518222</v>
      </c>
      <c r="AK1788" s="9">
        <v>160</v>
      </c>
    </row>
    <row r="1789" spans="1:37">
      <c r="A1789" s="9">
        <v>23</v>
      </c>
      <c r="B1789" s="9">
        <v>2024</v>
      </c>
      <c r="C1789" s="9" t="s">
        <v>46</v>
      </c>
      <c r="D1789" s="9" t="s">
        <v>47</v>
      </c>
      <c r="E1789" s="9" t="s">
        <v>47</v>
      </c>
      <c r="F1789" s="10">
        <v>45444</v>
      </c>
      <c r="G1789" s="9" t="s">
        <v>155</v>
      </c>
      <c r="H1789" s="9" t="s">
        <v>51</v>
      </c>
      <c r="I1789" s="9">
        <v>4</v>
      </c>
      <c r="J1789" s="9">
        <v>12</v>
      </c>
      <c r="K1789" s="9">
        <v>3040</v>
      </c>
      <c r="L1789" s="9">
        <v>0.38</v>
      </c>
      <c r="M1789" s="9">
        <v>1155.2</v>
      </c>
      <c r="N1789" s="9" t="s">
        <v>49</v>
      </c>
      <c r="Q1789" s="9">
        <f>IF(Auction_Sales[[#This Row],[Payment Date]]=0,"",-1+WEEKNUM(Auction_Sales[[#This Row],[Payment Date]]))</f>
        <v>23</v>
      </c>
      <c r="R1789" s="9">
        <v>0</v>
      </c>
      <c r="S1789" s="9" t="s">
        <v>155</v>
      </c>
      <c r="T1789" s="9" t="s">
        <v>51</v>
      </c>
      <c r="U1789" s="9">
        <v>3040</v>
      </c>
      <c r="V1789" s="13">
        <v>0.48355263157894735</v>
      </c>
      <c r="W1789" s="13">
        <v>1470</v>
      </c>
      <c r="X1789" s="14">
        <v>-125.00538461538468</v>
      </c>
      <c r="Y1789" s="13">
        <v>1344.9946153846154</v>
      </c>
      <c r="Z1789" s="10">
        <v>45455</v>
      </c>
      <c r="AA1789" s="9">
        <v>0</v>
      </c>
      <c r="AC1789" s="9">
        <v>442910</v>
      </c>
      <c r="AD1789" s="14">
        <v>43.813636363636363</v>
      </c>
      <c r="AF1789" s="14">
        <v>60.800000000000004</v>
      </c>
      <c r="AH1789" s="14">
        <v>104.61363636363637</v>
      </c>
      <c r="AI1789" s="13">
        <v>1240.3809790209789</v>
      </c>
      <c r="AK1789" s="9">
        <v>3040</v>
      </c>
    </row>
    <row r="1790" spans="1:37">
      <c r="A1790" s="9">
        <v>23</v>
      </c>
      <c r="B1790" s="9">
        <v>2024</v>
      </c>
      <c r="C1790" s="9" t="s">
        <v>46</v>
      </c>
      <c r="D1790" s="9" t="s">
        <v>47</v>
      </c>
      <c r="E1790" s="9" t="s">
        <v>47</v>
      </c>
      <c r="F1790" s="10">
        <v>45444</v>
      </c>
      <c r="G1790" s="9" t="s">
        <v>153</v>
      </c>
      <c r="H1790" s="9" t="s">
        <v>52</v>
      </c>
      <c r="I1790" s="9">
        <v>1</v>
      </c>
      <c r="J1790" s="9">
        <v>12</v>
      </c>
      <c r="K1790" s="9">
        <v>520</v>
      </c>
      <c r="L1790" s="9">
        <v>0.28000000000000003</v>
      </c>
      <c r="M1790" s="9">
        <v>145.6</v>
      </c>
      <c r="N1790" s="9" t="s">
        <v>49</v>
      </c>
      <c r="Q1790" s="9">
        <f>IF(Auction_Sales[[#This Row],[Payment Date]]=0,"",-1+WEEKNUM(Auction_Sales[[#This Row],[Payment Date]]))</f>
        <v>23</v>
      </c>
      <c r="R1790" s="9">
        <v>-40</v>
      </c>
      <c r="S1790" s="9" t="s">
        <v>153</v>
      </c>
      <c r="T1790" s="9" t="s">
        <v>52</v>
      </c>
      <c r="U1790" s="9">
        <v>560</v>
      </c>
      <c r="V1790" s="13">
        <v>0.5178571428571429</v>
      </c>
      <c r="W1790" s="13">
        <v>290</v>
      </c>
      <c r="X1790" s="14">
        <v>-23.027307692307705</v>
      </c>
      <c r="Y1790" s="13">
        <v>266.97269230769228</v>
      </c>
      <c r="Z1790" s="10">
        <v>45455</v>
      </c>
      <c r="AA1790" s="9">
        <v>40</v>
      </c>
      <c r="AC1790" s="9">
        <v>442910</v>
      </c>
      <c r="AD1790" s="14">
        <v>43.813636363636363</v>
      </c>
      <c r="AF1790" s="14">
        <v>11.200000000000001</v>
      </c>
      <c r="AH1790" s="14">
        <v>55.013636363636365</v>
      </c>
      <c r="AI1790" s="13">
        <v>211.95905594405593</v>
      </c>
      <c r="AK1790" s="9">
        <v>560</v>
      </c>
    </row>
    <row r="1791" spans="1:37">
      <c r="A1791" s="9">
        <v>23</v>
      </c>
      <c r="B1791" s="9">
        <v>2024</v>
      </c>
      <c r="C1791" s="9" t="s">
        <v>46</v>
      </c>
      <c r="D1791" s="9" t="s">
        <v>47</v>
      </c>
      <c r="E1791" s="9" t="s">
        <v>47</v>
      </c>
      <c r="F1791" s="10">
        <v>45444</v>
      </c>
      <c r="G1791" s="9" t="s">
        <v>153</v>
      </c>
      <c r="H1791" s="9" t="s">
        <v>48</v>
      </c>
      <c r="I1791" s="9">
        <v>1</v>
      </c>
      <c r="J1791" s="9">
        <v>12</v>
      </c>
      <c r="K1791" s="9">
        <v>840</v>
      </c>
      <c r="L1791" s="9">
        <v>0.24</v>
      </c>
      <c r="M1791" s="9">
        <v>201.6</v>
      </c>
      <c r="N1791" s="9" t="s">
        <v>49</v>
      </c>
      <c r="Q1791" s="9">
        <f>IF(Auction_Sales[[#This Row],[Payment Date]]=0,"",-1+WEEKNUM(Auction_Sales[[#This Row],[Payment Date]]))</f>
        <v>23</v>
      </c>
      <c r="R1791" s="9">
        <v>0</v>
      </c>
      <c r="S1791" s="9" t="s">
        <v>153</v>
      </c>
      <c r="T1791" s="9" t="s">
        <v>48</v>
      </c>
      <c r="U1791" s="9">
        <v>840</v>
      </c>
      <c r="V1791" s="13">
        <v>0.42857142857142855</v>
      </c>
      <c r="W1791" s="13">
        <v>360</v>
      </c>
      <c r="X1791" s="14">
        <v>-34.540961538461559</v>
      </c>
      <c r="Y1791" s="13">
        <v>325.45903846153846</v>
      </c>
      <c r="Z1791" s="10">
        <v>45455</v>
      </c>
      <c r="AA1791" s="9">
        <v>0</v>
      </c>
      <c r="AC1791" s="9">
        <v>442910</v>
      </c>
      <c r="AD1791" s="14">
        <v>43.813636363636363</v>
      </c>
      <c r="AF1791" s="14">
        <v>16.8</v>
      </c>
      <c r="AH1791" s="14">
        <v>60.61363636363636</v>
      </c>
      <c r="AI1791" s="13">
        <v>264.84540209790208</v>
      </c>
      <c r="AK1791" s="9">
        <v>840</v>
      </c>
    </row>
    <row r="1792" spans="1:37">
      <c r="A1792" s="9">
        <v>23</v>
      </c>
      <c r="B1792" s="9">
        <v>2024</v>
      </c>
      <c r="C1792" s="9" t="s">
        <v>46</v>
      </c>
      <c r="D1792" s="9" t="s">
        <v>47</v>
      </c>
      <c r="E1792" s="9" t="s">
        <v>47</v>
      </c>
      <c r="F1792" s="10">
        <v>45444</v>
      </c>
      <c r="G1792" s="9" t="s">
        <v>154</v>
      </c>
      <c r="H1792" s="9" t="s">
        <v>51</v>
      </c>
      <c r="I1792" s="9">
        <v>1</v>
      </c>
      <c r="J1792" s="9">
        <v>12</v>
      </c>
      <c r="K1792" s="9">
        <v>520</v>
      </c>
      <c r="L1792" s="9">
        <v>0.38</v>
      </c>
      <c r="M1792" s="9">
        <v>197.6</v>
      </c>
      <c r="N1792" s="9" t="s">
        <v>49</v>
      </c>
      <c r="Q1792" s="9">
        <f>IF(Auction_Sales[[#This Row],[Payment Date]]=0,"",-1+WEEKNUM(Auction_Sales[[#This Row],[Payment Date]]))</f>
        <v>23</v>
      </c>
      <c r="R1792" s="9">
        <v>0</v>
      </c>
      <c r="S1792" s="9" t="s">
        <v>154</v>
      </c>
      <c r="T1792" s="9" t="s">
        <v>51</v>
      </c>
      <c r="U1792" s="9">
        <v>520</v>
      </c>
      <c r="V1792" s="13">
        <v>0.61769230769230765</v>
      </c>
      <c r="W1792" s="13">
        <v>321.2</v>
      </c>
      <c r="X1792" s="14">
        <v>-21.382500000000011</v>
      </c>
      <c r="Y1792" s="13">
        <v>299.8175</v>
      </c>
      <c r="Z1792" s="10">
        <v>45455</v>
      </c>
      <c r="AA1792" s="9">
        <v>0</v>
      </c>
      <c r="AC1792" s="9">
        <v>442910</v>
      </c>
      <c r="AD1792" s="14">
        <v>43.813636363636363</v>
      </c>
      <c r="AF1792" s="14">
        <v>10.4</v>
      </c>
      <c r="AH1792" s="14">
        <v>54.213636363636361</v>
      </c>
      <c r="AI1792" s="13">
        <v>245.60386363636363</v>
      </c>
      <c r="AK1792" s="9">
        <v>520</v>
      </c>
    </row>
    <row r="1793" spans="1:37">
      <c r="A1793" s="9">
        <v>23</v>
      </c>
      <c r="B1793" s="9">
        <v>2024</v>
      </c>
      <c r="C1793" s="9" t="s">
        <v>46</v>
      </c>
      <c r="D1793" s="9" t="s">
        <v>47</v>
      </c>
      <c r="E1793" s="9" t="s">
        <v>47</v>
      </c>
      <c r="F1793" s="10">
        <v>45444</v>
      </c>
      <c r="G1793" s="9" t="s">
        <v>155</v>
      </c>
      <c r="H1793" s="9" t="s">
        <v>48</v>
      </c>
      <c r="I1793" s="9">
        <v>1</v>
      </c>
      <c r="J1793" s="9">
        <v>12</v>
      </c>
      <c r="K1793" s="9">
        <v>480</v>
      </c>
      <c r="L1793" s="9">
        <v>0.47</v>
      </c>
      <c r="M1793" s="9">
        <v>225.6</v>
      </c>
      <c r="N1793" s="9" t="s">
        <v>49</v>
      </c>
      <c r="Q1793" s="9">
        <f>IF(Auction_Sales[[#This Row],[Payment Date]]=0,"",-1+WEEKNUM(Auction_Sales[[#This Row],[Payment Date]]))</f>
        <v>23</v>
      </c>
      <c r="R1793" s="9">
        <v>0</v>
      </c>
      <c r="S1793" s="9" t="s">
        <v>155</v>
      </c>
      <c r="T1793" s="9" t="s">
        <v>48</v>
      </c>
      <c r="U1793" s="9">
        <v>480</v>
      </c>
      <c r="V1793" s="13">
        <v>0.64333333333333331</v>
      </c>
      <c r="W1793" s="13">
        <v>308.8</v>
      </c>
      <c r="X1793" s="14">
        <v>-19.737692307692321</v>
      </c>
      <c r="Y1793" s="13">
        <v>289.06230769230768</v>
      </c>
      <c r="Z1793" s="10">
        <v>45455</v>
      </c>
      <c r="AA1793" s="9">
        <v>0</v>
      </c>
      <c r="AC1793" s="9">
        <v>442910</v>
      </c>
      <c r="AD1793" s="14">
        <v>43.813636363636363</v>
      </c>
      <c r="AF1793" s="14">
        <v>9.6</v>
      </c>
      <c r="AH1793" s="14">
        <v>53.413636363636364</v>
      </c>
      <c r="AI1793" s="13">
        <v>235.64867132867133</v>
      </c>
      <c r="AK1793" s="9">
        <v>480</v>
      </c>
    </row>
    <row r="1794" spans="1:37">
      <c r="A1794" s="9">
        <v>23</v>
      </c>
      <c r="B1794" s="9">
        <v>2024</v>
      </c>
      <c r="C1794" s="9" t="s">
        <v>46</v>
      </c>
      <c r="D1794" s="9" t="s">
        <v>47</v>
      </c>
      <c r="E1794" s="9" t="s">
        <v>47</v>
      </c>
      <c r="F1794" s="10">
        <v>45444</v>
      </c>
      <c r="G1794" s="9" t="s">
        <v>155</v>
      </c>
      <c r="H1794" s="9" t="s">
        <v>56</v>
      </c>
      <c r="I1794" s="9">
        <v>1</v>
      </c>
      <c r="J1794" s="9">
        <v>9.6000000000000014</v>
      </c>
      <c r="K1794" s="9">
        <v>160</v>
      </c>
      <c r="L1794" s="9">
        <v>0.75</v>
      </c>
      <c r="M1794" s="9">
        <v>120</v>
      </c>
      <c r="N1794" s="9" t="s">
        <v>49</v>
      </c>
      <c r="Q1794" s="9">
        <f>IF(Auction_Sales[[#This Row],[Payment Date]]=0,"",-1+WEEKNUM(Auction_Sales[[#This Row],[Payment Date]]))</f>
        <v>23</v>
      </c>
      <c r="R1794" s="9">
        <v>0</v>
      </c>
      <c r="S1794" s="9" t="s">
        <v>155</v>
      </c>
      <c r="T1794" s="9" t="s">
        <v>56</v>
      </c>
      <c r="U1794" s="9">
        <v>160</v>
      </c>
      <c r="V1794" s="13">
        <v>0.59000000000000008</v>
      </c>
      <c r="W1794" s="13">
        <v>94.4</v>
      </c>
      <c r="X1794" s="14">
        <v>-6.5792307692307732</v>
      </c>
      <c r="Y1794" s="13">
        <v>87.82076923076923</v>
      </c>
      <c r="Z1794" s="10">
        <v>45455</v>
      </c>
      <c r="AA1794" s="9">
        <v>0</v>
      </c>
      <c r="AC1794" s="9">
        <v>442910</v>
      </c>
      <c r="AD1794" s="14">
        <v>35.050909090909094</v>
      </c>
      <c r="AF1794" s="14">
        <v>3.2</v>
      </c>
      <c r="AH1794" s="14">
        <v>38.250909090909097</v>
      </c>
      <c r="AI1794" s="13">
        <v>49.569860139860133</v>
      </c>
      <c r="AK1794" s="9">
        <v>160</v>
      </c>
    </row>
    <row r="1795" spans="1:37">
      <c r="A1795" s="9">
        <v>23</v>
      </c>
      <c r="B1795" s="9">
        <v>2024</v>
      </c>
      <c r="C1795" s="9" t="s">
        <v>46</v>
      </c>
      <c r="D1795" s="9" t="s">
        <v>47</v>
      </c>
      <c r="E1795" s="9" t="s">
        <v>47</v>
      </c>
      <c r="F1795" s="10">
        <v>45444</v>
      </c>
      <c r="G1795" s="9" t="s">
        <v>155</v>
      </c>
      <c r="H1795" s="9" t="s">
        <v>57</v>
      </c>
      <c r="J1795" s="9">
        <v>2.4000000000000004</v>
      </c>
      <c r="K1795" s="9">
        <v>40</v>
      </c>
      <c r="L1795" s="9">
        <v>0.94</v>
      </c>
      <c r="M1795" s="9">
        <v>37.6</v>
      </c>
      <c r="N1795" s="9" t="s">
        <v>49</v>
      </c>
      <c r="Q1795" s="9">
        <f>IF(Auction_Sales[[#This Row],[Payment Date]]=0,"",-1+WEEKNUM(Auction_Sales[[#This Row],[Payment Date]]))</f>
        <v>23</v>
      </c>
      <c r="R1795" s="9">
        <v>0</v>
      </c>
      <c r="S1795" s="9" t="s">
        <v>155</v>
      </c>
      <c r="T1795" s="9" t="s">
        <v>57</v>
      </c>
      <c r="U1795" s="9">
        <v>40</v>
      </c>
      <c r="V1795" s="13">
        <v>0.57999999999999996</v>
      </c>
      <c r="W1795" s="13">
        <v>23.2</v>
      </c>
      <c r="X1795" s="14">
        <v>-1.6448076923076933</v>
      </c>
      <c r="Y1795" s="13">
        <v>21.555192307692305</v>
      </c>
      <c r="Z1795" s="10">
        <v>45455</v>
      </c>
      <c r="AA1795" s="9">
        <v>0</v>
      </c>
      <c r="AC1795" s="9">
        <v>442910</v>
      </c>
      <c r="AD1795" s="14">
        <v>8.7627272727272736</v>
      </c>
      <c r="AF1795" s="14">
        <v>0.8</v>
      </c>
      <c r="AH1795" s="14">
        <v>9.5627272727272743</v>
      </c>
      <c r="AI1795" s="13">
        <v>11.992465034965031</v>
      </c>
      <c r="AK1795" s="9">
        <v>40</v>
      </c>
    </row>
    <row r="1796" spans="1:37">
      <c r="A1796" s="9">
        <v>23</v>
      </c>
      <c r="B1796" s="9">
        <v>2024</v>
      </c>
      <c r="C1796" s="9" t="s">
        <v>46</v>
      </c>
      <c r="D1796" s="9" t="s">
        <v>47</v>
      </c>
      <c r="E1796" s="9" t="s">
        <v>47</v>
      </c>
      <c r="F1796" s="10">
        <v>45444</v>
      </c>
      <c r="G1796" s="9" t="s">
        <v>156</v>
      </c>
      <c r="H1796" s="9" t="s">
        <v>56</v>
      </c>
      <c r="I1796" s="9">
        <v>1</v>
      </c>
      <c r="J1796" s="9">
        <v>9.6000000000000014</v>
      </c>
      <c r="K1796" s="9">
        <v>160</v>
      </c>
      <c r="L1796" s="9">
        <v>0.85</v>
      </c>
      <c r="M1796" s="9">
        <v>136</v>
      </c>
      <c r="N1796" s="9" t="s">
        <v>49</v>
      </c>
      <c r="Q1796" s="9">
        <f>IF(Auction_Sales[[#This Row],[Payment Date]]=0,"",-1+WEEKNUM(Auction_Sales[[#This Row],[Payment Date]]))</f>
        <v>23</v>
      </c>
      <c r="R1796" s="9">
        <v>0</v>
      </c>
      <c r="S1796" s="9" t="s">
        <v>156</v>
      </c>
      <c r="T1796" s="9" t="s">
        <v>56</v>
      </c>
      <c r="U1796" s="9">
        <v>160</v>
      </c>
      <c r="V1796" s="13">
        <v>0.57999999999999996</v>
      </c>
      <c r="W1796" s="13">
        <v>92.8</v>
      </c>
      <c r="X1796" s="14">
        <v>-6.5792307692307732</v>
      </c>
      <c r="Y1796" s="13">
        <v>86.220769230769221</v>
      </c>
      <c r="Z1796" s="10">
        <v>45455</v>
      </c>
      <c r="AA1796" s="9">
        <v>0</v>
      </c>
      <c r="AC1796" s="9">
        <v>442910</v>
      </c>
      <c r="AD1796" s="14">
        <v>35.050909090909094</v>
      </c>
      <c r="AF1796" s="14">
        <v>3.2</v>
      </c>
      <c r="AH1796" s="14">
        <v>38.250909090909097</v>
      </c>
      <c r="AI1796" s="13">
        <v>47.969860139860124</v>
      </c>
      <c r="AK1796" s="9">
        <v>160</v>
      </c>
    </row>
    <row r="1797" spans="1:37">
      <c r="A1797" s="9">
        <v>23</v>
      </c>
      <c r="B1797" s="9">
        <v>2024</v>
      </c>
      <c r="C1797" s="9" t="s">
        <v>46</v>
      </c>
      <c r="D1797" s="9" t="s">
        <v>47</v>
      </c>
      <c r="E1797" s="9" t="s">
        <v>47</v>
      </c>
      <c r="F1797" s="10">
        <v>45444</v>
      </c>
      <c r="G1797" s="9" t="s">
        <v>156</v>
      </c>
      <c r="H1797" s="9" t="s">
        <v>57</v>
      </c>
      <c r="J1797" s="9">
        <v>2.4000000000000004</v>
      </c>
      <c r="K1797" s="9">
        <v>40</v>
      </c>
      <c r="L1797" s="9">
        <v>1.04</v>
      </c>
      <c r="M1797" s="9">
        <v>41.6</v>
      </c>
      <c r="N1797" s="9" t="s">
        <v>49</v>
      </c>
      <c r="Q1797" s="9">
        <f>IF(Auction_Sales[[#This Row],[Payment Date]]=0,"",-1+WEEKNUM(Auction_Sales[[#This Row],[Payment Date]]))</f>
        <v>23</v>
      </c>
      <c r="R1797" s="9">
        <v>0</v>
      </c>
      <c r="S1797" s="9" t="s">
        <v>156</v>
      </c>
      <c r="T1797" s="9" t="s">
        <v>57</v>
      </c>
      <c r="U1797" s="9">
        <v>40</v>
      </c>
      <c r="V1797" s="13">
        <v>0.55999999999999994</v>
      </c>
      <c r="W1797" s="13">
        <v>22.4</v>
      </c>
      <c r="X1797" s="14">
        <v>-1.6448076923076933</v>
      </c>
      <c r="Y1797" s="13">
        <v>20.755192307692305</v>
      </c>
      <c r="Z1797" s="10">
        <v>45455</v>
      </c>
      <c r="AA1797" s="9">
        <v>0</v>
      </c>
      <c r="AC1797" s="9">
        <v>442910</v>
      </c>
      <c r="AD1797" s="14">
        <v>8.7627272727272736</v>
      </c>
      <c r="AF1797" s="14">
        <v>0.8</v>
      </c>
      <c r="AH1797" s="14">
        <v>9.5627272727272743</v>
      </c>
      <c r="AI1797" s="13">
        <v>11.19246503496503</v>
      </c>
      <c r="AK1797" s="9">
        <v>40</v>
      </c>
    </row>
    <row r="1798" spans="1:37">
      <c r="A1798" s="9">
        <v>23</v>
      </c>
      <c r="B1798" s="9">
        <v>2024</v>
      </c>
      <c r="C1798" s="9" t="s">
        <v>46</v>
      </c>
      <c r="D1798" s="9" t="s">
        <v>47</v>
      </c>
      <c r="E1798" s="9" t="s">
        <v>47</v>
      </c>
      <c r="F1798" s="10">
        <v>45444</v>
      </c>
      <c r="G1798" s="9" t="s">
        <v>153</v>
      </c>
      <c r="H1798" s="9" t="s">
        <v>52</v>
      </c>
      <c r="I1798" s="9">
        <v>1</v>
      </c>
      <c r="J1798" s="9">
        <v>1.0909090909090908</v>
      </c>
      <c r="K1798" s="9">
        <v>40</v>
      </c>
      <c r="L1798" s="9">
        <v>0.28000000000000003</v>
      </c>
      <c r="M1798" s="9">
        <v>11.2</v>
      </c>
      <c r="N1798" s="9" t="s">
        <v>49</v>
      </c>
      <c r="Q1798" s="9">
        <f>IF(Auction_Sales[[#This Row],[Payment Date]]=0,"",-1+WEEKNUM(Auction_Sales[[#This Row],[Payment Date]]))</f>
        <v>23</v>
      </c>
      <c r="R1798" s="9">
        <v>40</v>
      </c>
      <c r="S1798" s="9" t="s">
        <v>153</v>
      </c>
      <c r="T1798" s="9" t="s">
        <v>52</v>
      </c>
      <c r="W1798" s="13">
        <v>0</v>
      </c>
      <c r="X1798" s="14">
        <v>0</v>
      </c>
      <c r="Y1798" s="13">
        <v>0</v>
      </c>
      <c r="Z1798" s="10">
        <v>45455</v>
      </c>
      <c r="AA1798" s="9">
        <v>-40</v>
      </c>
      <c r="AC1798" s="9">
        <v>442910</v>
      </c>
      <c r="AD1798" s="14">
        <v>3.9830578512396695</v>
      </c>
      <c r="AF1798" s="14">
        <v>0</v>
      </c>
      <c r="AH1798" s="14">
        <v>3.9830578512396695</v>
      </c>
      <c r="AI1798" s="13">
        <v>-3.9830578512396695</v>
      </c>
      <c r="AK1798" s="9">
        <v>0</v>
      </c>
    </row>
    <row r="1799" spans="1:37">
      <c r="A1799" s="9">
        <v>23</v>
      </c>
      <c r="B1799" s="9">
        <v>2024</v>
      </c>
      <c r="C1799" s="9" t="s">
        <v>46</v>
      </c>
      <c r="D1799" s="9" t="s">
        <v>47</v>
      </c>
      <c r="E1799" s="9" t="s">
        <v>47</v>
      </c>
      <c r="F1799" s="10">
        <v>45444</v>
      </c>
      <c r="G1799" s="9" t="s">
        <v>153</v>
      </c>
      <c r="H1799" s="9" t="s">
        <v>54</v>
      </c>
      <c r="J1799" s="9">
        <v>10.909090909090908</v>
      </c>
      <c r="K1799" s="9">
        <v>400</v>
      </c>
      <c r="L1799" s="9">
        <v>0.33</v>
      </c>
      <c r="M1799" s="9">
        <v>132</v>
      </c>
      <c r="N1799" s="9" t="s">
        <v>49</v>
      </c>
      <c r="Q1799" s="9">
        <f>IF(Auction_Sales[[#This Row],[Payment Date]]=0,"",-1+WEEKNUM(Auction_Sales[[#This Row],[Payment Date]]))</f>
        <v>23</v>
      </c>
      <c r="R1799" s="9">
        <v>0</v>
      </c>
      <c r="S1799" s="9" t="s">
        <v>153</v>
      </c>
      <c r="T1799" s="9" t="s">
        <v>54</v>
      </c>
      <c r="U1799" s="9">
        <v>400</v>
      </c>
      <c r="V1799" s="13">
        <v>0.53</v>
      </c>
      <c r="W1799" s="13">
        <v>212</v>
      </c>
      <c r="X1799" s="14">
        <v>-16.448076923076933</v>
      </c>
      <c r="Y1799" s="13">
        <v>195.55192307692306</v>
      </c>
      <c r="Z1799" s="10">
        <v>45455</v>
      </c>
      <c r="AA1799" s="9">
        <v>0</v>
      </c>
      <c r="AC1799" s="9">
        <v>442910</v>
      </c>
      <c r="AD1799" s="14">
        <v>39.830578512396684</v>
      </c>
      <c r="AF1799" s="14">
        <v>8</v>
      </c>
      <c r="AH1799" s="14">
        <v>47.830578512396684</v>
      </c>
      <c r="AI1799" s="13">
        <v>147.72134456452636</v>
      </c>
      <c r="AK1799" s="9">
        <v>400</v>
      </c>
    </row>
    <row r="1800" spans="1:37">
      <c r="A1800" s="9">
        <v>23</v>
      </c>
      <c r="B1800" s="9">
        <v>2024</v>
      </c>
      <c r="C1800" s="9" t="s">
        <v>46</v>
      </c>
      <c r="D1800" s="9" t="s">
        <v>47</v>
      </c>
      <c r="E1800" s="9" t="s">
        <v>47</v>
      </c>
      <c r="F1800" s="10">
        <v>45446</v>
      </c>
      <c r="G1800" s="9" t="s">
        <v>154</v>
      </c>
      <c r="H1800" s="9" t="s">
        <v>51</v>
      </c>
      <c r="I1800" s="9">
        <v>2</v>
      </c>
      <c r="J1800" s="9">
        <v>24</v>
      </c>
      <c r="K1800" s="9">
        <v>1040</v>
      </c>
      <c r="L1800" s="9">
        <v>0.38</v>
      </c>
      <c r="M1800" s="9">
        <v>395.2</v>
      </c>
      <c r="N1800" s="9" t="s">
        <v>49</v>
      </c>
      <c r="Q1800" s="9">
        <f>IF(Auction_Sales[[#This Row],[Payment Date]]=0,"",-1+WEEKNUM(Auction_Sales[[#This Row],[Payment Date]]))</f>
        <v>23</v>
      </c>
      <c r="R1800" s="9">
        <v>-80</v>
      </c>
      <c r="S1800" s="9" t="s">
        <v>154</v>
      </c>
      <c r="T1800" s="9" t="s">
        <v>51</v>
      </c>
      <c r="U1800" s="9">
        <v>1120</v>
      </c>
      <c r="V1800" s="13">
        <v>0.29642857142857143</v>
      </c>
      <c r="W1800" s="13">
        <v>332</v>
      </c>
      <c r="X1800" s="14">
        <v>-43.627225130890039</v>
      </c>
      <c r="Y1800" s="13">
        <v>288.37277486910995</v>
      </c>
      <c r="Z1800" s="10">
        <v>45455</v>
      </c>
      <c r="AA1800" s="9">
        <v>80</v>
      </c>
      <c r="AC1800" s="9" t="s">
        <v>120</v>
      </c>
      <c r="AD1800" s="14">
        <v>80.593333333333334</v>
      </c>
      <c r="AF1800" s="14">
        <v>22.400000000000002</v>
      </c>
      <c r="AH1800" s="14">
        <v>102.99333333333334</v>
      </c>
      <c r="AI1800" s="13">
        <v>185.37944153577661</v>
      </c>
      <c r="AK1800" s="9">
        <v>1120</v>
      </c>
    </row>
    <row r="1801" spans="1:37">
      <c r="A1801" s="9">
        <v>23</v>
      </c>
      <c r="B1801" s="9">
        <v>2024</v>
      </c>
      <c r="C1801" s="9" t="s">
        <v>46</v>
      </c>
      <c r="D1801" s="9" t="s">
        <v>47</v>
      </c>
      <c r="E1801" s="9" t="s">
        <v>47</v>
      </c>
      <c r="F1801" s="10">
        <v>45446</v>
      </c>
      <c r="G1801" s="9" t="s">
        <v>154</v>
      </c>
      <c r="H1801" s="9" t="s">
        <v>57</v>
      </c>
      <c r="I1801" s="9">
        <v>1</v>
      </c>
      <c r="J1801" s="9">
        <v>12</v>
      </c>
      <c r="K1801" s="9">
        <v>200</v>
      </c>
      <c r="L1801" s="9">
        <v>0.94</v>
      </c>
      <c r="M1801" s="9">
        <v>188</v>
      </c>
      <c r="N1801" s="9" t="s">
        <v>49</v>
      </c>
      <c r="Q1801" s="9">
        <f>IF(Auction_Sales[[#This Row],[Payment Date]]=0,"",-1+WEEKNUM(Auction_Sales[[#This Row],[Payment Date]]))</f>
        <v>23</v>
      </c>
      <c r="R1801" s="9">
        <v>0</v>
      </c>
      <c r="S1801" s="9" t="s">
        <v>154</v>
      </c>
      <c r="T1801" s="9" t="s">
        <v>57</v>
      </c>
      <c r="U1801" s="9">
        <v>200</v>
      </c>
      <c r="V1801" s="13">
        <v>1.0680000000000001</v>
      </c>
      <c r="W1801" s="13">
        <v>213.60000000000002</v>
      </c>
      <c r="X1801" s="14">
        <v>-7.7905759162303649</v>
      </c>
      <c r="Y1801" s="13">
        <v>205.80942408376967</v>
      </c>
      <c r="Z1801" s="10">
        <v>45455</v>
      </c>
      <c r="AA1801" s="9">
        <v>0</v>
      </c>
      <c r="AC1801" s="9" t="s">
        <v>120</v>
      </c>
      <c r="AD1801" s="14">
        <v>40.296666666666667</v>
      </c>
      <c r="AF1801" s="14">
        <v>4</v>
      </c>
      <c r="AH1801" s="14">
        <v>44.296666666666667</v>
      </c>
      <c r="AI1801" s="13">
        <v>161.51275741710299</v>
      </c>
      <c r="AK1801" s="9">
        <v>200</v>
      </c>
    </row>
    <row r="1802" spans="1:37">
      <c r="A1802" s="9">
        <v>23</v>
      </c>
      <c r="B1802" s="9">
        <v>2024</v>
      </c>
      <c r="C1802" s="9" t="s">
        <v>46</v>
      </c>
      <c r="D1802" s="9" t="s">
        <v>47</v>
      </c>
      <c r="E1802" s="9" t="s">
        <v>47</v>
      </c>
      <c r="F1802" s="10">
        <v>45446</v>
      </c>
      <c r="G1802" s="9" t="s">
        <v>153</v>
      </c>
      <c r="H1802" s="9" t="s">
        <v>51</v>
      </c>
      <c r="I1802" s="9">
        <v>3</v>
      </c>
      <c r="J1802" s="9">
        <v>36</v>
      </c>
      <c r="K1802" s="9">
        <v>2400</v>
      </c>
      <c r="L1802" s="9">
        <v>0.14000000000000001</v>
      </c>
      <c r="M1802" s="9">
        <v>336</v>
      </c>
      <c r="N1802" s="9" t="s">
        <v>49</v>
      </c>
      <c r="Q1802" s="9">
        <f>IF(Auction_Sales[[#This Row],[Payment Date]]=0,"",-1+WEEKNUM(Auction_Sales[[#This Row],[Payment Date]]))</f>
        <v>23</v>
      </c>
      <c r="R1802" s="9">
        <v>-400</v>
      </c>
      <c r="S1802" s="9" t="s">
        <v>153</v>
      </c>
      <c r="T1802" s="9" t="s">
        <v>51</v>
      </c>
      <c r="U1802" s="9">
        <v>2800</v>
      </c>
      <c r="V1802" s="13">
        <v>0.26957142857142857</v>
      </c>
      <c r="W1802" s="13">
        <v>754.8</v>
      </c>
      <c r="X1802" s="14">
        <v>-109.06806282722511</v>
      </c>
      <c r="Y1802" s="13">
        <v>645.73193717277491</v>
      </c>
      <c r="Z1802" s="10">
        <v>45455</v>
      </c>
      <c r="AA1802" s="9">
        <v>400</v>
      </c>
      <c r="AC1802" s="9" t="s">
        <v>120</v>
      </c>
      <c r="AD1802" s="14">
        <v>120.89000000000001</v>
      </c>
      <c r="AF1802" s="14">
        <v>56</v>
      </c>
      <c r="AH1802" s="14">
        <v>176.89000000000001</v>
      </c>
      <c r="AI1802" s="13">
        <v>468.84193717277492</v>
      </c>
      <c r="AK1802" s="9">
        <v>2800</v>
      </c>
    </row>
    <row r="1803" spans="1:37">
      <c r="A1803" s="9">
        <v>23</v>
      </c>
      <c r="B1803" s="9">
        <v>2024</v>
      </c>
      <c r="C1803" s="9" t="s">
        <v>46</v>
      </c>
      <c r="D1803" s="9" t="s">
        <v>47</v>
      </c>
      <c r="E1803" s="9" t="s">
        <v>47</v>
      </c>
      <c r="F1803" s="10">
        <v>45446</v>
      </c>
      <c r="G1803" s="9" t="s">
        <v>153</v>
      </c>
      <c r="H1803" s="9" t="s">
        <v>48</v>
      </c>
      <c r="I1803" s="9">
        <v>1</v>
      </c>
      <c r="J1803" s="9">
        <v>12</v>
      </c>
      <c r="K1803" s="9">
        <v>720</v>
      </c>
      <c r="L1803" s="9">
        <v>0.24</v>
      </c>
      <c r="M1803" s="9">
        <v>172.8</v>
      </c>
      <c r="N1803" s="9" t="s">
        <v>49</v>
      </c>
      <c r="Q1803" s="9">
        <f>IF(Auction_Sales[[#This Row],[Payment Date]]=0,"",-1+WEEKNUM(Auction_Sales[[#This Row],[Payment Date]]))</f>
        <v>23</v>
      </c>
      <c r="R1803" s="9">
        <v>0</v>
      </c>
      <c r="S1803" s="9" t="s">
        <v>153</v>
      </c>
      <c r="T1803" s="9" t="s">
        <v>48</v>
      </c>
      <c r="U1803" s="9">
        <v>720</v>
      </c>
      <c r="V1803" s="13">
        <v>0.45999999999999996</v>
      </c>
      <c r="W1803" s="13">
        <v>331.2</v>
      </c>
      <c r="X1803" s="14">
        <v>-28.046073298429313</v>
      </c>
      <c r="Y1803" s="13">
        <v>303.1539267015707</v>
      </c>
      <c r="Z1803" s="10">
        <v>45455</v>
      </c>
      <c r="AA1803" s="9">
        <v>0</v>
      </c>
      <c r="AC1803" s="9" t="s">
        <v>120</v>
      </c>
      <c r="AD1803" s="14">
        <v>40.296666666666667</v>
      </c>
      <c r="AF1803" s="14">
        <v>14.4</v>
      </c>
      <c r="AH1803" s="14">
        <v>54.696666666666665</v>
      </c>
      <c r="AI1803" s="13">
        <v>248.45726003490404</v>
      </c>
      <c r="AK1803" s="9">
        <v>720</v>
      </c>
    </row>
    <row r="1804" spans="1:37">
      <c r="A1804" s="9">
        <v>23</v>
      </c>
      <c r="B1804" s="9">
        <v>2024</v>
      </c>
      <c r="C1804" s="9" t="s">
        <v>46</v>
      </c>
      <c r="D1804" s="9" t="s">
        <v>47</v>
      </c>
      <c r="E1804" s="9" t="s">
        <v>47</v>
      </c>
      <c r="F1804" s="10">
        <v>45446</v>
      </c>
      <c r="G1804" s="9" t="s">
        <v>153</v>
      </c>
      <c r="H1804" s="9" t="s">
        <v>52</v>
      </c>
      <c r="I1804" s="9">
        <v>1</v>
      </c>
      <c r="J1804" s="9">
        <v>12</v>
      </c>
      <c r="K1804" s="9">
        <v>400</v>
      </c>
      <c r="L1804" s="9">
        <v>0.28000000000000003</v>
      </c>
      <c r="M1804" s="9">
        <v>112</v>
      </c>
      <c r="N1804" s="9" t="s">
        <v>49</v>
      </c>
      <c r="Q1804" s="9">
        <f>IF(Auction_Sales[[#This Row],[Payment Date]]=0,"",-1+WEEKNUM(Auction_Sales[[#This Row],[Payment Date]]))</f>
        <v>23</v>
      </c>
      <c r="R1804" s="9">
        <v>0</v>
      </c>
      <c r="S1804" s="9" t="s">
        <v>153</v>
      </c>
      <c r="T1804" s="9" t="s">
        <v>52</v>
      </c>
      <c r="U1804" s="9">
        <v>400</v>
      </c>
      <c r="V1804" s="13">
        <v>0.56999999999999995</v>
      </c>
      <c r="W1804" s="13">
        <v>227.99999999999997</v>
      </c>
      <c r="X1804" s="14">
        <v>-15.58115183246073</v>
      </c>
      <c r="Y1804" s="13">
        <v>212.41884816753924</v>
      </c>
      <c r="Z1804" s="10">
        <v>45455</v>
      </c>
      <c r="AA1804" s="9">
        <v>0</v>
      </c>
      <c r="AC1804" s="9" t="s">
        <v>120</v>
      </c>
      <c r="AD1804" s="14">
        <v>40.296666666666667</v>
      </c>
      <c r="AF1804" s="14">
        <v>8</v>
      </c>
      <c r="AH1804" s="14">
        <v>48.296666666666667</v>
      </c>
      <c r="AI1804" s="13">
        <v>164.12218150087256</v>
      </c>
      <c r="AK1804" s="9">
        <v>400</v>
      </c>
    </row>
    <row r="1805" spans="1:37">
      <c r="A1805" s="9">
        <v>23</v>
      </c>
      <c r="B1805" s="9">
        <v>2024</v>
      </c>
      <c r="C1805" s="9" t="s">
        <v>46</v>
      </c>
      <c r="D1805" s="9" t="s">
        <v>47</v>
      </c>
      <c r="E1805" s="9" t="s">
        <v>47</v>
      </c>
      <c r="F1805" s="10">
        <v>45446</v>
      </c>
      <c r="G1805" s="9" t="s">
        <v>155</v>
      </c>
      <c r="H1805" s="9" t="s">
        <v>48</v>
      </c>
      <c r="I1805" s="9">
        <v>1</v>
      </c>
      <c r="J1805" s="9">
        <v>12</v>
      </c>
      <c r="K1805" s="9">
        <v>520</v>
      </c>
      <c r="L1805" s="9">
        <v>0.47</v>
      </c>
      <c r="M1805" s="9">
        <v>244.4</v>
      </c>
      <c r="N1805" s="9" t="s">
        <v>49</v>
      </c>
      <c r="Q1805" s="9">
        <f>IF(Auction_Sales[[#This Row],[Payment Date]]=0,"",-1+WEEKNUM(Auction_Sales[[#This Row],[Payment Date]]))</f>
        <v>23</v>
      </c>
      <c r="R1805" s="9">
        <v>-240</v>
      </c>
      <c r="S1805" s="9" t="s">
        <v>155</v>
      </c>
      <c r="T1805" s="9" t="s">
        <v>48</v>
      </c>
      <c r="U1805" s="9">
        <v>760</v>
      </c>
      <c r="V1805" s="13">
        <v>0.57052631578947366</v>
      </c>
      <c r="W1805" s="13">
        <v>433.59999999999997</v>
      </c>
      <c r="X1805" s="14">
        <v>-29.604188481675386</v>
      </c>
      <c r="Y1805" s="13">
        <v>403.99581151832456</v>
      </c>
      <c r="Z1805" s="10">
        <v>45455</v>
      </c>
      <c r="AA1805" s="9">
        <v>240</v>
      </c>
      <c r="AC1805" s="9" t="s">
        <v>120</v>
      </c>
      <c r="AD1805" s="14">
        <v>40.296666666666667</v>
      </c>
      <c r="AF1805" s="14">
        <v>15.200000000000001</v>
      </c>
      <c r="AH1805" s="14">
        <v>55.49666666666667</v>
      </c>
      <c r="AI1805" s="13">
        <v>348.49914485165789</v>
      </c>
      <c r="AK1805" s="9">
        <v>760</v>
      </c>
    </row>
    <row r="1806" spans="1:37">
      <c r="A1806" s="9">
        <v>23</v>
      </c>
      <c r="B1806" s="9">
        <v>2024</v>
      </c>
      <c r="C1806" s="9" t="s">
        <v>46</v>
      </c>
      <c r="D1806" s="9" t="s">
        <v>47</v>
      </c>
      <c r="E1806" s="9" t="s">
        <v>47</v>
      </c>
      <c r="F1806" s="10">
        <v>45446</v>
      </c>
      <c r="G1806" s="9" t="s">
        <v>155</v>
      </c>
      <c r="H1806" s="9" t="s">
        <v>52</v>
      </c>
      <c r="I1806" s="9">
        <v>1</v>
      </c>
      <c r="J1806" s="9">
        <v>12</v>
      </c>
      <c r="K1806" s="9">
        <v>360</v>
      </c>
      <c r="L1806" s="9">
        <v>0.52</v>
      </c>
      <c r="M1806" s="9">
        <v>187.2</v>
      </c>
      <c r="N1806" s="9" t="s">
        <v>49</v>
      </c>
      <c r="Q1806" s="9">
        <f>IF(Auction_Sales[[#This Row],[Payment Date]]=0,"",-1+WEEKNUM(Auction_Sales[[#This Row],[Payment Date]]))</f>
        <v>23</v>
      </c>
      <c r="R1806" s="9">
        <v>0</v>
      </c>
      <c r="S1806" s="9" t="s">
        <v>155</v>
      </c>
      <c r="T1806" s="9" t="s">
        <v>52</v>
      </c>
      <c r="U1806" s="9">
        <v>360</v>
      </c>
      <c r="V1806" s="13">
        <v>0.75111111111111106</v>
      </c>
      <c r="W1806" s="13">
        <v>270.39999999999998</v>
      </c>
      <c r="X1806" s="14">
        <v>-14.023036649214657</v>
      </c>
      <c r="Y1806" s="13">
        <v>256.37696335078533</v>
      </c>
      <c r="Z1806" s="10">
        <v>45455</v>
      </c>
      <c r="AA1806" s="9">
        <v>0</v>
      </c>
      <c r="AC1806" s="9" t="s">
        <v>120</v>
      </c>
      <c r="AD1806" s="14">
        <v>40.296666666666667</v>
      </c>
      <c r="AF1806" s="14">
        <v>7.2</v>
      </c>
      <c r="AH1806" s="14">
        <v>47.49666666666667</v>
      </c>
      <c r="AI1806" s="13">
        <v>208.88029668411866</v>
      </c>
      <c r="AK1806" s="9">
        <v>360</v>
      </c>
    </row>
    <row r="1807" spans="1:37">
      <c r="A1807" s="9">
        <v>23</v>
      </c>
      <c r="B1807" s="9">
        <v>2024</v>
      </c>
      <c r="C1807" s="9" t="s">
        <v>46</v>
      </c>
      <c r="D1807" s="9" t="s">
        <v>47</v>
      </c>
      <c r="E1807" s="9" t="s">
        <v>47</v>
      </c>
      <c r="F1807" s="10">
        <v>45446</v>
      </c>
      <c r="G1807" s="9" t="s">
        <v>154</v>
      </c>
      <c r="H1807" s="9" t="s">
        <v>51</v>
      </c>
      <c r="I1807" s="9">
        <v>1</v>
      </c>
      <c r="J1807" s="9">
        <v>2.1818181818181817</v>
      </c>
      <c r="K1807" s="9">
        <v>80</v>
      </c>
      <c r="L1807" s="9">
        <v>0.38</v>
      </c>
      <c r="M1807" s="9">
        <v>30.4</v>
      </c>
      <c r="N1807" s="9" t="s">
        <v>49</v>
      </c>
      <c r="Q1807" s="9">
        <f>IF(Auction_Sales[[#This Row],[Payment Date]]=0,"",-1+WEEKNUM(Auction_Sales[[#This Row],[Payment Date]]))</f>
        <v>23</v>
      </c>
      <c r="R1807" s="9">
        <v>80</v>
      </c>
      <c r="S1807" s="9" t="s">
        <v>154</v>
      </c>
      <c r="T1807" s="9" t="s">
        <v>51</v>
      </c>
      <c r="W1807" s="13">
        <v>0</v>
      </c>
      <c r="X1807" s="14">
        <v>0</v>
      </c>
      <c r="Y1807" s="13">
        <v>0</v>
      </c>
      <c r="Z1807" s="10">
        <v>45455</v>
      </c>
      <c r="AA1807" s="9">
        <v>-80</v>
      </c>
      <c r="AC1807" s="9" t="s">
        <v>120</v>
      </c>
      <c r="AD1807" s="14">
        <v>7.3266666666666662</v>
      </c>
      <c r="AF1807" s="14">
        <v>0</v>
      </c>
      <c r="AH1807" s="14">
        <v>7.3266666666666662</v>
      </c>
      <c r="AI1807" s="13">
        <v>-7.3266666666666662</v>
      </c>
      <c r="AK1807" s="9">
        <v>0</v>
      </c>
    </row>
    <row r="1808" spans="1:37">
      <c r="A1808" s="9">
        <v>23</v>
      </c>
      <c r="B1808" s="9">
        <v>2024</v>
      </c>
      <c r="C1808" s="9" t="s">
        <v>46</v>
      </c>
      <c r="D1808" s="9" t="s">
        <v>47</v>
      </c>
      <c r="E1808" s="9" t="s">
        <v>47</v>
      </c>
      <c r="F1808" s="10">
        <v>45446</v>
      </c>
      <c r="G1808" s="9" t="s">
        <v>154</v>
      </c>
      <c r="H1808" s="9" t="s">
        <v>48</v>
      </c>
      <c r="J1808" s="9">
        <v>5.4545454545454541</v>
      </c>
      <c r="K1808" s="9">
        <v>200</v>
      </c>
      <c r="L1808" s="9">
        <v>0.47</v>
      </c>
      <c r="M1808" s="9">
        <v>94</v>
      </c>
      <c r="N1808" s="9" t="s">
        <v>49</v>
      </c>
      <c r="Q1808" s="9">
        <f>IF(Auction_Sales[[#This Row],[Payment Date]]=0,"",-1+WEEKNUM(Auction_Sales[[#This Row],[Payment Date]]))</f>
        <v>23</v>
      </c>
      <c r="R1808" s="9">
        <v>0</v>
      </c>
      <c r="S1808" s="9" t="s">
        <v>154</v>
      </c>
      <c r="T1808" s="9" t="s">
        <v>48</v>
      </c>
      <c r="U1808" s="9">
        <v>200</v>
      </c>
      <c r="V1808" s="13">
        <v>0.46600000000000003</v>
      </c>
      <c r="W1808" s="13">
        <v>93.2</v>
      </c>
      <c r="X1808" s="14">
        <v>-7.7905759162303649</v>
      </c>
      <c r="Y1808" s="13">
        <v>85.409424083769636</v>
      </c>
      <c r="Z1808" s="10">
        <v>45455</v>
      </c>
      <c r="AA1808" s="9">
        <v>0</v>
      </c>
      <c r="AC1808" s="9" t="s">
        <v>120</v>
      </c>
      <c r="AD1808" s="14">
        <v>18.316666666666666</v>
      </c>
      <c r="AF1808" s="14">
        <v>4</v>
      </c>
      <c r="AH1808" s="14">
        <v>22.316666666666666</v>
      </c>
      <c r="AI1808" s="13">
        <v>63.092757417102973</v>
      </c>
      <c r="AK1808" s="9">
        <v>200</v>
      </c>
    </row>
    <row r="1809" spans="1:37">
      <c r="A1809" s="9">
        <v>23</v>
      </c>
      <c r="B1809" s="9">
        <v>2024</v>
      </c>
      <c r="C1809" s="9" t="s">
        <v>46</v>
      </c>
      <c r="D1809" s="9" t="s">
        <v>47</v>
      </c>
      <c r="E1809" s="9" t="s">
        <v>47</v>
      </c>
      <c r="F1809" s="10">
        <v>45446</v>
      </c>
      <c r="G1809" s="9" t="s">
        <v>154</v>
      </c>
      <c r="H1809" s="9" t="s">
        <v>52</v>
      </c>
      <c r="J1809" s="9">
        <v>4.3636363636363633</v>
      </c>
      <c r="K1809" s="9">
        <v>160</v>
      </c>
      <c r="L1809" s="9">
        <v>0.52</v>
      </c>
      <c r="M1809" s="9">
        <v>83.2</v>
      </c>
      <c r="N1809" s="9" t="s">
        <v>49</v>
      </c>
      <c r="Q1809" s="9">
        <f>IF(Auction_Sales[[#This Row],[Payment Date]]=0,"",-1+WEEKNUM(Auction_Sales[[#This Row],[Payment Date]]))</f>
        <v>23</v>
      </c>
      <c r="R1809" s="9">
        <v>0</v>
      </c>
      <c r="S1809" s="9" t="s">
        <v>154</v>
      </c>
      <c r="T1809" s="9" t="s">
        <v>52</v>
      </c>
      <c r="U1809" s="9">
        <v>160</v>
      </c>
      <c r="V1809" s="13">
        <v>0.97</v>
      </c>
      <c r="W1809" s="13">
        <v>155.19999999999999</v>
      </c>
      <c r="X1809" s="14">
        <v>-6.2324607329842916</v>
      </c>
      <c r="Y1809" s="13">
        <v>148.9675392670157</v>
      </c>
      <c r="Z1809" s="10">
        <v>45455</v>
      </c>
      <c r="AA1809" s="9">
        <v>0</v>
      </c>
      <c r="AC1809" s="9" t="s">
        <v>120</v>
      </c>
      <c r="AD1809" s="14">
        <v>14.653333333333332</v>
      </c>
      <c r="AF1809" s="14">
        <v>3.2</v>
      </c>
      <c r="AH1809" s="14">
        <v>17.853333333333332</v>
      </c>
      <c r="AI1809" s="13">
        <v>131.11420593368237</v>
      </c>
      <c r="AK1809" s="9">
        <v>160</v>
      </c>
    </row>
    <row r="1810" spans="1:37">
      <c r="A1810" s="9">
        <v>23</v>
      </c>
      <c r="B1810" s="9">
        <v>2024</v>
      </c>
      <c r="C1810" s="9" t="s">
        <v>46</v>
      </c>
      <c r="D1810" s="9" t="s">
        <v>47</v>
      </c>
      <c r="E1810" s="9" t="s">
        <v>47</v>
      </c>
      <c r="F1810" s="10">
        <v>45446</v>
      </c>
      <c r="G1810" s="9" t="s">
        <v>153</v>
      </c>
      <c r="H1810" s="9" t="s">
        <v>51</v>
      </c>
      <c r="I1810" s="9">
        <v>1</v>
      </c>
      <c r="J1810" s="9">
        <v>8</v>
      </c>
      <c r="K1810" s="9">
        <v>400</v>
      </c>
      <c r="L1810" s="9">
        <v>0.14000000000000001</v>
      </c>
      <c r="M1810" s="9">
        <v>56</v>
      </c>
      <c r="N1810" s="9" t="s">
        <v>49</v>
      </c>
      <c r="Q1810" s="9">
        <f>IF(Auction_Sales[[#This Row],[Payment Date]]=0,"",-1+WEEKNUM(Auction_Sales[[#This Row],[Payment Date]]))</f>
        <v>23</v>
      </c>
      <c r="R1810" s="9">
        <v>400</v>
      </c>
      <c r="S1810" s="9" t="s">
        <v>153</v>
      </c>
      <c r="T1810" s="9" t="s">
        <v>51</v>
      </c>
      <c r="W1810" s="13">
        <v>0</v>
      </c>
      <c r="X1810" s="14">
        <v>0</v>
      </c>
      <c r="Y1810" s="13">
        <v>0</v>
      </c>
      <c r="Z1810" s="10">
        <v>45455</v>
      </c>
      <c r="AA1810" s="9">
        <v>-400</v>
      </c>
      <c r="AC1810" s="9" t="s">
        <v>120</v>
      </c>
      <c r="AD1810" s="14">
        <v>26.864444444444448</v>
      </c>
      <c r="AF1810" s="14">
        <v>0</v>
      </c>
      <c r="AH1810" s="14">
        <v>26.864444444444448</v>
      </c>
      <c r="AI1810" s="13">
        <v>-26.864444444444448</v>
      </c>
      <c r="AK1810" s="9">
        <v>0</v>
      </c>
    </row>
    <row r="1811" spans="1:37">
      <c r="A1811" s="9">
        <v>23</v>
      </c>
      <c r="B1811" s="9">
        <v>2024</v>
      </c>
      <c r="C1811" s="9" t="s">
        <v>46</v>
      </c>
      <c r="D1811" s="9" t="s">
        <v>47</v>
      </c>
      <c r="E1811" s="9" t="s">
        <v>47</v>
      </c>
      <c r="F1811" s="10">
        <v>45446</v>
      </c>
      <c r="G1811" s="9" t="s">
        <v>153</v>
      </c>
      <c r="H1811" s="9" t="s">
        <v>54</v>
      </c>
      <c r="J1811" s="9">
        <v>4</v>
      </c>
      <c r="K1811" s="9">
        <v>200</v>
      </c>
      <c r="L1811" s="9">
        <v>0.33</v>
      </c>
      <c r="M1811" s="9">
        <v>66</v>
      </c>
      <c r="N1811" s="9" t="s">
        <v>49</v>
      </c>
      <c r="Q1811" s="9">
        <f>IF(Auction_Sales[[#This Row],[Payment Date]]=0,"",-1+WEEKNUM(Auction_Sales[[#This Row],[Payment Date]]))</f>
        <v>23</v>
      </c>
      <c r="R1811" s="9">
        <v>0</v>
      </c>
      <c r="S1811" s="9" t="s">
        <v>153</v>
      </c>
      <c r="T1811" s="9" t="s">
        <v>54</v>
      </c>
      <c r="U1811" s="9">
        <v>200</v>
      </c>
      <c r="V1811" s="13">
        <v>0.624</v>
      </c>
      <c r="W1811" s="13">
        <v>124.8</v>
      </c>
      <c r="X1811" s="14">
        <v>-7.7905759162303649</v>
      </c>
      <c r="Y1811" s="13">
        <v>117.00942408376963</v>
      </c>
      <c r="Z1811" s="10">
        <v>45455</v>
      </c>
      <c r="AA1811" s="9">
        <v>0</v>
      </c>
      <c r="AC1811" s="9" t="s">
        <v>120</v>
      </c>
      <c r="AD1811" s="14">
        <v>13.432222222222224</v>
      </c>
      <c r="AF1811" s="14">
        <v>4</v>
      </c>
      <c r="AH1811" s="14">
        <v>17.432222222222222</v>
      </c>
      <c r="AI1811" s="13">
        <v>99.577201861547408</v>
      </c>
      <c r="AK1811" s="9">
        <v>200</v>
      </c>
    </row>
    <row r="1812" spans="1:37">
      <c r="A1812" s="9">
        <v>23</v>
      </c>
      <c r="B1812" s="9">
        <v>2024</v>
      </c>
      <c r="C1812" s="9" t="s">
        <v>46</v>
      </c>
      <c r="D1812" s="9" t="s">
        <v>47</v>
      </c>
      <c r="E1812" s="9" t="s">
        <v>47</v>
      </c>
      <c r="F1812" s="10">
        <v>45446</v>
      </c>
      <c r="G1812" s="9" t="s">
        <v>156</v>
      </c>
      <c r="H1812" s="9" t="s">
        <v>51</v>
      </c>
      <c r="I1812" s="9">
        <v>1</v>
      </c>
      <c r="J1812" s="9">
        <v>11</v>
      </c>
      <c r="K1812" s="9">
        <v>440</v>
      </c>
      <c r="L1812" s="9">
        <v>0.42</v>
      </c>
      <c r="M1812" s="9">
        <v>184.8</v>
      </c>
      <c r="N1812" s="9" t="s">
        <v>49</v>
      </c>
      <c r="Q1812" s="9">
        <f>IF(Auction_Sales[[#This Row],[Payment Date]]=0,"",-1+WEEKNUM(Auction_Sales[[#This Row],[Payment Date]]))</f>
        <v>23</v>
      </c>
      <c r="R1812" s="9">
        <v>0</v>
      </c>
      <c r="S1812" s="9" t="s">
        <v>156</v>
      </c>
      <c r="T1812" s="9" t="s">
        <v>51</v>
      </c>
      <c r="U1812" s="9">
        <v>440</v>
      </c>
      <c r="V1812" s="13">
        <v>0.62181818181818183</v>
      </c>
      <c r="W1812" s="13">
        <v>273.60000000000002</v>
      </c>
      <c r="X1812" s="14">
        <v>-17.1392670157068</v>
      </c>
      <c r="Y1812" s="13">
        <v>256.4607329842932</v>
      </c>
      <c r="Z1812" s="10">
        <v>45455</v>
      </c>
      <c r="AA1812" s="9">
        <v>0</v>
      </c>
      <c r="AC1812" s="9" t="s">
        <v>120</v>
      </c>
      <c r="AD1812" s="14">
        <v>36.938611111111115</v>
      </c>
      <c r="AF1812" s="14">
        <v>8.8000000000000007</v>
      </c>
      <c r="AH1812" s="14">
        <v>45.738611111111112</v>
      </c>
      <c r="AI1812" s="13">
        <v>210.72212187318209</v>
      </c>
      <c r="AK1812" s="9">
        <v>440</v>
      </c>
    </row>
    <row r="1813" spans="1:37">
      <c r="A1813" s="9">
        <v>23</v>
      </c>
      <c r="B1813" s="9">
        <v>2024</v>
      </c>
      <c r="C1813" s="9" t="s">
        <v>46</v>
      </c>
      <c r="D1813" s="9" t="s">
        <v>47</v>
      </c>
      <c r="E1813" s="9" t="s">
        <v>47</v>
      </c>
      <c r="F1813" s="10">
        <v>45446</v>
      </c>
      <c r="G1813" s="9" t="s">
        <v>156</v>
      </c>
      <c r="H1813" s="9" t="s">
        <v>52</v>
      </c>
      <c r="J1813" s="9">
        <v>1</v>
      </c>
      <c r="K1813" s="9">
        <v>40</v>
      </c>
      <c r="L1813" s="9">
        <v>0.61</v>
      </c>
      <c r="M1813" s="9">
        <v>24.4</v>
      </c>
      <c r="N1813" s="9" t="s">
        <v>49</v>
      </c>
      <c r="Q1813" s="9">
        <f>IF(Auction_Sales[[#This Row],[Payment Date]]=0,"",-1+WEEKNUM(Auction_Sales[[#This Row],[Payment Date]]))</f>
        <v>23</v>
      </c>
      <c r="R1813" s="9">
        <v>0</v>
      </c>
      <c r="S1813" s="9" t="s">
        <v>156</v>
      </c>
      <c r="T1813" s="9" t="s">
        <v>52</v>
      </c>
      <c r="U1813" s="9">
        <v>40</v>
      </c>
      <c r="V1813" s="13">
        <v>0.84000000000000008</v>
      </c>
      <c r="W1813" s="13">
        <v>33.6</v>
      </c>
      <c r="X1813" s="14">
        <v>-1.5581151832460729</v>
      </c>
      <c r="Y1813" s="13">
        <v>32.041884816753928</v>
      </c>
      <c r="Z1813" s="10">
        <v>45455</v>
      </c>
      <c r="AA1813" s="9">
        <v>0</v>
      </c>
      <c r="AC1813" s="9" t="s">
        <v>120</v>
      </c>
      <c r="AD1813" s="14">
        <v>3.358055555555556</v>
      </c>
      <c r="AF1813" s="14">
        <v>0.8</v>
      </c>
      <c r="AH1813" s="14">
        <v>4.1580555555555563</v>
      </c>
      <c r="AI1813" s="13">
        <v>27.883829261198372</v>
      </c>
      <c r="AK1813" s="9">
        <v>40</v>
      </c>
    </row>
    <row r="1814" spans="1:37">
      <c r="A1814" s="9">
        <v>23</v>
      </c>
      <c r="B1814" s="9">
        <v>2024</v>
      </c>
      <c r="C1814" s="9" t="s">
        <v>46</v>
      </c>
      <c r="D1814" s="9" t="s">
        <v>47</v>
      </c>
      <c r="E1814" s="9" t="s">
        <v>47</v>
      </c>
      <c r="F1814" s="10">
        <v>45446</v>
      </c>
      <c r="G1814" s="9" t="s">
        <v>155</v>
      </c>
      <c r="H1814" s="9" t="s">
        <v>48</v>
      </c>
      <c r="I1814" s="9">
        <v>1</v>
      </c>
      <c r="J1814" s="9">
        <v>10.285714285714285</v>
      </c>
      <c r="K1814" s="9">
        <v>240</v>
      </c>
      <c r="L1814" s="9">
        <v>0.47</v>
      </c>
      <c r="M1814" s="9">
        <v>112.8</v>
      </c>
      <c r="N1814" s="9" t="s">
        <v>49</v>
      </c>
      <c r="Q1814" s="9">
        <f>IF(Auction_Sales[[#This Row],[Payment Date]]=0,"",-1+WEEKNUM(Auction_Sales[[#This Row],[Payment Date]]))</f>
        <v>23</v>
      </c>
      <c r="R1814" s="9">
        <v>240</v>
      </c>
      <c r="S1814" s="9" t="s">
        <v>155</v>
      </c>
      <c r="T1814" s="9" t="s">
        <v>48</v>
      </c>
      <c r="W1814" s="13">
        <v>0</v>
      </c>
      <c r="X1814" s="14">
        <v>0</v>
      </c>
      <c r="Y1814" s="13">
        <v>0</v>
      </c>
      <c r="Z1814" s="10">
        <v>45455</v>
      </c>
      <c r="AA1814" s="9">
        <v>-240</v>
      </c>
      <c r="AC1814" s="9" t="s">
        <v>120</v>
      </c>
      <c r="AD1814" s="14">
        <v>34.54</v>
      </c>
      <c r="AF1814" s="14">
        <v>0</v>
      </c>
      <c r="AH1814" s="14">
        <v>34.54</v>
      </c>
      <c r="AI1814" s="13">
        <v>-34.54</v>
      </c>
      <c r="AK1814" s="9">
        <v>0</v>
      </c>
    </row>
    <row r="1815" spans="1:37">
      <c r="A1815" s="9">
        <v>23</v>
      </c>
      <c r="B1815" s="9">
        <v>2024</v>
      </c>
      <c r="C1815" s="9" t="s">
        <v>46</v>
      </c>
      <c r="D1815" s="9" t="s">
        <v>47</v>
      </c>
      <c r="E1815" s="9" t="s">
        <v>47</v>
      </c>
      <c r="F1815" s="10">
        <v>45446</v>
      </c>
      <c r="G1815" s="9" t="s">
        <v>155</v>
      </c>
      <c r="H1815" s="9" t="s">
        <v>54</v>
      </c>
      <c r="J1815" s="9">
        <v>1.7142857142857142</v>
      </c>
      <c r="K1815" s="9">
        <v>40</v>
      </c>
      <c r="L1815" s="9">
        <v>0.56999999999999995</v>
      </c>
      <c r="M1815" s="9">
        <v>22.8</v>
      </c>
      <c r="N1815" s="9" t="s">
        <v>49</v>
      </c>
      <c r="Q1815" s="9">
        <f>IF(Auction_Sales[[#This Row],[Payment Date]]=0,"",-1+WEEKNUM(Auction_Sales[[#This Row],[Payment Date]]))</f>
        <v>23</v>
      </c>
      <c r="R1815" s="9">
        <v>0</v>
      </c>
      <c r="S1815" s="9" t="s">
        <v>155</v>
      </c>
      <c r="T1815" s="9" t="s">
        <v>54</v>
      </c>
      <c r="U1815" s="9">
        <v>40</v>
      </c>
      <c r="V1815" s="13">
        <v>0.77</v>
      </c>
      <c r="W1815" s="13">
        <v>30.8</v>
      </c>
      <c r="X1815" s="14">
        <v>-1.5581151832460729</v>
      </c>
      <c r="Y1815" s="13">
        <v>29.241884816753927</v>
      </c>
      <c r="Z1815" s="10">
        <v>45455</v>
      </c>
      <c r="AA1815" s="9">
        <v>0</v>
      </c>
      <c r="AC1815" s="9" t="s">
        <v>120</v>
      </c>
      <c r="AD1815" s="14">
        <v>5.7566666666666668</v>
      </c>
      <c r="AF1815" s="14">
        <v>0.8</v>
      </c>
      <c r="AH1815" s="14">
        <v>6.5566666666666666</v>
      </c>
      <c r="AI1815" s="13">
        <v>22.685218150087259</v>
      </c>
      <c r="AK1815" s="9">
        <v>40</v>
      </c>
    </row>
    <row r="1816" spans="1:37">
      <c r="A1816" s="9">
        <v>23</v>
      </c>
      <c r="B1816" s="9">
        <v>2024</v>
      </c>
      <c r="C1816" s="9" t="s">
        <v>46</v>
      </c>
      <c r="D1816" s="9" t="s">
        <v>47</v>
      </c>
      <c r="E1816" s="9" t="s">
        <v>47</v>
      </c>
      <c r="F1816" s="10">
        <v>45446</v>
      </c>
      <c r="G1816" s="9" t="s">
        <v>155</v>
      </c>
      <c r="H1816" s="9" t="s">
        <v>56</v>
      </c>
      <c r="I1816" s="9">
        <v>1</v>
      </c>
      <c r="J1816" s="9">
        <v>9.6000000000000014</v>
      </c>
      <c r="K1816" s="9">
        <v>160</v>
      </c>
      <c r="L1816" s="9">
        <v>0.75</v>
      </c>
      <c r="M1816" s="9">
        <v>120</v>
      </c>
      <c r="N1816" s="9" t="s">
        <v>49</v>
      </c>
      <c r="Q1816" s="9">
        <f>IF(Auction_Sales[[#This Row],[Payment Date]]=0,"",-1+WEEKNUM(Auction_Sales[[#This Row],[Payment Date]]))</f>
        <v>23</v>
      </c>
      <c r="R1816" s="9">
        <v>0</v>
      </c>
      <c r="S1816" s="9" t="s">
        <v>155</v>
      </c>
      <c r="T1816" s="9" t="s">
        <v>56</v>
      </c>
      <c r="U1816" s="9">
        <v>160</v>
      </c>
      <c r="V1816" s="13">
        <v>0.85</v>
      </c>
      <c r="W1816" s="13">
        <v>136</v>
      </c>
      <c r="X1816" s="14">
        <v>-6.2324607329842916</v>
      </c>
      <c r="Y1816" s="13">
        <v>129.76753926701571</v>
      </c>
      <c r="Z1816" s="10">
        <v>45455</v>
      </c>
      <c r="AA1816" s="9">
        <v>0</v>
      </c>
      <c r="AC1816" s="9" t="s">
        <v>120</v>
      </c>
      <c r="AD1816" s="14">
        <v>32.237333333333339</v>
      </c>
      <c r="AF1816" s="14">
        <v>3.2</v>
      </c>
      <c r="AH1816" s="14">
        <v>35.437333333333342</v>
      </c>
      <c r="AI1816" s="13">
        <v>94.330205933682365</v>
      </c>
      <c r="AK1816" s="9">
        <v>160</v>
      </c>
    </row>
    <row r="1817" spans="1:37">
      <c r="A1817" s="9">
        <v>23</v>
      </c>
      <c r="B1817" s="9">
        <v>2024</v>
      </c>
      <c r="C1817" s="9" t="s">
        <v>46</v>
      </c>
      <c r="D1817" s="9" t="s">
        <v>47</v>
      </c>
      <c r="E1817" s="9" t="s">
        <v>47</v>
      </c>
      <c r="F1817" s="10">
        <v>45446</v>
      </c>
      <c r="G1817" s="9" t="s">
        <v>155</v>
      </c>
      <c r="H1817" s="9" t="s">
        <v>57</v>
      </c>
      <c r="J1817" s="9">
        <v>2.4000000000000004</v>
      </c>
      <c r="K1817" s="9">
        <v>40</v>
      </c>
      <c r="L1817" s="9">
        <v>0.94</v>
      </c>
      <c r="M1817" s="9">
        <v>37.6</v>
      </c>
      <c r="N1817" s="9" t="s">
        <v>49</v>
      </c>
      <c r="Q1817" s="9">
        <f>IF(Auction_Sales[[#This Row],[Payment Date]]=0,"",-1+WEEKNUM(Auction_Sales[[#This Row],[Payment Date]]))</f>
        <v>23</v>
      </c>
      <c r="R1817" s="9">
        <v>0</v>
      </c>
      <c r="S1817" s="9" t="s">
        <v>155</v>
      </c>
      <c r="T1817" s="9" t="s">
        <v>57</v>
      </c>
      <c r="U1817" s="9">
        <v>40</v>
      </c>
      <c r="V1817" s="13">
        <v>0.86999999999999988</v>
      </c>
      <c r="W1817" s="13">
        <v>34.799999999999997</v>
      </c>
      <c r="X1817" s="14">
        <v>-1.5581151832460729</v>
      </c>
      <c r="Y1817" s="13">
        <v>33.241884816753924</v>
      </c>
      <c r="Z1817" s="10">
        <v>45455</v>
      </c>
      <c r="AA1817" s="9">
        <v>0</v>
      </c>
      <c r="AC1817" s="9" t="s">
        <v>120</v>
      </c>
      <c r="AD1817" s="14">
        <v>8.0593333333333348</v>
      </c>
      <c r="AF1817" s="14">
        <v>0.8</v>
      </c>
      <c r="AH1817" s="14">
        <v>8.8593333333333355</v>
      </c>
      <c r="AI1817" s="13">
        <v>24.382551483420588</v>
      </c>
      <c r="AK1817" s="9">
        <v>40</v>
      </c>
    </row>
    <row r="1818" spans="1:37">
      <c r="A1818" s="9">
        <v>23</v>
      </c>
      <c r="B1818" s="9">
        <v>2024</v>
      </c>
      <c r="C1818" s="9" t="s">
        <v>46</v>
      </c>
      <c r="D1818" s="9" t="s">
        <v>47</v>
      </c>
      <c r="E1818" s="9" t="s">
        <v>47</v>
      </c>
      <c r="F1818" s="10">
        <v>45449</v>
      </c>
      <c r="G1818" s="9" t="s">
        <v>154</v>
      </c>
      <c r="H1818" s="9" t="s">
        <v>51</v>
      </c>
      <c r="I1818" s="9">
        <v>2</v>
      </c>
      <c r="J1818" s="9">
        <v>24</v>
      </c>
      <c r="K1818" s="9">
        <v>1040</v>
      </c>
      <c r="L1818" s="9">
        <v>0.38</v>
      </c>
      <c r="M1818" s="9">
        <v>395.2</v>
      </c>
      <c r="N1818" s="9" t="s">
        <v>49</v>
      </c>
      <c r="Q1818" s="9">
        <f>IF(Auction_Sales[[#This Row],[Payment Date]]=0,"",-1+WEEKNUM(Auction_Sales[[#This Row],[Payment Date]]))</f>
        <v>24</v>
      </c>
      <c r="R1818" s="9">
        <v>0</v>
      </c>
      <c r="S1818" s="9" t="s">
        <v>154</v>
      </c>
      <c r="T1818" s="9" t="s">
        <v>51</v>
      </c>
      <c r="U1818" s="9">
        <v>1040</v>
      </c>
      <c r="V1818" s="13">
        <v>0.34</v>
      </c>
      <c r="W1818" s="13">
        <v>353.6</v>
      </c>
      <c r="X1818" s="14">
        <v>-47.416211453744545</v>
      </c>
      <c r="Y1818" s="13">
        <v>306.18378854625547</v>
      </c>
      <c r="Z1818" s="10">
        <v>45462</v>
      </c>
      <c r="AA1818" s="9">
        <v>0</v>
      </c>
      <c r="AC1818" s="9">
        <v>443555</v>
      </c>
      <c r="AD1818" s="14">
        <v>86.221176470588233</v>
      </c>
      <c r="AF1818" s="14">
        <v>20.8</v>
      </c>
      <c r="AH1818" s="14">
        <v>107.02117647058823</v>
      </c>
      <c r="AI1818" s="13">
        <v>199.16261207566725</v>
      </c>
      <c r="AK1818" s="9">
        <v>1040</v>
      </c>
    </row>
    <row r="1819" spans="1:37">
      <c r="A1819" s="9">
        <v>23</v>
      </c>
      <c r="B1819" s="9">
        <v>2024</v>
      </c>
      <c r="C1819" s="9" t="s">
        <v>46</v>
      </c>
      <c r="D1819" s="9" t="s">
        <v>47</v>
      </c>
      <c r="E1819" s="9" t="s">
        <v>47</v>
      </c>
      <c r="F1819" s="10">
        <v>45449</v>
      </c>
      <c r="G1819" s="9" t="s">
        <v>154</v>
      </c>
      <c r="H1819" s="9" t="s">
        <v>48</v>
      </c>
      <c r="I1819" s="9">
        <v>1</v>
      </c>
      <c r="J1819" s="9">
        <v>12</v>
      </c>
      <c r="K1819" s="9">
        <v>480</v>
      </c>
      <c r="L1819" s="9">
        <v>0.47</v>
      </c>
      <c r="M1819" s="9">
        <v>225.6</v>
      </c>
      <c r="N1819" s="9" t="s">
        <v>49</v>
      </c>
      <c r="Q1819" s="9">
        <f>IF(Auction_Sales[[#This Row],[Payment Date]]=0,"",-1+WEEKNUM(Auction_Sales[[#This Row],[Payment Date]]))</f>
        <v>24</v>
      </c>
      <c r="R1819" s="9">
        <v>480</v>
      </c>
      <c r="S1819" s="9" t="s">
        <v>154</v>
      </c>
      <c r="T1819" s="9" t="s">
        <v>48</v>
      </c>
      <c r="W1819" s="13">
        <v>0</v>
      </c>
      <c r="X1819" s="14">
        <v>0</v>
      </c>
      <c r="Y1819" s="13">
        <v>0</v>
      </c>
      <c r="Z1819" s="10">
        <v>45462</v>
      </c>
      <c r="AA1819" s="9">
        <v>-480</v>
      </c>
      <c r="AC1819" s="9">
        <v>443555</v>
      </c>
      <c r="AD1819" s="14">
        <v>43.110588235294117</v>
      </c>
      <c r="AF1819" s="14">
        <v>0</v>
      </c>
      <c r="AH1819" s="14">
        <v>43.110588235294117</v>
      </c>
      <c r="AI1819" s="13">
        <v>-43.110588235294117</v>
      </c>
      <c r="AK1819" s="9">
        <v>0</v>
      </c>
    </row>
    <row r="1820" spans="1:37">
      <c r="A1820" s="9">
        <v>23</v>
      </c>
      <c r="B1820" s="9">
        <v>2024</v>
      </c>
      <c r="C1820" s="9" t="s">
        <v>46</v>
      </c>
      <c r="D1820" s="9" t="s">
        <v>47</v>
      </c>
      <c r="E1820" s="9" t="s">
        <v>47</v>
      </c>
      <c r="F1820" s="10">
        <v>45449</v>
      </c>
      <c r="G1820" s="9" t="s">
        <v>155</v>
      </c>
      <c r="H1820" s="9" t="s">
        <v>51</v>
      </c>
      <c r="I1820" s="9">
        <v>2</v>
      </c>
      <c r="J1820" s="9">
        <v>24</v>
      </c>
      <c r="K1820" s="9">
        <v>1520</v>
      </c>
      <c r="L1820" s="9">
        <v>0.38</v>
      </c>
      <c r="M1820" s="9">
        <v>577.6</v>
      </c>
      <c r="N1820" s="9" t="s">
        <v>49</v>
      </c>
      <c r="Q1820" s="9">
        <f>IF(Auction_Sales[[#This Row],[Payment Date]]=0,"",-1+WEEKNUM(Auction_Sales[[#This Row],[Payment Date]]))</f>
        <v>24</v>
      </c>
      <c r="R1820" s="9">
        <v>-120</v>
      </c>
      <c r="S1820" s="9" t="s">
        <v>155</v>
      </c>
      <c r="T1820" s="9" t="s">
        <v>51</v>
      </c>
      <c r="U1820" s="9">
        <v>1640</v>
      </c>
      <c r="V1820" s="13">
        <v>0.32902439024390245</v>
      </c>
      <c r="W1820" s="13">
        <v>539.6</v>
      </c>
      <c r="X1820" s="14">
        <v>-74.771718061674093</v>
      </c>
      <c r="Y1820" s="13">
        <v>464.82828193832592</v>
      </c>
      <c r="Z1820" s="10">
        <v>45462</v>
      </c>
      <c r="AA1820" s="9">
        <v>120</v>
      </c>
      <c r="AC1820" s="9">
        <v>443555</v>
      </c>
      <c r="AD1820" s="14">
        <v>86.221176470588233</v>
      </c>
      <c r="AF1820" s="14">
        <v>32.799999999999997</v>
      </c>
      <c r="AH1820" s="14">
        <v>119.02117647058823</v>
      </c>
      <c r="AI1820" s="13">
        <v>345.8071054677377</v>
      </c>
      <c r="AK1820" s="9">
        <v>1640</v>
      </c>
    </row>
    <row r="1821" spans="1:37">
      <c r="A1821" s="9">
        <v>23</v>
      </c>
      <c r="B1821" s="9">
        <v>2024</v>
      </c>
      <c r="C1821" s="9" t="s">
        <v>46</v>
      </c>
      <c r="D1821" s="9" t="s">
        <v>47</v>
      </c>
      <c r="E1821" s="9" t="s">
        <v>47</v>
      </c>
      <c r="F1821" s="10">
        <v>45449</v>
      </c>
      <c r="G1821" s="9" t="s">
        <v>155</v>
      </c>
      <c r="H1821" s="9" t="s">
        <v>48</v>
      </c>
      <c r="I1821" s="9">
        <v>1</v>
      </c>
      <c r="J1821" s="9">
        <v>12</v>
      </c>
      <c r="K1821" s="9">
        <v>520</v>
      </c>
      <c r="L1821" s="9">
        <v>0.47</v>
      </c>
      <c r="M1821" s="9">
        <v>244.4</v>
      </c>
      <c r="N1821" s="9" t="s">
        <v>49</v>
      </c>
      <c r="Q1821" s="9">
        <f>IF(Auction_Sales[[#This Row],[Payment Date]]=0,"",-1+WEEKNUM(Auction_Sales[[#This Row],[Payment Date]]))</f>
        <v>24</v>
      </c>
      <c r="R1821" s="9">
        <v>-320</v>
      </c>
      <c r="S1821" s="9" t="s">
        <v>155</v>
      </c>
      <c r="T1821" s="9" t="s">
        <v>48</v>
      </c>
      <c r="U1821" s="9">
        <v>840</v>
      </c>
      <c r="V1821" s="13">
        <v>0.88428571428571423</v>
      </c>
      <c r="W1821" s="13">
        <v>742.8</v>
      </c>
      <c r="X1821" s="14">
        <v>-38.297709251101367</v>
      </c>
      <c r="Y1821" s="13">
        <v>704.50229074889853</v>
      </c>
      <c r="Z1821" s="10">
        <v>45462</v>
      </c>
      <c r="AA1821" s="9">
        <v>320</v>
      </c>
      <c r="AC1821" s="9">
        <v>443555</v>
      </c>
      <c r="AD1821" s="14">
        <v>43.110588235294117</v>
      </c>
      <c r="AF1821" s="14">
        <v>16.8</v>
      </c>
      <c r="AH1821" s="14">
        <v>59.910588235294114</v>
      </c>
      <c r="AI1821" s="13">
        <v>644.59170251360445</v>
      </c>
      <c r="AK1821" s="9">
        <v>840</v>
      </c>
    </row>
    <row r="1822" spans="1:37">
      <c r="A1822" s="9">
        <v>23</v>
      </c>
      <c r="B1822" s="9">
        <v>2024</v>
      </c>
      <c r="C1822" s="9" t="s">
        <v>46</v>
      </c>
      <c r="D1822" s="9" t="s">
        <v>47</v>
      </c>
      <c r="E1822" s="9" t="s">
        <v>47</v>
      </c>
      <c r="F1822" s="10">
        <v>45449</v>
      </c>
      <c r="G1822" s="9" t="s">
        <v>155</v>
      </c>
      <c r="H1822" s="9" t="s">
        <v>52</v>
      </c>
      <c r="I1822" s="9">
        <v>1</v>
      </c>
      <c r="J1822" s="9">
        <v>12</v>
      </c>
      <c r="K1822" s="9">
        <v>400</v>
      </c>
      <c r="L1822" s="9">
        <v>0.52</v>
      </c>
      <c r="M1822" s="9">
        <v>208</v>
      </c>
      <c r="N1822" s="9" t="s">
        <v>49</v>
      </c>
      <c r="Q1822" s="9">
        <f>IF(Auction_Sales[[#This Row],[Payment Date]]=0,"",-1+WEEKNUM(Auction_Sales[[#This Row],[Payment Date]]))</f>
        <v>24</v>
      </c>
      <c r="R1822" s="9">
        <v>-40</v>
      </c>
      <c r="S1822" s="9" t="s">
        <v>155</v>
      </c>
      <c r="T1822" s="9" t="s">
        <v>52</v>
      </c>
      <c r="U1822" s="9">
        <v>440</v>
      </c>
      <c r="V1822" s="13">
        <v>1.1045454545454545</v>
      </c>
      <c r="W1822" s="13">
        <v>486</v>
      </c>
      <c r="X1822" s="14">
        <v>-20.060704845815003</v>
      </c>
      <c r="Y1822" s="13">
        <v>465.939295154185</v>
      </c>
      <c r="Z1822" s="10">
        <v>45462</v>
      </c>
      <c r="AA1822" s="9">
        <v>40</v>
      </c>
      <c r="AC1822" s="9">
        <v>443555</v>
      </c>
      <c r="AD1822" s="14">
        <v>43.110588235294117</v>
      </c>
      <c r="AF1822" s="14">
        <v>8.8000000000000007</v>
      </c>
      <c r="AH1822" s="14">
        <v>51.910588235294114</v>
      </c>
      <c r="AI1822" s="13">
        <v>414.02870691889086</v>
      </c>
      <c r="AK1822" s="9">
        <v>440</v>
      </c>
    </row>
    <row r="1823" spans="1:37">
      <c r="A1823" s="9">
        <v>23</v>
      </c>
      <c r="B1823" s="9">
        <v>2024</v>
      </c>
      <c r="C1823" s="9" t="s">
        <v>46</v>
      </c>
      <c r="D1823" s="9" t="s">
        <v>47</v>
      </c>
      <c r="E1823" s="9" t="s">
        <v>47</v>
      </c>
      <c r="F1823" s="10">
        <v>45449</v>
      </c>
      <c r="G1823" s="9" t="s">
        <v>155</v>
      </c>
      <c r="H1823" s="9" t="s">
        <v>54</v>
      </c>
      <c r="I1823" s="9">
        <v>1</v>
      </c>
      <c r="J1823" s="9">
        <v>12</v>
      </c>
      <c r="K1823" s="9">
        <v>320</v>
      </c>
      <c r="L1823" s="9">
        <v>0.56999999999999995</v>
      </c>
      <c r="M1823" s="9">
        <v>182.4</v>
      </c>
      <c r="N1823" s="9" t="s">
        <v>49</v>
      </c>
      <c r="Q1823" s="9">
        <f>IF(Auction_Sales[[#This Row],[Payment Date]]=0,"",-1+WEEKNUM(Auction_Sales[[#This Row],[Payment Date]]))</f>
        <v>24</v>
      </c>
      <c r="R1823" s="9">
        <v>0</v>
      </c>
      <c r="S1823" s="9" t="s">
        <v>155</v>
      </c>
      <c r="T1823" s="9" t="s">
        <v>54</v>
      </c>
      <c r="U1823" s="9">
        <v>320</v>
      </c>
      <c r="V1823" s="13">
        <v>0.98000000000000009</v>
      </c>
      <c r="W1823" s="13">
        <v>313.60000000000002</v>
      </c>
      <c r="X1823" s="14">
        <v>-14.589603524229091</v>
      </c>
      <c r="Y1823" s="13">
        <v>299.0103964757709</v>
      </c>
      <c r="Z1823" s="10">
        <v>45462</v>
      </c>
      <c r="AA1823" s="9">
        <v>0</v>
      </c>
      <c r="AC1823" s="9">
        <v>443555</v>
      </c>
      <c r="AD1823" s="14">
        <v>43.110588235294117</v>
      </c>
      <c r="AF1823" s="14">
        <v>6.4</v>
      </c>
      <c r="AH1823" s="14">
        <v>49.510588235294115</v>
      </c>
      <c r="AI1823" s="13">
        <v>249.4998082404768</v>
      </c>
      <c r="AK1823" s="9">
        <v>320</v>
      </c>
    </row>
    <row r="1824" spans="1:37">
      <c r="A1824" s="9">
        <v>23</v>
      </c>
      <c r="B1824" s="9">
        <v>2024</v>
      </c>
      <c r="C1824" s="9" t="s">
        <v>46</v>
      </c>
      <c r="D1824" s="9" t="s">
        <v>47</v>
      </c>
      <c r="E1824" s="9" t="s">
        <v>47</v>
      </c>
      <c r="F1824" s="10">
        <v>45449</v>
      </c>
      <c r="G1824" s="9" t="s">
        <v>153</v>
      </c>
      <c r="H1824" s="9" t="s">
        <v>51</v>
      </c>
      <c r="I1824" s="9">
        <v>1</v>
      </c>
      <c r="J1824" s="9">
        <v>12</v>
      </c>
      <c r="K1824" s="9">
        <v>800</v>
      </c>
      <c r="L1824" s="9">
        <v>0.14000000000000001</v>
      </c>
      <c r="M1824" s="9">
        <v>112</v>
      </c>
      <c r="N1824" s="9" t="s">
        <v>49</v>
      </c>
      <c r="Q1824" s="9">
        <f>IF(Auction_Sales[[#This Row],[Payment Date]]=0,"",-1+WEEKNUM(Auction_Sales[[#This Row],[Payment Date]]))</f>
        <v>24</v>
      </c>
      <c r="R1824" s="9">
        <v>0</v>
      </c>
      <c r="S1824" s="9" t="s">
        <v>153</v>
      </c>
      <c r="T1824" s="9" t="s">
        <v>51</v>
      </c>
      <c r="U1824" s="9">
        <v>800</v>
      </c>
      <c r="V1824" s="13">
        <v>0.3175</v>
      </c>
      <c r="W1824" s="13">
        <v>254</v>
      </c>
      <c r="X1824" s="14">
        <v>-36.474008810572727</v>
      </c>
      <c r="Y1824" s="13">
        <v>217.52599118942726</v>
      </c>
      <c r="Z1824" s="10">
        <v>45462</v>
      </c>
      <c r="AA1824" s="9">
        <v>0</v>
      </c>
      <c r="AC1824" s="9">
        <v>443555</v>
      </c>
      <c r="AD1824" s="14">
        <v>43.110588235294117</v>
      </c>
      <c r="AF1824" s="14">
        <v>16</v>
      </c>
      <c r="AH1824" s="14">
        <v>59.110588235294117</v>
      </c>
      <c r="AI1824" s="13">
        <v>158.41540295413313</v>
      </c>
      <c r="AK1824" s="9">
        <v>800</v>
      </c>
    </row>
    <row r="1825" spans="1:37">
      <c r="A1825" s="9">
        <v>23</v>
      </c>
      <c r="B1825" s="9">
        <v>2024</v>
      </c>
      <c r="C1825" s="9" t="s">
        <v>46</v>
      </c>
      <c r="D1825" s="9" t="s">
        <v>47</v>
      </c>
      <c r="E1825" s="9" t="s">
        <v>47</v>
      </c>
      <c r="F1825" s="10">
        <v>45449</v>
      </c>
      <c r="G1825" s="9" t="s">
        <v>153</v>
      </c>
      <c r="H1825" s="9" t="s">
        <v>48</v>
      </c>
      <c r="I1825" s="9">
        <v>1</v>
      </c>
      <c r="J1825" s="9">
        <v>12</v>
      </c>
      <c r="K1825" s="9">
        <v>720</v>
      </c>
      <c r="L1825" s="9">
        <v>0.24</v>
      </c>
      <c r="M1825" s="9">
        <v>172.8</v>
      </c>
      <c r="N1825" s="9" t="s">
        <v>49</v>
      </c>
      <c r="Q1825" s="9">
        <f>IF(Auction_Sales[[#This Row],[Payment Date]]=0,"",-1+WEEKNUM(Auction_Sales[[#This Row],[Payment Date]]))</f>
        <v>24</v>
      </c>
      <c r="R1825" s="9">
        <v>-280</v>
      </c>
      <c r="S1825" s="9" t="s">
        <v>153</v>
      </c>
      <c r="T1825" s="9" t="s">
        <v>48</v>
      </c>
      <c r="U1825" s="9">
        <v>1000</v>
      </c>
      <c r="V1825" s="13">
        <v>0.56840000000000002</v>
      </c>
      <c r="W1825" s="13">
        <v>568.4</v>
      </c>
      <c r="X1825" s="14">
        <v>-45.592511013215912</v>
      </c>
      <c r="Y1825" s="13">
        <v>522.80748898678405</v>
      </c>
      <c r="Z1825" s="10">
        <v>45462</v>
      </c>
      <c r="AA1825" s="9">
        <v>280</v>
      </c>
      <c r="AC1825" s="9">
        <v>443555</v>
      </c>
      <c r="AD1825" s="14">
        <v>43.110588235294117</v>
      </c>
      <c r="AF1825" s="14">
        <v>20</v>
      </c>
      <c r="AH1825" s="14">
        <v>63.110588235294117</v>
      </c>
      <c r="AI1825" s="13">
        <v>459.69690075148992</v>
      </c>
      <c r="AK1825" s="9">
        <v>1000</v>
      </c>
    </row>
    <row r="1826" spans="1:37">
      <c r="A1826" s="9">
        <v>23</v>
      </c>
      <c r="B1826" s="9">
        <v>2024</v>
      </c>
      <c r="C1826" s="9" t="s">
        <v>46</v>
      </c>
      <c r="D1826" s="9" t="s">
        <v>47</v>
      </c>
      <c r="E1826" s="9" t="s">
        <v>47</v>
      </c>
      <c r="F1826" s="10">
        <v>45449</v>
      </c>
      <c r="G1826" s="9" t="s">
        <v>153</v>
      </c>
      <c r="H1826" s="9" t="s">
        <v>51</v>
      </c>
      <c r="I1826" s="9">
        <v>1</v>
      </c>
      <c r="J1826" s="9">
        <v>8.3478260869565215</v>
      </c>
      <c r="K1826" s="9">
        <v>640</v>
      </c>
      <c r="L1826" s="9">
        <v>0.14000000000000001</v>
      </c>
      <c r="M1826" s="9">
        <v>89.6</v>
      </c>
      <c r="N1826" s="9" t="s">
        <v>49</v>
      </c>
      <c r="Q1826" s="9">
        <f>IF(Auction_Sales[[#This Row],[Payment Date]]=0,"",-1+WEEKNUM(Auction_Sales[[#This Row],[Payment Date]]))</f>
        <v>24</v>
      </c>
      <c r="R1826" s="9">
        <v>0</v>
      </c>
      <c r="S1826" s="9" t="s">
        <v>153</v>
      </c>
      <c r="T1826" s="9" t="s">
        <v>51</v>
      </c>
      <c r="U1826" s="9">
        <v>640</v>
      </c>
      <c r="V1826" s="13">
        <v>0.36625000000000002</v>
      </c>
      <c r="W1826" s="13">
        <v>234.4</v>
      </c>
      <c r="X1826" s="14">
        <v>-29.179207048458181</v>
      </c>
      <c r="Y1826" s="13">
        <v>205.22079295154182</v>
      </c>
      <c r="Z1826" s="10">
        <v>45462</v>
      </c>
      <c r="AA1826" s="9">
        <v>0</v>
      </c>
      <c r="AC1826" s="9">
        <v>443555</v>
      </c>
      <c r="AD1826" s="14">
        <v>29.989974424552425</v>
      </c>
      <c r="AF1826" s="14">
        <v>12.8</v>
      </c>
      <c r="AH1826" s="14">
        <v>42.789974424552426</v>
      </c>
      <c r="AI1826" s="13">
        <v>162.43081852698941</v>
      </c>
      <c r="AK1826" s="9">
        <v>640</v>
      </c>
    </row>
    <row r="1827" spans="1:37">
      <c r="A1827" s="9">
        <v>23</v>
      </c>
      <c r="B1827" s="9">
        <v>2024</v>
      </c>
      <c r="C1827" s="9" t="s">
        <v>46</v>
      </c>
      <c r="D1827" s="9" t="s">
        <v>47</v>
      </c>
      <c r="E1827" s="9" t="s">
        <v>47</v>
      </c>
      <c r="F1827" s="10">
        <v>45449</v>
      </c>
      <c r="G1827" s="9" t="s">
        <v>153</v>
      </c>
      <c r="H1827" s="9" t="s">
        <v>48</v>
      </c>
      <c r="J1827" s="9">
        <v>3.6521739130434785</v>
      </c>
      <c r="K1827" s="9">
        <v>280</v>
      </c>
      <c r="L1827" s="9">
        <v>0.24</v>
      </c>
      <c r="M1827" s="9">
        <v>67.2</v>
      </c>
      <c r="N1827" s="9" t="s">
        <v>49</v>
      </c>
      <c r="Q1827" s="9">
        <f>IF(Auction_Sales[[#This Row],[Payment Date]]=0,"",-1+WEEKNUM(Auction_Sales[[#This Row],[Payment Date]]))</f>
        <v>24</v>
      </c>
      <c r="R1827" s="9">
        <v>280</v>
      </c>
      <c r="S1827" s="9" t="s">
        <v>153</v>
      </c>
      <c r="T1827" s="9" t="s">
        <v>48</v>
      </c>
      <c r="W1827" s="13">
        <v>0</v>
      </c>
      <c r="X1827" s="14">
        <v>0</v>
      </c>
      <c r="Y1827" s="13">
        <v>0</v>
      </c>
      <c r="Z1827" s="10">
        <v>45462</v>
      </c>
      <c r="AA1827" s="9">
        <v>-280</v>
      </c>
      <c r="AC1827" s="9">
        <v>443555</v>
      </c>
      <c r="AD1827" s="14">
        <v>13.120613810741689</v>
      </c>
      <c r="AF1827" s="14">
        <v>0</v>
      </c>
      <c r="AH1827" s="14">
        <v>13.120613810741689</v>
      </c>
      <c r="AI1827" s="13">
        <v>-13.120613810741689</v>
      </c>
      <c r="AK1827" s="9">
        <v>0</v>
      </c>
    </row>
    <row r="1828" spans="1:37">
      <c r="A1828" s="9">
        <v>23</v>
      </c>
      <c r="B1828" s="9">
        <v>2024</v>
      </c>
      <c r="C1828" s="9" t="s">
        <v>46</v>
      </c>
      <c r="D1828" s="9" t="s">
        <v>47</v>
      </c>
      <c r="E1828" s="9" t="s">
        <v>47</v>
      </c>
      <c r="F1828" s="10">
        <v>45449</v>
      </c>
      <c r="G1828" s="9" t="s">
        <v>153</v>
      </c>
      <c r="H1828" s="9" t="s">
        <v>56</v>
      </c>
      <c r="I1828" s="9">
        <v>1</v>
      </c>
      <c r="J1828" s="9">
        <v>4.5</v>
      </c>
      <c r="K1828" s="9">
        <v>120</v>
      </c>
      <c r="L1828" s="9">
        <v>0.38</v>
      </c>
      <c r="M1828" s="9">
        <v>45.6</v>
      </c>
      <c r="N1828" s="9" t="s">
        <v>49</v>
      </c>
      <c r="Q1828" s="9">
        <f>IF(Auction_Sales[[#This Row],[Payment Date]]=0,"",-1+WEEKNUM(Auction_Sales[[#This Row],[Payment Date]]))</f>
        <v>24</v>
      </c>
      <c r="R1828" s="9">
        <v>40</v>
      </c>
      <c r="S1828" s="9" t="s">
        <v>153</v>
      </c>
      <c r="T1828" s="9" t="s">
        <v>56</v>
      </c>
      <c r="U1828" s="9">
        <v>80</v>
      </c>
      <c r="V1828" s="13">
        <v>0.59000000000000008</v>
      </c>
      <c r="W1828" s="13">
        <v>47.2</v>
      </c>
      <c r="X1828" s="14">
        <v>-3.6474008810572727</v>
      </c>
      <c r="Y1828" s="13">
        <v>43.55259911894273</v>
      </c>
      <c r="Z1828" s="10">
        <v>45462</v>
      </c>
      <c r="AA1828" s="9">
        <v>-40</v>
      </c>
      <c r="AC1828" s="9">
        <v>443555</v>
      </c>
      <c r="AD1828" s="14">
        <v>16.166470588235295</v>
      </c>
      <c r="AF1828" s="14">
        <v>1.6</v>
      </c>
      <c r="AH1828" s="14">
        <v>17.766470588235297</v>
      </c>
      <c r="AI1828" s="13">
        <v>25.786128530707433</v>
      </c>
      <c r="AK1828" s="9">
        <v>80</v>
      </c>
    </row>
    <row r="1829" spans="1:37">
      <c r="A1829" s="9">
        <v>23</v>
      </c>
      <c r="B1829" s="9">
        <v>2024</v>
      </c>
      <c r="C1829" s="9" t="s">
        <v>46</v>
      </c>
      <c r="D1829" s="9" t="s">
        <v>47</v>
      </c>
      <c r="E1829" s="9" t="s">
        <v>47</v>
      </c>
      <c r="F1829" s="10">
        <v>45449</v>
      </c>
      <c r="G1829" s="9" t="s">
        <v>153</v>
      </c>
      <c r="H1829" s="9" t="s">
        <v>54</v>
      </c>
      <c r="J1829" s="9">
        <v>7.5</v>
      </c>
      <c r="K1829" s="9">
        <v>200</v>
      </c>
      <c r="L1829" s="9">
        <v>0.33</v>
      </c>
      <c r="M1829" s="9">
        <v>66</v>
      </c>
      <c r="N1829" s="9" t="s">
        <v>49</v>
      </c>
      <c r="Q1829" s="9">
        <f>IF(Auction_Sales[[#This Row],[Payment Date]]=0,"",-1+WEEKNUM(Auction_Sales[[#This Row],[Payment Date]]))</f>
        <v>24</v>
      </c>
      <c r="R1829" s="9">
        <v>-40</v>
      </c>
      <c r="S1829" s="9" t="s">
        <v>153</v>
      </c>
      <c r="T1829" s="9" t="s">
        <v>54</v>
      </c>
      <c r="U1829" s="9">
        <v>240</v>
      </c>
      <c r="V1829" s="13">
        <v>0.53</v>
      </c>
      <c r="W1829" s="13">
        <v>127.2</v>
      </c>
      <c r="X1829" s="14">
        <v>-10.942202643171818</v>
      </c>
      <c r="Y1829" s="13">
        <v>116.25779735682818</v>
      </c>
      <c r="Z1829" s="10">
        <v>45462</v>
      </c>
      <c r="AA1829" s="9">
        <v>40</v>
      </c>
      <c r="AC1829" s="9">
        <v>443555</v>
      </c>
      <c r="AD1829" s="14">
        <v>26.944117647058825</v>
      </c>
      <c r="AF1829" s="14">
        <v>4.8</v>
      </c>
      <c r="AH1829" s="14">
        <v>31.744117647058825</v>
      </c>
      <c r="AI1829" s="13">
        <v>84.513679709769349</v>
      </c>
      <c r="AK1829" s="9">
        <v>240</v>
      </c>
    </row>
    <row r="1830" spans="1:37">
      <c r="A1830" s="9">
        <v>23</v>
      </c>
      <c r="B1830" s="9">
        <v>2024</v>
      </c>
      <c r="C1830" s="9" t="s">
        <v>46</v>
      </c>
      <c r="D1830" s="9" t="s">
        <v>47</v>
      </c>
      <c r="E1830" s="9" t="s">
        <v>47</v>
      </c>
      <c r="F1830" s="10">
        <v>45449</v>
      </c>
      <c r="G1830" s="9" t="s">
        <v>155</v>
      </c>
      <c r="H1830" s="9" t="s">
        <v>51</v>
      </c>
      <c r="I1830" s="9">
        <v>1</v>
      </c>
      <c r="J1830" s="9">
        <v>1.8461538461538463</v>
      </c>
      <c r="K1830" s="9">
        <v>80</v>
      </c>
      <c r="L1830" s="9">
        <v>0.38</v>
      </c>
      <c r="M1830" s="9">
        <v>30.4</v>
      </c>
      <c r="N1830" s="9" t="s">
        <v>49</v>
      </c>
      <c r="Q1830" s="9">
        <f>IF(Auction_Sales[[#This Row],[Payment Date]]=0,"",-1+WEEKNUM(Auction_Sales[[#This Row],[Payment Date]]))</f>
        <v>24</v>
      </c>
      <c r="R1830" s="9">
        <v>80</v>
      </c>
      <c r="S1830" s="9" t="s">
        <v>155</v>
      </c>
      <c r="T1830" s="9" t="s">
        <v>51</v>
      </c>
      <c r="W1830" s="13">
        <v>0</v>
      </c>
      <c r="X1830" s="14">
        <v>0</v>
      </c>
      <c r="Y1830" s="13">
        <v>0</v>
      </c>
      <c r="Z1830" s="10">
        <v>45462</v>
      </c>
      <c r="AA1830" s="9">
        <v>-80</v>
      </c>
      <c r="AC1830" s="9">
        <v>443555</v>
      </c>
      <c r="AD1830" s="14">
        <v>6.6323981900452491</v>
      </c>
      <c r="AF1830" s="14">
        <v>0</v>
      </c>
      <c r="AH1830" s="14">
        <v>6.6323981900452491</v>
      </c>
      <c r="AI1830" s="13">
        <v>-6.6323981900452491</v>
      </c>
      <c r="AK1830" s="9">
        <v>0</v>
      </c>
    </row>
    <row r="1831" spans="1:37">
      <c r="A1831" s="9">
        <v>23</v>
      </c>
      <c r="B1831" s="9">
        <v>2024</v>
      </c>
      <c r="C1831" s="9" t="s">
        <v>46</v>
      </c>
      <c r="D1831" s="9" t="s">
        <v>47</v>
      </c>
      <c r="E1831" s="9" t="s">
        <v>47</v>
      </c>
      <c r="F1831" s="10">
        <v>45449</v>
      </c>
      <c r="G1831" s="9" t="s">
        <v>155</v>
      </c>
      <c r="H1831" s="9" t="s">
        <v>48</v>
      </c>
      <c r="J1831" s="9">
        <v>9.2307692307692317</v>
      </c>
      <c r="K1831" s="9">
        <v>400</v>
      </c>
      <c r="L1831" s="9">
        <v>0.47</v>
      </c>
      <c r="M1831" s="9">
        <v>188</v>
      </c>
      <c r="N1831" s="9" t="s">
        <v>49</v>
      </c>
      <c r="Q1831" s="9">
        <f>IF(Auction_Sales[[#This Row],[Payment Date]]=0,"",-1+WEEKNUM(Auction_Sales[[#This Row],[Payment Date]]))</f>
        <v>24</v>
      </c>
      <c r="R1831" s="9">
        <v>400</v>
      </c>
      <c r="S1831" s="9" t="s">
        <v>155</v>
      </c>
      <c r="T1831" s="9" t="s">
        <v>48</v>
      </c>
      <c r="W1831" s="13">
        <v>0</v>
      </c>
      <c r="X1831" s="14">
        <v>0</v>
      </c>
      <c r="Y1831" s="13">
        <v>0</v>
      </c>
      <c r="Z1831" s="10">
        <v>45462</v>
      </c>
      <c r="AA1831" s="9">
        <v>-400</v>
      </c>
      <c r="AC1831" s="9">
        <v>443555</v>
      </c>
      <c r="AD1831" s="14">
        <v>33.161990950226247</v>
      </c>
      <c r="AF1831" s="14">
        <v>0</v>
      </c>
      <c r="AH1831" s="14">
        <v>33.161990950226247</v>
      </c>
      <c r="AI1831" s="13">
        <v>-33.161990950226247</v>
      </c>
      <c r="AK1831" s="9">
        <v>0</v>
      </c>
    </row>
    <row r="1832" spans="1:37">
      <c r="A1832" s="9">
        <v>23</v>
      </c>
      <c r="B1832" s="9">
        <v>2024</v>
      </c>
      <c r="C1832" s="9" t="s">
        <v>46</v>
      </c>
      <c r="D1832" s="9" t="s">
        <v>47</v>
      </c>
      <c r="E1832" s="9" t="s">
        <v>47</v>
      </c>
      <c r="F1832" s="10">
        <v>45449</v>
      </c>
      <c r="G1832" s="9" t="s">
        <v>155</v>
      </c>
      <c r="H1832" s="9" t="s">
        <v>52</v>
      </c>
      <c r="J1832" s="9">
        <v>0.92307692307692313</v>
      </c>
      <c r="K1832" s="9">
        <v>40</v>
      </c>
      <c r="L1832" s="9">
        <v>0.52</v>
      </c>
      <c r="M1832" s="9">
        <v>20.8</v>
      </c>
      <c r="N1832" s="9" t="s">
        <v>49</v>
      </c>
      <c r="Q1832" s="9">
        <f>IF(Auction_Sales[[#This Row],[Payment Date]]=0,"",-1+WEEKNUM(Auction_Sales[[#This Row],[Payment Date]]))</f>
        <v>24</v>
      </c>
      <c r="R1832" s="9">
        <v>40</v>
      </c>
      <c r="S1832" s="9" t="s">
        <v>155</v>
      </c>
      <c r="T1832" s="9" t="s">
        <v>52</v>
      </c>
      <c r="W1832" s="13">
        <v>0</v>
      </c>
      <c r="X1832" s="14">
        <v>0</v>
      </c>
      <c r="Y1832" s="13">
        <v>0</v>
      </c>
      <c r="Z1832" s="10">
        <v>45462</v>
      </c>
      <c r="AA1832" s="9">
        <v>-40</v>
      </c>
      <c r="AC1832" s="9">
        <v>443555</v>
      </c>
      <c r="AD1832" s="14">
        <v>3.3161990950226246</v>
      </c>
      <c r="AF1832" s="14">
        <v>0</v>
      </c>
      <c r="AH1832" s="14">
        <v>3.3161990950226246</v>
      </c>
      <c r="AI1832" s="13">
        <v>-3.3161990950226246</v>
      </c>
      <c r="AK1832" s="9">
        <v>0</v>
      </c>
    </row>
    <row r="1833" spans="1:37">
      <c r="A1833" s="9">
        <v>23</v>
      </c>
      <c r="B1833" s="9">
        <v>2024</v>
      </c>
      <c r="C1833" s="9" t="s">
        <v>46</v>
      </c>
      <c r="D1833" s="9" t="s">
        <v>47</v>
      </c>
      <c r="E1833" s="9" t="s">
        <v>47</v>
      </c>
      <c r="F1833" s="10">
        <v>45449</v>
      </c>
      <c r="G1833" s="9" t="s">
        <v>155</v>
      </c>
      <c r="H1833" s="9" t="s">
        <v>56</v>
      </c>
      <c r="I1833" s="9">
        <v>1</v>
      </c>
      <c r="J1833" s="9">
        <v>8.5714285714285712</v>
      </c>
      <c r="K1833" s="9">
        <v>200</v>
      </c>
      <c r="L1833" s="9">
        <v>0.75</v>
      </c>
      <c r="M1833" s="9">
        <v>150</v>
      </c>
      <c r="N1833" s="9" t="s">
        <v>49</v>
      </c>
      <c r="Q1833" s="9">
        <f>IF(Auction_Sales[[#This Row],[Payment Date]]=0,"",-1+WEEKNUM(Auction_Sales[[#This Row],[Payment Date]]))</f>
        <v>24</v>
      </c>
      <c r="R1833" s="9">
        <v>0</v>
      </c>
      <c r="S1833" s="9" t="s">
        <v>155</v>
      </c>
      <c r="T1833" s="9" t="s">
        <v>56</v>
      </c>
      <c r="U1833" s="9">
        <v>200</v>
      </c>
      <c r="V1833" s="13">
        <v>0.94</v>
      </c>
      <c r="W1833" s="13">
        <v>188</v>
      </c>
      <c r="X1833" s="14">
        <v>-9.1185022026431817</v>
      </c>
      <c r="Y1833" s="13">
        <v>178.88149779735681</v>
      </c>
      <c r="Z1833" s="10">
        <v>45462</v>
      </c>
      <c r="AA1833" s="9">
        <v>0</v>
      </c>
      <c r="AC1833" s="9">
        <v>443555</v>
      </c>
      <c r="AD1833" s="14">
        <v>30.793277310924367</v>
      </c>
      <c r="AF1833" s="14">
        <v>4</v>
      </c>
      <c r="AH1833" s="14">
        <v>34.793277310924367</v>
      </c>
      <c r="AI1833" s="13">
        <v>144.08822048643245</v>
      </c>
      <c r="AK1833" s="9">
        <v>200</v>
      </c>
    </row>
    <row r="1834" spans="1:37">
      <c r="A1834" s="9">
        <v>23</v>
      </c>
      <c r="B1834" s="9">
        <v>2024</v>
      </c>
      <c r="C1834" s="9" t="s">
        <v>46</v>
      </c>
      <c r="D1834" s="9" t="s">
        <v>47</v>
      </c>
      <c r="E1834" s="9" t="s">
        <v>47</v>
      </c>
      <c r="F1834" s="10">
        <v>45449</v>
      </c>
      <c r="G1834" s="9" t="s">
        <v>155</v>
      </c>
      <c r="H1834" s="9" t="s">
        <v>57</v>
      </c>
      <c r="J1834" s="9">
        <v>3.4285714285714284</v>
      </c>
      <c r="K1834" s="9">
        <v>80</v>
      </c>
      <c r="L1834" s="9">
        <v>0.94</v>
      </c>
      <c r="M1834" s="9">
        <v>75.2</v>
      </c>
      <c r="N1834" s="9" t="s">
        <v>49</v>
      </c>
      <c r="Q1834" s="9">
        <f>IF(Auction_Sales[[#This Row],[Payment Date]]=0,"",-1+WEEKNUM(Auction_Sales[[#This Row],[Payment Date]]))</f>
        <v>24</v>
      </c>
      <c r="R1834" s="9">
        <v>0</v>
      </c>
      <c r="S1834" s="9" t="s">
        <v>155</v>
      </c>
      <c r="T1834" s="9" t="s">
        <v>57</v>
      </c>
      <c r="U1834" s="9">
        <v>80</v>
      </c>
      <c r="V1834" s="13">
        <v>0.99499999999999988</v>
      </c>
      <c r="W1834" s="13">
        <v>79.599999999999994</v>
      </c>
      <c r="X1834" s="14">
        <v>-3.6474008810572727</v>
      </c>
      <c r="Y1834" s="13">
        <v>75.952599118942715</v>
      </c>
      <c r="Z1834" s="10">
        <v>45462</v>
      </c>
      <c r="AA1834" s="9">
        <v>0</v>
      </c>
      <c r="AC1834" s="9">
        <v>443555</v>
      </c>
      <c r="AD1834" s="14">
        <v>12.317310924369748</v>
      </c>
      <c r="AF1834" s="14">
        <v>1.6</v>
      </c>
      <c r="AH1834" s="14">
        <v>13.917310924369747</v>
      </c>
      <c r="AI1834" s="13">
        <v>62.035288194572971</v>
      </c>
      <c r="AK1834" s="9">
        <v>80</v>
      </c>
    </row>
    <row r="1835" spans="1:37">
      <c r="A1835" s="9">
        <v>23</v>
      </c>
      <c r="B1835" s="9">
        <v>2024</v>
      </c>
      <c r="C1835" s="9" t="s">
        <v>46</v>
      </c>
      <c r="D1835" s="9" t="s">
        <v>47</v>
      </c>
      <c r="E1835" s="9" t="s">
        <v>47</v>
      </c>
      <c r="F1835" s="10">
        <v>45449</v>
      </c>
      <c r="G1835" s="9" t="s">
        <v>154</v>
      </c>
      <c r="H1835" s="9" t="s">
        <v>54</v>
      </c>
      <c r="I1835" s="9">
        <v>1</v>
      </c>
      <c r="J1835" s="9">
        <v>3.4285714285714284</v>
      </c>
      <c r="K1835" s="9">
        <v>80</v>
      </c>
      <c r="L1835" s="9">
        <v>0.56999999999999995</v>
      </c>
      <c r="M1835" s="9">
        <v>45.6</v>
      </c>
      <c r="N1835" s="9" t="s">
        <v>49</v>
      </c>
      <c r="Q1835" s="9">
        <f>IF(Auction_Sales[[#This Row],[Payment Date]]=0,"",-1+WEEKNUM(Auction_Sales[[#This Row],[Payment Date]]))</f>
        <v>24</v>
      </c>
      <c r="R1835" s="9">
        <v>0</v>
      </c>
      <c r="S1835" s="9" t="s">
        <v>154</v>
      </c>
      <c r="T1835" s="9" t="s">
        <v>54</v>
      </c>
      <c r="U1835" s="9">
        <v>80</v>
      </c>
      <c r="V1835" s="13">
        <v>1.04</v>
      </c>
      <c r="W1835" s="13">
        <v>83.2</v>
      </c>
      <c r="X1835" s="14">
        <v>-3.6474008810572727</v>
      </c>
      <c r="Y1835" s="13">
        <v>79.552599118942737</v>
      </c>
      <c r="Z1835" s="10">
        <v>45462</v>
      </c>
      <c r="AA1835" s="9">
        <v>0</v>
      </c>
      <c r="AC1835" s="9">
        <v>443555</v>
      </c>
      <c r="AD1835" s="14">
        <v>12.317310924369748</v>
      </c>
      <c r="AF1835" s="14">
        <v>1.6</v>
      </c>
      <c r="AH1835" s="14">
        <v>13.917310924369747</v>
      </c>
      <c r="AI1835" s="13">
        <v>65.635288194572993</v>
      </c>
      <c r="AK1835" s="9">
        <v>80</v>
      </c>
    </row>
    <row r="1836" spans="1:37">
      <c r="A1836" s="9">
        <v>23</v>
      </c>
      <c r="B1836" s="9">
        <v>2024</v>
      </c>
      <c r="C1836" s="9" t="s">
        <v>46</v>
      </c>
      <c r="D1836" s="9" t="s">
        <v>47</v>
      </c>
      <c r="E1836" s="9" t="s">
        <v>47</v>
      </c>
      <c r="F1836" s="10">
        <v>45449</v>
      </c>
      <c r="G1836" s="9" t="s">
        <v>154</v>
      </c>
      <c r="H1836" s="9" t="s">
        <v>56</v>
      </c>
      <c r="J1836" s="9">
        <v>6.8571428571428568</v>
      </c>
      <c r="K1836" s="9">
        <v>160</v>
      </c>
      <c r="L1836" s="9">
        <v>0.75</v>
      </c>
      <c r="M1836" s="9">
        <v>120</v>
      </c>
      <c r="N1836" s="9" t="s">
        <v>49</v>
      </c>
      <c r="Q1836" s="9">
        <f>IF(Auction_Sales[[#This Row],[Payment Date]]=0,"",-1+WEEKNUM(Auction_Sales[[#This Row],[Payment Date]]))</f>
        <v>24</v>
      </c>
      <c r="R1836" s="9">
        <v>0</v>
      </c>
      <c r="S1836" s="9" t="s">
        <v>154</v>
      </c>
      <c r="T1836" s="9" t="s">
        <v>56</v>
      </c>
      <c r="U1836" s="9">
        <v>160</v>
      </c>
      <c r="V1836" s="13">
        <v>1.0525</v>
      </c>
      <c r="W1836" s="13">
        <v>168.4</v>
      </c>
      <c r="X1836" s="14">
        <v>-7.2948017621145453</v>
      </c>
      <c r="Y1836" s="13">
        <v>161.10519823788547</v>
      </c>
      <c r="Z1836" s="10">
        <v>45462</v>
      </c>
      <c r="AA1836" s="9">
        <v>0</v>
      </c>
      <c r="AC1836" s="9">
        <v>443555</v>
      </c>
      <c r="AD1836" s="14">
        <v>24.634621848739496</v>
      </c>
      <c r="AF1836" s="14">
        <v>3.2</v>
      </c>
      <c r="AH1836" s="14">
        <v>27.834621848739495</v>
      </c>
      <c r="AI1836" s="13">
        <v>133.27057638914599</v>
      </c>
      <c r="AK1836" s="9">
        <v>160</v>
      </c>
    </row>
    <row r="1837" spans="1:37">
      <c r="A1837" s="9">
        <v>23</v>
      </c>
      <c r="B1837" s="9">
        <v>2024</v>
      </c>
      <c r="C1837" s="9" t="s">
        <v>46</v>
      </c>
      <c r="D1837" s="9" t="s">
        <v>47</v>
      </c>
      <c r="E1837" s="9" t="s">
        <v>47</v>
      </c>
      <c r="F1837" s="10">
        <v>45449</v>
      </c>
      <c r="G1837" s="9" t="s">
        <v>154</v>
      </c>
      <c r="H1837" s="9" t="s">
        <v>57</v>
      </c>
      <c r="J1837" s="9">
        <v>1.7142857142857142</v>
      </c>
      <c r="K1837" s="9">
        <v>40</v>
      </c>
      <c r="L1837" s="9">
        <v>0.94</v>
      </c>
      <c r="M1837" s="9">
        <v>37.6</v>
      </c>
      <c r="N1837" s="9" t="s">
        <v>49</v>
      </c>
      <c r="Q1837" s="9">
        <f>IF(Auction_Sales[[#This Row],[Payment Date]]=0,"",-1+WEEKNUM(Auction_Sales[[#This Row],[Payment Date]]))</f>
        <v>24</v>
      </c>
      <c r="R1837" s="9">
        <v>0</v>
      </c>
      <c r="S1837" s="9" t="s">
        <v>154</v>
      </c>
      <c r="T1837" s="9" t="s">
        <v>57</v>
      </c>
      <c r="U1837" s="9">
        <v>40</v>
      </c>
      <c r="V1837" s="13">
        <v>0.96</v>
      </c>
      <c r="W1837" s="13">
        <v>38.4</v>
      </c>
      <c r="X1837" s="14">
        <v>-1.8237004405286363</v>
      </c>
      <c r="Y1837" s="13">
        <v>36.576299559471366</v>
      </c>
      <c r="Z1837" s="10">
        <v>45462</v>
      </c>
      <c r="AA1837" s="9">
        <v>0</v>
      </c>
      <c r="AC1837" s="9">
        <v>443555</v>
      </c>
      <c r="AD1837" s="14">
        <v>6.1586554621848739</v>
      </c>
      <c r="AF1837" s="14">
        <v>0.8</v>
      </c>
      <c r="AH1837" s="14">
        <v>6.9586554621848737</v>
      </c>
      <c r="AI1837" s="13">
        <v>29.617644097286494</v>
      </c>
      <c r="AK1837" s="9">
        <v>40</v>
      </c>
    </row>
    <row r="1838" spans="1:37">
      <c r="A1838" s="9">
        <v>23</v>
      </c>
      <c r="B1838" s="9">
        <v>2024</v>
      </c>
      <c r="C1838" s="9" t="s">
        <v>46</v>
      </c>
      <c r="D1838" s="9" t="s">
        <v>47</v>
      </c>
      <c r="E1838" s="9" t="s">
        <v>47</v>
      </c>
      <c r="F1838" s="10">
        <v>45449</v>
      </c>
      <c r="G1838" s="9" t="s">
        <v>154</v>
      </c>
      <c r="H1838" s="9" t="s">
        <v>48</v>
      </c>
      <c r="I1838" s="9">
        <v>1</v>
      </c>
      <c r="J1838" s="9">
        <v>6</v>
      </c>
      <c r="K1838" s="9">
        <v>280</v>
      </c>
      <c r="L1838" s="9">
        <v>0.47</v>
      </c>
      <c r="M1838" s="9">
        <v>131.6</v>
      </c>
      <c r="N1838" s="9" t="s">
        <v>49</v>
      </c>
      <c r="Q1838" s="9">
        <f>IF(Auction_Sales[[#This Row],[Payment Date]]=0,"",-1+WEEKNUM(Auction_Sales[[#This Row],[Payment Date]]))</f>
        <v>24</v>
      </c>
      <c r="R1838" s="9">
        <v>-480</v>
      </c>
      <c r="S1838" s="9" t="s">
        <v>154</v>
      </c>
      <c r="T1838" s="9" t="s">
        <v>48</v>
      </c>
      <c r="U1838" s="9">
        <v>760</v>
      </c>
      <c r="V1838" s="13">
        <v>0.95684210526315794</v>
      </c>
      <c r="W1838" s="13">
        <v>727.2</v>
      </c>
      <c r="X1838" s="14">
        <v>-34.650308370044087</v>
      </c>
      <c r="Y1838" s="13">
        <v>692.54969162995599</v>
      </c>
      <c r="Z1838" s="10">
        <v>45462</v>
      </c>
      <c r="AA1838" s="9">
        <v>480</v>
      </c>
      <c r="AC1838" s="9">
        <v>443555</v>
      </c>
      <c r="AD1838" s="14">
        <v>21.555294117647058</v>
      </c>
      <c r="AF1838" s="14">
        <v>15.200000000000001</v>
      </c>
      <c r="AH1838" s="14">
        <v>36.755294117647061</v>
      </c>
      <c r="AI1838" s="13">
        <v>655.79439751230893</v>
      </c>
      <c r="AK1838" s="9">
        <v>760</v>
      </c>
    </row>
    <row r="1839" spans="1:37">
      <c r="A1839" s="9">
        <v>23</v>
      </c>
      <c r="B1839" s="9">
        <v>2024</v>
      </c>
      <c r="C1839" s="9" t="s">
        <v>46</v>
      </c>
      <c r="D1839" s="9" t="s">
        <v>47</v>
      </c>
      <c r="E1839" s="9" t="s">
        <v>47</v>
      </c>
      <c r="F1839" s="10">
        <v>45449</v>
      </c>
      <c r="G1839" s="9" t="s">
        <v>154</v>
      </c>
      <c r="H1839" s="9" t="s">
        <v>52</v>
      </c>
      <c r="J1839" s="9">
        <v>6</v>
      </c>
      <c r="K1839" s="9">
        <v>280</v>
      </c>
      <c r="L1839" s="9">
        <v>0.52</v>
      </c>
      <c r="M1839" s="9">
        <v>145.6</v>
      </c>
      <c r="N1839" s="9" t="s">
        <v>49</v>
      </c>
      <c r="Q1839" s="9">
        <f>IF(Auction_Sales[[#This Row],[Payment Date]]=0,"",-1+WEEKNUM(Auction_Sales[[#This Row],[Payment Date]]))</f>
        <v>24</v>
      </c>
      <c r="R1839" s="9">
        <v>0</v>
      </c>
      <c r="S1839" s="9" t="s">
        <v>154</v>
      </c>
      <c r="T1839" s="9" t="s">
        <v>52</v>
      </c>
      <c r="U1839" s="9">
        <v>280</v>
      </c>
      <c r="V1839" s="13">
        <v>1.2785714285714285</v>
      </c>
      <c r="W1839" s="13">
        <v>358</v>
      </c>
      <c r="X1839" s="14">
        <v>-12.765903083700456</v>
      </c>
      <c r="Y1839" s="13">
        <v>345.23409691629956</v>
      </c>
      <c r="Z1839" s="10">
        <v>45462</v>
      </c>
      <c r="AA1839" s="9">
        <v>0</v>
      </c>
      <c r="AC1839" s="9">
        <v>443555</v>
      </c>
      <c r="AD1839" s="14">
        <v>21.555294117647058</v>
      </c>
      <c r="AF1839" s="14">
        <v>5.6000000000000005</v>
      </c>
      <c r="AH1839" s="14">
        <v>27.15529411764706</v>
      </c>
      <c r="AI1839" s="13">
        <v>318.07880279865253</v>
      </c>
      <c r="AK1839" s="9">
        <v>280</v>
      </c>
    </row>
    <row r="1840" spans="1:37">
      <c r="A1840" s="9">
        <v>23</v>
      </c>
      <c r="B1840" s="9">
        <v>2024</v>
      </c>
      <c r="C1840" s="9" t="s">
        <v>46</v>
      </c>
      <c r="D1840" s="9" t="s">
        <v>47</v>
      </c>
      <c r="E1840" s="9" t="s">
        <v>47</v>
      </c>
      <c r="F1840" s="10">
        <v>45449</v>
      </c>
      <c r="G1840" s="9" t="s">
        <v>156</v>
      </c>
      <c r="H1840" s="9" t="s">
        <v>51</v>
      </c>
      <c r="I1840" s="9">
        <v>1</v>
      </c>
      <c r="J1840" s="9">
        <v>5.4545454545454541</v>
      </c>
      <c r="K1840" s="9">
        <v>200</v>
      </c>
      <c r="L1840" s="9">
        <v>0.42</v>
      </c>
      <c r="M1840" s="9">
        <v>84</v>
      </c>
      <c r="N1840" s="9" t="s">
        <v>49</v>
      </c>
      <c r="Q1840" s="9">
        <f>IF(Auction_Sales[[#This Row],[Payment Date]]=0,"",-1+WEEKNUM(Auction_Sales[[#This Row],[Payment Date]]))</f>
        <v>24</v>
      </c>
      <c r="R1840" s="9">
        <v>0</v>
      </c>
      <c r="S1840" s="9" t="s">
        <v>156</v>
      </c>
      <c r="T1840" s="9" t="s">
        <v>51</v>
      </c>
      <c r="U1840" s="9">
        <v>200</v>
      </c>
      <c r="V1840" s="13">
        <v>0.434</v>
      </c>
      <c r="W1840" s="13">
        <v>86.8</v>
      </c>
      <c r="X1840" s="14">
        <v>-9.1185022026431817</v>
      </c>
      <c r="Y1840" s="13">
        <v>77.681497797356812</v>
      </c>
      <c r="Z1840" s="10">
        <v>45462</v>
      </c>
      <c r="AA1840" s="9">
        <v>0</v>
      </c>
      <c r="AC1840" s="9">
        <v>443555</v>
      </c>
      <c r="AD1840" s="14">
        <v>19.595721925133688</v>
      </c>
      <c r="AF1840" s="14">
        <v>4</v>
      </c>
      <c r="AH1840" s="14">
        <v>23.595721925133688</v>
      </c>
      <c r="AI1840" s="13">
        <v>54.085775872223124</v>
      </c>
      <c r="AK1840" s="9">
        <v>200</v>
      </c>
    </row>
    <row r="1841" spans="1:37">
      <c r="A1841" s="9">
        <v>23</v>
      </c>
      <c r="B1841" s="9">
        <v>2024</v>
      </c>
      <c r="C1841" s="9" t="s">
        <v>46</v>
      </c>
      <c r="D1841" s="9" t="s">
        <v>47</v>
      </c>
      <c r="E1841" s="9" t="s">
        <v>47</v>
      </c>
      <c r="F1841" s="10">
        <v>45449</v>
      </c>
      <c r="G1841" s="9" t="s">
        <v>156</v>
      </c>
      <c r="H1841" s="9" t="s">
        <v>48</v>
      </c>
      <c r="J1841" s="9">
        <v>6.545454545454545</v>
      </c>
      <c r="K1841" s="9">
        <v>240</v>
      </c>
      <c r="L1841" s="9">
        <v>0.52</v>
      </c>
      <c r="M1841" s="9">
        <v>124.8</v>
      </c>
      <c r="N1841" s="9" t="s">
        <v>49</v>
      </c>
      <c r="Q1841" s="9">
        <f>IF(Auction_Sales[[#This Row],[Payment Date]]=0,"",-1+WEEKNUM(Auction_Sales[[#This Row],[Payment Date]]))</f>
        <v>24</v>
      </c>
      <c r="R1841" s="9">
        <v>0</v>
      </c>
      <c r="S1841" s="9" t="s">
        <v>156</v>
      </c>
      <c r="T1841" s="9" t="s">
        <v>48</v>
      </c>
      <c r="U1841" s="9">
        <v>240</v>
      </c>
      <c r="V1841" s="13">
        <v>0.49333333333333335</v>
      </c>
      <c r="W1841" s="13">
        <v>118.4</v>
      </c>
      <c r="X1841" s="14">
        <v>-10.942202643171818</v>
      </c>
      <c r="Y1841" s="13">
        <v>107.45779735682819</v>
      </c>
      <c r="Z1841" s="10">
        <v>45462</v>
      </c>
      <c r="AA1841" s="9">
        <v>0</v>
      </c>
      <c r="AC1841" s="9">
        <v>443555</v>
      </c>
      <c r="AD1841" s="14">
        <v>23.514866310160425</v>
      </c>
      <c r="AF1841" s="14">
        <v>4.8</v>
      </c>
      <c r="AH1841" s="14">
        <v>28.314866310160426</v>
      </c>
      <c r="AI1841" s="13">
        <v>79.142931046667769</v>
      </c>
      <c r="AK1841" s="9">
        <v>240</v>
      </c>
    </row>
    <row r="1842" spans="1:37">
      <c r="A1842" s="9">
        <v>24</v>
      </c>
      <c r="B1842" s="9">
        <v>2024</v>
      </c>
      <c r="C1842" s="9" t="s">
        <v>46</v>
      </c>
      <c r="D1842" s="9" t="s">
        <v>47</v>
      </c>
      <c r="E1842" s="9" t="s">
        <v>47</v>
      </c>
      <c r="F1842" s="10">
        <v>45451</v>
      </c>
      <c r="G1842" s="9" t="s">
        <v>155</v>
      </c>
      <c r="H1842" s="9" t="s">
        <v>48</v>
      </c>
      <c r="I1842" s="9">
        <v>1</v>
      </c>
      <c r="J1842" s="9">
        <v>12</v>
      </c>
      <c r="K1842" s="9">
        <v>520</v>
      </c>
      <c r="L1842" s="9">
        <v>0.47</v>
      </c>
      <c r="M1842" s="9">
        <v>244.4</v>
      </c>
      <c r="N1842" s="9" t="s">
        <v>49</v>
      </c>
      <c r="Q1842" s="9">
        <f>IF(Auction_Sales[[#This Row],[Payment Date]]=0,"",-1+WEEKNUM(Auction_Sales[[#This Row],[Payment Date]]))</f>
        <v>24</v>
      </c>
      <c r="R1842" s="9">
        <v>520</v>
      </c>
      <c r="S1842" s="9" t="s">
        <v>155</v>
      </c>
      <c r="T1842" s="9" t="s">
        <v>48</v>
      </c>
      <c r="W1842" s="13">
        <v>0</v>
      </c>
      <c r="X1842" s="14">
        <v>0</v>
      </c>
      <c r="Y1842" s="13">
        <v>0</v>
      </c>
      <c r="Z1842" s="10">
        <v>45462</v>
      </c>
      <c r="AA1842" s="9">
        <v>-520</v>
      </c>
      <c r="AC1842" s="9">
        <v>443762</v>
      </c>
      <c r="AD1842" s="14">
        <v>42.366250000000001</v>
      </c>
      <c r="AF1842" s="14">
        <v>0</v>
      </c>
      <c r="AH1842" s="14">
        <v>42.366250000000001</v>
      </c>
      <c r="AI1842" s="13">
        <v>-42.366250000000001</v>
      </c>
      <c r="AK1842" s="9">
        <v>0</v>
      </c>
    </row>
    <row r="1843" spans="1:37">
      <c r="A1843" s="9">
        <v>24</v>
      </c>
      <c r="B1843" s="9">
        <v>2024</v>
      </c>
      <c r="C1843" s="9" t="s">
        <v>46</v>
      </c>
      <c r="D1843" s="9" t="s">
        <v>47</v>
      </c>
      <c r="E1843" s="9" t="s">
        <v>47</v>
      </c>
      <c r="F1843" s="10">
        <v>45451</v>
      </c>
      <c r="G1843" s="9" t="s">
        <v>153</v>
      </c>
      <c r="H1843" s="9" t="s">
        <v>52</v>
      </c>
      <c r="I1843" s="9">
        <v>1</v>
      </c>
      <c r="J1843" s="9">
        <v>12</v>
      </c>
      <c r="K1843" s="9">
        <v>600</v>
      </c>
      <c r="L1843" s="9">
        <v>0.28000000000000003</v>
      </c>
      <c r="M1843" s="9">
        <v>168</v>
      </c>
      <c r="N1843" s="9" t="s">
        <v>49</v>
      </c>
      <c r="Q1843" s="9">
        <f>IF(Auction_Sales[[#This Row],[Payment Date]]=0,"",-1+WEEKNUM(Auction_Sales[[#This Row],[Payment Date]]))</f>
        <v>24</v>
      </c>
      <c r="R1843" s="9">
        <v>0</v>
      </c>
      <c r="S1843" s="9" t="s">
        <v>153</v>
      </c>
      <c r="T1843" s="9" t="s">
        <v>52</v>
      </c>
      <c r="U1843" s="9">
        <v>600</v>
      </c>
      <c r="V1843" s="13">
        <v>0.69533333333333336</v>
      </c>
      <c r="W1843" s="13">
        <v>417.2</v>
      </c>
      <c r="X1843" s="14">
        <v>-32.010309278350519</v>
      </c>
      <c r="Y1843" s="13">
        <v>385.18969072164947</v>
      </c>
      <c r="Z1843" s="10">
        <v>45462</v>
      </c>
      <c r="AA1843" s="9">
        <v>0</v>
      </c>
      <c r="AC1843" s="9">
        <v>443762</v>
      </c>
      <c r="AD1843" s="14">
        <v>42.366250000000001</v>
      </c>
      <c r="AF1843" s="14">
        <v>12</v>
      </c>
      <c r="AH1843" s="14">
        <v>54.366250000000001</v>
      </c>
      <c r="AI1843" s="13">
        <v>330.82344072164949</v>
      </c>
      <c r="AK1843" s="9">
        <v>600</v>
      </c>
    </row>
    <row r="1844" spans="1:37">
      <c r="A1844" s="9">
        <v>24</v>
      </c>
      <c r="B1844" s="9">
        <v>2024</v>
      </c>
      <c r="C1844" s="9" t="s">
        <v>46</v>
      </c>
      <c r="D1844" s="9" t="s">
        <v>47</v>
      </c>
      <c r="E1844" s="9" t="s">
        <v>47</v>
      </c>
      <c r="F1844" s="10">
        <v>45451</v>
      </c>
      <c r="G1844" s="9" t="s">
        <v>153</v>
      </c>
      <c r="H1844" s="9" t="s">
        <v>48</v>
      </c>
      <c r="I1844" s="9">
        <v>1</v>
      </c>
      <c r="J1844" s="9">
        <v>12</v>
      </c>
      <c r="K1844" s="9">
        <v>720</v>
      </c>
      <c r="L1844" s="9">
        <v>0.24</v>
      </c>
      <c r="M1844" s="9">
        <v>172.8</v>
      </c>
      <c r="N1844" s="9" t="s">
        <v>49</v>
      </c>
      <c r="Q1844" s="9">
        <f>IF(Auction_Sales[[#This Row],[Payment Date]]=0,"",-1+WEEKNUM(Auction_Sales[[#This Row],[Payment Date]]))</f>
        <v>24</v>
      </c>
      <c r="R1844" s="9">
        <v>-400</v>
      </c>
      <c r="S1844" s="9" t="s">
        <v>153</v>
      </c>
      <c r="T1844" s="9" t="s">
        <v>48</v>
      </c>
      <c r="U1844" s="9">
        <v>1120</v>
      </c>
      <c r="V1844" s="13">
        <v>0.71071428571428574</v>
      </c>
      <c r="W1844" s="13">
        <v>796</v>
      </c>
      <c r="X1844" s="14">
        <v>-59.75257731958763</v>
      </c>
      <c r="Y1844" s="13">
        <v>736.24742268041234</v>
      </c>
      <c r="Z1844" s="10">
        <v>45462</v>
      </c>
      <c r="AA1844" s="9">
        <v>400</v>
      </c>
      <c r="AC1844" s="9">
        <v>443762</v>
      </c>
      <c r="AD1844" s="14">
        <v>42.366250000000001</v>
      </c>
      <c r="AF1844" s="14">
        <v>22.400000000000002</v>
      </c>
      <c r="AH1844" s="14">
        <v>64.766249999999999</v>
      </c>
      <c r="AI1844" s="13">
        <v>671.48117268041233</v>
      </c>
      <c r="AK1844" s="9">
        <v>1120</v>
      </c>
    </row>
    <row r="1845" spans="1:37">
      <c r="A1845" s="9">
        <v>24</v>
      </c>
      <c r="B1845" s="9">
        <v>2024</v>
      </c>
      <c r="C1845" s="9" t="s">
        <v>46</v>
      </c>
      <c r="D1845" s="9" t="s">
        <v>47</v>
      </c>
      <c r="E1845" s="9" t="s">
        <v>47</v>
      </c>
      <c r="F1845" s="10">
        <v>45451</v>
      </c>
      <c r="G1845" s="9" t="s">
        <v>154</v>
      </c>
      <c r="H1845" s="9" t="s">
        <v>51</v>
      </c>
      <c r="I1845" s="9">
        <v>1</v>
      </c>
      <c r="J1845" s="9">
        <v>12</v>
      </c>
      <c r="K1845" s="9">
        <v>400</v>
      </c>
      <c r="L1845" s="9">
        <v>0.38</v>
      </c>
      <c r="M1845" s="9">
        <v>152</v>
      </c>
      <c r="N1845" s="9" t="s">
        <v>49</v>
      </c>
      <c r="Q1845" s="9">
        <f>IF(Auction_Sales[[#This Row],[Payment Date]]=0,"",-1+WEEKNUM(Auction_Sales[[#This Row],[Payment Date]]))</f>
        <v>24</v>
      </c>
      <c r="R1845" s="9">
        <v>0</v>
      </c>
      <c r="S1845" s="9" t="s">
        <v>154</v>
      </c>
      <c r="T1845" s="9" t="s">
        <v>51</v>
      </c>
      <c r="U1845" s="9">
        <v>400</v>
      </c>
      <c r="V1845" s="13">
        <v>0.52900000000000003</v>
      </c>
      <c r="W1845" s="13">
        <v>211.60000000000002</v>
      </c>
      <c r="X1845" s="14">
        <v>-21.340206185567009</v>
      </c>
      <c r="Y1845" s="13">
        <v>190.25979381443301</v>
      </c>
      <c r="Z1845" s="10">
        <v>45462</v>
      </c>
      <c r="AA1845" s="9">
        <v>0</v>
      </c>
      <c r="AC1845" s="9">
        <v>443762</v>
      </c>
      <c r="AD1845" s="14">
        <v>42.366250000000001</v>
      </c>
      <c r="AF1845" s="14">
        <v>8</v>
      </c>
      <c r="AH1845" s="14">
        <v>50.366250000000001</v>
      </c>
      <c r="AI1845" s="13">
        <v>139.893543814433</v>
      </c>
      <c r="AK1845" s="9">
        <v>400</v>
      </c>
    </row>
    <row r="1846" spans="1:37">
      <c r="A1846" s="9">
        <v>24</v>
      </c>
      <c r="B1846" s="9">
        <v>2024</v>
      </c>
      <c r="C1846" s="9" t="s">
        <v>46</v>
      </c>
      <c r="D1846" s="9" t="s">
        <v>47</v>
      </c>
      <c r="E1846" s="9" t="s">
        <v>47</v>
      </c>
      <c r="F1846" s="10">
        <v>45451</v>
      </c>
      <c r="G1846" s="9" t="s">
        <v>154</v>
      </c>
      <c r="H1846" s="9" t="s">
        <v>57</v>
      </c>
      <c r="I1846" s="9">
        <v>1</v>
      </c>
      <c r="J1846" s="9">
        <v>12</v>
      </c>
      <c r="K1846" s="9">
        <v>200</v>
      </c>
      <c r="L1846" s="9">
        <v>0.94</v>
      </c>
      <c r="M1846" s="9">
        <v>188</v>
      </c>
      <c r="N1846" s="9" t="s">
        <v>49</v>
      </c>
      <c r="Q1846" s="9">
        <f>IF(Auction_Sales[[#This Row],[Payment Date]]=0,"",-1+WEEKNUM(Auction_Sales[[#This Row],[Payment Date]]))</f>
        <v>24</v>
      </c>
      <c r="R1846" s="9">
        <v>0</v>
      </c>
      <c r="S1846" s="9" t="s">
        <v>154</v>
      </c>
      <c r="T1846" s="9" t="s">
        <v>57</v>
      </c>
      <c r="U1846" s="9">
        <v>200</v>
      </c>
      <c r="V1846" s="13">
        <v>1.3240000000000001</v>
      </c>
      <c r="W1846" s="13">
        <v>264.8</v>
      </c>
      <c r="X1846" s="14">
        <v>-10.670103092783505</v>
      </c>
      <c r="Y1846" s="13">
        <v>254.12989690721651</v>
      </c>
      <c r="Z1846" s="10">
        <v>45462</v>
      </c>
      <c r="AA1846" s="9">
        <v>0</v>
      </c>
      <c r="AC1846" s="9">
        <v>443762</v>
      </c>
      <c r="AD1846" s="14">
        <v>42.366250000000001</v>
      </c>
      <c r="AF1846" s="14">
        <v>4</v>
      </c>
      <c r="AH1846" s="14">
        <v>46.366250000000001</v>
      </c>
      <c r="AI1846" s="13">
        <v>207.7636469072165</v>
      </c>
      <c r="AK1846" s="9">
        <v>200</v>
      </c>
    </row>
    <row r="1847" spans="1:37">
      <c r="A1847" s="9">
        <v>24</v>
      </c>
      <c r="B1847" s="9">
        <v>2024</v>
      </c>
      <c r="C1847" s="9" t="s">
        <v>46</v>
      </c>
      <c r="D1847" s="9" t="s">
        <v>47</v>
      </c>
      <c r="E1847" s="9" t="s">
        <v>47</v>
      </c>
      <c r="F1847" s="10">
        <v>45451</v>
      </c>
      <c r="G1847" s="9" t="s">
        <v>155</v>
      </c>
      <c r="H1847" s="9" t="s">
        <v>48</v>
      </c>
      <c r="I1847" s="9">
        <v>1</v>
      </c>
      <c r="J1847" s="9">
        <v>6.545454545454545</v>
      </c>
      <c r="K1847" s="9">
        <v>240</v>
      </c>
      <c r="L1847" s="9">
        <v>0.47</v>
      </c>
      <c r="M1847" s="9">
        <v>112.8</v>
      </c>
      <c r="N1847" s="9" t="s">
        <v>49</v>
      </c>
      <c r="Q1847" s="9">
        <f>IF(Auction_Sales[[#This Row],[Payment Date]]=0,"",-1+WEEKNUM(Auction_Sales[[#This Row],[Payment Date]]))</f>
        <v>24</v>
      </c>
      <c r="R1847" s="9">
        <v>-520</v>
      </c>
      <c r="S1847" s="9" t="s">
        <v>155</v>
      </c>
      <c r="T1847" s="9" t="s">
        <v>48</v>
      </c>
      <c r="U1847" s="9">
        <v>760</v>
      </c>
      <c r="V1847" s="13">
        <v>0.66421052631578947</v>
      </c>
      <c r="W1847" s="13">
        <v>504.8</v>
      </c>
      <c r="X1847" s="14">
        <v>-40.546391752577321</v>
      </c>
      <c r="Y1847" s="13">
        <v>464.25360824742268</v>
      </c>
      <c r="Z1847" s="10">
        <v>45462</v>
      </c>
      <c r="AA1847" s="9">
        <v>520</v>
      </c>
      <c r="AC1847" s="9">
        <v>443762</v>
      </c>
      <c r="AD1847" s="14">
        <v>23.108863636363637</v>
      </c>
      <c r="AF1847" s="14">
        <v>15.200000000000001</v>
      </c>
      <c r="AH1847" s="14">
        <v>38.30886363636364</v>
      </c>
      <c r="AI1847" s="13">
        <v>425.94474461105904</v>
      </c>
      <c r="AK1847" s="9">
        <v>760</v>
      </c>
    </row>
    <row r="1848" spans="1:37">
      <c r="A1848" s="9">
        <v>24</v>
      </c>
      <c r="B1848" s="9">
        <v>2024</v>
      </c>
      <c r="C1848" s="9" t="s">
        <v>46</v>
      </c>
      <c r="D1848" s="9" t="s">
        <v>47</v>
      </c>
      <c r="E1848" s="9" t="s">
        <v>47</v>
      </c>
      <c r="F1848" s="10">
        <v>45451</v>
      </c>
      <c r="G1848" s="9" t="s">
        <v>155</v>
      </c>
      <c r="H1848" s="9" t="s">
        <v>52</v>
      </c>
      <c r="J1848" s="9">
        <v>5.4545454545454541</v>
      </c>
      <c r="K1848" s="9">
        <v>200</v>
      </c>
      <c r="L1848" s="9">
        <v>0.52</v>
      </c>
      <c r="M1848" s="9">
        <v>104</v>
      </c>
      <c r="N1848" s="9" t="s">
        <v>49</v>
      </c>
      <c r="Q1848" s="9">
        <f>IF(Auction_Sales[[#This Row],[Payment Date]]=0,"",-1+WEEKNUM(Auction_Sales[[#This Row],[Payment Date]]))</f>
        <v>24</v>
      </c>
      <c r="R1848" s="9">
        <v>0</v>
      </c>
      <c r="S1848" s="9" t="s">
        <v>155</v>
      </c>
      <c r="T1848" s="9" t="s">
        <v>52</v>
      </c>
      <c r="U1848" s="9">
        <v>200</v>
      </c>
      <c r="V1848" s="13">
        <v>0.99400000000000011</v>
      </c>
      <c r="W1848" s="13">
        <v>198.8</v>
      </c>
      <c r="X1848" s="14">
        <v>-10.670103092783505</v>
      </c>
      <c r="Y1848" s="13">
        <v>188.12989690721651</v>
      </c>
      <c r="Z1848" s="10">
        <v>45462</v>
      </c>
      <c r="AA1848" s="9">
        <v>0</v>
      </c>
      <c r="AC1848" s="9">
        <v>443762</v>
      </c>
      <c r="AD1848" s="14">
        <v>19.257386363636364</v>
      </c>
      <c r="AF1848" s="14">
        <v>4</v>
      </c>
      <c r="AH1848" s="14">
        <v>23.257386363636364</v>
      </c>
      <c r="AI1848" s="13">
        <v>164.87251054358015</v>
      </c>
      <c r="AK1848" s="9">
        <v>200</v>
      </c>
    </row>
    <row r="1849" spans="1:37">
      <c r="A1849" s="9">
        <v>24</v>
      </c>
      <c r="B1849" s="9">
        <v>2024</v>
      </c>
      <c r="C1849" s="9" t="s">
        <v>46</v>
      </c>
      <c r="D1849" s="9" t="s">
        <v>47</v>
      </c>
      <c r="E1849" s="9" t="s">
        <v>47</v>
      </c>
      <c r="F1849" s="10">
        <v>45451</v>
      </c>
      <c r="G1849" s="9" t="s">
        <v>155</v>
      </c>
      <c r="H1849" s="9" t="s">
        <v>56</v>
      </c>
      <c r="I1849" s="9">
        <v>1</v>
      </c>
      <c r="J1849" s="9">
        <v>4.8000000000000007</v>
      </c>
      <c r="K1849" s="9">
        <v>80</v>
      </c>
      <c r="L1849" s="9">
        <v>0.75</v>
      </c>
      <c r="M1849" s="9">
        <v>60</v>
      </c>
      <c r="N1849" s="9" t="s">
        <v>49</v>
      </c>
      <c r="Q1849" s="9">
        <f>IF(Auction_Sales[[#This Row],[Payment Date]]=0,"",-1+WEEKNUM(Auction_Sales[[#This Row],[Payment Date]]))</f>
        <v>24</v>
      </c>
      <c r="R1849" s="9">
        <v>0</v>
      </c>
      <c r="S1849" s="9" t="s">
        <v>155</v>
      </c>
      <c r="T1849" s="9" t="s">
        <v>56</v>
      </c>
      <c r="U1849" s="9">
        <v>80</v>
      </c>
      <c r="V1849" s="13">
        <v>1.02</v>
      </c>
      <c r="W1849" s="13">
        <v>81.599999999999994</v>
      </c>
      <c r="X1849" s="14">
        <v>-4.268041237113402</v>
      </c>
      <c r="Y1849" s="13">
        <v>77.331958762886586</v>
      </c>
      <c r="Z1849" s="10">
        <v>45462</v>
      </c>
      <c r="AA1849" s="9">
        <v>0</v>
      </c>
      <c r="AC1849" s="9">
        <v>443762</v>
      </c>
      <c r="AD1849" s="14">
        <v>16.946500000000004</v>
      </c>
      <c r="AF1849" s="14">
        <v>1.6</v>
      </c>
      <c r="AH1849" s="14">
        <v>18.546500000000005</v>
      </c>
      <c r="AI1849" s="13">
        <v>58.785458762886577</v>
      </c>
      <c r="AK1849" s="9">
        <v>80</v>
      </c>
    </row>
    <row r="1850" spans="1:37">
      <c r="A1850" s="9">
        <v>24</v>
      </c>
      <c r="B1850" s="9">
        <v>2024</v>
      </c>
      <c r="C1850" s="9" t="s">
        <v>46</v>
      </c>
      <c r="D1850" s="9" t="s">
        <v>47</v>
      </c>
      <c r="E1850" s="9" t="s">
        <v>47</v>
      </c>
      <c r="F1850" s="10">
        <v>45451</v>
      </c>
      <c r="G1850" s="9" t="s">
        <v>155</v>
      </c>
      <c r="H1850" s="9" t="s">
        <v>57</v>
      </c>
      <c r="J1850" s="9">
        <v>7.1999999999999993</v>
      </c>
      <c r="K1850" s="9">
        <v>120</v>
      </c>
      <c r="L1850" s="9">
        <v>0.94</v>
      </c>
      <c r="M1850" s="9">
        <v>112.8</v>
      </c>
      <c r="N1850" s="9" t="s">
        <v>49</v>
      </c>
      <c r="Q1850" s="9">
        <f>IF(Auction_Sales[[#This Row],[Payment Date]]=0,"",-1+WEEKNUM(Auction_Sales[[#This Row],[Payment Date]]))</f>
        <v>24</v>
      </c>
      <c r="R1850" s="9">
        <v>0</v>
      </c>
      <c r="S1850" s="9" t="s">
        <v>155</v>
      </c>
      <c r="T1850" s="9" t="s">
        <v>57</v>
      </c>
      <c r="U1850" s="9">
        <v>120</v>
      </c>
      <c r="V1850" s="13">
        <v>1.1900000000000002</v>
      </c>
      <c r="W1850" s="13">
        <v>142.80000000000001</v>
      </c>
      <c r="X1850" s="14">
        <v>-6.4020618556701034</v>
      </c>
      <c r="Y1850" s="13">
        <v>136.39793814432991</v>
      </c>
      <c r="Z1850" s="10">
        <v>45462</v>
      </c>
      <c r="AA1850" s="9">
        <v>0</v>
      </c>
      <c r="AC1850" s="9">
        <v>443762</v>
      </c>
      <c r="AD1850" s="14">
        <v>25.419750000000001</v>
      </c>
      <c r="AF1850" s="14">
        <v>2.4</v>
      </c>
      <c r="AH1850" s="14">
        <v>27.819749999999999</v>
      </c>
      <c r="AI1850" s="13">
        <v>108.57818814432991</v>
      </c>
      <c r="AK1850" s="9">
        <v>120</v>
      </c>
    </row>
    <row r="1851" spans="1:37">
      <c r="A1851" s="9">
        <v>24</v>
      </c>
      <c r="B1851" s="9">
        <v>2024</v>
      </c>
      <c r="C1851" s="9" t="s">
        <v>46</v>
      </c>
      <c r="D1851" s="9" t="s">
        <v>47</v>
      </c>
      <c r="E1851" s="9" t="s">
        <v>47</v>
      </c>
      <c r="F1851" s="10">
        <v>45451</v>
      </c>
      <c r="G1851" s="9" t="s">
        <v>153</v>
      </c>
      <c r="H1851" s="9" t="s">
        <v>51</v>
      </c>
      <c r="I1851" s="9">
        <v>1</v>
      </c>
      <c r="J1851" s="9">
        <v>3.5999999999999996</v>
      </c>
      <c r="K1851" s="9">
        <v>240</v>
      </c>
      <c r="L1851" s="9">
        <v>0.14000000000000001</v>
      </c>
      <c r="M1851" s="9">
        <v>33.6</v>
      </c>
      <c r="N1851" s="9" t="s">
        <v>49</v>
      </c>
      <c r="Q1851" s="9">
        <f>IF(Auction_Sales[[#This Row],[Payment Date]]=0,"",-1+WEEKNUM(Auction_Sales[[#This Row],[Payment Date]]))</f>
        <v>24</v>
      </c>
      <c r="R1851" s="9">
        <v>0</v>
      </c>
      <c r="S1851" s="9" t="s">
        <v>153</v>
      </c>
      <c r="T1851" s="9" t="s">
        <v>51</v>
      </c>
      <c r="U1851" s="9">
        <v>240</v>
      </c>
      <c r="V1851" s="13">
        <v>0.59</v>
      </c>
      <c r="W1851" s="13">
        <v>141.6</v>
      </c>
      <c r="X1851" s="14">
        <v>-12.804123711340207</v>
      </c>
      <c r="Y1851" s="13">
        <v>128.7958762886598</v>
      </c>
      <c r="Z1851" s="10">
        <v>45462</v>
      </c>
      <c r="AA1851" s="9">
        <v>0</v>
      </c>
      <c r="AC1851" s="9">
        <v>443762</v>
      </c>
      <c r="AD1851" s="14">
        <v>12.709875</v>
      </c>
      <c r="AF1851" s="14">
        <v>4.8</v>
      </c>
      <c r="AH1851" s="14">
        <v>17.509875000000001</v>
      </c>
      <c r="AI1851" s="13">
        <v>111.2860012886598</v>
      </c>
      <c r="AK1851" s="9">
        <v>240</v>
      </c>
    </row>
    <row r="1852" spans="1:37">
      <c r="A1852" s="9">
        <v>24</v>
      </c>
      <c r="B1852" s="9">
        <v>2024</v>
      </c>
      <c r="C1852" s="9" t="s">
        <v>46</v>
      </c>
      <c r="D1852" s="9" t="s">
        <v>47</v>
      </c>
      <c r="E1852" s="9" t="s">
        <v>47</v>
      </c>
      <c r="F1852" s="10">
        <v>45451</v>
      </c>
      <c r="G1852" s="9" t="s">
        <v>153</v>
      </c>
      <c r="H1852" s="9" t="s">
        <v>54</v>
      </c>
      <c r="J1852" s="9">
        <v>1.2000000000000002</v>
      </c>
      <c r="K1852" s="9">
        <v>80</v>
      </c>
      <c r="L1852" s="9">
        <v>0.33</v>
      </c>
      <c r="M1852" s="9">
        <v>26.4</v>
      </c>
      <c r="N1852" s="9" t="s">
        <v>49</v>
      </c>
      <c r="Q1852" s="9">
        <f>IF(Auction_Sales[[#This Row],[Payment Date]]=0,"",-1+WEEKNUM(Auction_Sales[[#This Row],[Payment Date]]))</f>
        <v>24</v>
      </c>
      <c r="R1852" s="9">
        <v>0</v>
      </c>
      <c r="S1852" s="9" t="s">
        <v>153</v>
      </c>
      <c r="T1852" s="9" t="s">
        <v>54</v>
      </c>
      <c r="U1852" s="9">
        <v>80</v>
      </c>
      <c r="V1852" s="13">
        <v>0.81500000000000006</v>
      </c>
      <c r="W1852" s="13">
        <v>65.2</v>
      </c>
      <c r="X1852" s="14">
        <v>-4.268041237113402</v>
      </c>
      <c r="Y1852" s="13">
        <v>60.931958762886602</v>
      </c>
      <c r="Z1852" s="10">
        <v>45462</v>
      </c>
      <c r="AA1852" s="9">
        <v>0</v>
      </c>
      <c r="AC1852" s="9">
        <v>443762</v>
      </c>
      <c r="AD1852" s="14">
        <v>4.236625000000001</v>
      </c>
      <c r="AF1852" s="14">
        <v>1.6</v>
      </c>
      <c r="AH1852" s="14">
        <v>5.8366250000000015</v>
      </c>
      <c r="AI1852" s="13">
        <v>55.095333762886597</v>
      </c>
      <c r="AK1852" s="9">
        <v>80</v>
      </c>
    </row>
    <row r="1853" spans="1:37">
      <c r="A1853" s="9">
        <v>24</v>
      </c>
      <c r="B1853" s="9">
        <v>2024</v>
      </c>
      <c r="C1853" s="9" t="s">
        <v>46</v>
      </c>
      <c r="D1853" s="9" t="s">
        <v>47</v>
      </c>
      <c r="E1853" s="9" t="s">
        <v>47</v>
      </c>
      <c r="F1853" s="10">
        <v>45451</v>
      </c>
      <c r="G1853" s="9" t="s">
        <v>153</v>
      </c>
      <c r="H1853" s="9" t="s">
        <v>56</v>
      </c>
      <c r="J1853" s="9">
        <v>1.2000000000000002</v>
      </c>
      <c r="K1853" s="9">
        <v>80</v>
      </c>
      <c r="L1853" s="9">
        <v>0.38</v>
      </c>
      <c r="M1853" s="9">
        <v>30.4</v>
      </c>
      <c r="N1853" s="9" t="s">
        <v>49</v>
      </c>
      <c r="Q1853" s="9">
        <f>IF(Auction_Sales[[#This Row],[Payment Date]]=0,"",-1+WEEKNUM(Auction_Sales[[#This Row],[Payment Date]]))</f>
        <v>24</v>
      </c>
      <c r="R1853" s="9">
        <v>0</v>
      </c>
      <c r="S1853" s="9" t="s">
        <v>153</v>
      </c>
      <c r="T1853" s="9" t="s">
        <v>56</v>
      </c>
      <c r="U1853" s="9">
        <v>80</v>
      </c>
      <c r="V1853" s="13">
        <v>0.88000000000000012</v>
      </c>
      <c r="W1853" s="13">
        <v>70.400000000000006</v>
      </c>
      <c r="X1853" s="14">
        <v>-4.268041237113402</v>
      </c>
      <c r="Y1853" s="13">
        <v>66.131958762886597</v>
      </c>
      <c r="Z1853" s="10">
        <v>45462</v>
      </c>
      <c r="AA1853" s="9">
        <v>0</v>
      </c>
      <c r="AC1853" s="9">
        <v>443762</v>
      </c>
      <c r="AD1853" s="14">
        <v>4.236625000000001</v>
      </c>
      <c r="AF1853" s="14">
        <v>1.6</v>
      </c>
      <c r="AH1853" s="14">
        <v>5.8366250000000015</v>
      </c>
      <c r="AI1853" s="13">
        <v>60.2953337628866</v>
      </c>
      <c r="AK1853" s="9">
        <v>80</v>
      </c>
    </row>
    <row r="1854" spans="1:37">
      <c r="A1854" s="9">
        <v>24</v>
      </c>
      <c r="B1854" s="9">
        <v>2024</v>
      </c>
      <c r="C1854" s="9" t="s">
        <v>46</v>
      </c>
      <c r="D1854" s="9" t="s">
        <v>47</v>
      </c>
      <c r="E1854" s="9" t="s">
        <v>47</v>
      </c>
      <c r="F1854" s="10">
        <v>45451</v>
      </c>
      <c r="G1854" s="9" t="s">
        <v>153</v>
      </c>
      <c r="H1854" s="9" t="s">
        <v>48</v>
      </c>
      <c r="J1854" s="9">
        <v>6</v>
      </c>
      <c r="K1854" s="9">
        <v>400</v>
      </c>
      <c r="L1854" s="9">
        <v>0.24</v>
      </c>
      <c r="M1854" s="9">
        <v>96</v>
      </c>
      <c r="N1854" s="9" t="s">
        <v>49</v>
      </c>
      <c r="Q1854" s="9">
        <f>IF(Auction_Sales[[#This Row],[Payment Date]]=0,"",-1+WEEKNUM(Auction_Sales[[#This Row],[Payment Date]]))</f>
        <v>24</v>
      </c>
      <c r="R1854" s="9">
        <v>400</v>
      </c>
      <c r="S1854" s="9" t="s">
        <v>153</v>
      </c>
      <c r="T1854" s="9" t="s">
        <v>48</v>
      </c>
      <c r="W1854" s="13">
        <v>0</v>
      </c>
      <c r="X1854" s="14">
        <v>0</v>
      </c>
      <c r="Y1854" s="13">
        <v>0</v>
      </c>
      <c r="Z1854" s="10">
        <v>45462</v>
      </c>
      <c r="AA1854" s="9">
        <v>-400</v>
      </c>
      <c r="AC1854" s="9">
        <v>443762</v>
      </c>
      <c r="AD1854" s="14">
        <v>21.183125</v>
      </c>
      <c r="AF1854" s="14">
        <v>0</v>
      </c>
      <c r="AH1854" s="14">
        <v>21.183125</v>
      </c>
      <c r="AI1854" s="13">
        <v>-21.183125</v>
      </c>
      <c r="AK1854" s="9">
        <v>0</v>
      </c>
    </row>
    <row r="1855" spans="1:37">
      <c r="A1855" s="9">
        <v>24</v>
      </c>
      <c r="B1855" s="9">
        <v>2024</v>
      </c>
      <c r="C1855" s="9" t="s">
        <v>46</v>
      </c>
      <c r="D1855" s="9" t="s">
        <v>47</v>
      </c>
      <c r="E1855" s="9" t="s">
        <v>47</v>
      </c>
      <c r="F1855" s="10">
        <v>45451</v>
      </c>
      <c r="G1855" s="9" t="s">
        <v>153</v>
      </c>
      <c r="H1855" s="9" t="s">
        <v>48</v>
      </c>
      <c r="N1855" s="9" t="s">
        <v>49</v>
      </c>
      <c r="Q1855" s="9">
        <f>IF(Auction_Sales[[#This Row],[Payment Date]]=0,"",-1+WEEKNUM(Auction_Sales[[#This Row],[Payment Date]]))</f>
        <v>24</v>
      </c>
      <c r="R1855" s="9">
        <v>-80</v>
      </c>
      <c r="S1855" s="9" t="s">
        <v>153</v>
      </c>
      <c r="T1855" s="9" t="s">
        <v>48</v>
      </c>
      <c r="U1855" s="9">
        <v>80</v>
      </c>
      <c r="V1855" s="13">
        <v>0.08</v>
      </c>
      <c r="W1855" s="13">
        <v>6.4</v>
      </c>
      <c r="X1855" s="14"/>
      <c r="Y1855" s="13">
        <v>6.4</v>
      </c>
      <c r="Z1855" s="10">
        <v>45462</v>
      </c>
      <c r="AA1855" s="9">
        <v>80</v>
      </c>
      <c r="AC1855" s="9">
        <v>443762</v>
      </c>
      <c r="AD1855" s="14">
        <v>0</v>
      </c>
      <c r="AF1855" s="14">
        <v>1.6</v>
      </c>
      <c r="AH1855" s="14">
        <v>1.6</v>
      </c>
      <c r="AI1855" s="13">
        <v>4.8000000000000007</v>
      </c>
      <c r="AK1855" s="9">
        <v>80</v>
      </c>
    </row>
    <row r="1856" spans="1:37">
      <c r="A1856" s="9">
        <v>24</v>
      </c>
      <c r="B1856" s="9">
        <v>2024</v>
      </c>
      <c r="C1856" s="9" t="s">
        <v>46</v>
      </c>
      <c r="D1856" s="9" t="s">
        <v>47</v>
      </c>
      <c r="E1856" s="9" t="s">
        <v>47</v>
      </c>
      <c r="F1856" s="10">
        <v>45451</v>
      </c>
      <c r="G1856" s="9" t="s">
        <v>153</v>
      </c>
      <c r="H1856" s="9" t="s">
        <v>48</v>
      </c>
      <c r="N1856" s="9" t="s">
        <v>49</v>
      </c>
      <c r="Q1856" s="9">
        <f>IF(Auction_Sales[[#This Row],[Payment Date]]=0,"",-1+WEEKNUM(Auction_Sales[[#This Row],[Payment Date]]))</f>
        <v>24</v>
      </c>
      <c r="R1856" s="9">
        <v>80</v>
      </c>
      <c r="S1856" s="9" t="s">
        <v>153</v>
      </c>
      <c r="T1856" s="9" t="s">
        <v>48</v>
      </c>
      <c r="U1856" s="9">
        <v>-80</v>
      </c>
      <c r="V1856" s="13">
        <v>0.61</v>
      </c>
      <c r="W1856" s="13">
        <v>-48.8</v>
      </c>
      <c r="X1856" s="14">
        <v>-12.280000000000001</v>
      </c>
      <c r="Y1856" s="13">
        <v>-61.08</v>
      </c>
      <c r="Z1856" s="10">
        <v>45462</v>
      </c>
      <c r="AA1856" s="9">
        <v>-80</v>
      </c>
      <c r="AC1856" s="9">
        <v>443762</v>
      </c>
      <c r="AD1856" s="14">
        <v>0</v>
      </c>
      <c r="AF1856" s="14">
        <v>-1.6</v>
      </c>
      <c r="AH1856" s="14">
        <v>-1.6</v>
      </c>
      <c r="AI1856" s="13">
        <v>-59.48</v>
      </c>
      <c r="AK1856" s="9">
        <v>-80</v>
      </c>
    </row>
    <row r="1857" spans="1:37">
      <c r="A1857" s="9">
        <v>24</v>
      </c>
      <c r="B1857" s="9">
        <v>2024</v>
      </c>
      <c r="C1857" s="9" t="s">
        <v>46</v>
      </c>
      <c r="D1857" s="9" t="s">
        <v>47</v>
      </c>
      <c r="E1857" s="9" t="s">
        <v>47</v>
      </c>
      <c r="F1857" s="10">
        <v>45453</v>
      </c>
      <c r="G1857" s="9" t="s">
        <v>154</v>
      </c>
      <c r="H1857" s="9" t="s">
        <v>51</v>
      </c>
      <c r="I1857" s="9">
        <v>1</v>
      </c>
      <c r="J1857" s="9">
        <v>12</v>
      </c>
      <c r="K1857" s="9">
        <v>520</v>
      </c>
      <c r="L1857" s="9">
        <v>0.38</v>
      </c>
      <c r="M1857" s="9">
        <v>197.6</v>
      </c>
      <c r="N1857" s="9" t="s">
        <v>49</v>
      </c>
      <c r="Q1857" s="9">
        <f>IF(Auction_Sales[[#This Row],[Payment Date]]=0,"",-1+WEEKNUM(Auction_Sales[[#This Row],[Payment Date]]))</f>
        <v>24</v>
      </c>
      <c r="R1857" s="9">
        <v>-80</v>
      </c>
      <c r="S1857" s="9" t="s">
        <v>154</v>
      </c>
      <c r="T1857" s="9" t="s">
        <v>51</v>
      </c>
      <c r="U1857" s="9">
        <v>600</v>
      </c>
      <c r="V1857" s="13">
        <v>0.40333333333333332</v>
      </c>
      <c r="W1857" s="13">
        <v>242</v>
      </c>
      <c r="X1857" s="14">
        <v>-38.168965517241396</v>
      </c>
      <c r="Y1857" s="13">
        <v>203.83103448275861</v>
      </c>
      <c r="Z1857" s="10">
        <v>45462</v>
      </c>
      <c r="AA1857" s="9">
        <v>80</v>
      </c>
      <c r="AC1857" s="9" t="s">
        <v>121</v>
      </c>
      <c r="AD1857" s="14">
        <v>45.94</v>
      </c>
      <c r="AF1857" s="14">
        <v>12</v>
      </c>
      <c r="AH1857" s="14">
        <v>57.94</v>
      </c>
      <c r="AI1857" s="13">
        <v>145.89103448275861</v>
      </c>
      <c r="AK1857" s="9">
        <v>600</v>
      </c>
    </row>
    <row r="1858" spans="1:37">
      <c r="A1858" s="9">
        <v>24</v>
      </c>
      <c r="B1858" s="9">
        <v>2024</v>
      </c>
      <c r="C1858" s="9" t="s">
        <v>46</v>
      </c>
      <c r="D1858" s="9" t="s">
        <v>47</v>
      </c>
      <c r="E1858" s="9" t="s">
        <v>47</v>
      </c>
      <c r="F1858" s="10">
        <v>45453</v>
      </c>
      <c r="G1858" s="9" t="s">
        <v>154</v>
      </c>
      <c r="H1858" s="9" t="s">
        <v>56</v>
      </c>
      <c r="I1858" s="9">
        <v>1</v>
      </c>
      <c r="J1858" s="9">
        <v>12</v>
      </c>
      <c r="K1858" s="9">
        <v>240</v>
      </c>
      <c r="L1858" s="9">
        <v>0.75</v>
      </c>
      <c r="M1858" s="9">
        <v>180</v>
      </c>
      <c r="N1858" s="9" t="s">
        <v>49</v>
      </c>
      <c r="Q1858" s="9">
        <f>IF(Auction_Sales[[#This Row],[Payment Date]]=0,"",-1+WEEKNUM(Auction_Sales[[#This Row],[Payment Date]]))</f>
        <v>24</v>
      </c>
      <c r="R1858" s="9">
        <v>-40</v>
      </c>
      <c r="S1858" s="9" t="s">
        <v>154</v>
      </c>
      <c r="T1858" s="9" t="s">
        <v>56</v>
      </c>
      <c r="U1858" s="9">
        <v>280</v>
      </c>
      <c r="V1858" s="13">
        <v>1.2357142857142858</v>
      </c>
      <c r="W1858" s="13">
        <v>346</v>
      </c>
      <c r="X1858" s="14">
        <v>-17.812183908045984</v>
      </c>
      <c r="Y1858" s="13">
        <v>328.18781609195401</v>
      </c>
      <c r="Z1858" s="10">
        <v>45462</v>
      </c>
      <c r="AA1858" s="9">
        <v>40</v>
      </c>
      <c r="AC1858" s="9" t="s">
        <v>121</v>
      </c>
      <c r="AD1858" s="14">
        <v>45.94</v>
      </c>
      <c r="AF1858" s="14">
        <v>5.6000000000000005</v>
      </c>
      <c r="AH1858" s="14">
        <v>51.54</v>
      </c>
      <c r="AI1858" s="13">
        <v>276.64781609195398</v>
      </c>
      <c r="AK1858" s="9">
        <v>280</v>
      </c>
    </row>
    <row r="1859" spans="1:37">
      <c r="A1859" s="9">
        <v>24</v>
      </c>
      <c r="B1859" s="9">
        <v>2024</v>
      </c>
      <c r="C1859" s="9" t="s">
        <v>46</v>
      </c>
      <c r="D1859" s="9" t="s">
        <v>47</v>
      </c>
      <c r="E1859" s="9" t="s">
        <v>47</v>
      </c>
      <c r="F1859" s="10">
        <v>45453</v>
      </c>
      <c r="G1859" s="9" t="s">
        <v>153</v>
      </c>
      <c r="H1859" s="9" t="s">
        <v>48</v>
      </c>
      <c r="I1859" s="9">
        <v>1</v>
      </c>
      <c r="J1859" s="9">
        <v>12</v>
      </c>
      <c r="K1859" s="9">
        <v>640</v>
      </c>
      <c r="L1859" s="9">
        <v>0.24</v>
      </c>
      <c r="M1859" s="9">
        <v>153.6</v>
      </c>
      <c r="N1859" s="9" t="s">
        <v>49</v>
      </c>
      <c r="Q1859" s="9">
        <f>IF(Auction_Sales[[#This Row],[Payment Date]]=0,"",-1+WEEKNUM(Auction_Sales[[#This Row],[Payment Date]]))</f>
        <v>24</v>
      </c>
      <c r="R1859" s="9">
        <v>0</v>
      </c>
      <c r="S1859" s="9" t="s">
        <v>153</v>
      </c>
      <c r="T1859" s="9" t="s">
        <v>48</v>
      </c>
      <c r="U1859" s="9">
        <v>640</v>
      </c>
      <c r="V1859" s="13">
        <v>0.8</v>
      </c>
      <c r="W1859" s="13">
        <v>512</v>
      </c>
      <c r="X1859" s="14">
        <v>-40.713563218390824</v>
      </c>
      <c r="Y1859" s="13">
        <v>471.28643678160915</v>
      </c>
      <c r="Z1859" s="10">
        <v>45462</v>
      </c>
      <c r="AA1859" s="9">
        <v>0</v>
      </c>
      <c r="AC1859" s="9" t="s">
        <v>121</v>
      </c>
      <c r="AD1859" s="14">
        <v>45.94</v>
      </c>
      <c r="AF1859" s="14">
        <v>12.8</v>
      </c>
      <c r="AH1859" s="14">
        <v>58.739999999999995</v>
      </c>
      <c r="AI1859" s="13">
        <v>412.54643678160915</v>
      </c>
      <c r="AK1859" s="9">
        <v>640</v>
      </c>
    </row>
    <row r="1860" spans="1:37">
      <c r="A1860" s="9">
        <v>24</v>
      </c>
      <c r="B1860" s="9">
        <v>2024</v>
      </c>
      <c r="C1860" s="9" t="s">
        <v>46</v>
      </c>
      <c r="D1860" s="9" t="s">
        <v>47</v>
      </c>
      <c r="E1860" s="9" t="s">
        <v>47</v>
      </c>
      <c r="F1860" s="10">
        <v>45453</v>
      </c>
      <c r="G1860" s="9" t="s">
        <v>154</v>
      </c>
      <c r="H1860" s="9" t="s">
        <v>48</v>
      </c>
      <c r="I1860" s="9">
        <v>1</v>
      </c>
      <c r="J1860" s="9">
        <v>7.5</v>
      </c>
      <c r="K1860" s="9">
        <v>200</v>
      </c>
      <c r="L1860" s="9">
        <v>0.47</v>
      </c>
      <c r="M1860" s="9">
        <v>94</v>
      </c>
      <c r="N1860" s="9" t="s">
        <v>49</v>
      </c>
      <c r="Q1860" s="9">
        <f>IF(Auction_Sales[[#This Row],[Payment Date]]=0,"",-1+WEEKNUM(Auction_Sales[[#This Row],[Payment Date]]))</f>
        <v>24</v>
      </c>
      <c r="R1860" s="9">
        <v>0</v>
      </c>
      <c r="S1860" s="9" t="s">
        <v>154</v>
      </c>
      <c r="T1860" s="9" t="s">
        <v>48</v>
      </c>
      <c r="U1860" s="9">
        <v>200</v>
      </c>
      <c r="V1860" s="13">
        <v>0.75</v>
      </c>
      <c r="W1860" s="13">
        <v>150</v>
      </c>
      <c r="X1860" s="14">
        <v>-12.722988505747132</v>
      </c>
      <c r="Y1860" s="13">
        <v>137.27701149425286</v>
      </c>
      <c r="Z1860" s="10">
        <v>45462</v>
      </c>
      <c r="AA1860" s="9">
        <v>0</v>
      </c>
      <c r="AC1860" s="9" t="s">
        <v>121</v>
      </c>
      <c r="AD1860" s="14">
        <v>28.712499999999999</v>
      </c>
      <c r="AF1860" s="14">
        <v>4</v>
      </c>
      <c r="AH1860" s="14">
        <v>32.712499999999999</v>
      </c>
      <c r="AI1860" s="13">
        <v>104.56451149425286</v>
      </c>
      <c r="AK1860" s="9">
        <v>200</v>
      </c>
    </row>
    <row r="1861" spans="1:37">
      <c r="A1861" s="9">
        <v>24</v>
      </c>
      <c r="B1861" s="9">
        <v>2024</v>
      </c>
      <c r="C1861" s="9" t="s">
        <v>46</v>
      </c>
      <c r="D1861" s="9" t="s">
        <v>47</v>
      </c>
      <c r="E1861" s="9" t="s">
        <v>47</v>
      </c>
      <c r="F1861" s="10">
        <v>45453</v>
      </c>
      <c r="G1861" s="9" t="s">
        <v>154</v>
      </c>
      <c r="H1861" s="9" t="s">
        <v>54</v>
      </c>
      <c r="J1861" s="9">
        <v>4.5</v>
      </c>
      <c r="K1861" s="9">
        <v>120</v>
      </c>
      <c r="L1861" s="9">
        <v>0.56999999999999995</v>
      </c>
      <c r="M1861" s="9">
        <v>68.400000000000006</v>
      </c>
      <c r="N1861" s="9" t="s">
        <v>49</v>
      </c>
      <c r="Q1861" s="9">
        <f>IF(Auction_Sales[[#This Row],[Payment Date]]=0,"",-1+WEEKNUM(Auction_Sales[[#This Row],[Payment Date]]))</f>
        <v>24</v>
      </c>
      <c r="R1861" s="9">
        <v>0</v>
      </c>
      <c r="S1861" s="9" t="s">
        <v>154</v>
      </c>
      <c r="T1861" s="9" t="s">
        <v>54</v>
      </c>
      <c r="U1861" s="9">
        <v>120</v>
      </c>
      <c r="V1861" s="13">
        <v>0.88</v>
      </c>
      <c r="W1861" s="13">
        <v>105.6</v>
      </c>
      <c r="X1861" s="14">
        <v>-7.63379310344828</v>
      </c>
      <c r="Y1861" s="13">
        <v>97.966206896551711</v>
      </c>
      <c r="Z1861" s="10">
        <v>45462</v>
      </c>
      <c r="AA1861" s="9">
        <v>0</v>
      </c>
      <c r="AC1861" s="9" t="s">
        <v>121</v>
      </c>
      <c r="AD1861" s="14">
        <v>17.227499999999999</v>
      </c>
      <c r="AF1861" s="14">
        <v>2.4</v>
      </c>
      <c r="AH1861" s="14">
        <v>19.627499999999998</v>
      </c>
      <c r="AI1861" s="13">
        <v>78.338706896551713</v>
      </c>
      <c r="AK1861" s="9">
        <v>120</v>
      </c>
    </row>
    <row r="1862" spans="1:37">
      <c r="A1862" s="9">
        <v>24</v>
      </c>
      <c r="B1862" s="9">
        <v>2024</v>
      </c>
      <c r="C1862" s="9" t="s">
        <v>46</v>
      </c>
      <c r="D1862" s="9" t="s">
        <v>47</v>
      </c>
      <c r="E1862" s="9" t="s">
        <v>47</v>
      </c>
      <c r="F1862" s="10">
        <v>45453</v>
      </c>
      <c r="G1862" s="9" t="s">
        <v>154</v>
      </c>
      <c r="H1862" s="9" t="s">
        <v>51</v>
      </c>
      <c r="I1862" s="9">
        <v>1</v>
      </c>
      <c r="J1862" s="9">
        <v>3</v>
      </c>
      <c r="K1862" s="9">
        <v>80</v>
      </c>
      <c r="L1862" s="9">
        <v>0.38</v>
      </c>
      <c r="M1862" s="9">
        <v>30.4</v>
      </c>
      <c r="N1862" s="9" t="s">
        <v>49</v>
      </c>
      <c r="Q1862" s="9">
        <f>IF(Auction_Sales[[#This Row],[Payment Date]]=0,"",-1+WEEKNUM(Auction_Sales[[#This Row],[Payment Date]]))</f>
        <v>24</v>
      </c>
      <c r="R1862" s="9">
        <v>80</v>
      </c>
      <c r="S1862" s="9" t="s">
        <v>154</v>
      </c>
      <c r="T1862" s="9" t="s">
        <v>51</v>
      </c>
      <c r="W1862" s="13">
        <v>0</v>
      </c>
      <c r="X1862" s="14">
        <v>0</v>
      </c>
      <c r="Y1862" s="13">
        <v>0</v>
      </c>
      <c r="Z1862" s="10">
        <v>45462</v>
      </c>
      <c r="AA1862" s="9">
        <v>-80</v>
      </c>
      <c r="AC1862" s="9" t="s">
        <v>121</v>
      </c>
      <c r="AD1862" s="14">
        <v>11.484999999999999</v>
      </c>
      <c r="AF1862" s="14">
        <v>0</v>
      </c>
      <c r="AH1862" s="14">
        <v>11.484999999999999</v>
      </c>
      <c r="AI1862" s="13">
        <v>-11.484999999999999</v>
      </c>
      <c r="AK1862" s="9">
        <v>0</v>
      </c>
    </row>
    <row r="1863" spans="1:37">
      <c r="A1863" s="9">
        <v>24</v>
      </c>
      <c r="B1863" s="9">
        <v>2024</v>
      </c>
      <c r="C1863" s="9" t="s">
        <v>46</v>
      </c>
      <c r="D1863" s="9" t="s">
        <v>47</v>
      </c>
      <c r="E1863" s="9" t="s">
        <v>47</v>
      </c>
      <c r="F1863" s="10">
        <v>45453</v>
      </c>
      <c r="G1863" s="9" t="s">
        <v>154</v>
      </c>
      <c r="H1863" s="9" t="s">
        <v>52</v>
      </c>
      <c r="J1863" s="9">
        <v>9</v>
      </c>
      <c r="K1863" s="9">
        <v>240</v>
      </c>
      <c r="L1863" s="9">
        <v>0.52</v>
      </c>
      <c r="M1863" s="9">
        <v>124.8</v>
      </c>
      <c r="N1863" s="9" t="s">
        <v>49</v>
      </c>
      <c r="Q1863" s="9">
        <f>IF(Auction_Sales[[#This Row],[Payment Date]]=0,"",-1+WEEKNUM(Auction_Sales[[#This Row],[Payment Date]]))</f>
        <v>24</v>
      </c>
      <c r="R1863" s="9">
        <v>0</v>
      </c>
      <c r="S1863" s="9" t="s">
        <v>154</v>
      </c>
      <c r="T1863" s="9" t="s">
        <v>52</v>
      </c>
      <c r="U1863" s="9">
        <v>240</v>
      </c>
      <c r="V1863" s="13">
        <v>0.88</v>
      </c>
      <c r="W1863" s="13">
        <v>211.2</v>
      </c>
      <c r="X1863" s="14">
        <v>-15.26758620689656</v>
      </c>
      <c r="Y1863" s="13">
        <v>195.93241379310342</v>
      </c>
      <c r="Z1863" s="10">
        <v>45462</v>
      </c>
      <c r="AA1863" s="9">
        <v>0</v>
      </c>
      <c r="AC1863" s="9" t="s">
        <v>121</v>
      </c>
      <c r="AD1863" s="14">
        <v>34.454999999999998</v>
      </c>
      <c r="AF1863" s="14">
        <v>4.8</v>
      </c>
      <c r="AH1863" s="14">
        <v>39.254999999999995</v>
      </c>
      <c r="AI1863" s="13">
        <v>156.67741379310343</v>
      </c>
      <c r="AK1863" s="9">
        <v>240</v>
      </c>
    </row>
    <row r="1864" spans="1:37">
      <c r="A1864" s="9">
        <v>24</v>
      </c>
      <c r="B1864" s="9">
        <v>2024</v>
      </c>
      <c r="C1864" s="9" t="s">
        <v>46</v>
      </c>
      <c r="D1864" s="9" t="s">
        <v>47</v>
      </c>
      <c r="E1864" s="9" t="s">
        <v>47</v>
      </c>
      <c r="F1864" s="10">
        <v>45453</v>
      </c>
      <c r="G1864" s="9" t="s">
        <v>153</v>
      </c>
      <c r="H1864" s="9" t="s">
        <v>52</v>
      </c>
      <c r="I1864" s="9">
        <v>1</v>
      </c>
      <c r="J1864" s="9">
        <v>9.8181818181818183</v>
      </c>
      <c r="K1864" s="9">
        <v>360</v>
      </c>
      <c r="L1864" s="9">
        <v>0.28000000000000003</v>
      </c>
      <c r="M1864" s="9">
        <v>100.8</v>
      </c>
      <c r="N1864" s="9" t="s">
        <v>49</v>
      </c>
      <c r="Q1864" s="9">
        <f>IF(Auction_Sales[[#This Row],[Payment Date]]=0,"",-1+WEEKNUM(Auction_Sales[[#This Row],[Payment Date]]))</f>
        <v>24</v>
      </c>
      <c r="R1864" s="9">
        <v>0</v>
      </c>
      <c r="S1864" s="9" t="s">
        <v>153</v>
      </c>
      <c r="T1864" s="9" t="s">
        <v>52</v>
      </c>
      <c r="U1864" s="9">
        <v>360</v>
      </c>
      <c r="V1864" s="13">
        <v>0.84777777777777774</v>
      </c>
      <c r="W1864" s="13">
        <v>305.2</v>
      </c>
      <c r="X1864" s="14">
        <v>-22.90137931034484</v>
      </c>
      <c r="Y1864" s="13">
        <v>282.29862068965514</v>
      </c>
      <c r="Z1864" s="10">
        <v>45462</v>
      </c>
      <c r="AA1864" s="9">
        <v>0</v>
      </c>
      <c r="AC1864" s="9" t="s">
        <v>121</v>
      </c>
      <c r="AD1864" s="14">
        <v>37.587272727272726</v>
      </c>
      <c r="AF1864" s="14">
        <v>7.2</v>
      </c>
      <c r="AH1864" s="14">
        <v>44.787272727272729</v>
      </c>
      <c r="AI1864" s="13">
        <v>237.51134796238242</v>
      </c>
      <c r="AK1864" s="9">
        <v>360</v>
      </c>
    </row>
    <row r="1865" spans="1:37">
      <c r="A1865" s="9">
        <v>24</v>
      </c>
      <c r="B1865" s="9">
        <v>2024</v>
      </c>
      <c r="C1865" s="9" t="s">
        <v>46</v>
      </c>
      <c r="D1865" s="9" t="s">
        <v>47</v>
      </c>
      <c r="E1865" s="9" t="s">
        <v>47</v>
      </c>
      <c r="F1865" s="10">
        <v>45453</v>
      </c>
      <c r="G1865" s="9" t="s">
        <v>153</v>
      </c>
      <c r="H1865" s="9" t="s">
        <v>56</v>
      </c>
      <c r="J1865" s="9">
        <v>1.0909090909090908</v>
      </c>
      <c r="K1865" s="9">
        <v>40</v>
      </c>
      <c r="L1865" s="9">
        <v>0.38</v>
      </c>
      <c r="M1865" s="9">
        <v>15.2</v>
      </c>
      <c r="N1865" s="9" t="s">
        <v>49</v>
      </c>
      <c r="Q1865" s="9">
        <f>IF(Auction_Sales[[#This Row],[Payment Date]]=0,"",-1+WEEKNUM(Auction_Sales[[#This Row],[Payment Date]]))</f>
        <v>24</v>
      </c>
      <c r="R1865" s="9">
        <v>0</v>
      </c>
      <c r="S1865" s="9" t="s">
        <v>153</v>
      </c>
      <c r="T1865" s="9" t="s">
        <v>56</v>
      </c>
      <c r="U1865" s="9">
        <v>40</v>
      </c>
      <c r="V1865" s="13">
        <v>1.06</v>
      </c>
      <c r="W1865" s="13">
        <v>42.400000000000006</v>
      </c>
      <c r="X1865" s="14">
        <v>-2.5445977011494265</v>
      </c>
      <c r="Y1865" s="13">
        <v>39.855402298850578</v>
      </c>
      <c r="Z1865" s="10">
        <v>45462</v>
      </c>
      <c r="AA1865" s="9">
        <v>0</v>
      </c>
      <c r="AC1865" s="9" t="s">
        <v>121</v>
      </c>
      <c r="AD1865" s="14">
        <v>4.1763636363636358</v>
      </c>
      <c r="AF1865" s="14">
        <v>0.8</v>
      </c>
      <c r="AH1865" s="14">
        <v>4.9763636363636357</v>
      </c>
      <c r="AI1865" s="13">
        <v>34.879038662486941</v>
      </c>
      <c r="AK1865" s="9">
        <v>40</v>
      </c>
    </row>
    <row r="1866" spans="1:37">
      <c r="A1866" s="9">
        <v>24</v>
      </c>
      <c r="B1866" s="9">
        <v>2024</v>
      </c>
      <c r="C1866" s="9" t="s">
        <v>46</v>
      </c>
      <c r="D1866" s="9" t="s">
        <v>47</v>
      </c>
      <c r="E1866" s="9" t="s">
        <v>47</v>
      </c>
      <c r="F1866" s="10">
        <v>45453</v>
      </c>
      <c r="G1866" s="9" t="s">
        <v>153</v>
      </c>
      <c r="H1866" s="9" t="s">
        <v>57</v>
      </c>
      <c r="J1866" s="9">
        <v>1.0909090909090908</v>
      </c>
      <c r="K1866" s="9">
        <v>40</v>
      </c>
      <c r="L1866" s="9">
        <v>0.47</v>
      </c>
      <c r="M1866" s="9">
        <v>18.8</v>
      </c>
      <c r="N1866" s="9" t="s">
        <v>49</v>
      </c>
      <c r="Q1866" s="9">
        <f>IF(Auction_Sales[[#This Row],[Payment Date]]=0,"",-1+WEEKNUM(Auction_Sales[[#This Row],[Payment Date]]))</f>
        <v>24</v>
      </c>
      <c r="R1866" s="9">
        <v>0</v>
      </c>
      <c r="S1866" s="9" t="s">
        <v>153</v>
      </c>
      <c r="T1866" s="9" t="s">
        <v>57</v>
      </c>
      <c r="U1866" s="9">
        <v>40</v>
      </c>
      <c r="V1866" s="13">
        <v>1.1000000000000001</v>
      </c>
      <c r="W1866" s="13">
        <v>44</v>
      </c>
      <c r="X1866" s="14">
        <v>-2.5445977011494265</v>
      </c>
      <c r="Y1866" s="13">
        <v>41.455402298850572</v>
      </c>
      <c r="Z1866" s="10">
        <v>45462</v>
      </c>
      <c r="AA1866" s="9">
        <v>0</v>
      </c>
      <c r="AC1866" s="9" t="s">
        <v>121</v>
      </c>
      <c r="AD1866" s="14">
        <v>4.1763636363636358</v>
      </c>
      <c r="AF1866" s="14">
        <v>0.8</v>
      </c>
      <c r="AH1866" s="14">
        <v>4.9763636363636357</v>
      </c>
      <c r="AI1866" s="13">
        <v>36.479038662486936</v>
      </c>
      <c r="AK1866" s="9">
        <v>40</v>
      </c>
    </row>
    <row r="1867" spans="1:37">
      <c r="A1867" s="9">
        <v>24</v>
      </c>
      <c r="B1867" s="9">
        <v>2024</v>
      </c>
      <c r="C1867" s="9" t="s">
        <v>46</v>
      </c>
      <c r="D1867" s="9" t="s">
        <v>47</v>
      </c>
      <c r="E1867" s="9" t="s">
        <v>47</v>
      </c>
      <c r="F1867" s="10">
        <v>45453</v>
      </c>
      <c r="G1867" s="9" t="s">
        <v>154</v>
      </c>
      <c r="H1867" s="9" t="s">
        <v>56</v>
      </c>
      <c r="I1867" s="9">
        <v>1</v>
      </c>
      <c r="J1867" s="9">
        <v>2.4000000000000004</v>
      </c>
      <c r="K1867" s="9">
        <v>40</v>
      </c>
      <c r="L1867" s="9">
        <v>0.75</v>
      </c>
      <c r="M1867" s="9">
        <v>30</v>
      </c>
      <c r="N1867" s="9" t="s">
        <v>49</v>
      </c>
      <c r="Q1867" s="9">
        <f>IF(Auction_Sales[[#This Row],[Payment Date]]=0,"",-1+WEEKNUM(Auction_Sales[[#This Row],[Payment Date]]))</f>
        <v>24</v>
      </c>
      <c r="R1867" s="9">
        <v>40</v>
      </c>
      <c r="S1867" s="9" t="s">
        <v>154</v>
      </c>
      <c r="T1867" s="9" t="s">
        <v>56</v>
      </c>
      <c r="W1867" s="13">
        <v>0</v>
      </c>
      <c r="X1867" s="14">
        <v>0</v>
      </c>
      <c r="Y1867" s="13">
        <v>0</v>
      </c>
      <c r="Z1867" s="10">
        <v>45462</v>
      </c>
      <c r="AA1867" s="9">
        <v>-40</v>
      </c>
      <c r="AC1867" s="9" t="s">
        <v>121</v>
      </c>
      <c r="AD1867" s="14">
        <v>9.1880000000000006</v>
      </c>
      <c r="AF1867" s="14">
        <v>0</v>
      </c>
      <c r="AH1867" s="14">
        <v>9.1880000000000006</v>
      </c>
      <c r="AI1867" s="13">
        <v>-9.1880000000000006</v>
      </c>
      <c r="AK1867" s="9">
        <v>0</v>
      </c>
    </row>
    <row r="1868" spans="1:37">
      <c r="A1868" s="9">
        <v>24</v>
      </c>
      <c r="B1868" s="9">
        <v>2024</v>
      </c>
      <c r="C1868" s="9" t="s">
        <v>46</v>
      </c>
      <c r="D1868" s="9" t="s">
        <v>47</v>
      </c>
      <c r="E1868" s="9" t="s">
        <v>47</v>
      </c>
      <c r="F1868" s="10">
        <v>45453</v>
      </c>
      <c r="G1868" s="9" t="s">
        <v>154</v>
      </c>
      <c r="H1868" s="9" t="s">
        <v>57</v>
      </c>
      <c r="J1868" s="9">
        <v>9.6000000000000014</v>
      </c>
      <c r="K1868" s="9">
        <v>160</v>
      </c>
      <c r="L1868" s="9">
        <v>0.94</v>
      </c>
      <c r="M1868" s="9">
        <v>150.4</v>
      </c>
      <c r="N1868" s="9" t="s">
        <v>49</v>
      </c>
      <c r="Q1868" s="9">
        <f>IF(Auction_Sales[[#This Row],[Payment Date]]=0,"",-1+WEEKNUM(Auction_Sales[[#This Row],[Payment Date]]))</f>
        <v>24</v>
      </c>
      <c r="R1868" s="9">
        <v>0</v>
      </c>
      <c r="S1868" s="9" t="s">
        <v>154</v>
      </c>
      <c r="T1868" s="9" t="s">
        <v>57</v>
      </c>
      <c r="U1868" s="9">
        <v>160</v>
      </c>
      <c r="V1868" s="13">
        <v>1.1499999999999999</v>
      </c>
      <c r="W1868" s="13">
        <v>184</v>
      </c>
      <c r="X1868" s="14">
        <v>-10.178390804597706</v>
      </c>
      <c r="Y1868" s="13">
        <v>173.82160919540229</v>
      </c>
      <c r="Z1868" s="10">
        <v>45462</v>
      </c>
      <c r="AA1868" s="9">
        <v>0</v>
      </c>
      <c r="AC1868" s="9" t="s">
        <v>121</v>
      </c>
      <c r="AD1868" s="14">
        <v>36.752000000000002</v>
      </c>
      <c r="AF1868" s="14">
        <v>3.2</v>
      </c>
      <c r="AH1868" s="14">
        <v>39.952000000000005</v>
      </c>
      <c r="AI1868" s="13">
        <v>133.86960919540229</v>
      </c>
      <c r="AK1868" s="9">
        <v>160</v>
      </c>
    </row>
    <row r="1869" spans="1:37">
      <c r="A1869" s="9">
        <v>24</v>
      </c>
      <c r="B1869" s="9">
        <v>2024</v>
      </c>
      <c r="C1869" s="9" t="s">
        <v>46</v>
      </c>
      <c r="D1869" s="9" t="s">
        <v>47</v>
      </c>
      <c r="E1869" s="9" t="s">
        <v>47</v>
      </c>
      <c r="F1869" s="10">
        <v>45453</v>
      </c>
      <c r="G1869" s="9" t="s">
        <v>155</v>
      </c>
      <c r="H1869" s="9" t="s">
        <v>56</v>
      </c>
      <c r="I1869" s="9">
        <v>1</v>
      </c>
      <c r="J1869" s="9">
        <v>10</v>
      </c>
      <c r="K1869" s="9">
        <v>200</v>
      </c>
      <c r="L1869" s="9">
        <v>0.75</v>
      </c>
      <c r="M1869" s="9">
        <v>150</v>
      </c>
      <c r="N1869" s="9" t="s">
        <v>49</v>
      </c>
      <c r="Q1869" s="9">
        <f>IF(Auction_Sales[[#This Row],[Payment Date]]=0,"",-1+WEEKNUM(Auction_Sales[[#This Row],[Payment Date]]))</f>
        <v>24</v>
      </c>
      <c r="R1869" s="9">
        <v>0</v>
      </c>
      <c r="S1869" s="9" t="s">
        <v>155</v>
      </c>
      <c r="T1869" s="9" t="s">
        <v>56</v>
      </c>
      <c r="U1869" s="9">
        <v>200</v>
      </c>
      <c r="V1869" s="13">
        <v>1.2819999999999998</v>
      </c>
      <c r="W1869" s="13">
        <v>256.39999999999998</v>
      </c>
      <c r="X1869" s="14">
        <v>-12.722988505747132</v>
      </c>
      <c r="Y1869" s="13">
        <v>243.67701149425284</v>
      </c>
      <c r="Z1869" s="10">
        <v>45462</v>
      </c>
      <c r="AA1869" s="9">
        <v>0</v>
      </c>
      <c r="AC1869" s="9" t="s">
        <v>121</v>
      </c>
      <c r="AD1869" s="14">
        <v>38.283333333333331</v>
      </c>
      <c r="AF1869" s="14">
        <v>4</v>
      </c>
      <c r="AH1869" s="14">
        <v>42.283333333333331</v>
      </c>
      <c r="AI1869" s="13">
        <v>201.39367816091951</v>
      </c>
      <c r="AK1869" s="9">
        <v>200</v>
      </c>
    </row>
    <row r="1870" spans="1:37">
      <c r="A1870" s="9">
        <v>24</v>
      </c>
      <c r="B1870" s="9">
        <v>2024</v>
      </c>
      <c r="C1870" s="9" t="s">
        <v>46</v>
      </c>
      <c r="D1870" s="9" t="s">
        <v>47</v>
      </c>
      <c r="E1870" s="9" t="s">
        <v>47</v>
      </c>
      <c r="F1870" s="10">
        <v>45453</v>
      </c>
      <c r="G1870" s="9" t="s">
        <v>155</v>
      </c>
      <c r="H1870" s="9" t="s">
        <v>57</v>
      </c>
      <c r="J1870" s="9">
        <v>2</v>
      </c>
      <c r="K1870" s="9">
        <v>40</v>
      </c>
      <c r="L1870" s="9">
        <v>0.94</v>
      </c>
      <c r="M1870" s="9">
        <v>37.6</v>
      </c>
      <c r="N1870" s="9" t="s">
        <v>49</v>
      </c>
      <c r="Q1870" s="9">
        <f>IF(Auction_Sales[[#This Row],[Payment Date]]=0,"",-1+WEEKNUM(Auction_Sales[[#This Row],[Payment Date]]))</f>
        <v>24</v>
      </c>
      <c r="R1870" s="9">
        <v>0</v>
      </c>
      <c r="S1870" s="9" t="s">
        <v>155</v>
      </c>
      <c r="T1870" s="9" t="s">
        <v>57</v>
      </c>
      <c r="U1870" s="9">
        <v>40</v>
      </c>
      <c r="V1870" s="13">
        <v>1.26</v>
      </c>
      <c r="W1870" s="13">
        <v>50.4</v>
      </c>
      <c r="X1870" s="14">
        <v>-2.5445977011494265</v>
      </c>
      <c r="Y1870" s="13">
        <v>47.855402298850571</v>
      </c>
      <c r="Z1870" s="10">
        <v>45462</v>
      </c>
      <c r="AA1870" s="9">
        <v>0</v>
      </c>
      <c r="AC1870" s="9" t="s">
        <v>121</v>
      </c>
      <c r="AD1870" s="14">
        <v>7.6566666666666663</v>
      </c>
      <c r="AF1870" s="14">
        <v>0.8</v>
      </c>
      <c r="AH1870" s="14">
        <v>8.456666666666667</v>
      </c>
      <c r="AI1870" s="13">
        <v>39.3987356321839</v>
      </c>
      <c r="AK1870" s="9">
        <v>40</v>
      </c>
    </row>
    <row r="1871" spans="1:37">
      <c r="A1871" s="9">
        <v>24</v>
      </c>
      <c r="B1871" s="9">
        <v>2024</v>
      </c>
      <c r="C1871" s="9" t="s">
        <v>46</v>
      </c>
      <c r="D1871" s="9" t="s">
        <v>47</v>
      </c>
      <c r="E1871" s="9" t="s">
        <v>47</v>
      </c>
      <c r="F1871" s="10">
        <v>45453</v>
      </c>
      <c r="G1871" s="9" t="s">
        <v>155</v>
      </c>
      <c r="H1871" s="9" t="s">
        <v>48</v>
      </c>
      <c r="I1871" s="9">
        <v>1</v>
      </c>
      <c r="J1871" s="9">
        <v>5.1428571428571423</v>
      </c>
      <c r="K1871" s="9">
        <v>240</v>
      </c>
      <c r="L1871" s="9">
        <v>0.47</v>
      </c>
      <c r="M1871" s="9">
        <v>112.8</v>
      </c>
      <c r="N1871" s="9" t="s">
        <v>49</v>
      </c>
      <c r="Q1871" s="9">
        <f>IF(Auction_Sales[[#This Row],[Payment Date]]=0,"",-1+WEEKNUM(Auction_Sales[[#This Row],[Payment Date]]))</f>
        <v>24</v>
      </c>
      <c r="R1871" s="9">
        <v>0</v>
      </c>
      <c r="S1871" s="9" t="s">
        <v>155</v>
      </c>
      <c r="T1871" s="9" t="s">
        <v>48</v>
      </c>
      <c r="U1871" s="9">
        <v>240</v>
      </c>
      <c r="V1871" s="13">
        <v>0.61</v>
      </c>
      <c r="W1871" s="13">
        <v>146.4</v>
      </c>
      <c r="X1871" s="14">
        <v>-15.26758620689656</v>
      </c>
      <c r="Y1871" s="13">
        <v>131.13241379310344</v>
      </c>
      <c r="Z1871" s="10">
        <v>45462</v>
      </c>
      <c r="AA1871" s="9">
        <v>0</v>
      </c>
      <c r="AC1871" s="9" t="s">
        <v>121</v>
      </c>
      <c r="AD1871" s="14">
        <v>19.688571428571425</v>
      </c>
      <c r="AF1871" s="14">
        <v>4.8</v>
      </c>
      <c r="AH1871" s="14">
        <v>24.488571428571426</v>
      </c>
      <c r="AI1871" s="13">
        <v>106.64384236453202</v>
      </c>
      <c r="AK1871" s="9">
        <v>240</v>
      </c>
    </row>
    <row r="1872" spans="1:37">
      <c r="A1872" s="9">
        <v>24</v>
      </c>
      <c r="B1872" s="9">
        <v>2024</v>
      </c>
      <c r="C1872" s="9" t="s">
        <v>46</v>
      </c>
      <c r="D1872" s="9" t="s">
        <v>47</v>
      </c>
      <c r="E1872" s="9" t="s">
        <v>47</v>
      </c>
      <c r="F1872" s="10">
        <v>45453</v>
      </c>
      <c r="G1872" s="9" t="s">
        <v>155</v>
      </c>
      <c r="H1872" s="9" t="s">
        <v>52</v>
      </c>
      <c r="J1872" s="9">
        <v>6.8571428571428568</v>
      </c>
      <c r="K1872" s="9">
        <v>320</v>
      </c>
      <c r="L1872" s="9">
        <v>0.52</v>
      </c>
      <c r="M1872" s="9">
        <v>166.4</v>
      </c>
      <c r="N1872" s="9" t="s">
        <v>49</v>
      </c>
      <c r="Q1872" s="9">
        <f>IF(Auction_Sales[[#This Row],[Payment Date]]=0,"",-1+WEEKNUM(Auction_Sales[[#This Row],[Payment Date]]))</f>
        <v>24</v>
      </c>
      <c r="R1872" s="9">
        <v>0</v>
      </c>
      <c r="S1872" s="9" t="s">
        <v>155</v>
      </c>
      <c r="T1872" s="9" t="s">
        <v>52</v>
      </c>
      <c r="U1872" s="9">
        <v>320</v>
      </c>
      <c r="V1872" s="13">
        <v>0.85624999999999996</v>
      </c>
      <c r="W1872" s="13">
        <v>274</v>
      </c>
      <c r="X1872" s="14">
        <v>-20.356781609195412</v>
      </c>
      <c r="Y1872" s="13">
        <v>253.64321839080458</v>
      </c>
      <c r="Z1872" s="10">
        <v>45462</v>
      </c>
      <c r="AA1872" s="9">
        <v>0</v>
      </c>
      <c r="AC1872" s="9" t="s">
        <v>121</v>
      </c>
      <c r="AD1872" s="14">
        <v>26.251428571428569</v>
      </c>
      <c r="AF1872" s="14">
        <v>6.4</v>
      </c>
      <c r="AH1872" s="14">
        <v>32.651428571428568</v>
      </c>
      <c r="AI1872" s="13">
        <v>220.99178981937601</v>
      </c>
      <c r="AK1872" s="9">
        <v>320</v>
      </c>
    </row>
    <row r="1873" spans="1:37">
      <c r="A1873" s="9">
        <v>24</v>
      </c>
      <c r="B1873" s="9">
        <v>2024</v>
      </c>
      <c r="C1873" s="9" t="s">
        <v>46</v>
      </c>
      <c r="D1873" s="9" t="s">
        <v>47</v>
      </c>
      <c r="E1873" s="9" t="s">
        <v>47</v>
      </c>
      <c r="F1873" s="10">
        <v>45456</v>
      </c>
      <c r="G1873" s="9" t="s">
        <v>154</v>
      </c>
      <c r="H1873" s="9" t="s">
        <v>51</v>
      </c>
      <c r="I1873" s="9">
        <v>1</v>
      </c>
      <c r="J1873" s="9">
        <v>12</v>
      </c>
      <c r="K1873" s="9">
        <v>520</v>
      </c>
      <c r="L1873" s="9">
        <v>0.38</v>
      </c>
      <c r="M1873" s="9">
        <v>197.6</v>
      </c>
      <c r="N1873" s="9" t="s">
        <v>49</v>
      </c>
      <c r="Q1873" s="9">
        <f>IF(Auction_Sales[[#This Row],[Payment Date]]=0,"",-1+WEEKNUM(Auction_Sales[[#This Row],[Payment Date]]))</f>
        <v>25</v>
      </c>
      <c r="R1873" s="9">
        <v>-160</v>
      </c>
      <c r="S1873" s="9" t="s">
        <v>154</v>
      </c>
      <c r="T1873" s="9" t="s">
        <v>51</v>
      </c>
      <c r="U1873" s="9">
        <v>680</v>
      </c>
      <c r="V1873" s="13">
        <v>0.65294117647058825</v>
      </c>
      <c r="W1873" s="13">
        <v>444</v>
      </c>
      <c r="X1873" s="14">
        <v>-44.622499999999945</v>
      </c>
      <c r="Y1873" s="13">
        <v>399.37750000000005</v>
      </c>
      <c r="Z1873" s="10">
        <v>45469</v>
      </c>
      <c r="AA1873" s="9">
        <v>160</v>
      </c>
      <c r="AC1873" s="9">
        <v>444359</v>
      </c>
      <c r="AD1873" s="14">
        <v>39.953333333333333</v>
      </c>
      <c r="AF1873" s="14">
        <v>13.6</v>
      </c>
      <c r="AH1873" s="14">
        <v>53.553333333333335</v>
      </c>
      <c r="AI1873" s="13">
        <v>345.82416666666671</v>
      </c>
      <c r="AK1873" s="9">
        <v>680</v>
      </c>
    </row>
    <row r="1874" spans="1:37">
      <c r="A1874" s="9">
        <v>24</v>
      </c>
      <c r="B1874" s="9">
        <v>2024</v>
      </c>
      <c r="C1874" s="9" t="s">
        <v>46</v>
      </c>
      <c r="D1874" s="9" t="s">
        <v>47</v>
      </c>
      <c r="E1874" s="9" t="s">
        <v>47</v>
      </c>
      <c r="F1874" s="10">
        <v>45456</v>
      </c>
      <c r="G1874" s="9" t="s">
        <v>154</v>
      </c>
      <c r="H1874" s="9" t="s">
        <v>56</v>
      </c>
      <c r="I1874" s="9">
        <v>1</v>
      </c>
      <c r="J1874" s="9">
        <v>12</v>
      </c>
      <c r="K1874" s="9">
        <v>240</v>
      </c>
      <c r="L1874" s="9">
        <v>0.75</v>
      </c>
      <c r="M1874" s="9">
        <v>180</v>
      </c>
      <c r="N1874" s="9" t="s">
        <v>49</v>
      </c>
      <c r="Q1874" s="9">
        <f>IF(Auction_Sales[[#This Row],[Payment Date]]=0,"",-1+WEEKNUM(Auction_Sales[[#This Row],[Payment Date]]))</f>
        <v>25</v>
      </c>
      <c r="R1874" s="9">
        <v>0</v>
      </c>
      <c r="S1874" s="9" t="s">
        <v>154</v>
      </c>
      <c r="T1874" s="9" t="s">
        <v>56</v>
      </c>
      <c r="U1874" s="9">
        <v>240</v>
      </c>
      <c r="V1874" s="13">
        <v>1.3833333333333333</v>
      </c>
      <c r="W1874" s="13">
        <v>332</v>
      </c>
      <c r="X1874" s="14">
        <v>-15.749117647058805</v>
      </c>
      <c r="Y1874" s="13">
        <v>316.25088235294118</v>
      </c>
      <c r="Z1874" s="10">
        <v>45469</v>
      </c>
      <c r="AA1874" s="9">
        <v>0</v>
      </c>
      <c r="AC1874" s="9">
        <v>443555</v>
      </c>
      <c r="AD1874" s="14">
        <v>39.953333333333333</v>
      </c>
      <c r="AF1874" s="14">
        <v>4.8</v>
      </c>
      <c r="AH1874" s="14">
        <v>44.75333333333333</v>
      </c>
      <c r="AI1874" s="13">
        <v>271.49754901960785</v>
      </c>
      <c r="AK1874" s="9">
        <v>240</v>
      </c>
    </row>
    <row r="1875" spans="1:37">
      <c r="A1875" s="9">
        <v>24</v>
      </c>
      <c r="B1875" s="9">
        <v>2024</v>
      </c>
      <c r="C1875" s="9" t="s">
        <v>46</v>
      </c>
      <c r="D1875" s="9" t="s">
        <v>47</v>
      </c>
      <c r="E1875" s="9" t="s">
        <v>47</v>
      </c>
      <c r="F1875" s="10">
        <v>45456</v>
      </c>
      <c r="G1875" s="9" t="s">
        <v>154</v>
      </c>
      <c r="H1875" s="9" t="s">
        <v>57</v>
      </c>
      <c r="I1875" s="9">
        <v>1</v>
      </c>
      <c r="J1875" s="9">
        <v>12</v>
      </c>
      <c r="K1875" s="9">
        <v>200</v>
      </c>
      <c r="L1875" s="9">
        <v>0.94</v>
      </c>
      <c r="M1875" s="9">
        <v>188</v>
      </c>
      <c r="N1875" s="9" t="s">
        <v>49</v>
      </c>
      <c r="Q1875" s="9">
        <f>IF(Auction_Sales[[#This Row],[Payment Date]]=0,"",-1+WEEKNUM(Auction_Sales[[#This Row],[Payment Date]]))</f>
        <v>25</v>
      </c>
      <c r="R1875" s="9">
        <v>-80</v>
      </c>
      <c r="S1875" s="9" t="s">
        <v>154</v>
      </c>
      <c r="T1875" s="9" t="s">
        <v>57</v>
      </c>
      <c r="U1875" s="9">
        <v>280</v>
      </c>
      <c r="V1875" s="13">
        <v>1.7214285714285715</v>
      </c>
      <c r="W1875" s="13">
        <v>482</v>
      </c>
      <c r="X1875" s="14">
        <v>-18.37397058823527</v>
      </c>
      <c r="Y1875" s="13">
        <v>463.6260294117647</v>
      </c>
      <c r="Z1875" s="10">
        <v>45469</v>
      </c>
      <c r="AA1875" s="9">
        <v>80</v>
      </c>
      <c r="AC1875" s="9">
        <v>443555</v>
      </c>
      <c r="AD1875" s="14">
        <v>39.953333333333333</v>
      </c>
      <c r="AF1875" s="14">
        <v>5.6000000000000005</v>
      </c>
      <c r="AH1875" s="14">
        <v>45.553333333333335</v>
      </c>
      <c r="AI1875" s="13">
        <v>418.07269607843136</v>
      </c>
      <c r="AK1875" s="9">
        <v>280</v>
      </c>
    </row>
    <row r="1876" spans="1:37">
      <c r="A1876" s="9">
        <v>24</v>
      </c>
      <c r="B1876" s="9">
        <v>2024</v>
      </c>
      <c r="C1876" s="9" t="s">
        <v>46</v>
      </c>
      <c r="D1876" s="9" t="s">
        <v>47</v>
      </c>
      <c r="E1876" s="9" t="s">
        <v>47</v>
      </c>
      <c r="F1876" s="10">
        <v>45456</v>
      </c>
      <c r="G1876" s="9" t="s">
        <v>155</v>
      </c>
      <c r="H1876" s="9" t="s">
        <v>48</v>
      </c>
      <c r="I1876" s="9">
        <v>1</v>
      </c>
      <c r="J1876" s="9">
        <v>12</v>
      </c>
      <c r="K1876" s="9">
        <v>520</v>
      </c>
      <c r="L1876" s="9">
        <v>0.47</v>
      </c>
      <c r="M1876" s="9">
        <v>244.4</v>
      </c>
      <c r="N1876" s="9" t="s">
        <v>49</v>
      </c>
      <c r="Q1876" s="9">
        <f>IF(Auction_Sales[[#This Row],[Payment Date]]=0,"",-1+WEEKNUM(Auction_Sales[[#This Row],[Payment Date]]))</f>
        <v>25</v>
      </c>
      <c r="R1876" s="9">
        <v>-400</v>
      </c>
      <c r="S1876" s="9" t="s">
        <v>155</v>
      </c>
      <c r="T1876" s="9" t="s">
        <v>48</v>
      </c>
      <c r="U1876" s="9">
        <v>920</v>
      </c>
      <c r="V1876" s="13">
        <v>0.90782608695652178</v>
      </c>
      <c r="W1876" s="13">
        <v>835.2</v>
      </c>
      <c r="X1876" s="14">
        <v>-60.371617647058756</v>
      </c>
      <c r="Y1876" s="13">
        <v>774.82838235294128</v>
      </c>
      <c r="Z1876" s="10">
        <v>45469</v>
      </c>
      <c r="AA1876" s="9">
        <v>400</v>
      </c>
      <c r="AC1876" s="9">
        <v>443555</v>
      </c>
      <c r="AD1876" s="14">
        <v>39.953333333333333</v>
      </c>
      <c r="AF1876" s="14">
        <v>18.400000000000002</v>
      </c>
      <c r="AH1876" s="14">
        <v>58.353333333333339</v>
      </c>
      <c r="AI1876" s="13">
        <v>716.47504901960792</v>
      </c>
      <c r="AK1876" s="9">
        <v>920</v>
      </c>
    </row>
    <row r="1877" spans="1:37">
      <c r="A1877" s="9">
        <v>24</v>
      </c>
      <c r="B1877" s="9">
        <v>2024</v>
      </c>
      <c r="C1877" s="9" t="s">
        <v>46</v>
      </c>
      <c r="D1877" s="9" t="s">
        <v>47</v>
      </c>
      <c r="E1877" s="9" t="s">
        <v>47</v>
      </c>
      <c r="F1877" s="10">
        <v>45456</v>
      </c>
      <c r="G1877" s="9" t="s">
        <v>153</v>
      </c>
      <c r="H1877" s="9" t="s">
        <v>51</v>
      </c>
      <c r="I1877" s="9">
        <v>1</v>
      </c>
      <c r="J1877" s="9">
        <v>12</v>
      </c>
      <c r="K1877" s="9">
        <v>800</v>
      </c>
      <c r="L1877" s="9">
        <v>0.14000000000000001</v>
      </c>
      <c r="M1877" s="9">
        <v>112</v>
      </c>
      <c r="N1877" s="9" t="s">
        <v>49</v>
      </c>
      <c r="Q1877" s="9">
        <f>IF(Auction_Sales[[#This Row],[Payment Date]]=0,"",-1+WEEKNUM(Auction_Sales[[#This Row],[Payment Date]]))</f>
        <v>25</v>
      </c>
      <c r="R1877" s="9">
        <v>0</v>
      </c>
      <c r="S1877" s="9" t="s">
        <v>153</v>
      </c>
      <c r="T1877" s="9" t="s">
        <v>51</v>
      </c>
      <c r="U1877" s="9">
        <v>800</v>
      </c>
      <c r="V1877" s="13">
        <v>0.5</v>
      </c>
      <c r="W1877" s="13">
        <v>400</v>
      </c>
      <c r="X1877" s="14">
        <v>-52.49705882352935</v>
      </c>
      <c r="Y1877" s="13">
        <v>347.50294117647064</v>
      </c>
      <c r="Z1877" s="10">
        <v>45469</v>
      </c>
      <c r="AA1877" s="9">
        <v>0</v>
      </c>
      <c r="AC1877" s="9">
        <v>443555</v>
      </c>
      <c r="AD1877" s="14">
        <v>39.953333333333333</v>
      </c>
      <c r="AF1877" s="14">
        <v>16</v>
      </c>
      <c r="AH1877" s="14">
        <v>55.953333333333333</v>
      </c>
      <c r="AI1877" s="13">
        <v>291.54960784313732</v>
      </c>
      <c r="AK1877" s="9">
        <v>800</v>
      </c>
    </row>
    <row r="1878" spans="1:37">
      <c r="A1878" s="9">
        <v>24</v>
      </c>
      <c r="B1878" s="9">
        <v>2024</v>
      </c>
      <c r="C1878" s="9" t="s">
        <v>46</v>
      </c>
      <c r="D1878" s="9" t="s">
        <v>47</v>
      </c>
      <c r="E1878" s="9" t="s">
        <v>47</v>
      </c>
      <c r="F1878" s="10">
        <v>45456</v>
      </c>
      <c r="G1878" s="9" t="s">
        <v>153</v>
      </c>
      <c r="H1878" s="9" t="s">
        <v>48</v>
      </c>
      <c r="I1878" s="9">
        <v>1</v>
      </c>
      <c r="J1878" s="9">
        <v>12</v>
      </c>
      <c r="K1878" s="9">
        <v>720</v>
      </c>
      <c r="L1878" s="9">
        <v>0.24</v>
      </c>
      <c r="M1878" s="9">
        <v>172.8</v>
      </c>
      <c r="N1878" s="9" t="s">
        <v>49</v>
      </c>
      <c r="Q1878" s="9">
        <f>IF(Auction_Sales[[#This Row],[Payment Date]]=0,"",-1+WEEKNUM(Auction_Sales[[#This Row],[Payment Date]]))</f>
        <v>25</v>
      </c>
      <c r="R1878" s="9">
        <v>0</v>
      </c>
      <c r="S1878" s="9" t="s">
        <v>153</v>
      </c>
      <c r="T1878" s="9" t="s">
        <v>48</v>
      </c>
      <c r="U1878" s="9">
        <v>720</v>
      </c>
      <c r="V1878" s="13">
        <v>0.8305555555555556</v>
      </c>
      <c r="W1878" s="13">
        <v>598</v>
      </c>
      <c r="X1878" s="14">
        <v>-47.247352941176416</v>
      </c>
      <c r="Y1878" s="13">
        <v>550.75264705882364</v>
      </c>
      <c r="Z1878" s="10">
        <v>45469</v>
      </c>
      <c r="AA1878" s="9">
        <v>0</v>
      </c>
      <c r="AC1878" s="9">
        <v>443555</v>
      </c>
      <c r="AD1878" s="14">
        <v>39.953333333333333</v>
      </c>
      <c r="AF1878" s="14">
        <v>14.4</v>
      </c>
      <c r="AH1878" s="14">
        <v>54.353333333333332</v>
      </c>
      <c r="AI1878" s="13">
        <v>496.39931372549029</v>
      </c>
      <c r="AK1878" s="9">
        <v>720</v>
      </c>
    </row>
    <row r="1879" spans="1:37">
      <c r="A1879" s="9">
        <v>24</v>
      </c>
      <c r="B1879" s="9">
        <v>2024</v>
      </c>
      <c r="C1879" s="9" t="s">
        <v>46</v>
      </c>
      <c r="D1879" s="9" t="s">
        <v>47</v>
      </c>
      <c r="E1879" s="9" t="s">
        <v>47</v>
      </c>
      <c r="F1879" s="10">
        <v>45456</v>
      </c>
      <c r="G1879" s="9" t="s">
        <v>153</v>
      </c>
      <c r="H1879" s="9" t="s">
        <v>52</v>
      </c>
      <c r="I1879" s="9">
        <v>1</v>
      </c>
      <c r="J1879" s="9">
        <v>6</v>
      </c>
      <c r="K1879" s="9">
        <v>200</v>
      </c>
      <c r="L1879" s="9">
        <v>0.28000000000000003</v>
      </c>
      <c r="M1879" s="9">
        <v>56</v>
      </c>
      <c r="N1879" s="9" t="s">
        <v>49</v>
      </c>
      <c r="Q1879" s="9">
        <f>IF(Auction_Sales[[#This Row],[Payment Date]]=0,"",-1+WEEKNUM(Auction_Sales[[#This Row],[Payment Date]]))</f>
        <v>25</v>
      </c>
      <c r="R1879" s="9">
        <v>0</v>
      </c>
      <c r="S1879" s="9" t="s">
        <v>153</v>
      </c>
      <c r="T1879" s="9" t="s">
        <v>52</v>
      </c>
      <c r="U1879" s="9">
        <v>200</v>
      </c>
      <c r="V1879" s="13">
        <v>0.90599999999999992</v>
      </c>
      <c r="W1879" s="13">
        <v>181.2</v>
      </c>
      <c r="X1879" s="14">
        <v>-13.124264705882338</v>
      </c>
      <c r="Y1879" s="13">
        <v>168.07573529411766</v>
      </c>
      <c r="Z1879" s="10">
        <v>45469</v>
      </c>
      <c r="AA1879" s="9">
        <v>0</v>
      </c>
      <c r="AC1879" s="9">
        <v>443555</v>
      </c>
      <c r="AD1879" s="14">
        <v>19.976666666666667</v>
      </c>
      <c r="AF1879" s="14">
        <v>4</v>
      </c>
      <c r="AH1879" s="14">
        <v>23.976666666666667</v>
      </c>
      <c r="AI1879" s="13">
        <v>144.099068627451</v>
      </c>
      <c r="AK1879" s="9">
        <v>200</v>
      </c>
    </row>
    <row r="1880" spans="1:37">
      <c r="A1880" s="9">
        <v>24</v>
      </c>
      <c r="B1880" s="9">
        <v>2024</v>
      </c>
      <c r="C1880" s="9" t="s">
        <v>46</v>
      </c>
      <c r="D1880" s="9" t="s">
        <v>47</v>
      </c>
      <c r="E1880" s="9" t="s">
        <v>47</v>
      </c>
      <c r="F1880" s="10">
        <v>45456</v>
      </c>
      <c r="G1880" s="9" t="s">
        <v>153</v>
      </c>
      <c r="H1880" s="9" t="s">
        <v>54</v>
      </c>
      <c r="J1880" s="9">
        <v>6</v>
      </c>
      <c r="K1880" s="9">
        <v>200</v>
      </c>
      <c r="L1880" s="9">
        <v>0.33</v>
      </c>
      <c r="M1880" s="9">
        <v>66</v>
      </c>
      <c r="N1880" s="9" t="s">
        <v>49</v>
      </c>
      <c r="Q1880" s="9">
        <f>IF(Auction_Sales[[#This Row],[Payment Date]]=0,"",-1+WEEKNUM(Auction_Sales[[#This Row],[Payment Date]]))</f>
        <v>25</v>
      </c>
      <c r="R1880" s="9">
        <v>0</v>
      </c>
      <c r="S1880" s="9" t="s">
        <v>153</v>
      </c>
      <c r="T1880" s="9" t="s">
        <v>54</v>
      </c>
      <c r="U1880" s="9">
        <v>200</v>
      </c>
      <c r="V1880" s="13">
        <v>0.97599999999999998</v>
      </c>
      <c r="W1880" s="13">
        <v>195.2</v>
      </c>
      <c r="X1880" s="14">
        <v>-13.124264705882338</v>
      </c>
      <c r="Y1880" s="13">
        <v>182.07573529411766</v>
      </c>
      <c r="Z1880" s="10">
        <v>45469</v>
      </c>
      <c r="AA1880" s="9">
        <v>0</v>
      </c>
      <c r="AC1880" s="9">
        <v>443555</v>
      </c>
      <c r="AD1880" s="14">
        <v>19.976666666666667</v>
      </c>
      <c r="AF1880" s="14">
        <v>4</v>
      </c>
      <c r="AH1880" s="14">
        <v>23.976666666666667</v>
      </c>
      <c r="AI1880" s="13">
        <v>158.099068627451</v>
      </c>
      <c r="AK1880" s="9">
        <v>200</v>
      </c>
    </row>
    <row r="1881" spans="1:37">
      <c r="A1881" s="9">
        <v>24</v>
      </c>
      <c r="B1881" s="9">
        <v>2024</v>
      </c>
      <c r="C1881" s="9" t="s">
        <v>46</v>
      </c>
      <c r="D1881" s="9" t="s">
        <v>47</v>
      </c>
      <c r="E1881" s="9" t="s">
        <v>47</v>
      </c>
      <c r="F1881" s="10">
        <v>45456</v>
      </c>
      <c r="G1881" s="9" t="s">
        <v>155</v>
      </c>
      <c r="H1881" s="9" t="s">
        <v>54</v>
      </c>
      <c r="I1881" s="9">
        <v>1</v>
      </c>
      <c r="J1881" s="9">
        <v>1.7142857142857142</v>
      </c>
      <c r="K1881" s="9">
        <v>80</v>
      </c>
      <c r="L1881" s="9">
        <v>0.56999999999999995</v>
      </c>
      <c r="M1881" s="9">
        <v>45.6</v>
      </c>
      <c r="N1881" s="9" t="s">
        <v>49</v>
      </c>
      <c r="Q1881" s="9">
        <f>IF(Auction_Sales[[#This Row],[Payment Date]]=0,"",-1+WEEKNUM(Auction_Sales[[#This Row],[Payment Date]]))</f>
        <v>25</v>
      </c>
      <c r="R1881" s="9">
        <v>0</v>
      </c>
      <c r="S1881" s="9" t="s">
        <v>155</v>
      </c>
      <c r="T1881" s="9" t="s">
        <v>54</v>
      </c>
      <c r="U1881" s="9">
        <v>80</v>
      </c>
      <c r="V1881" s="13">
        <v>1.9</v>
      </c>
      <c r="W1881" s="13">
        <v>152</v>
      </c>
      <c r="X1881" s="14">
        <v>-5.2497058823529343</v>
      </c>
      <c r="Y1881" s="13">
        <v>146.75029411764706</v>
      </c>
      <c r="Z1881" s="10">
        <v>45469</v>
      </c>
      <c r="AA1881" s="9">
        <v>0</v>
      </c>
      <c r="AC1881" s="9">
        <v>443555</v>
      </c>
      <c r="AD1881" s="14">
        <v>5.7076190476190476</v>
      </c>
      <c r="AF1881" s="14">
        <v>1.6</v>
      </c>
      <c r="AH1881" s="14">
        <v>7.3076190476190472</v>
      </c>
      <c r="AI1881" s="13">
        <v>139.442675070028</v>
      </c>
      <c r="AK1881" s="9">
        <v>80</v>
      </c>
    </row>
    <row r="1882" spans="1:37">
      <c r="A1882" s="9">
        <v>24</v>
      </c>
      <c r="B1882" s="9">
        <v>2024</v>
      </c>
      <c r="C1882" s="9" t="s">
        <v>46</v>
      </c>
      <c r="D1882" s="9" t="s">
        <v>47</v>
      </c>
      <c r="E1882" s="9" t="s">
        <v>47</v>
      </c>
      <c r="F1882" s="10">
        <v>45456</v>
      </c>
      <c r="G1882" s="9" t="s">
        <v>155</v>
      </c>
      <c r="H1882" s="9" t="s">
        <v>48</v>
      </c>
      <c r="J1882" s="9">
        <v>7.7142857142857153</v>
      </c>
      <c r="K1882" s="9">
        <v>360</v>
      </c>
      <c r="L1882" s="9">
        <v>0.47</v>
      </c>
      <c r="M1882" s="9">
        <v>169.2</v>
      </c>
      <c r="N1882" s="9" t="s">
        <v>49</v>
      </c>
      <c r="Q1882" s="9">
        <f>IF(Auction_Sales[[#This Row],[Payment Date]]=0,"",-1+WEEKNUM(Auction_Sales[[#This Row],[Payment Date]]))</f>
        <v>25</v>
      </c>
      <c r="R1882" s="9">
        <v>360</v>
      </c>
      <c r="S1882" s="9" t="s">
        <v>155</v>
      </c>
      <c r="T1882" s="9" t="s">
        <v>48</v>
      </c>
      <c r="W1882" s="13">
        <v>0</v>
      </c>
      <c r="X1882" s="14">
        <v>0</v>
      </c>
      <c r="Y1882" s="13">
        <v>0</v>
      </c>
      <c r="Z1882" s="10">
        <v>45469</v>
      </c>
      <c r="AA1882" s="9">
        <v>-360</v>
      </c>
      <c r="AC1882" s="9">
        <v>443555</v>
      </c>
      <c r="AD1882" s="14">
        <v>25.684285714285718</v>
      </c>
      <c r="AF1882" s="14">
        <v>0</v>
      </c>
      <c r="AH1882" s="14">
        <v>25.684285714285718</v>
      </c>
      <c r="AI1882" s="13">
        <v>-25.684285714285718</v>
      </c>
      <c r="AK1882" s="9">
        <v>0</v>
      </c>
    </row>
    <row r="1883" spans="1:37">
      <c r="A1883" s="9">
        <v>24</v>
      </c>
      <c r="B1883" s="9">
        <v>2024</v>
      </c>
      <c r="C1883" s="9" t="s">
        <v>46</v>
      </c>
      <c r="D1883" s="9" t="s">
        <v>47</v>
      </c>
      <c r="E1883" s="9" t="s">
        <v>47</v>
      </c>
      <c r="F1883" s="10">
        <v>45456</v>
      </c>
      <c r="G1883" s="9" t="s">
        <v>155</v>
      </c>
      <c r="H1883" s="9" t="s">
        <v>52</v>
      </c>
      <c r="J1883" s="9">
        <v>2.5714285714285712</v>
      </c>
      <c r="K1883" s="9">
        <v>120</v>
      </c>
      <c r="L1883" s="9">
        <v>0.52</v>
      </c>
      <c r="M1883" s="9">
        <v>62.4</v>
      </c>
      <c r="N1883" s="9" t="s">
        <v>49</v>
      </c>
      <c r="Q1883" s="9">
        <f>IF(Auction_Sales[[#This Row],[Payment Date]]=0,"",-1+WEEKNUM(Auction_Sales[[#This Row],[Payment Date]]))</f>
        <v>25</v>
      </c>
      <c r="R1883" s="9">
        <v>40</v>
      </c>
      <c r="S1883" s="9" t="s">
        <v>155</v>
      </c>
      <c r="T1883" s="9" t="s">
        <v>52</v>
      </c>
      <c r="U1883" s="9">
        <v>80</v>
      </c>
      <c r="V1883" s="13">
        <v>2.125</v>
      </c>
      <c r="W1883" s="13">
        <v>170</v>
      </c>
      <c r="X1883" s="14">
        <v>-5.2497058823529343</v>
      </c>
      <c r="Y1883" s="13">
        <v>164.75029411764706</v>
      </c>
      <c r="Z1883" s="10">
        <v>45469</v>
      </c>
      <c r="AA1883" s="9">
        <v>-40</v>
      </c>
      <c r="AC1883" s="9">
        <v>443555</v>
      </c>
      <c r="AD1883" s="14">
        <v>8.5614285714285714</v>
      </c>
      <c r="AF1883" s="14">
        <v>1.6</v>
      </c>
      <c r="AH1883" s="14">
        <v>10.161428571428571</v>
      </c>
      <c r="AI1883" s="13">
        <v>154.5888655462185</v>
      </c>
      <c r="AK1883" s="9">
        <v>80</v>
      </c>
    </row>
    <row r="1884" spans="1:37">
      <c r="A1884" s="9">
        <v>24</v>
      </c>
      <c r="B1884" s="9">
        <v>2024</v>
      </c>
      <c r="C1884" s="9" t="s">
        <v>46</v>
      </c>
      <c r="D1884" s="9" t="s">
        <v>47</v>
      </c>
      <c r="E1884" s="9" t="s">
        <v>47</v>
      </c>
      <c r="F1884" s="10">
        <v>45456</v>
      </c>
      <c r="G1884" s="9" t="s">
        <v>155</v>
      </c>
      <c r="H1884" s="9" t="s">
        <v>56</v>
      </c>
      <c r="I1884" s="9">
        <v>1</v>
      </c>
      <c r="J1884" s="9">
        <v>6</v>
      </c>
      <c r="K1884" s="9">
        <v>120</v>
      </c>
      <c r="L1884" s="9">
        <v>0.75</v>
      </c>
      <c r="M1884" s="9">
        <v>90</v>
      </c>
      <c r="N1884" s="9" t="s">
        <v>49</v>
      </c>
      <c r="Q1884" s="9">
        <f>IF(Auction_Sales[[#This Row],[Payment Date]]=0,"",-1+WEEKNUM(Auction_Sales[[#This Row],[Payment Date]]))</f>
        <v>25</v>
      </c>
      <c r="R1884" s="9">
        <v>0</v>
      </c>
      <c r="S1884" s="9" t="s">
        <v>155</v>
      </c>
      <c r="T1884" s="9" t="s">
        <v>56</v>
      </c>
      <c r="U1884" s="9">
        <v>120</v>
      </c>
      <c r="V1884" s="13">
        <v>1.7166666666666666</v>
      </c>
      <c r="W1884" s="13">
        <v>206</v>
      </c>
      <c r="X1884" s="14">
        <v>-7.8745588235294024</v>
      </c>
      <c r="Y1884" s="13">
        <v>198.12544117647059</v>
      </c>
      <c r="Z1884" s="10">
        <v>45469</v>
      </c>
      <c r="AA1884" s="9">
        <v>0</v>
      </c>
      <c r="AC1884" s="9">
        <v>443555</v>
      </c>
      <c r="AD1884" s="14">
        <v>19.976666666666667</v>
      </c>
      <c r="AF1884" s="14">
        <v>2.4</v>
      </c>
      <c r="AH1884" s="14">
        <v>22.376666666666665</v>
      </c>
      <c r="AI1884" s="13">
        <v>175.74877450980392</v>
      </c>
      <c r="AK1884" s="9">
        <v>120</v>
      </c>
    </row>
    <row r="1885" spans="1:37">
      <c r="A1885" s="9">
        <v>24</v>
      </c>
      <c r="B1885" s="9">
        <v>2024</v>
      </c>
      <c r="C1885" s="9" t="s">
        <v>46</v>
      </c>
      <c r="D1885" s="9" t="s">
        <v>47</v>
      </c>
      <c r="E1885" s="9" t="s">
        <v>47</v>
      </c>
      <c r="F1885" s="10">
        <v>45456</v>
      </c>
      <c r="G1885" s="9" t="s">
        <v>155</v>
      </c>
      <c r="H1885" s="9" t="s">
        <v>57</v>
      </c>
      <c r="J1885" s="9">
        <v>6</v>
      </c>
      <c r="K1885" s="9">
        <v>120</v>
      </c>
      <c r="L1885" s="9">
        <v>0.94</v>
      </c>
      <c r="M1885" s="9">
        <v>112.8</v>
      </c>
      <c r="N1885" s="9" t="s">
        <v>49</v>
      </c>
      <c r="Q1885" s="9">
        <f>IF(Auction_Sales[[#This Row],[Payment Date]]=0,"",-1+WEEKNUM(Auction_Sales[[#This Row],[Payment Date]]))</f>
        <v>25</v>
      </c>
      <c r="R1885" s="9">
        <v>0</v>
      </c>
      <c r="S1885" s="9" t="s">
        <v>155</v>
      </c>
      <c r="T1885" s="9" t="s">
        <v>57</v>
      </c>
      <c r="U1885" s="9">
        <v>120</v>
      </c>
      <c r="V1885" s="13">
        <v>1.6</v>
      </c>
      <c r="W1885" s="13">
        <v>192</v>
      </c>
      <c r="X1885" s="14">
        <v>-7.8745588235294024</v>
      </c>
      <c r="Y1885" s="13">
        <v>184.12544117647059</v>
      </c>
      <c r="Z1885" s="10">
        <v>45469</v>
      </c>
      <c r="AA1885" s="9">
        <v>0</v>
      </c>
      <c r="AC1885" s="9">
        <v>443555</v>
      </c>
      <c r="AD1885" s="14">
        <v>19.976666666666667</v>
      </c>
      <c r="AF1885" s="14">
        <v>2.4</v>
      </c>
      <c r="AH1885" s="14">
        <v>22.376666666666665</v>
      </c>
      <c r="AI1885" s="13">
        <v>161.74877450980392</v>
      </c>
      <c r="AK1885" s="9">
        <v>120</v>
      </c>
    </row>
    <row r="1886" spans="1:37">
      <c r="A1886" s="9">
        <v>24</v>
      </c>
      <c r="B1886" s="9">
        <v>2024</v>
      </c>
      <c r="C1886" s="9" t="s">
        <v>46</v>
      </c>
      <c r="D1886" s="9" t="s">
        <v>47</v>
      </c>
      <c r="E1886" s="9" t="s">
        <v>47</v>
      </c>
      <c r="F1886" s="10">
        <v>45456</v>
      </c>
      <c r="G1886" s="9" t="s">
        <v>154</v>
      </c>
      <c r="H1886" s="9" t="s">
        <v>54</v>
      </c>
      <c r="I1886" s="9">
        <v>1</v>
      </c>
      <c r="J1886" s="9">
        <v>2.6666666666666665</v>
      </c>
      <c r="K1886" s="9">
        <v>80</v>
      </c>
      <c r="L1886" s="9">
        <v>0.56999999999999995</v>
      </c>
      <c r="M1886" s="9">
        <v>45.6</v>
      </c>
      <c r="N1886" s="9" t="s">
        <v>49</v>
      </c>
      <c r="Q1886" s="9">
        <f>IF(Auction_Sales[[#This Row],[Payment Date]]=0,"",-1+WEEKNUM(Auction_Sales[[#This Row],[Payment Date]]))</f>
        <v>25</v>
      </c>
      <c r="R1886" s="9">
        <v>0</v>
      </c>
      <c r="S1886" s="9" t="s">
        <v>154</v>
      </c>
      <c r="T1886" s="9" t="s">
        <v>54</v>
      </c>
      <c r="U1886" s="9">
        <v>80</v>
      </c>
      <c r="V1886" s="13">
        <v>1.7250000000000001</v>
      </c>
      <c r="W1886" s="13">
        <v>138</v>
      </c>
      <c r="X1886" s="14">
        <v>-5.2497058823529343</v>
      </c>
      <c r="Y1886" s="13">
        <v>132.75029411764706</v>
      </c>
      <c r="Z1886" s="10">
        <v>45469</v>
      </c>
      <c r="AA1886" s="9">
        <v>0</v>
      </c>
      <c r="AC1886" s="9">
        <v>443555</v>
      </c>
      <c r="AD1886" s="14">
        <v>8.8785185185185185</v>
      </c>
      <c r="AF1886" s="14">
        <v>1.6</v>
      </c>
      <c r="AH1886" s="14">
        <v>10.478518518518518</v>
      </c>
      <c r="AI1886" s="13">
        <v>122.27177559912855</v>
      </c>
      <c r="AK1886" s="9">
        <v>80</v>
      </c>
    </row>
    <row r="1887" spans="1:37">
      <c r="A1887" s="9">
        <v>24</v>
      </c>
      <c r="B1887" s="9">
        <v>2024</v>
      </c>
      <c r="C1887" s="9" t="s">
        <v>46</v>
      </c>
      <c r="D1887" s="9" t="s">
        <v>47</v>
      </c>
      <c r="E1887" s="9" t="s">
        <v>47</v>
      </c>
      <c r="F1887" s="10">
        <v>45456</v>
      </c>
      <c r="G1887" s="9" t="s">
        <v>154</v>
      </c>
      <c r="H1887" s="9" t="s">
        <v>57</v>
      </c>
      <c r="J1887" s="9">
        <v>2.6666666666666665</v>
      </c>
      <c r="K1887" s="9">
        <v>80</v>
      </c>
      <c r="L1887" s="9">
        <v>0.94</v>
      </c>
      <c r="M1887" s="9">
        <v>75.2</v>
      </c>
      <c r="N1887" s="9" t="s">
        <v>49</v>
      </c>
      <c r="Q1887" s="9">
        <f>IF(Auction_Sales[[#This Row],[Payment Date]]=0,"",-1+WEEKNUM(Auction_Sales[[#This Row],[Payment Date]]))</f>
        <v>25</v>
      </c>
      <c r="R1887" s="9">
        <v>80</v>
      </c>
      <c r="S1887" s="9" t="s">
        <v>154</v>
      </c>
      <c r="T1887" s="9" t="s">
        <v>57</v>
      </c>
      <c r="W1887" s="13">
        <v>0</v>
      </c>
      <c r="X1887" s="14">
        <v>0</v>
      </c>
      <c r="Y1887" s="13">
        <v>0</v>
      </c>
      <c r="Z1887" s="10">
        <v>45469</v>
      </c>
      <c r="AA1887" s="9">
        <v>-80</v>
      </c>
      <c r="AC1887" s="9">
        <v>443555</v>
      </c>
      <c r="AD1887" s="14">
        <v>8.8785185185185185</v>
      </c>
      <c r="AF1887" s="14">
        <v>0</v>
      </c>
      <c r="AH1887" s="14">
        <v>8.8785185185185185</v>
      </c>
      <c r="AI1887" s="13">
        <v>-8.8785185185185185</v>
      </c>
      <c r="AK1887" s="9">
        <v>0</v>
      </c>
    </row>
    <row r="1888" spans="1:37">
      <c r="A1888" s="9">
        <v>24</v>
      </c>
      <c r="B1888" s="9">
        <v>2024</v>
      </c>
      <c r="C1888" s="9" t="s">
        <v>46</v>
      </c>
      <c r="D1888" s="9" t="s">
        <v>47</v>
      </c>
      <c r="E1888" s="9" t="s">
        <v>47</v>
      </c>
      <c r="F1888" s="10">
        <v>45456</v>
      </c>
      <c r="G1888" s="9" t="s">
        <v>154</v>
      </c>
      <c r="H1888" s="9" t="s">
        <v>52</v>
      </c>
      <c r="J1888" s="9">
        <v>6.666666666666667</v>
      </c>
      <c r="K1888" s="9">
        <v>200</v>
      </c>
      <c r="L1888" s="9">
        <v>0.52</v>
      </c>
      <c r="M1888" s="9">
        <v>104</v>
      </c>
      <c r="N1888" s="9" t="s">
        <v>49</v>
      </c>
      <c r="Q1888" s="9">
        <f>IF(Auction_Sales[[#This Row],[Payment Date]]=0,"",-1+WEEKNUM(Auction_Sales[[#This Row],[Payment Date]]))</f>
        <v>25</v>
      </c>
      <c r="R1888" s="9">
        <v>0</v>
      </c>
      <c r="S1888" s="9" t="s">
        <v>154</v>
      </c>
      <c r="T1888" s="9" t="s">
        <v>52</v>
      </c>
      <c r="U1888" s="9">
        <v>200</v>
      </c>
      <c r="V1888" s="13">
        <v>1.44</v>
      </c>
      <c r="W1888" s="13">
        <v>288</v>
      </c>
      <c r="X1888" s="14">
        <v>-13.124264705882338</v>
      </c>
      <c r="Y1888" s="13">
        <v>274.87573529411765</v>
      </c>
      <c r="Z1888" s="10">
        <v>45469</v>
      </c>
      <c r="AA1888" s="9">
        <v>0</v>
      </c>
      <c r="AC1888" s="9">
        <v>443555</v>
      </c>
      <c r="AD1888" s="14">
        <v>22.1962962962963</v>
      </c>
      <c r="AF1888" s="14">
        <v>4</v>
      </c>
      <c r="AH1888" s="14">
        <v>26.1962962962963</v>
      </c>
      <c r="AI1888" s="13">
        <v>248.67943899782134</v>
      </c>
      <c r="AK1888" s="9">
        <v>200</v>
      </c>
    </row>
    <row r="1889" spans="1:37">
      <c r="A1889" s="9">
        <v>24</v>
      </c>
      <c r="B1889" s="9">
        <v>2024</v>
      </c>
      <c r="C1889" s="9" t="s">
        <v>46</v>
      </c>
      <c r="D1889" s="9" t="s">
        <v>47</v>
      </c>
      <c r="E1889" s="9" t="s">
        <v>47</v>
      </c>
      <c r="F1889" s="10">
        <v>45456</v>
      </c>
      <c r="G1889" s="9" t="s">
        <v>154</v>
      </c>
      <c r="H1889" s="9" t="s">
        <v>48</v>
      </c>
      <c r="I1889" s="9">
        <v>1</v>
      </c>
      <c r="J1889" s="9">
        <v>6.666666666666667</v>
      </c>
      <c r="K1889" s="9">
        <v>200</v>
      </c>
      <c r="L1889" s="9">
        <v>0.47</v>
      </c>
      <c r="M1889" s="9">
        <v>94</v>
      </c>
      <c r="N1889" s="9" t="s">
        <v>49</v>
      </c>
      <c r="Q1889" s="9">
        <f>IF(Auction_Sales[[#This Row],[Payment Date]]=0,"",-1+WEEKNUM(Auction_Sales[[#This Row],[Payment Date]]))</f>
        <v>25</v>
      </c>
      <c r="R1889" s="9">
        <v>0</v>
      </c>
      <c r="S1889" s="9" t="s">
        <v>154</v>
      </c>
      <c r="T1889" s="9" t="s">
        <v>48</v>
      </c>
      <c r="U1889" s="9">
        <v>200</v>
      </c>
      <c r="V1889" s="13">
        <v>1.44</v>
      </c>
      <c r="W1889" s="13">
        <v>288</v>
      </c>
      <c r="X1889" s="14">
        <v>-13.124264705882338</v>
      </c>
      <c r="Y1889" s="13">
        <v>274.87573529411765</v>
      </c>
      <c r="Z1889" s="10">
        <v>45469</v>
      </c>
      <c r="AA1889" s="9">
        <v>0</v>
      </c>
      <c r="AC1889" s="9">
        <v>443555</v>
      </c>
      <c r="AD1889" s="14">
        <v>22.1962962962963</v>
      </c>
      <c r="AF1889" s="14">
        <v>4</v>
      </c>
      <c r="AH1889" s="14">
        <v>26.1962962962963</v>
      </c>
      <c r="AI1889" s="13">
        <v>248.67943899782134</v>
      </c>
      <c r="AK1889" s="9">
        <v>200</v>
      </c>
    </row>
    <row r="1890" spans="1:37">
      <c r="A1890" s="9">
        <v>24</v>
      </c>
      <c r="B1890" s="9">
        <v>2024</v>
      </c>
      <c r="C1890" s="9" t="s">
        <v>46</v>
      </c>
      <c r="D1890" s="9" t="s">
        <v>47</v>
      </c>
      <c r="E1890" s="9" t="s">
        <v>47</v>
      </c>
      <c r="F1890" s="10">
        <v>45456</v>
      </c>
      <c r="G1890" s="9" t="s">
        <v>154</v>
      </c>
      <c r="H1890" s="9" t="s">
        <v>51</v>
      </c>
      <c r="J1890" s="9">
        <v>5.333333333333333</v>
      </c>
      <c r="K1890" s="9">
        <v>160</v>
      </c>
      <c r="L1890" s="9">
        <v>0.38</v>
      </c>
      <c r="M1890" s="9">
        <v>60.8</v>
      </c>
      <c r="N1890" s="9" t="s">
        <v>49</v>
      </c>
      <c r="Q1890" s="9">
        <f>IF(Auction_Sales[[#This Row],[Payment Date]]=0,"",-1+WEEKNUM(Auction_Sales[[#This Row],[Payment Date]]))</f>
        <v>25</v>
      </c>
      <c r="R1890" s="9">
        <v>160</v>
      </c>
      <c r="S1890" s="9" t="s">
        <v>154</v>
      </c>
      <c r="T1890" s="9" t="s">
        <v>51</v>
      </c>
      <c r="W1890" s="13">
        <v>0</v>
      </c>
      <c r="X1890" s="14">
        <v>0</v>
      </c>
      <c r="Y1890" s="13">
        <v>0</v>
      </c>
      <c r="Z1890" s="10">
        <v>45469</v>
      </c>
      <c r="AA1890" s="9">
        <v>-160</v>
      </c>
      <c r="AC1890" s="9">
        <v>443555</v>
      </c>
      <c r="AD1890" s="14">
        <v>17.757037037037037</v>
      </c>
      <c r="AF1890" s="14">
        <v>0</v>
      </c>
      <c r="AH1890" s="14">
        <v>17.757037037037037</v>
      </c>
      <c r="AI1890" s="13">
        <v>-17.757037037037037</v>
      </c>
      <c r="AK1890" s="9">
        <v>0</v>
      </c>
    </row>
    <row r="1891" spans="1:37">
      <c r="A1891" s="9">
        <v>24</v>
      </c>
      <c r="B1891" s="9">
        <v>2024</v>
      </c>
      <c r="C1891" s="9" t="s">
        <v>46</v>
      </c>
      <c r="D1891" s="9" t="s">
        <v>47</v>
      </c>
      <c r="E1891" s="9" t="s">
        <v>47</v>
      </c>
      <c r="F1891" s="10">
        <v>45456</v>
      </c>
      <c r="G1891" s="9" t="s">
        <v>156</v>
      </c>
      <c r="H1891" s="9" t="s">
        <v>51</v>
      </c>
      <c r="I1891" s="9">
        <v>1</v>
      </c>
      <c r="J1891" s="9">
        <v>7.384615384615385</v>
      </c>
      <c r="K1891" s="9">
        <v>320</v>
      </c>
      <c r="L1891" s="9">
        <v>0.42</v>
      </c>
      <c r="M1891" s="9">
        <v>134.4</v>
      </c>
      <c r="N1891" s="9" t="s">
        <v>49</v>
      </c>
      <c r="Q1891" s="9">
        <f>IF(Auction_Sales[[#This Row],[Payment Date]]=0,"",-1+WEEKNUM(Auction_Sales[[#This Row],[Payment Date]]))</f>
        <v>25</v>
      </c>
      <c r="R1891" s="9">
        <v>0</v>
      </c>
      <c r="S1891" s="9" t="s">
        <v>156</v>
      </c>
      <c r="T1891" s="9" t="s">
        <v>51</v>
      </c>
      <c r="U1891" s="9">
        <v>320</v>
      </c>
      <c r="V1891" s="13">
        <v>0.71500000000000008</v>
      </c>
      <c r="W1891" s="13">
        <v>228.8</v>
      </c>
      <c r="X1891" s="14">
        <v>-20.998823529411737</v>
      </c>
      <c r="Y1891" s="13">
        <v>207.80117647058827</v>
      </c>
      <c r="Z1891" s="10">
        <v>45469</v>
      </c>
      <c r="AA1891" s="9">
        <v>0</v>
      </c>
      <c r="AC1891" s="9">
        <v>443555</v>
      </c>
      <c r="AD1891" s="14">
        <v>24.58666666666667</v>
      </c>
      <c r="AF1891" s="14">
        <v>6.4</v>
      </c>
      <c r="AH1891" s="14">
        <v>30.986666666666672</v>
      </c>
      <c r="AI1891" s="13">
        <v>176.8145098039216</v>
      </c>
      <c r="AK1891" s="9">
        <v>320</v>
      </c>
    </row>
    <row r="1892" spans="1:37">
      <c r="A1892" s="9">
        <v>24</v>
      </c>
      <c r="B1892" s="9">
        <v>2024</v>
      </c>
      <c r="C1892" s="9" t="s">
        <v>46</v>
      </c>
      <c r="D1892" s="9" t="s">
        <v>47</v>
      </c>
      <c r="E1892" s="9" t="s">
        <v>47</v>
      </c>
      <c r="F1892" s="10">
        <v>45456</v>
      </c>
      <c r="G1892" s="9" t="s">
        <v>156</v>
      </c>
      <c r="H1892" s="9" t="s">
        <v>48</v>
      </c>
      <c r="J1892" s="9">
        <v>4.6153846153846159</v>
      </c>
      <c r="K1892" s="9">
        <v>200</v>
      </c>
      <c r="L1892" s="9">
        <v>0.52</v>
      </c>
      <c r="M1892" s="9">
        <v>104</v>
      </c>
      <c r="N1892" s="9" t="s">
        <v>49</v>
      </c>
      <c r="Q1892" s="9">
        <f>IF(Auction_Sales[[#This Row],[Payment Date]]=0,"",-1+WEEKNUM(Auction_Sales[[#This Row],[Payment Date]]))</f>
        <v>25</v>
      </c>
      <c r="R1892" s="9">
        <v>0</v>
      </c>
      <c r="S1892" s="9" t="s">
        <v>156</v>
      </c>
      <c r="T1892" s="9" t="s">
        <v>48</v>
      </c>
      <c r="U1892" s="9">
        <v>200</v>
      </c>
      <c r="V1892" s="13">
        <v>1.028</v>
      </c>
      <c r="W1892" s="13">
        <v>205.6</v>
      </c>
      <c r="X1892" s="14">
        <v>-13.124264705882338</v>
      </c>
      <c r="Y1892" s="13">
        <v>192.47573529411767</v>
      </c>
      <c r="Z1892" s="10">
        <v>45469</v>
      </c>
      <c r="AA1892" s="9">
        <v>0</v>
      </c>
      <c r="AC1892" s="9">
        <v>443555</v>
      </c>
      <c r="AD1892" s="14">
        <v>15.366666666666669</v>
      </c>
      <c r="AF1892" s="14">
        <v>4</v>
      </c>
      <c r="AH1892" s="14">
        <v>19.366666666666667</v>
      </c>
      <c r="AI1892" s="13">
        <v>173.10906862745099</v>
      </c>
      <c r="AK1892" s="9">
        <v>200</v>
      </c>
    </row>
    <row r="1893" spans="1:37">
      <c r="A1893" s="9">
        <v>25</v>
      </c>
      <c r="B1893" s="9">
        <v>2024</v>
      </c>
      <c r="C1893" s="9" t="s">
        <v>46</v>
      </c>
      <c r="D1893" s="9" t="s">
        <v>47</v>
      </c>
      <c r="E1893" s="9" t="s">
        <v>47</v>
      </c>
      <c r="F1893" s="10">
        <v>45458</v>
      </c>
      <c r="G1893" s="9" t="s">
        <v>155</v>
      </c>
      <c r="H1893" s="9" t="s">
        <v>48</v>
      </c>
      <c r="I1893" s="9">
        <v>1</v>
      </c>
      <c r="J1893" s="9">
        <v>12</v>
      </c>
      <c r="K1893" s="9">
        <v>520</v>
      </c>
      <c r="L1893" s="9">
        <v>0.47</v>
      </c>
      <c r="M1893" s="9">
        <v>244.4</v>
      </c>
      <c r="N1893" s="9" t="s">
        <v>49</v>
      </c>
      <c r="Q1893" s="9">
        <f>IF(Auction_Sales[[#This Row],[Payment Date]]=0,"",-1+WEEKNUM(Auction_Sales[[#This Row],[Payment Date]]))</f>
        <v>25</v>
      </c>
      <c r="R1893" s="9">
        <v>0</v>
      </c>
      <c r="S1893" s="9" t="s">
        <v>155</v>
      </c>
      <c r="T1893" s="9" t="s">
        <v>48</v>
      </c>
      <c r="U1893" s="9">
        <v>520</v>
      </c>
      <c r="V1893" s="13">
        <v>0.84230769230769231</v>
      </c>
      <c r="W1893" s="13">
        <v>438</v>
      </c>
      <c r="X1893" s="14">
        <v>-30.086172839506176</v>
      </c>
      <c r="Y1893" s="13">
        <v>407.91382716049384</v>
      </c>
      <c r="Z1893" s="10">
        <v>45469</v>
      </c>
      <c r="AA1893" s="9">
        <v>0</v>
      </c>
      <c r="AC1893" s="9">
        <v>444365</v>
      </c>
      <c r="AD1893" s="14">
        <v>42.324285714285708</v>
      </c>
      <c r="AF1893" s="14">
        <v>10.4</v>
      </c>
      <c r="AH1893" s="14">
        <v>52.724285714285706</v>
      </c>
      <c r="AI1893" s="13">
        <v>355.18954144620812</v>
      </c>
      <c r="AK1893" s="9">
        <v>520</v>
      </c>
    </row>
    <row r="1894" spans="1:37">
      <c r="A1894" s="9">
        <v>25</v>
      </c>
      <c r="B1894" s="9">
        <v>2024</v>
      </c>
      <c r="C1894" s="9" t="s">
        <v>46</v>
      </c>
      <c r="D1894" s="9" t="s">
        <v>47</v>
      </c>
      <c r="E1894" s="9" t="s">
        <v>47</v>
      </c>
      <c r="F1894" s="10">
        <v>45458</v>
      </c>
      <c r="G1894" s="9" t="s">
        <v>153</v>
      </c>
      <c r="H1894" s="9" t="s">
        <v>52</v>
      </c>
      <c r="I1894" s="9">
        <v>1</v>
      </c>
      <c r="J1894" s="9">
        <v>12</v>
      </c>
      <c r="K1894" s="9">
        <v>480</v>
      </c>
      <c r="L1894" s="9">
        <v>0.28000000000000003</v>
      </c>
      <c r="M1894" s="9">
        <v>134.4</v>
      </c>
      <c r="N1894" s="9" t="s">
        <v>49</v>
      </c>
      <c r="Q1894" s="9">
        <f>IF(Auction_Sales[[#This Row],[Payment Date]]=0,"",-1+WEEKNUM(Auction_Sales[[#This Row],[Payment Date]]))</f>
        <v>25</v>
      </c>
      <c r="R1894" s="9">
        <v>0</v>
      </c>
      <c r="S1894" s="9" t="s">
        <v>153</v>
      </c>
      <c r="T1894" s="9" t="s">
        <v>52</v>
      </c>
      <c r="U1894" s="9">
        <v>480</v>
      </c>
      <c r="V1894" s="13">
        <v>0.89</v>
      </c>
      <c r="W1894" s="13">
        <v>427.2</v>
      </c>
      <c r="X1894" s="14">
        <v>-27.771851851851856</v>
      </c>
      <c r="Y1894" s="13">
        <v>399.42814814814813</v>
      </c>
      <c r="Z1894" s="10">
        <v>45469</v>
      </c>
      <c r="AA1894" s="9">
        <v>0</v>
      </c>
      <c r="AC1894" s="9">
        <v>443762</v>
      </c>
      <c r="AD1894" s="14">
        <v>42.324285714285708</v>
      </c>
      <c r="AF1894" s="14">
        <v>9.6</v>
      </c>
      <c r="AH1894" s="14">
        <v>51.924285714285709</v>
      </c>
      <c r="AI1894" s="13">
        <v>347.50386243386242</v>
      </c>
      <c r="AK1894" s="9">
        <v>480</v>
      </c>
    </row>
    <row r="1895" spans="1:37">
      <c r="A1895" s="9">
        <v>25</v>
      </c>
      <c r="B1895" s="9">
        <v>2024</v>
      </c>
      <c r="C1895" s="9" t="s">
        <v>46</v>
      </c>
      <c r="D1895" s="9" t="s">
        <v>47</v>
      </c>
      <c r="E1895" s="9" t="s">
        <v>47</v>
      </c>
      <c r="F1895" s="10">
        <v>45458</v>
      </c>
      <c r="G1895" s="9" t="s">
        <v>153</v>
      </c>
      <c r="H1895" s="9" t="s">
        <v>48</v>
      </c>
      <c r="I1895" s="9">
        <v>1</v>
      </c>
      <c r="J1895" s="9">
        <v>12</v>
      </c>
      <c r="K1895" s="9">
        <v>720</v>
      </c>
      <c r="L1895" s="9">
        <v>0.24</v>
      </c>
      <c r="M1895" s="9">
        <v>172.8</v>
      </c>
      <c r="N1895" s="9" t="s">
        <v>49</v>
      </c>
      <c r="Q1895" s="9">
        <f>IF(Auction_Sales[[#This Row],[Payment Date]]=0,"",-1+WEEKNUM(Auction_Sales[[#This Row],[Payment Date]]))</f>
        <v>25</v>
      </c>
      <c r="R1895" s="9">
        <v>0</v>
      </c>
      <c r="S1895" s="9" t="s">
        <v>153</v>
      </c>
      <c r="T1895" s="9" t="s">
        <v>48</v>
      </c>
      <c r="U1895" s="9">
        <v>720</v>
      </c>
      <c r="V1895" s="13">
        <v>0.84</v>
      </c>
      <c r="W1895" s="13">
        <v>604.79999999999995</v>
      </c>
      <c r="X1895" s="14">
        <v>-41.657777777777781</v>
      </c>
      <c r="Y1895" s="13">
        <v>563.14222222222213</v>
      </c>
      <c r="Z1895" s="10">
        <v>45469</v>
      </c>
      <c r="AA1895" s="9">
        <v>0</v>
      </c>
      <c r="AC1895" s="9">
        <v>443762</v>
      </c>
      <c r="AD1895" s="14">
        <v>42.324285714285708</v>
      </c>
      <c r="AF1895" s="14">
        <v>14.4</v>
      </c>
      <c r="AH1895" s="14">
        <v>56.724285714285706</v>
      </c>
      <c r="AI1895" s="13">
        <v>506.41793650793642</v>
      </c>
      <c r="AK1895" s="9">
        <v>720</v>
      </c>
    </row>
    <row r="1896" spans="1:37">
      <c r="A1896" s="9">
        <v>25</v>
      </c>
      <c r="B1896" s="9">
        <v>2024</v>
      </c>
      <c r="C1896" s="9" t="s">
        <v>46</v>
      </c>
      <c r="D1896" s="9" t="s">
        <v>47</v>
      </c>
      <c r="E1896" s="9" t="s">
        <v>47</v>
      </c>
      <c r="F1896" s="10">
        <v>45458</v>
      </c>
      <c r="G1896" s="9" t="s">
        <v>155</v>
      </c>
      <c r="H1896" s="9" t="s">
        <v>56</v>
      </c>
      <c r="I1896" s="9">
        <v>1</v>
      </c>
      <c r="J1896" s="9">
        <v>3.4285714285714284</v>
      </c>
      <c r="K1896" s="9">
        <v>80</v>
      </c>
      <c r="L1896" s="9">
        <v>0.75</v>
      </c>
      <c r="M1896" s="9">
        <v>60</v>
      </c>
      <c r="N1896" s="9" t="s">
        <v>49</v>
      </c>
      <c r="Q1896" s="9">
        <f>IF(Auction_Sales[[#This Row],[Payment Date]]=0,"",-1+WEEKNUM(Auction_Sales[[#This Row],[Payment Date]]))</f>
        <v>25</v>
      </c>
      <c r="R1896" s="9">
        <v>0</v>
      </c>
      <c r="S1896" s="9" t="s">
        <v>155</v>
      </c>
      <c r="T1896" s="9" t="s">
        <v>56</v>
      </c>
      <c r="U1896" s="9">
        <v>80</v>
      </c>
      <c r="V1896" s="13">
        <v>1.04</v>
      </c>
      <c r="W1896" s="13">
        <v>83.2</v>
      </c>
      <c r="X1896" s="14">
        <v>-4.6286419753086427</v>
      </c>
      <c r="Y1896" s="13">
        <v>78.571358024691364</v>
      </c>
      <c r="Z1896" s="10">
        <v>45469</v>
      </c>
      <c r="AA1896" s="9">
        <v>0</v>
      </c>
      <c r="AC1896" s="9">
        <v>443762</v>
      </c>
      <c r="AD1896" s="14">
        <v>12.092653061224489</v>
      </c>
      <c r="AF1896" s="14">
        <v>1.6</v>
      </c>
      <c r="AH1896" s="14">
        <v>13.692653061224489</v>
      </c>
      <c r="AI1896" s="13">
        <v>64.878704963466873</v>
      </c>
      <c r="AK1896" s="9">
        <v>80</v>
      </c>
    </row>
    <row r="1897" spans="1:37">
      <c r="A1897" s="9">
        <v>25</v>
      </c>
      <c r="B1897" s="9">
        <v>2024</v>
      </c>
      <c r="C1897" s="9" t="s">
        <v>46</v>
      </c>
      <c r="D1897" s="9" t="s">
        <v>47</v>
      </c>
      <c r="E1897" s="9" t="s">
        <v>47</v>
      </c>
      <c r="F1897" s="10">
        <v>45458</v>
      </c>
      <c r="G1897" s="9" t="s">
        <v>155</v>
      </c>
      <c r="H1897" s="9" t="s">
        <v>54</v>
      </c>
      <c r="J1897" s="9">
        <v>8.5714285714285712</v>
      </c>
      <c r="K1897" s="9">
        <v>200</v>
      </c>
      <c r="L1897" s="9">
        <v>0.56999999999999995</v>
      </c>
      <c r="M1897" s="9">
        <v>114</v>
      </c>
      <c r="N1897" s="9" t="s">
        <v>49</v>
      </c>
      <c r="Q1897" s="9">
        <f>IF(Auction_Sales[[#This Row],[Payment Date]]=0,"",-1+WEEKNUM(Auction_Sales[[#This Row],[Payment Date]]))</f>
        <v>25</v>
      </c>
      <c r="R1897" s="9">
        <v>0</v>
      </c>
      <c r="S1897" s="9" t="s">
        <v>155</v>
      </c>
      <c r="T1897" s="9" t="s">
        <v>54</v>
      </c>
      <c r="U1897" s="9">
        <v>200</v>
      </c>
      <c r="V1897" s="13">
        <v>1.06</v>
      </c>
      <c r="W1897" s="13">
        <v>212</v>
      </c>
      <c r="X1897" s="14">
        <v>-11.571604938271607</v>
      </c>
      <c r="Y1897" s="13">
        <v>200.42839506172839</v>
      </c>
      <c r="Z1897" s="10">
        <v>45469</v>
      </c>
      <c r="AA1897" s="9">
        <v>0</v>
      </c>
      <c r="AC1897" s="9">
        <v>443762</v>
      </c>
      <c r="AD1897" s="14">
        <v>30.231632653061222</v>
      </c>
      <c r="AF1897" s="14">
        <v>4</v>
      </c>
      <c r="AH1897" s="14">
        <v>34.231632653061226</v>
      </c>
      <c r="AI1897" s="13">
        <v>166.19676240866715</v>
      </c>
      <c r="AK1897" s="9">
        <v>200</v>
      </c>
    </row>
    <row r="1898" spans="1:37">
      <c r="A1898" s="9">
        <v>25</v>
      </c>
      <c r="B1898" s="9">
        <v>2024</v>
      </c>
      <c r="C1898" s="9" t="s">
        <v>46</v>
      </c>
      <c r="D1898" s="9" t="s">
        <v>47</v>
      </c>
      <c r="E1898" s="9" t="s">
        <v>47</v>
      </c>
      <c r="F1898" s="10">
        <v>45458</v>
      </c>
      <c r="G1898" s="9" t="s">
        <v>153</v>
      </c>
      <c r="H1898" s="9" t="s">
        <v>54</v>
      </c>
      <c r="I1898" s="9">
        <v>1</v>
      </c>
      <c r="J1898" s="9">
        <v>8</v>
      </c>
      <c r="K1898" s="9">
        <v>320</v>
      </c>
      <c r="L1898" s="9">
        <v>0.33</v>
      </c>
      <c r="M1898" s="9">
        <v>105.6</v>
      </c>
      <c r="N1898" s="9" t="s">
        <v>49</v>
      </c>
      <c r="Q1898" s="9">
        <f>IF(Auction_Sales[[#This Row],[Payment Date]]=0,"",-1+WEEKNUM(Auction_Sales[[#This Row],[Payment Date]]))</f>
        <v>25</v>
      </c>
      <c r="R1898" s="9">
        <v>0</v>
      </c>
      <c r="S1898" s="9" t="s">
        <v>153</v>
      </c>
      <c r="T1898" s="9" t="s">
        <v>54</v>
      </c>
      <c r="U1898" s="9">
        <v>320</v>
      </c>
      <c r="V1898" s="13">
        <v>0.88124999999999998</v>
      </c>
      <c r="W1898" s="13">
        <v>282</v>
      </c>
      <c r="X1898" s="14">
        <v>-18.514567901234571</v>
      </c>
      <c r="Y1898" s="13">
        <v>263.48543209876544</v>
      </c>
      <c r="Z1898" s="10">
        <v>45469</v>
      </c>
      <c r="AA1898" s="9">
        <v>0</v>
      </c>
      <c r="AC1898" s="9">
        <v>443762</v>
      </c>
      <c r="AD1898" s="14">
        <v>28.216190476190473</v>
      </c>
      <c r="AF1898" s="14">
        <v>6.4</v>
      </c>
      <c r="AH1898" s="14">
        <v>34.616190476190475</v>
      </c>
      <c r="AI1898" s="13">
        <v>228.86924162257498</v>
      </c>
      <c r="AK1898" s="9">
        <v>320</v>
      </c>
    </row>
    <row r="1899" spans="1:37">
      <c r="A1899" s="9">
        <v>25</v>
      </c>
      <c r="B1899" s="9">
        <v>2024</v>
      </c>
      <c r="C1899" s="9" t="s">
        <v>46</v>
      </c>
      <c r="D1899" s="9" t="s">
        <v>47</v>
      </c>
      <c r="E1899" s="9" t="s">
        <v>47</v>
      </c>
      <c r="F1899" s="10">
        <v>45458</v>
      </c>
      <c r="G1899" s="9" t="s">
        <v>153</v>
      </c>
      <c r="H1899" s="9" t="s">
        <v>56</v>
      </c>
      <c r="J1899" s="9">
        <v>4</v>
      </c>
      <c r="K1899" s="9">
        <v>160</v>
      </c>
      <c r="L1899" s="9">
        <v>0.38</v>
      </c>
      <c r="M1899" s="9">
        <v>60.8</v>
      </c>
      <c r="N1899" s="9" t="s">
        <v>49</v>
      </c>
      <c r="Q1899" s="9">
        <f>IF(Auction_Sales[[#This Row],[Payment Date]]=0,"",-1+WEEKNUM(Auction_Sales[[#This Row],[Payment Date]]))</f>
        <v>25</v>
      </c>
      <c r="R1899" s="9">
        <v>0</v>
      </c>
      <c r="S1899" s="9" t="s">
        <v>153</v>
      </c>
      <c r="T1899" s="9" t="s">
        <v>56</v>
      </c>
      <c r="U1899" s="9">
        <v>160</v>
      </c>
      <c r="V1899" s="13">
        <v>0.97499999999999998</v>
      </c>
      <c r="W1899" s="13">
        <v>156</v>
      </c>
      <c r="X1899" s="14">
        <v>-9.2572839506172855</v>
      </c>
      <c r="Y1899" s="13">
        <v>146.74271604938272</v>
      </c>
      <c r="Z1899" s="10">
        <v>45469</v>
      </c>
      <c r="AA1899" s="9">
        <v>0</v>
      </c>
      <c r="AC1899" s="9">
        <v>443762</v>
      </c>
      <c r="AD1899" s="14">
        <v>14.108095238095236</v>
      </c>
      <c r="AF1899" s="14">
        <v>3.2</v>
      </c>
      <c r="AH1899" s="14">
        <v>17.308095238095238</v>
      </c>
      <c r="AI1899" s="13">
        <v>129.43462081128749</v>
      </c>
      <c r="AK1899" s="9">
        <v>160</v>
      </c>
    </row>
    <row r="1900" spans="1:37">
      <c r="A1900" s="9">
        <v>25</v>
      </c>
      <c r="B1900" s="9">
        <v>2024</v>
      </c>
      <c r="C1900" s="9" t="s">
        <v>46</v>
      </c>
      <c r="D1900" s="9" t="s">
        <v>47</v>
      </c>
      <c r="E1900" s="9" t="s">
        <v>47</v>
      </c>
      <c r="F1900" s="10">
        <v>45458</v>
      </c>
      <c r="G1900" s="9" t="s">
        <v>154</v>
      </c>
      <c r="H1900" s="9" t="s">
        <v>52</v>
      </c>
      <c r="I1900" s="9">
        <v>1</v>
      </c>
      <c r="J1900" s="9">
        <v>7.5</v>
      </c>
      <c r="K1900" s="9">
        <v>200</v>
      </c>
      <c r="L1900" s="9">
        <v>0.52</v>
      </c>
      <c r="M1900" s="9">
        <v>104</v>
      </c>
      <c r="N1900" s="9" t="s">
        <v>49</v>
      </c>
      <c r="Q1900" s="9">
        <f>IF(Auction_Sales[[#This Row],[Payment Date]]=0,"",-1+WEEKNUM(Auction_Sales[[#This Row],[Payment Date]]))</f>
        <v>25</v>
      </c>
      <c r="R1900" s="9">
        <v>0</v>
      </c>
      <c r="S1900" s="9" t="s">
        <v>154</v>
      </c>
      <c r="T1900" s="9" t="s">
        <v>52</v>
      </c>
      <c r="U1900" s="9">
        <v>200</v>
      </c>
      <c r="V1900" s="13">
        <v>0.89400000000000002</v>
      </c>
      <c r="W1900" s="13">
        <v>178.8</v>
      </c>
      <c r="X1900" s="14">
        <v>-11.571604938271607</v>
      </c>
      <c r="Y1900" s="13">
        <v>167.22839506172841</v>
      </c>
      <c r="Z1900" s="10">
        <v>45469</v>
      </c>
      <c r="AA1900" s="9">
        <v>0</v>
      </c>
      <c r="AC1900" s="9">
        <v>443762</v>
      </c>
      <c r="AD1900" s="14">
        <v>26.452678571428571</v>
      </c>
      <c r="AF1900" s="14">
        <v>4</v>
      </c>
      <c r="AH1900" s="14">
        <v>30.452678571428571</v>
      </c>
      <c r="AI1900" s="13">
        <v>136.77571649029983</v>
      </c>
      <c r="AK1900" s="9">
        <v>200</v>
      </c>
    </row>
    <row r="1901" spans="1:37">
      <c r="A1901" s="9">
        <v>25</v>
      </c>
      <c r="B1901" s="9">
        <v>2024</v>
      </c>
      <c r="C1901" s="9" t="s">
        <v>46</v>
      </c>
      <c r="D1901" s="9" t="s">
        <v>47</v>
      </c>
      <c r="E1901" s="9" t="s">
        <v>47</v>
      </c>
      <c r="F1901" s="10">
        <v>45458</v>
      </c>
      <c r="G1901" s="9" t="s">
        <v>154</v>
      </c>
      <c r="H1901" s="9" t="s">
        <v>54</v>
      </c>
      <c r="J1901" s="9">
        <v>3</v>
      </c>
      <c r="K1901" s="9">
        <v>80</v>
      </c>
      <c r="L1901" s="9">
        <v>0.56999999999999995</v>
      </c>
      <c r="M1901" s="9">
        <v>45.6</v>
      </c>
      <c r="N1901" s="9" t="s">
        <v>49</v>
      </c>
      <c r="Q1901" s="9">
        <f>IF(Auction_Sales[[#This Row],[Payment Date]]=0,"",-1+WEEKNUM(Auction_Sales[[#This Row],[Payment Date]]))</f>
        <v>25</v>
      </c>
      <c r="R1901" s="9">
        <v>0</v>
      </c>
      <c r="S1901" s="9" t="s">
        <v>154</v>
      </c>
      <c r="T1901" s="9" t="s">
        <v>54</v>
      </c>
      <c r="U1901" s="9">
        <v>80</v>
      </c>
      <c r="V1901" s="13">
        <v>0.95500000000000007</v>
      </c>
      <c r="W1901" s="13">
        <v>76.400000000000006</v>
      </c>
      <c r="X1901" s="14">
        <v>-4.6286419753086427</v>
      </c>
      <c r="Y1901" s="13">
        <v>71.771358024691366</v>
      </c>
      <c r="Z1901" s="10">
        <v>45469</v>
      </c>
      <c r="AA1901" s="9">
        <v>0</v>
      </c>
      <c r="AC1901" s="9">
        <v>443762</v>
      </c>
      <c r="AD1901" s="14">
        <v>10.581071428571427</v>
      </c>
      <c r="AF1901" s="14">
        <v>1.6</v>
      </c>
      <c r="AH1901" s="14">
        <v>12.181071428571427</v>
      </c>
      <c r="AI1901" s="13">
        <v>59.590286596119938</v>
      </c>
      <c r="AK1901" s="9">
        <v>80</v>
      </c>
    </row>
    <row r="1902" spans="1:37">
      <c r="A1902" s="9">
        <v>25</v>
      </c>
      <c r="B1902" s="9">
        <v>2024</v>
      </c>
      <c r="C1902" s="9" t="s">
        <v>46</v>
      </c>
      <c r="D1902" s="9" t="s">
        <v>47</v>
      </c>
      <c r="E1902" s="9" t="s">
        <v>47</v>
      </c>
      <c r="F1902" s="10">
        <v>45458</v>
      </c>
      <c r="G1902" s="9" t="s">
        <v>154</v>
      </c>
      <c r="H1902" s="9" t="s">
        <v>57</v>
      </c>
      <c r="J1902" s="9">
        <v>1.5</v>
      </c>
      <c r="K1902" s="9">
        <v>40</v>
      </c>
      <c r="L1902" s="9">
        <v>0.94</v>
      </c>
      <c r="M1902" s="9">
        <v>37.6</v>
      </c>
      <c r="N1902" s="9" t="s">
        <v>49</v>
      </c>
      <c r="Q1902" s="9">
        <f>IF(Auction_Sales[[#This Row],[Payment Date]]=0,"",-1+WEEKNUM(Auction_Sales[[#This Row],[Payment Date]]))</f>
        <v>25</v>
      </c>
      <c r="R1902" s="9">
        <v>0</v>
      </c>
      <c r="S1902" s="9" t="s">
        <v>154</v>
      </c>
      <c r="T1902" s="9" t="s">
        <v>57</v>
      </c>
      <c r="U1902" s="9">
        <v>40</v>
      </c>
      <c r="V1902" s="13">
        <v>0.90999999999999992</v>
      </c>
      <c r="W1902" s="13">
        <v>36.4</v>
      </c>
      <c r="X1902" s="14">
        <v>-2.3143209876543214</v>
      </c>
      <c r="Y1902" s="13">
        <v>34.085679012345679</v>
      </c>
      <c r="Z1902" s="10">
        <v>45469</v>
      </c>
      <c r="AA1902" s="9">
        <v>0</v>
      </c>
      <c r="AC1902" s="9">
        <v>443762</v>
      </c>
      <c r="AD1902" s="14">
        <v>5.2905357142857135</v>
      </c>
      <c r="AF1902" s="14">
        <v>0.8</v>
      </c>
      <c r="AH1902" s="14">
        <v>6.0905357142857133</v>
      </c>
      <c r="AI1902" s="13">
        <v>27.995143298059965</v>
      </c>
      <c r="AK1902" s="9">
        <v>40</v>
      </c>
    </row>
    <row r="1903" spans="1:37">
      <c r="A1903" s="9">
        <v>25</v>
      </c>
      <c r="B1903" s="9">
        <v>2024</v>
      </c>
      <c r="C1903" s="9" t="s">
        <v>46</v>
      </c>
      <c r="D1903" s="9" t="s">
        <v>47</v>
      </c>
      <c r="E1903" s="9" t="s">
        <v>47</v>
      </c>
      <c r="F1903" s="10">
        <v>45458</v>
      </c>
      <c r="G1903" s="9" t="s">
        <v>154</v>
      </c>
      <c r="H1903" s="9" t="s">
        <v>51</v>
      </c>
      <c r="I1903" s="9">
        <v>1</v>
      </c>
      <c r="J1903" s="9">
        <v>7.6363636363636367</v>
      </c>
      <c r="K1903" s="9">
        <v>280</v>
      </c>
      <c r="L1903" s="9">
        <v>0.38</v>
      </c>
      <c r="M1903" s="9">
        <v>106.4</v>
      </c>
      <c r="N1903" s="9" t="s">
        <v>49</v>
      </c>
      <c r="Q1903" s="9">
        <f>IF(Auction_Sales[[#This Row],[Payment Date]]=0,"",-1+WEEKNUM(Auction_Sales[[#This Row],[Payment Date]]))</f>
        <v>25</v>
      </c>
      <c r="R1903" s="9">
        <v>0</v>
      </c>
      <c r="S1903" s="9" t="s">
        <v>154</v>
      </c>
      <c r="T1903" s="9" t="s">
        <v>51</v>
      </c>
      <c r="U1903" s="9">
        <v>280</v>
      </c>
      <c r="V1903" s="13">
        <v>0.50142857142857145</v>
      </c>
      <c r="W1903" s="13">
        <v>140.4</v>
      </c>
      <c r="X1903" s="14">
        <v>-16.200246913580251</v>
      </c>
      <c r="Y1903" s="13">
        <v>124.19975308641975</v>
      </c>
      <c r="Z1903" s="10">
        <v>45469</v>
      </c>
      <c r="AA1903" s="9">
        <v>0</v>
      </c>
      <c r="AC1903" s="9">
        <v>443762</v>
      </c>
      <c r="AD1903" s="14">
        <v>26.933636363636364</v>
      </c>
      <c r="AF1903" s="14">
        <v>5.6000000000000005</v>
      </c>
      <c r="AH1903" s="14">
        <v>32.533636363636361</v>
      </c>
      <c r="AI1903" s="13">
        <v>91.666116722783386</v>
      </c>
      <c r="AK1903" s="9">
        <v>280</v>
      </c>
    </row>
    <row r="1904" spans="1:37">
      <c r="A1904" s="9">
        <v>25</v>
      </c>
      <c r="B1904" s="9">
        <v>2024</v>
      </c>
      <c r="C1904" s="9" t="s">
        <v>46</v>
      </c>
      <c r="D1904" s="9" t="s">
        <v>47</v>
      </c>
      <c r="E1904" s="9" t="s">
        <v>47</v>
      </c>
      <c r="F1904" s="10">
        <v>45458</v>
      </c>
      <c r="G1904" s="9" t="s">
        <v>154</v>
      </c>
      <c r="H1904" s="9" t="s">
        <v>48</v>
      </c>
      <c r="J1904" s="9">
        <v>4.3636363636363633</v>
      </c>
      <c r="K1904" s="9">
        <v>160</v>
      </c>
      <c r="L1904" s="9">
        <v>0.47</v>
      </c>
      <c r="M1904" s="9">
        <v>75.2</v>
      </c>
      <c r="N1904" s="9" t="s">
        <v>49</v>
      </c>
      <c r="Q1904" s="9">
        <f>IF(Auction_Sales[[#This Row],[Payment Date]]=0,"",-1+WEEKNUM(Auction_Sales[[#This Row],[Payment Date]]))</f>
        <v>25</v>
      </c>
      <c r="R1904" s="9">
        <v>0</v>
      </c>
      <c r="S1904" s="9" t="s">
        <v>154</v>
      </c>
      <c r="T1904" s="9" t="s">
        <v>48</v>
      </c>
      <c r="U1904" s="9">
        <v>160</v>
      </c>
      <c r="V1904" s="13">
        <v>0.9</v>
      </c>
      <c r="W1904" s="13">
        <v>144</v>
      </c>
      <c r="X1904" s="14">
        <v>-9.2572839506172855</v>
      </c>
      <c r="Y1904" s="13">
        <v>134.74271604938272</v>
      </c>
      <c r="Z1904" s="10">
        <v>45469</v>
      </c>
      <c r="AA1904" s="9">
        <v>0</v>
      </c>
      <c r="AC1904" s="9">
        <v>443762</v>
      </c>
      <c r="AD1904" s="14">
        <v>15.390649350649349</v>
      </c>
      <c r="AF1904" s="14">
        <v>3.2</v>
      </c>
      <c r="AH1904" s="14">
        <v>18.59064935064935</v>
      </c>
      <c r="AI1904" s="13">
        <v>116.15206669873336</v>
      </c>
      <c r="AK1904" s="9">
        <v>160</v>
      </c>
    </row>
    <row r="1905" spans="1:37">
      <c r="A1905" s="9">
        <v>25</v>
      </c>
      <c r="B1905" s="9">
        <v>2024</v>
      </c>
      <c r="C1905" s="9" t="s">
        <v>46</v>
      </c>
      <c r="D1905" s="9" t="s">
        <v>47</v>
      </c>
      <c r="E1905" s="9" t="s">
        <v>47</v>
      </c>
      <c r="F1905" s="10">
        <v>45460</v>
      </c>
      <c r="G1905" s="9" t="s">
        <v>154</v>
      </c>
      <c r="H1905" s="9" t="s">
        <v>51</v>
      </c>
      <c r="I1905" s="9">
        <v>1</v>
      </c>
      <c r="J1905" s="9">
        <v>12</v>
      </c>
      <c r="K1905" s="9">
        <v>520</v>
      </c>
      <c r="L1905" s="9">
        <v>0.38</v>
      </c>
      <c r="M1905" s="9">
        <v>197.6</v>
      </c>
      <c r="N1905" s="9" t="s">
        <v>49</v>
      </c>
      <c r="Q1905" s="9">
        <f>IF(Auction_Sales[[#This Row],[Payment Date]]=0,"",-1+WEEKNUM(Auction_Sales[[#This Row],[Payment Date]]))</f>
        <v>25</v>
      </c>
      <c r="R1905" s="9">
        <v>-280</v>
      </c>
      <c r="S1905" s="9" t="s">
        <v>154</v>
      </c>
      <c r="T1905" s="9" t="s">
        <v>51</v>
      </c>
      <c r="U1905" s="9">
        <v>800</v>
      </c>
      <c r="V1905" s="13">
        <v>0.48</v>
      </c>
      <c r="W1905" s="13">
        <v>384</v>
      </c>
      <c r="X1905" s="14">
        <v>-51.893793103448338</v>
      </c>
      <c r="Y1905" s="13">
        <v>332.10620689655167</v>
      </c>
      <c r="Z1905" s="10">
        <v>45469</v>
      </c>
      <c r="AA1905" s="9">
        <v>280</v>
      </c>
      <c r="AC1905" s="9" t="s">
        <v>125</v>
      </c>
      <c r="AD1905" s="14">
        <v>43.583999999999996</v>
      </c>
      <c r="AF1905" s="14">
        <v>16</v>
      </c>
      <c r="AH1905" s="14">
        <v>59.583999999999996</v>
      </c>
      <c r="AI1905" s="13">
        <v>272.52220689655167</v>
      </c>
      <c r="AK1905" s="9">
        <v>800</v>
      </c>
    </row>
    <row r="1906" spans="1:37">
      <c r="A1906" s="9">
        <v>25</v>
      </c>
      <c r="B1906" s="9">
        <v>2024</v>
      </c>
      <c r="C1906" s="9" t="s">
        <v>46</v>
      </c>
      <c r="D1906" s="9" t="s">
        <v>47</v>
      </c>
      <c r="E1906" s="9" t="s">
        <v>47</v>
      </c>
      <c r="F1906" s="10">
        <v>45460</v>
      </c>
      <c r="G1906" s="9" t="s">
        <v>154</v>
      </c>
      <c r="H1906" s="9" t="s">
        <v>56</v>
      </c>
      <c r="I1906" s="9">
        <v>1</v>
      </c>
      <c r="J1906" s="9">
        <v>12</v>
      </c>
      <c r="K1906" s="9">
        <v>240</v>
      </c>
      <c r="L1906" s="9">
        <v>0.75</v>
      </c>
      <c r="M1906" s="9">
        <v>180</v>
      </c>
      <c r="N1906" s="9" t="s">
        <v>49</v>
      </c>
      <c r="Q1906" s="9">
        <f>IF(Auction_Sales[[#This Row],[Payment Date]]=0,"",-1+WEEKNUM(Auction_Sales[[#This Row],[Payment Date]]))</f>
        <v>25</v>
      </c>
      <c r="R1906" s="9">
        <v>-120</v>
      </c>
      <c r="S1906" s="9" t="s">
        <v>154</v>
      </c>
      <c r="T1906" s="9" t="s">
        <v>56</v>
      </c>
      <c r="U1906" s="9">
        <v>360</v>
      </c>
      <c r="V1906" s="13">
        <v>1.0866666666666667</v>
      </c>
      <c r="W1906" s="13">
        <v>391.2</v>
      </c>
      <c r="X1906" s="14">
        <v>-23.352206896551753</v>
      </c>
      <c r="Y1906" s="13">
        <v>367.84779310344823</v>
      </c>
      <c r="Z1906" s="10">
        <v>45469</v>
      </c>
      <c r="AA1906" s="9">
        <v>120</v>
      </c>
      <c r="AC1906" s="9" t="s">
        <v>125</v>
      </c>
      <c r="AD1906" s="14">
        <v>43.583999999999996</v>
      </c>
      <c r="AF1906" s="14">
        <v>7.2</v>
      </c>
      <c r="AH1906" s="14">
        <v>50.783999999999999</v>
      </c>
      <c r="AI1906" s="13">
        <v>317.06379310344823</v>
      </c>
      <c r="AK1906" s="9">
        <v>360</v>
      </c>
    </row>
    <row r="1907" spans="1:37">
      <c r="A1907" s="9">
        <v>25</v>
      </c>
      <c r="B1907" s="9">
        <v>2024</v>
      </c>
      <c r="C1907" s="9" t="s">
        <v>46</v>
      </c>
      <c r="D1907" s="9" t="s">
        <v>47</v>
      </c>
      <c r="E1907" s="9" t="s">
        <v>47</v>
      </c>
      <c r="F1907" s="10">
        <v>45460</v>
      </c>
      <c r="G1907" s="9" t="s">
        <v>154</v>
      </c>
      <c r="H1907" s="9" t="s">
        <v>57</v>
      </c>
      <c r="I1907" s="9">
        <v>1</v>
      </c>
      <c r="J1907" s="9">
        <v>12</v>
      </c>
      <c r="K1907" s="9">
        <v>200</v>
      </c>
      <c r="L1907" s="9">
        <v>0.94</v>
      </c>
      <c r="M1907" s="9">
        <v>188</v>
      </c>
      <c r="N1907" s="9" t="s">
        <v>49</v>
      </c>
      <c r="Q1907" s="9">
        <f>IF(Auction_Sales[[#This Row],[Payment Date]]=0,"",-1+WEEKNUM(Auction_Sales[[#This Row],[Payment Date]]))</f>
        <v>25</v>
      </c>
      <c r="R1907" s="9">
        <v>-40</v>
      </c>
      <c r="S1907" s="9" t="s">
        <v>154</v>
      </c>
      <c r="T1907" s="9" t="s">
        <v>57</v>
      </c>
      <c r="U1907" s="9">
        <v>240</v>
      </c>
      <c r="V1907" s="13">
        <v>1.02</v>
      </c>
      <c r="W1907" s="13">
        <v>244.8</v>
      </c>
      <c r="X1907" s="14">
        <v>-15.568137931034503</v>
      </c>
      <c r="Y1907" s="13">
        <v>229.23186206896551</v>
      </c>
      <c r="Z1907" s="10">
        <v>45469</v>
      </c>
      <c r="AA1907" s="9">
        <v>40</v>
      </c>
      <c r="AC1907" s="9" t="s">
        <v>125</v>
      </c>
      <c r="AD1907" s="14">
        <v>43.583999999999996</v>
      </c>
      <c r="AF1907" s="14">
        <v>4.8</v>
      </c>
      <c r="AH1907" s="14">
        <v>48.383999999999993</v>
      </c>
      <c r="AI1907" s="13">
        <v>180.84786206896553</v>
      </c>
      <c r="AK1907" s="9">
        <v>240</v>
      </c>
    </row>
    <row r="1908" spans="1:37">
      <c r="A1908" s="9">
        <v>25</v>
      </c>
      <c r="B1908" s="9">
        <v>2024</v>
      </c>
      <c r="C1908" s="9" t="s">
        <v>46</v>
      </c>
      <c r="D1908" s="9" t="s">
        <v>47</v>
      </c>
      <c r="E1908" s="9" t="s">
        <v>47</v>
      </c>
      <c r="F1908" s="10">
        <v>45460</v>
      </c>
      <c r="G1908" s="9" t="s">
        <v>155</v>
      </c>
      <c r="H1908" s="9" t="s">
        <v>51</v>
      </c>
      <c r="I1908" s="9">
        <v>1</v>
      </c>
      <c r="J1908" s="9">
        <v>12</v>
      </c>
      <c r="K1908" s="9">
        <v>760</v>
      </c>
      <c r="L1908" s="9">
        <v>0.38</v>
      </c>
      <c r="M1908" s="9">
        <v>288.8</v>
      </c>
      <c r="N1908" s="9" t="s">
        <v>49</v>
      </c>
      <c r="Q1908" s="9">
        <f>IF(Auction_Sales[[#This Row],[Payment Date]]=0,"",-1+WEEKNUM(Auction_Sales[[#This Row],[Payment Date]]))</f>
        <v>25</v>
      </c>
      <c r="R1908" s="9">
        <v>-40</v>
      </c>
      <c r="S1908" s="9" t="s">
        <v>155</v>
      </c>
      <c r="T1908" s="9" t="s">
        <v>51</v>
      </c>
      <c r="U1908" s="9">
        <v>800</v>
      </c>
      <c r="V1908" s="13">
        <v>0.64</v>
      </c>
      <c r="W1908" s="13">
        <v>512</v>
      </c>
      <c r="X1908" s="14">
        <v>-51.893793103448338</v>
      </c>
      <c r="Y1908" s="13">
        <v>460.10620689655167</v>
      </c>
      <c r="Z1908" s="10">
        <v>45469</v>
      </c>
      <c r="AA1908" s="9">
        <v>40</v>
      </c>
      <c r="AC1908" s="9" t="s">
        <v>125</v>
      </c>
      <c r="AD1908" s="14">
        <v>43.583999999999996</v>
      </c>
      <c r="AF1908" s="14">
        <v>16</v>
      </c>
      <c r="AH1908" s="14">
        <v>59.583999999999996</v>
      </c>
      <c r="AI1908" s="13">
        <v>400.52220689655167</v>
      </c>
      <c r="AK1908" s="9">
        <v>800</v>
      </c>
    </row>
    <row r="1909" spans="1:37">
      <c r="A1909" s="9">
        <v>25</v>
      </c>
      <c r="B1909" s="9">
        <v>2024</v>
      </c>
      <c r="C1909" s="9" t="s">
        <v>46</v>
      </c>
      <c r="D1909" s="9" t="s">
        <v>47</v>
      </c>
      <c r="E1909" s="9" t="s">
        <v>47</v>
      </c>
      <c r="F1909" s="10">
        <v>45460</v>
      </c>
      <c r="G1909" s="9" t="s">
        <v>155</v>
      </c>
      <c r="H1909" s="9" t="s">
        <v>48</v>
      </c>
      <c r="I1909" s="9">
        <v>1</v>
      </c>
      <c r="J1909" s="9">
        <v>12</v>
      </c>
      <c r="K1909" s="9">
        <v>520</v>
      </c>
      <c r="L1909" s="9">
        <v>0.47</v>
      </c>
      <c r="M1909" s="9">
        <v>244.4</v>
      </c>
      <c r="N1909" s="9" t="s">
        <v>49</v>
      </c>
      <c r="Q1909" s="9">
        <f>IF(Auction_Sales[[#This Row],[Payment Date]]=0,"",-1+WEEKNUM(Auction_Sales[[#This Row],[Payment Date]]))</f>
        <v>25</v>
      </c>
      <c r="R1909" s="9">
        <v>-200</v>
      </c>
      <c r="S1909" s="9" t="s">
        <v>155</v>
      </c>
      <c r="T1909" s="9" t="s">
        <v>48</v>
      </c>
      <c r="U1909" s="9">
        <v>720</v>
      </c>
      <c r="V1909" s="13">
        <v>1.0277777777777777</v>
      </c>
      <c r="W1909" s="13">
        <v>739.99999999999989</v>
      </c>
      <c r="X1909" s="14">
        <v>-46.704413793103505</v>
      </c>
      <c r="Y1909" s="13">
        <v>693.29558620689636</v>
      </c>
      <c r="Z1909" s="10">
        <v>45469</v>
      </c>
      <c r="AA1909" s="9">
        <v>200</v>
      </c>
      <c r="AC1909" s="9" t="s">
        <v>125</v>
      </c>
      <c r="AD1909" s="14">
        <v>43.583999999999996</v>
      </c>
      <c r="AF1909" s="14">
        <v>14.4</v>
      </c>
      <c r="AH1909" s="14">
        <v>57.983999999999995</v>
      </c>
      <c r="AI1909" s="13">
        <v>635.31158620689632</v>
      </c>
      <c r="AK1909" s="9">
        <v>720</v>
      </c>
    </row>
    <row r="1910" spans="1:37">
      <c r="A1910" s="9">
        <v>25</v>
      </c>
      <c r="B1910" s="9">
        <v>2024</v>
      </c>
      <c r="C1910" s="9" t="s">
        <v>46</v>
      </c>
      <c r="D1910" s="9" t="s">
        <v>47</v>
      </c>
      <c r="E1910" s="9" t="s">
        <v>47</v>
      </c>
      <c r="F1910" s="10">
        <v>45460</v>
      </c>
      <c r="G1910" s="9" t="s">
        <v>155</v>
      </c>
      <c r="H1910" s="9" t="s">
        <v>52</v>
      </c>
      <c r="I1910" s="9">
        <v>1</v>
      </c>
      <c r="J1910" s="9">
        <v>12</v>
      </c>
      <c r="K1910" s="9">
        <v>400</v>
      </c>
      <c r="L1910" s="9">
        <v>0.52</v>
      </c>
      <c r="M1910" s="9">
        <v>208</v>
      </c>
      <c r="N1910" s="9" t="s">
        <v>49</v>
      </c>
      <c r="Q1910" s="9">
        <f>IF(Auction_Sales[[#This Row],[Payment Date]]=0,"",-1+WEEKNUM(Auction_Sales[[#This Row],[Payment Date]]))</f>
        <v>25</v>
      </c>
      <c r="R1910" s="9">
        <v>-120</v>
      </c>
      <c r="S1910" s="9" t="s">
        <v>155</v>
      </c>
      <c r="T1910" s="9" t="s">
        <v>52</v>
      </c>
      <c r="U1910" s="9">
        <v>520</v>
      </c>
      <c r="V1910" s="13">
        <v>1.24</v>
      </c>
      <c r="W1910" s="13">
        <v>644.79999999999995</v>
      </c>
      <c r="X1910" s="14">
        <v>-33.730965517241422</v>
      </c>
      <c r="Y1910" s="13">
        <v>611.06903448275852</v>
      </c>
      <c r="Z1910" s="10">
        <v>45469</v>
      </c>
      <c r="AA1910" s="9">
        <v>120</v>
      </c>
      <c r="AC1910" s="9" t="s">
        <v>125</v>
      </c>
      <c r="AD1910" s="14">
        <v>43.583999999999996</v>
      </c>
      <c r="AF1910" s="14">
        <v>10.4</v>
      </c>
      <c r="AH1910" s="14">
        <v>53.983999999999995</v>
      </c>
      <c r="AI1910" s="13">
        <v>557.08503448275849</v>
      </c>
      <c r="AK1910" s="9">
        <v>520</v>
      </c>
    </row>
    <row r="1911" spans="1:37">
      <c r="A1911" s="9">
        <v>25</v>
      </c>
      <c r="B1911" s="9">
        <v>2024</v>
      </c>
      <c r="C1911" s="9" t="s">
        <v>46</v>
      </c>
      <c r="D1911" s="9" t="s">
        <v>47</v>
      </c>
      <c r="E1911" s="9" t="s">
        <v>47</v>
      </c>
      <c r="F1911" s="10">
        <v>45460</v>
      </c>
      <c r="G1911" s="9" t="s">
        <v>155</v>
      </c>
      <c r="H1911" s="9" t="s">
        <v>54</v>
      </c>
      <c r="I1911" s="9">
        <v>1</v>
      </c>
      <c r="J1911" s="9">
        <v>12</v>
      </c>
      <c r="K1911" s="9">
        <v>320</v>
      </c>
      <c r="L1911" s="9">
        <v>0.56999999999999995</v>
      </c>
      <c r="M1911" s="9">
        <v>182.4</v>
      </c>
      <c r="N1911" s="9" t="s">
        <v>49</v>
      </c>
      <c r="Q1911" s="9">
        <f>IF(Auction_Sales[[#This Row],[Payment Date]]=0,"",-1+WEEKNUM(Auction_Sales[[#This Row],[Payment Date]]))</f>
        <v>25</v>
      </c>
      <c r="R1911" s="9">
        <v>-40</v>
      </c>
      <c r="S1911" s="9" t="s">
        <v>155</v>
      </c>
      <c r="T1911" s="9" t="s">
        <v>54</v>
      </c>
      <c r="U1911" s="9">
        <v>360</v>
      </c>
      <c r="V1911" s="13">
        <v>1.19</v>
      </c>
      <c r="W1911" s="13">
        <v>428.4</v>
      </c>
      <c r="X1911" s="14">
        <v>-23.352206896551753</v>
      </c>
      <c r="Y1911" s="13">
        <v>405.04779310344821</v>
      </c>
      <c r="Z1911" s="10">
        <v>45469</v>
      </c>
      <c r="AA1911" s="9">
        <v>40</v>
      </c>
      <c r="AC1911" s="9" t="s">
        <v>125</v>
      </c>
      <c r="AD1911" s="14">
        <v>43.583999999999996</v>
      </c>
      <c r="AF1911" s="14">
        <v>7.2</v>
      </c>
      <c r="AH1911" s="14">
        <v>50.783999999999999</v>
      </c>
      <c r="AI1911" s="13">
        <v>354.26379310344822</v>
      </c>
      <c r="AK1911" s="9">
        <v>360</v>
      </c>
    </row>
    <row r="1912" spans="1:37">
      <c r="A1912" s="9">
        <v>25</v>
      </c>
      <c r="B1912" s="9">
        <v>2024</v>
      </c>
      <c r="C1912" s="9" t="s">
        <v>46</v>
      </c>
      <c r="D1912" s="9" t="s">
        <v>47</v>
      </c>
      <c r="E1912" s="9" t="s">
        <v>47</v>
      </c>
      <c r="F1912" s="10">
        <v>45460</v>
      </c>
      <c r="G1912" s="9" t="s">
        <v>155</v>
      </c>
      <c r="H1912" s="9" t="s">
        <v>56</v>
      </c>
      <c r="I1912" s="9">
        <v>1</v>
      </c>
      <c r="J1912" s="9">
        <v>12</v>
      </c>
      <c r="K1912" s="9">
        <v>240</v>
      </c>
      <c r="L1912" s="9">
        <v>0.75</v>
      </c>
      <c r="M1912" s="9">
        <v>180</v>
      </c>
      <c r="N1912" s="9" t="s">
        <v>49</v>
      </c>
      <c r="Q1912" s="9">
        <f>IF(Auction_Sales[[#This Row],[Payment Date]]=0,"",-1+WEEKNUM(Auction_Sales[[#This Row],[Payment Date]]))</f>
        <v>25</v>
      </c>
      <c r="R1912" s="9">
        <v>-120</v>
      </c>
      <c r="S1912" s="9" t="s">
        <v>155</v>
      </c>
      <c r="T1912" s="9" t="s">
        <v>56</v>
      </c>
      <c r="U1912" s="9">
        <v>360</v>
      </c>
      <c r="V1912" s="13">
        <v>1.27</v>
      </c>
      <c r="W1912" s="13">
        <v>457.2</v>
      </c>
      <c r="X1912" s="14">
        <v>-23.352206896551753</v>
      </c>
      <c r="Y1912" s="13">
        <v>433.84779310344823</v>
      </c>
      <c r="Z1912" s="10">
        <v>45469</v>
      </c>
      <c r="AA1912" s="9">
        <v>120</v>
      </c>
      <c r="AC1912" s="9" t="s">
        <v>125</v>
      </c>
      <c r="AD1912" s="14">
        <v>43.583999999999996</v>
      </c>
      <c r="AF1912" s="14">
        <v>7.2</v>
      </c>
      <c r="AH1912" s="14">
        <v>50.783999999999999</v>
      </c>
      <c r="AI1912" s="13">
        <v>383.06379310344823</v>
      </c>
      <c r="AK1912" s="9">
        <v>360</v>
      </c>
    </row>
    <row r="1913" spans="1:37">
      <c r="A1913" s="9">
        <v>25</v>
      </c>
      <c r="B1913" s="9">
        <v>2024</v>
      </c>
      <c r="C1913" s="9" t="s">
        <v>46</v>
      </c>
      <c r="D1913" s="9" t="s">
        <v>47</v>
      </c>
      <c r="E1913" s="9" t="s">
        <v>47</v>
      </c>
      <c r="F1913" s="10">
        <v>45460</v>
      </c>
      <c r="G1913" s="9" t="s">
        <v>154</v>
      </c>
      <c r="H1913" s="9" t="s">
        <v>48</v>
      </c>
      <c r="I1913" s="9">
        <v>1</v>
      </c>
      <c r="J1913" s="9">
        <v>5.5384615384615383</v>
      </c>
      <c r="K1913" s="9">
        <v>240</v>
      </c>
      <c r="L1913" s="9">
        <v>0.47</v>
      </c>
      <c r="M1913" s="9">
        <v>112.8</v>
      </c>
      <c r="N1913" s="9" t="s">
        <v>49</v>
      </c>
      <c r="Q1913" s="9">
        <f>IF(Auction_Sales[[#This Row],[Payment Date]]=0,"",-1+WEEKNUM(Auction_Sales[[#This Row],[Payment Date]]))</f>
        <v>25</v>
      </c>
      <c r="R1913" s="9">
        <v>0</v>
      </c>
      <c r="S1913" s="9" t="s">
        <v>154</v>
      </c>
      <c r="T1913" s="9" t="s">
        <v>48</v>
      </c>
      <c r="U1913" s="9">
        <v>240</v>
      </c>
      <c r="V1913" s="13">
        <v>0.98666666666666669</v>
      </c>
      <c r="W1913" s="13">
        <v>236.8</v>
      </c>
      <c r="X1913" s="14">
        <v>-15.568137931034503</v>
      </c>
      <c r="Y1913" s="13">
        <v>221.23186206896551</v>
      </c>
      <c r="Z1913" s="10">
        <v>45469</v>
      </c>
      <c r="AA1913" s="9">
        <v>0</v>
      </c>
      <c r="AC1913" s="9" t="s">
        <v>125</v>
      </c>
      <c r="AD1913" s="14">
        <v>20.115692307692306</v>
      </c>
      <c r="AF1913" s="14">
        <v>4.8</v>
      </c>
      <c r="AH1913" s="14">
        <v>24.915692307692307</v>
      </c>
      <c r="AI1913" s="13">
        <v>196.31616976127322</v>
      </c>
      <c r="AK1913" s="9">
        <v>240</v>
      </c>
    </row>
    <row r="1914" spans="1:37">
      <c r="A1914" s="9">
        <v>25</v>
      </c>
      <c r="B1914" s="9">
        <v>2024</v>
      </c>
      <c r="C1914" s="9" t="s">
        <v>46</v>
      </c>
      <c r="D1914" s="9" t="s">
        <v>47</v>
      </c>
      <c r="E1914" s="9" t="s">
        <v>47</v>
      </c>
      <c r="F1914" s="10">
        <v>45460</v>
      </c>
      <c r="G1914" s="9" t="s">
        <v>154</v>
      </c>
      <c r="H1914" s="9" t="s">
        <v>51</v>
      </c>
      <c r="J1914" s="9">
        <v>6.4615384615384617</v>
      </c>
      <c r="K1914" s="9">
        <v>280</v>
      </c>
      <c r="L1914" s="9">
        <v>0.38</v>
      </c>
      <c r="M1914" s="9">
        <v>106.4</v>
      </c>
      <c r="N1914" s="9" t="s">
        <v>49</v>
      </c>
      <c r="Q1914" s="9">
        <f>IF(Auction_Sales[[#This Row],[Payment Date]]=0,"",-1+WEEKNUM(Auction_Sales[[#This Row],[Payment Date]]))</f>
        <v>25</v>
      </c>
      <c r="R1914" s="9">
        <v>280</v>
      </c>
      <c r="S1914" s="9" t="s">
        <v>154</v>
      </c>
      <c r="T1914" s="9" t="s">
        <v>51</v>
      </c>
      <c r="W1914" s="13">
        <v>0</v>
      </c>
      <c r="X1914" s="14">
        <v>0</v>
      </c>
      <c r="Y1914" s="13">
        <v>0</v>
      </c>
      <c r="Z1914" s="10">
        <v>45469</v>
      </c>
      <c r="AA1914" s="9">
        <v>-280</v>
      </c>
      <c r="AC1914" s="9" t="s">
        <v>125</v>
      </c>
      <c r="AD1914" s="14">
        <v>23.46830769230769</v>
      </c>
      <c r="AF1914" s="14">
        <v>0</v>
      </c>
      <c r="AH1914" s="14">
        <v>23.46830769230769</v>
      </c>
      <c r="AI1914" s="13">
        <v>-23.46830769230769</v>
      </c>
      <c r="AK1914" s="9">
        <v>0</v>
      </c>
    </row>
    <row r="1915" spans="1:37">
      <c r="A1915" s="9">
        <v>25</v>
      </c>
      <c r="B1915" s="9">
        <v>2024</v>
      </c>
      <c r="C1915" s="9" t="s">
        <v>46</v>
      </c>
      <c r="D1915" s="9" t="s">
        <v>47</v>
      </c>
      <c r="E1915" s="9" t="s">
        <v>47</v>
      </c>
      <c r="F1915" s="10">
        <v>45460</v>
      </c>
      <c r="G1915" s="9" t="s">
        <v>154</v>
      </c>
      <c r="H1915" s="9" t="s">
        <v>57</v>
      </c>
      <c r="I1915" s="9">
        <v>1</v>
      </c>
      <c r="J1915" s="9">
        <v>1.5</v>
      </c>
      <c r="K1915" s="9">
        <v>40</v>
      </c>
      <c r="L1915" s="9">
        <v>0.94</v>
      </c>
      <c r="M1915" s="9">
        <v>37.6</v>
      </c>
      <c r="N1915" s="9" t="s">
        <v>49</v>
      </c>
      <c r="Q1915" s="9">
        <f>IF(Auction_Sales[[#This Row],[Payment Date]]=0,"",-1+WEEKNUM(Auction_Sales[[#This Row],[Payment Date]]))</f>
        <v>25</v>
      </c>
      <c r="R1915" s="9">
        <v>40</v>
      </c>
      <c r="S1915" s="9" t="s">
        <v>154</v>
      </c>
      <c r="T1915" s="9" t="s">
        <v>57</v>
      </c>
      <c r="W1915" s="13">
        <v>0</v>
      </c>
      <c r="X1915" s="14">
        <v>0</v>
      </c>
      <c r="Y1915" s="13">
        <v>0</v>
      </c>
      <c r="Z1915" s="10">
        <v>45469</v>
      </c>
      <c r="AA1915" s="9">
        <v>-40</v>
      </c>
      <c r="AC1915" s="9" t="s">
        <v>125</v>
      </c>
      <c r="AD1915" s="14">
        <v>5.4479999999999995</v>
      </c>
      <c r="AF1915" s="14">
        <v>0</v>
      </c>
      <c r="AH1915" s="14">
        <v>5.4479999999999995</v>
      </c>
      <c r="AI1915" s="13">
        <v>-5.4479999999999995</v>
      </c>
      <c r="AK1915" s="9">
        <v>0</v>
      </c>
    </row>
    <row r="1916" spans="1:37">
      <c r="A1916" s="9">
        <v>25</v>
      </c>
      <c r="B1916" s="9">
        <v>2024</v>
      </c>
      <c r="C1916" s="9" t="s">
        <v>46</v>
      </c>
      <c r="D1916" s="9" t="s">
        <v>47</v>
      </c>
      <c r="E1916" s="9" t="s">
        <v>47</v>
      </c>
      <c r="F1916" s="10">
        <v>45460</v>
      </c>
      <c r="G1916" s="9" t="s">
        <v>154</v>
      </c>
      <c r="H1916" s="9" t="s">
        <v>52</v>
      </c>
      <c r="J1916" s="9">
        <v>10.5</v>
      </c>
      <c r="K1916" s="9">
        <v>280</v>
      </c>
      <c r="L1916" s="9">
        <v>0.52</v>
      </c>
      <c r="M1916" s="9">
        <v>145.6</v>
      </c>
      <c r="N1916" s="9" t="s">
        <v>49</v>
      </c>
      <c r="Q1916" s="9">
        <f>IF(Auction_Sales[[#This Row],[Payment Date]]=0,"",-1+WEEKNUM(Auction_Sales[[#This Row],[Payment Date]]))</f>
        <v>25</v>
      </c>
      <c r="R1916" s="9">
        <v>0</v>
      </c>
      <c r="S1916" s="9" t="s">
        <v>154</v>
      </c>
      <c r="T1916" s="9" t="s">
        <v>52</v>
      </c>
      <c r="U1916" s="9">
        <v>280</v>
      </c>
      <c r="V1916" s="13">
        <v>1.18</v>
      </c>
      <c r="W1916" s="13">
        <v>330.4</v>
      </c>
      <c r="X1916" s="14">
        <v>-18.16282758620692</v>
      </c>
      <c r="Y1916" s="13">
        <v>312.23717241379308</v>
      </c>
      <c r="Z1916" s="10">
        <v>45469</v>
      </c>
      <c r="AA1916" s="9">
        <v>0</v>
      </c>
      <c r="AC1916" s="9" t="s">
        <v>125</v>
      </c>
      <c r="AD1916" s="14">
        <v>38.136000000000003</v>
      </c>
      <c r="AF1916" s="14">
        <v>5.6000000000000005</v>
      </c>
      <c r="AH1916" s="14">
        <v>43.736000000000004</v>
      </c>
      <c r="AI1916" s="13">
        <v>268.50117241379309</v>
      </c>
      <c r="AK1916" s="9">
        <v>280</v>
      </c>
    </row>
    <row r="1917" spans="1:37">
      <c r="A1917" s="9">
        <v>25</v>
      </c>
      <c r="B1917" s="9">
        <v>2024</v>
      </c>
      <c r="C1917" s="9" t="s">
        <v>46</v>
      </c>
      <c r="D1917" s="9" t="s">
        <v>47</v>
      </c>
      <c r="E1917" s="9" t="s">
        <v>47</v>
      </c>
      <c r="F1917" s="10">
        <v>45460</v>
      </c>
      <c r="G1917" s="9" t="s">
        <v>153</v>
      </c>
      <c r="H1917" s="9" t="s">
        <v>52</v>
      </c>
      <c r="I1917" s="9">
        <v>1</v>
      </c>
      <c r="J1917" s="9">
        <v>4.8000000000000007</v>
      </c>
      <c r="K1917" s="9">
        <v>240</v>
      </c>
      <c r="L1917" s="9">
        <v>0.28000000000000003</v>
      </c>
      <c r="M1917" s="9">
        <v>67.2</v>
      </c>
      <c r="N1917" s="9" t="s">
        <v>49</v>
      </c>
      <c r="Q1917" s="9">
        <f>IF(Auction_Sales[[#This Row],[Payment Date]]=0,"",-1+WEEKNUM(Auction_Sales[[#This Row],[Payment Date]]))</f>
        <v>25</v>
      </c>
      <c r="R1917" s="9">
        <v>0</v>
      </c>
      <c r="S1917" s="9" t="s">
        <v>153</v>
      </c>
      <c r="T1917" s="9" t="s">
        <v>52</v>
      </c>
      <c r="U1917" s="9">
        <v>240</v>
      </c>
      <c r="V1917" s="13">
        <v>0.78833333333333333</v>
      </c>
      <c r="W1917" s="13">
        <v>189.2</v>
      </c>
      <c r="X1917" s="14">
        <v>-15.568137931034503</v>
      </c>
      <c r="Y1917" s="13">
        <v>173.63186206896549</v>
      </c>
      <c r="Z1917" s="10">
        <v>45469</v>
      </c>
      <c r="AA1917" s="9">
        <v>0</v>
      </c>
      <c r="AC1917" s="9" t="s">
        <v>125</v>
      </c>
      <c r="AD1917" s="14">
        <v>17.433600000000002</v>
      </c>
      <c r="AF1917" s="14">
        <v>4.8</v>
      </c>
      <c r="AH1917" s="14">
        <v>22.233600000000003</v>
      </c>
      <c r="AI1917" s="13">
        <v>151.39826206896549</v>
      </c>
      <c r="AK1917" s="9">
        <v>240</v>
      </c>
    </row>
    <row r="1918" spans="1:37">
      <c r="A1918" s="9">
        <v>25</v>
      </c>
      <c r="B1918" s="9">
        <v>2024</v>
      </c>
      <c r="C1918" s="9" t="s">
        <v>46</v>
      </c>
      <c r="D1918" s="9" t="s">
        <v>47</v>
      </c>
      <c r="E1918" s="9" t="s">
        <v>47</v>
      </c>
      <c r="F1918" s="10">
        <v>45460</v>
      </c>
      <c r="G1918" s="9" t="s">
        <v>153</v>
      </c>
      <c r="H1918" s="9" t="s">
        <v>56</v>
      </c>
      <c r="J1918" s="9">
        <v>2.4000000000000004</v>
      </c>
      <c r="K1918" s="9">
        <v>120</v>
      </c>
      <c r="L1918" s="9">
        <v>0.38</v>
      </c>
      <c r="M1918" s="9">
        <v>45.6</v>
      </c>
      <c r="N1918" s="9" t="s">
        <v>49</v>
      </c>
      <c r="Q1918" s="9">
        <f>IF(Auction_Sales[[#This Row],[Payment Date]]=0,"",-1+WEEKNUM(Auction_Sales[[#This Row],[Payment Date]]))</f>
        <v>25</v>
      </c>
      <c r="R1918" s="9">
        <v>0</v>
      </c>
      <c r="S1918" s="9" t="s">
        <v>153</v>
      </c>
      <c r="T1918" s="9" t="s">
        <v>56</v>
      </c>
      <c r="U1918" s="9">
        <v>120</v>
      </c>
      <c r="V1918" s="13">
        <v>0.75</v>
      </c>
      <c r="W1918" s="13">
        <v>90</v>
      </c>
      <c r="X1918" s="14">
        <v>-7.7840689655172515</v>
      </c>
      <c r="Y1918" s="13">
        <v>82.21593103448275</v>
      </c>
      <c r="Z1918" s="10">
        <v>45469</v>
      </c>
      <c r="AA1918" s="9">
        <v>0</v>
      </c>
      <c r="AC1918" s="9" t="s">
        <v>125</v>
      </c>
      <c r="AD1918" s="14">
        <v>8.716800000000001</v>
      </c>
      <c r="AF1918" s="14">
        <v>2.4</v>
      </c>
      <c r="AH1918" s="14">
        <v>11.116800000000001</v>
      </c>
      <c r="AI1918" s="13">
        <v>71.099131034482753</v>
      </c>
      <c r="AK1918" s="9">
        <v>120</v>
      </c>
    </row>
    <row r="1919" spans="1:37">
      <c r="A1919" s="9">
        <v>25</v>
      </c>
      <c r="B1919" s="9">
        <v>2024</v>
      </c>
      <c r="C1919" s="9" t="s">
        <v>46</v>
      </c>
      <c r="D1919" s="9" t="s">
        <v>47</v>
      </c>
      <c r="E1919" s="9" t="s">
        <v>47</v>
      </c>
      <c r="F1919" s="10">
        <v>45460</v>
      </c>
      <c r="G1919" s="9" t="s">
        <v>153</v>
      </c>
      <c r="H1919" s="9" t="s">
        <v>54</v>
      </c>
      <c r="J1919" s="9">
        <v>4.8000000000000007</v>
      </c>
      <c r="K1919" s="9">
        <v>240</v>
      </c>
      <c r="L1919" s="9">
        <v>0.33</v>
      </c>
      <c r="M1919" s="9">
        <v>79.2</v>
      </c>
      <c r="N1919" s="9" t="s">
        <v>49</v>
      </c>
      <c r="Q1919" s="9">
        <f>IF(Auction_Sales[[#This Row],[Payment Date]]=0,"",-1+WEEKNUM(Auction_Sales[[#This Row],[Payment Date]]))</f>
        <v>25</v>
      </c>
      <c r="R1919" s="9">
        <v>0</v>
      </c>
      <c r="S1919" s="9" t="s">
        <v>153</v>
      </c>
      <c r="T1919" s="9" t="s">
        <v>54</v>
      </c>
      <c r="U1919" s="9">
        <v>240</v>
      </c>
      <c r="V1919" s="13">
        <v>0.73</v>
      </c>
      <c r="W1919" s="13">
        <v>175.2</v>
      </c>
      <c r="X1919" s="14">
        <v>-15.568137931034503</v>
      </c>
      <c r="Y1919" s="13">
        <v>159.63186206896549</v>
      </c>
      <c r="Z1919" s="10">
        <v>45469</v>
      </c>
      <c r="AA1919" s="9">
        <v>0</v>
      </c>
      <c r="AC1919" s="9" t="s">
        <v>125</v>
      </c>
      <c r="AD1919" s="14">
        <v>17.433600000000002</v>
      </c>
      <c r="AF1919" s="14">
        <v>4.8</v>
      </c>
      <c r="AH1919" s="14">
        <v>22.233600000000003</v>
      </c>
      <c r="AI1919" s="13">
        <v>137.39826206896549</v>
      </c>
      <c r="AK1919" s="9">
        <v>240</v>
      </c>
    </row>
    <row r="1920" spans="1:37">
      <c r="A1920" s="9">
        <v>25</v>
      </c>
      <c r="B1920" s="9">
        <v>2024</v>
      </c>
      <c r="C1920" s="9" t="s">
        <v>46</v>
      </c>
      <c r="D1920" s="9" t="s">
        <v>47</v>
      </c>
      <c r="E1920" s="9" t="s">
        <v>47</v>
      </c>
      <c r="F1920" s="10">
        <v>45460</v>
      </c>
      <c r="G1920" s="9" t="s">
        <v>154</v>
      </c>
      <c r="H1920" s="9" t="s">
        <v>56</v>
      </c>
      <c r="I1920" s="9">
        <v>1</v>
      </c>
      <c r="J1920" s="9">
        <v>6</v>
      </c>
      <c r="K1920" s="9">
        <v>120</v>
      </c>
      <c r="L1920" s="9">
        <v>0.75</v>
      </c>
      <c r="M1920" s="9">
        <v>90</v>
      </c>
      <c r="N1920" s="9" t="s">
        <v>49</v>
      </c>
      <c r="Q1920" s="9">
        <f>IF(Auction_Sales[[#This Row],[Payment Date]]=0,"",-1+WEEKNUM(Auction_Sales[[#This Row],[Payment Date]]))</f>
        <v>25</v>
      </c>
      <c r="R1920" s="9">
        <v>120</v>
      </c>
      <c r="S1920" s="9" t="s">
        <v>154</v>
      </c>
      <c r="T1920" s="9" t="s">
        <v>56</v>
      </c>
      <c r="W1920" s="13">
        <v>0</v>
      </c>
      <c r="X1920" s="14">
        <v>0</v>
      </c>
      <c r="Y1920" s="13">
        <v>0</v>
      </c>
      <c r="Z1920" s="10">
        <v>45469</v>
      </c>
      <c r="AA1920" s="9">
        <v>-120</v>
      </c>
      <c r="AC1920" s="9" t="s">
        <v>125</v>
      </c>
      <c r="AD1920" s="14">
        <v>21.791999999999998</v>
      </c>
      <c r="AF1920" s="14">
        <v>0</v>
      </c>
      <c r="AH1920" s="14">
        <v>21.791999999999998</v>
      </c>
      <c r="AI1920" s="13">
        <v>-21.791999999999998</v>
      </c>
      <c r="AK1920" s="9">
        <v>0</v>
      </c>
    </row>
    <row r="1921" spans="1:37">
      <c r="A1921" s="9">
        <v>25</v>
      </c>
      <c r="B1921" s="9">
        <v>2024</v>
      </c>
      <c r="C1921" s="9" t="s">
        <v>46</v>
      </c>
      <c r="D1921" s="9" t="s">
        <v>47</v>
      </c>
      <c r="E1921" s="9" t="s">
        <v>47</v>
      </c>
      <c r="F1921" s="10">
        <v>45460</v>
      </c>
      <c r="G1921" s="9" t="s">
        <v>154</v>
      </c>
      <c r="H1921" s="9" t="s">
        <v>54</v>
      </c>
      <c r="J1921" s="9">
        <v>6</v>
      </c>
      <c r="K1921" s="9">
        <v>120</v>
      </c>
      <c r="L1921" s="9">
        <v>0.56999999999999995</v>
      </c>
      <c r="M1921" s="9">
        <v>68.400000000000006</v>
      </c>
      <c r="N1921" s="9" t="s">
        <v>49</v>
      </c>
      <c r="Q1921" s="9">
        <f>IF(Auction_Sales[[#This Row],[Payment Date]]=0,"",-1+WEEKNUM(Auction_Sales[[#This Row],[Payment Date]]))</f>
        <v>25</v>
      </c>
      <c r="R1921" s="9">
        <v>0</v>
      </c>
      <c r="S1921" s="9" t="s">
        <v>154</v>
      </c>
      <c r="T1921" s="9" t="s">
        <v>54</v>
      </c>
      <c r="U1921" s="9">
        <v>120</v>
      </c>
      <c r="V1921" s="13">
        <v>1.45</v>
      </c>
      <c r="W1921" s="13">
        <v>174</v>
      </c>
      <c r="X1921" s="14">
        <v>-7.7840689655172515</v>
      </c>
      <c r="Y1921" s="13">
        <v>166.21593103448274</v>
      </c>
      <c r="Z1921" s="10">
        <v>45469</v>
      </c>
      <c r="AA1921" s="9">
        <v>0</v>
      </c>
      <c r="AC1921" s="9" t="s">
        <v>125</v>
      </c>
      <c r="AD1921" s="14">
        <v>21.791999999999998</v>
      </c>
      <c r="AF1921" s="14">
        <v>2.4</v>
      </c>
      <c r="AH1921" s="14">
        <v>24.191999999999997</v>
      </c>
      <c r="AI1921" s="13">
        <v>142.02393103448273</v>
      </c>
      <c r="AK1921" s="9">
        <v>120</v>
      </c>
    </row>
    <row r="1922" spans="1:37">
      <c r="A1922" s="9">
        <v>25</v>
      </c>
      <c r="B1922" s="9">
        <v>2024</v>
      </c>
      <c r="C1922" s="9" t="s">
        <v>46</v>
      </c>
      <c r="D1922" s="9" t="s">
        <v>47</v>
      </c>
      <c r="E1922" s="9" t="s">
        <v>47</v>
      </c>
      <c r="F1922" s="10">
        <v>45460</v>
      </c>
      <c r="G1922" s="9" t="s">
        <v>155</v>
      </c>
      <c r="H1922" s="9" t="s">
        <v>56</v>
      </c>
      <c r="I1922" s="9">
        <v>1</v>
      </c>
      <c r="J1922" s="9">
        <v>4</v>
      </c>
      <c r="K1922" s="9">
        <v>80</v>
      </c>
      <c r="L1922" s="9">
        <v>0.75</v>
      </c>
      <c r="M1922" s="9">
        <v>60</v>
      </c>
      <c r="N1922" s="9" t="s">
        <v>49</v>
      </c>
      <c r="Q1922" s="9">
        <f>IF(Auction_Sales[[#This Row],[Payment Date]]=0,"",-1+WEEKNUM(Auction_Sales[[#This Row],[Payment Date]]))</f>
        <v>25</v>
      </c>
      <c r="R1922" s="9">
        <v>80</v>
      </c>
      <c r="S1922" s="9" t="s">
        <v>155</v>
      </c>
      <c r="T1922" s="9" t="s">
        <v>56</v>
      </c>
      <c r="W1922" s="13">
        <v>0</v>
      </c>
      <c r="X1922" s="14">
        <v>0</v>
      </c>
      <c r="Y1922" s="13">
        <v>0</v>
      </c>
      <c r="Z1922" s="10">
        <v>45469</v>
      </c>
      <c r="AA1922" s="9">
        <v>-80</v>
      </c>
      <c r="AC1922" s="9" t="s">
        <v>125</v>
      </c>
      <c r="AD1922" s="14">
        <v>14.528</v>
      </c>
      <c r="AF1922" s="14">
        <v>0</v>
      </c>
      <c r="AH1922" s="14">
        <v>14.528</v>
      </c>
      <c r="AI1922" s="13">
        <v>-14.528</v>
      </c>
      <c r="AK1922" s="9">
        <v>0</v>
      </c>
    </row>
    <row r="1923" spans="1:37">
      <c r="A1923" s="9">
        <v>25</v>
      </c>
      <c r="B1923" s="9">
        <v>2024</v>
      </c>
      <c r="C1923" s="9" t="s">
        <v>46</v>
      </c>
      <c r="D1923" s="9" t="s">
        <v>47</v>
      </c>
      <c r="E1923" s="9" t="s">
        <v>47</v>
      </c>
      <c r="F1923" s="10">
        <v>45460</v>
      </c>
      <c r="G1923" s="9" t="s">
        <v>155</v>
      </c>
      <c r="H1923" s="9" t="s">
        <v>54</v>
      </c>
      <c r="J1923" s="9">
        <v>2</v>
      </c>
      <c r="K1923" s="9">
        <v>40</v>
      </c>
      <c r="L1923" s="9">
        <v>0.56999999999999995</v>
      </c>
      <c r="M1923" s="9">
        <v>22.8</v>
      </c>
      <c r="N1923" s="9" t="s">
        <v>49</v>
      </c>
      <c r="Q1923" s="9">
        <f>IF(Auction_Sales[[#This Row],[Payment Date]]=0,"",-1+WEEKNUM(Auction_Sales[[#This Row],[Payment Date]]))</f>
        <v>25</v>
      </c>
      <c r="R1923" s="9">
        <v>40</v>
      </c>
      <c r="S1923" s="9" t="s">
        <v>155</v>
      </c>
      <c r="T1923" s="9" t="s">
        <v>54</v>
      </c>
      <c r="W1923" s="13">
        <v>0</v>
      </c>
      <c r="X1923" s="14">
        <v>0</v>
      </c>
      <c r="Y1923" s="13">
        <v>0</v>
      </c>
      <c r="Z1923" s="10">
        <v>45469</v>
      </c>
      <c r="AA1923" s="9">
        <v>-40</v>
      </c>
      <c r="AC1923" s="9" t="s">
        <v>125</v>
      </c>
      <c r="AD1923" s="14">
        <v>7.2640000000000002</v>
      </c>
      <c r="AF1923" s="14">
        <v>0</v>
      </c>
      <c r="AH1923" s="14">
        <v>7.2640000000000002</v>
      </c>
      <c r="AI1923" s="13">
        <v>-7.2640000000000002</v>
      </c>
      <c r="AK1923" s="9">
        <v>0</v>
      </c>
    </row>
    <row r="1924" spans="1:37">
      <c r="A1924" s="9">
        <v>25</v>
      </c>
      <c r="B1924" s="9">
        <v>2024</v>
      </c>
      <c r="C1924" s="9" t="s">
        <v>46</v>
      </c>
      <c r="D1924" s="9" t="s">
        <v>47</v>
      </c>
      <c r="E1924" s="9" t="s">
        <v>47</v>
      </c>
      <c r="F1924" s="10">
        <v>45460</v>
      </c>
      <c r="G1924" s="9" t="s">
        <v>155</v>
      </c>
      <c r="H1924" s="9" t="s">
        <v>57</v>
      </c>
      <c r="J1924" s="9">
        <v>6</v>
      </c>
      <c r="K1924" s="9">
        <v>120</v>
      </c>
      <c r="L1924" s="9">
        <v>0.94</v>
      </c>
      <c r="M1924" s="9">
        <v>112.8</v>
      </c>
      <c r="N1924" s="9" t="s">
        <v>49</v>
      </c>
      <c r="Q1924" s="9">
        <f>IF(Auction_Sales[[#This Row],[Payment Date]]=0,"",-1+WEEKNUM(Auction_Sales[[#This Row],[Payment Date]]))</f>
        <v>25</v>
      </c>
      <c r="R1924" s="9">
        <v>40</v>
      </c>
      <c r="S1924" s="9" t="s">
        <v>155</v>
      </c>
      <c r="T1924" s="9" t="s">
        <v>57</v>
      </c>
      <c r="U1924" s="9">
        <v>80</v>
      </c>
      <c r="V1924" s="13">
        <v>1.345</v>
      </c>
      <c r="W1924" s="13">
        <v>107.6</v>
      </c>
      <c r="X1924" s="14">
        <v>-5.189379310344834</v>
      </c>
      <c r="Y1924" s="13">
        <v>102.41062068965516</v>
      </c>
      <c r="Z1924" s="10">
        <v>45469</v>
      </c>
      <c r="AA1924" s="9">
        <v>-40</v>
      </c>
      <c r="AC1924" s="9" t="s">
        <v>125</v>
      </c>
      <c r="AD1924" s="14">
        <v>21.791999999999998</v>
      </c>
      <c r="AF1924" s="14">
        <v>1.6</v>
      </c>
      <c r="AH1924" s="14">
        <v>23.391999999999999</v>
      </c>
      <c r="AI1924" s="13">
        <v>79.018620689655165</v>
      </c>
      <c r="AK1924" s="9">
        <v>80</v>
      </c>
    </row>
    <row r="1925" spans="1:37">
      <c r="A1925" s="9">
        <v>25</v>
      </c>
      <c r="B1925" s="9">
        <v>2024</v>
      </c>
      <c r="C1925" s="9" t="s">
        <v>46</v>
      </c>
      <c r="D1925" s="9" t="s">
        <v>47</v>
      </c>
      <c r="E1925" s="9" t="s">
        <v>47</v>
      </c>
      <c r="F1925" s="10">
        <v>45460</v>
      </c>
      <c r="G1925" s="9" t="s">
        <v>155</v>
      </c>
      <c r="H1925" s="9" t="s">
        <v>48</v>
      </c>
      <c r="I1925" s="9">
        <v>1</v>
      </c>
      <c r="J1925" s="9">
        <v>6.666666666666667</v>
      </c>
      <c r="K1925" s="9">
        <v>200</v>
      </c>
      <c r="L1925" s="9">
        <v>0.47</v>
      </c>
      <c r="M1925" s="9">
        <v>94</v>
      </c>
      <c r="N1925" s="9" t="s">
        <v>49</v>
      </c>
      <c r="Q1925" s="9">
        <f>IF(Auction_Sales[[#This Row],[Payment Date]]=0,"",-1+WEEKNUM(Auction_Sales[[#This Row],[Payment Date]]))</f>
        <v>25</v>
      </c>
      <c r="R1925" s="9">
        <v>200</v>
      </c>
      <c r="S1925" s="9" t="s">
        <v>155</v>
      </c>
      <c r="T1925" s="9" t="s">
        <v>48</v>
      </c>
      <c r="W1925" s="13">
        <v>0</v>
      </c>
      <c r="X1925" s="14">
        <v>0</v>
      </c>
      <c r="Y1925" s="13">
        <v>0</v>
      </c>
      <c r="Z1925" s="10">
        <v>45469</v>
      </c>
      <c r="AA1925" s="9">
        <v>-200</v>
      </c>
      <c r="AC1925" s="9" t="s">
        <v>125</v>
      </c>
      <c r="AD1925" s="14">
        <v>24.213333333333335</v>
      </c>
      <c r="AF1925" s="14">
        <v>0</v>
      </c>
      <c r="AH1925" s="14">
        <v>24.213333333333335</v>
      </c>
      <c r="AI1925" s="13">
        <v>-24.213333333333335</v>
      </c>
      <c r="AK1925" s="9">
        <v>0</v>
      </c>
    </row>
    <row r="1926" spans="1:37">
      <c r="A1926" s="9">
        <v>25</v>
      </c>
      <c r="B1926" s="9">
        <v>2024</v>
      </c>
      <c r="C1926" s="9" t="s">
        <v>46</v>
      </c>
      <c r="D1926" s="9" t="s">
        <v>47</v>
      </c>
      <c r="E1926" s="9" t="s">
        <v>47</v>
      </c>
      <c r="F1926" s="10">
        <v>45460</v>
      </c>
      <c r="G1926" s="9" t="s">
        <v>155</v>
      </c>
      <c r="H1926" s="9" t="s">
        <v>51</v>
      </c>
      <c r="J1926" s="9">
        <v>1.3333333333333333</v>
      </c>
      <c r="K1926" s="9">
        <v>40</v>
      </c>
      <c r="L1926" s="9">
        <v>0.38</v>
      </c>
      <c r="M1926" s="9">
        <v>15.2</v>
      </c>
      <c r="N1926" s="9" t="s">
        <v>49</v>
      </c>
      <c r="Q1926" s="9">
        <f>IF(Auction_Sales[[#This Row],[Payment Date]]=0,"",-1+WEEKNUM(Auction_Sales[[#This Row],[Payment Date]]))</f>
        <v>25</v>
      </c>
      <c r="R1926" s="9">
        <v>40</v>
      </c>
      <c r="S1926" s="9" t="s">
        <v>155</v>
      </c>
      <c r="T1926" s="9" t="s">
        <v>51</v>
      </c>
      <c r="W1926" s="13">
        <v>0</v>
      </c>
      <c r="X1926" s="14">
        <v>0</v>
      </c>
      <c r="Y1926" s="13">
        <v>0</v>
      </c>
      <c r="Z1926" s="10">
        <v>45469</v>
      </c>
      <c r="AA1926" s="9">
        <v>-40</v>
      </c>
      <c r="AC1926" s="9" t="s">
        <v>125</v>
      </c>
      <c r="AD1926" s="14">
        <v>4.8426666666666662</v>
      </c>
      <c r="AF1926" s="14">
        <v>0</v>
      </c>
      <c r="AH1926" s="14">
        <v>4.8426666666666662</v>
      </c>
      <c r="AI1926" s="13">
        <v>-4.8426666666666662</v>
      </c>
      <c r="AK1926" s="9">
        <v>0</v>
      </c>
    </row>
    <row r="1927" spans="1:37">
      <c r="A1927" s="9">
        <v>25</v>
      </c>
      <c r="B1927" s="9">
        <v>2024</v>
      </c>
      <c r="C1927" s="9" t="s">
        <v>46</v>
      </c>
      <c r="D1927" s="9" t="s">
        <v>47</v>
      </c>
      <c r="E1927" s="9" t="s">
        <v>47</v>
      </c>
      <c r="F1927" s="10">
        <v>45460</v>
      </c>
      <c r="G1927" s="9" t="s">
        <v>155</v>
      </c>
      <c r="H1927" s="9" t="s">
        <v>52</v>
      </c>
      <c r="J1927" s="9">
        <v>4</v>
      </c>
      <c r="K1927" s="9">
        <v>120</v>
      </c>
      <c r="L1927" s="9">
        <v>0.52</v>
      </c>
      <c r="M1927" s="9">
        <v>62.4</v>
      </c>
      <c r="N1927" s="9" t="s">
        <v>49</v>
      </c>
      <c r="Q1927" s="9">
        <f>IF(Auction_Sales[[#This Row],[Payment Date]]=0,"",-1+WEEKNUM(Auction_Sales[[#This Row],[Payment Date]]))</f>
        <v>25</v>
      </c>
      <c r="R1927" s="9">
        <v>120</v>
      </c>
      <c r="S1927" s="9" t="s">
        <v>155</v>
      </c>
      <c r="T1927" s="9" t="s">
        <v>52</v>
      </c>
      <c r="W1927" s="13">
        <v>0</v>
      </c>
      <c r="X1927" s="14">
        <v>0</v>
      </c>
      <c r="Y1927" s="13">
        <v>0</v>
      </c>
      <c r="Z1927" s="10">
        <v>45469</v>
      </c>
      <c r="AA1927" s="9">
        <v>-120</v>
      </c>
      <c r="AC1927" s="9" t="s">
        <v>125</v>
      </c>
      <c r="AD1927" s="14">
        <v>14.528</v>
      </c>
      <c r="AF1927" s="14">
        <v>0</v>
      </c>
      <c r="AH1927" s="14">
        <v>14.528</v>
      </c>
      <c r="AI1927" s="13">
        <v>-14.528</v>
      </c>
      <c r="AK1927" s="9">
        <v>0</v>
      </c>
    </row>
    <row r="1928" spans="1:37">
      <c r="A1928" s="9">
        <v>25</v>
      </c>
      <c r="B1928" s="9">
        <v>2024</v>
      </c>
      <c r="C1928" s="9" t="s">
        <v>46</v>
      </c>
      <c r="D1928" s="9" t="s">
        <v>47</v>
      </c>
      <c r="E1928" s="9" t="s">
        <v>47</v>
      </c>
      <c r="F1928" s="10">
        <v>45460</v>
      </c>
      <c r="G1928" s="9" t="s">
        <v>157</v>
      </c>
      <c r="H1928" s="9" t="s">
        <v>52</v>
      </c>
      <c r="I1928" s="9">
        <v>1</v>
      </c>
      <c r="J1928" s="9">
        <v>3</v>
      </c>
      <c r="K1928" s="9">
        <v>80</v>
      </c>
      <c r="L1928" s="9">
        <v>0.28000000000000003</v>
      </c>
      <c r="M1928" s="9">
        <v>22.4</v>
      </c>
      <c r="N1928" s="9" t="s">
        <v>49</v>
      </c>
      <c r="Q1928" s="9">
        <f>IF(Auction_Sales[[#This Row],[Payment Date]]=0,"",-1+WEEKNUM(Auction_Sales[[#This Row],[Payment Date]]))</f>
        <v>25</v>
      </c>
      <c r="R1928" s="9">
        <v>0</v>
      </c>
      <c r="S1928" s="9" t="s">
        <v>157</v>
      </c>
      <c r="T1928" s="9" t="s">
        <v>52</v>
      </c>
      <c r="U1928" s="9">
        <v>80</v>
      </c>
      <c r="V1928" s="13">
        <v>0.97</v>
      </c>
      <c r="W1928" s="13">
        <v>77.599999999999994</v>
      </c>
      <c r="X1928" s="14">
        <v>-5.189379310344834</v>
      </c>
      <c r="Y1928" s="13">
        <v>72.410620689655161</v>
      </c>
      <c r="Z1928" s="10">
        <v>45469</v>
      </c>
      <c r="AA1928" s="9">
        <v>0</v>
      </c>
      <c r="AC1928" s="9" t="s">
        <v>125</v>
      </c>
      <c r="AD1928" s="14">
        <v>10.895999999999999</v>
      </c>
      <c r="AF1928" s="14">
        <v>1.6</v>
      </c>
      <c r="AH1928" s="14">
        <v>12.495999999999999</v>
      </c>
      <c r="AI1928" s="13">
        <v>59.914620689655166</v>
      </c>
      <c r="AK1928" s="9">
        <v>80</v>
      </c>
    </row>
    <row r="1929" spans="1:37">
      <c r="A1929" s="9">
        <v>25</v>
      </c>
      <c r="B1929" s="9">
        <v>2024</v>
      </c>
      <c r="C1929" s="9" t="s">
        <v>46</v>
      </c>
      <c r="D1929" s="9" t="s">
        <v>47</v>
      </c>
      <c r="E1929" s="9" t="s">
        <v>47</v>
      </c>
      <c r="F1929" s="10">
        <v>45460</v>
      </c>
      <c r="G1929" s="9" t="s">
        <v>157</v>
      </c>
      <c r="H1929" s="9" t="s">
        <v>48</v>
      </c>
      <c r="J1929" s="9">
        <v>4.5</v>
      </c>
      <c r="K1929" s="9">
        <v>120</v>
      </c>
      <c r="L1929" s="9">
        <v>0.24</v>
      </c>
      <c r="M1929" s="9">
        <v>28.8</v>
      </c>
      <c r="N1929" s="9" t="s">
        <v>49</v>
      </c>
      <c r="Q1929" s="9">
        <f>IF(Auction_Sales[[#This Row],[Payment Date]]=0,"",-1+WEEKNUM(Auction_Sales[[#This Row],[Payment Date]]))</f>
        <v>25</v>
      </c>
      <c r="R1929" s="9">
        <v>0</v>
      </c>
      <c r="S1929" s="9" t="s">
        <v>157</v>
      </c>
      <c r="T1929" s="9" t="s">
        <v>48</v>
      </c>
      <c r="U1929" s="9">
        <v>120</v>
      </c>
      <c r="V1929" s="13">
        <v>0.95</v>
      </c>
      <c r="W1929" s="13">
        <v>114</v>
      </c>
      <c r="X1929" s="14">
        <v>-7.7840689655172515</v>
      </c>
      <c r="Y1929" s="13">
        <v>106.21593103448275</v>
      </c>
      <c r="Z1929" s="10">
        <v>45469</v>
      </c>
      <c r="AA1929" s="9">
        <v>0</v>
      </c>
      <c r="AC1929" s="9" t="s">
        <v>125</v>
      </c>
      <c r="AD1929" s="14">
        <v>16.344000000000001</v>
      </c>
      <c r="AF1929" s="14">
        <v>2.4</v>
      </c>
      <c r="AH1929" s="14">
        <v>18.744</v>
      </c>
      <c r="AI1929" s="13">
        <v>87.471931034482751</v>
      </c>
      <c r="AK1929" s="9">
        <v>120</v>
      </c>
    </row>
    <row r="1930" spans="1:37">
      <c r="A1930" s="9">
        <v>25</v>
      </c>
      <c r="B1930" s="9">
        <v>2024</v>
      </c>
      <c r="C1930" s="9" t="s">
        <v>46</v>
      </c>
      <c r="D1930" s="9" t="s">
        <v>47</v>
      </c>
      <c r="E1930" s="9" t="s">
        <v>47</v>
      </c>
      <c r="F1930" s="10">
        <v>45460</v>
      </c>
      <c r="G1930" s="9" t="s">
        <v>157</v>
      </c>
      <c r="H1930" s="9" t="s">
        <v>51</v>
      </c>
      <c r="J1930" s="9">
        <v>4.5</v>
      </c>
      <c r="K1930" s="9">
        <v>120</v>
      </c>
      <c r="L1930" s="9">
        <v>0.14000000000000001</v>
      </c>
      <c r="M1930" s="9">
        <v>16.8</v>
      </c>
      <c r="N1930" s="9" t="s">
        <v>49</v>
      </c>
      <c r="Q1930" s="9">
        <f>IF(Auction_Sales[[#This Row],[Payment Date]]=0,"",-1+WEEKNUM(Auction_Sales[[#This Row],[Payment Date]]))</f>
        <v>25</v>
      </c>
      <c r="R1930" s="9">
        <v>0</v>
      </c>
      <c r="S1930" s="9" t="s">
        <v>157</v>
      </c>
      <c r="T1930" s="9" t="s">
        <v>51</v>
      </c>
      <c r="U1930" s="9">
        <v>120</v>
      </c>
      <c r="V1930" s="13">
        <v>0.85333333333333339</v>
      </c>
      <c r="W1930" s="13">
        <v>102.4</v>
      </c>
      <c r="X1930" s="14">
        <v>-7.7840689655172515</v>
      </c>
      <c r="Y1930" s="13">
        <v>94.615931034482756</v>
      </c>
      <c r="Z1930" s="10">
        <v>45469</v>
      </c>
      <c r="AA1930" s="9">
        <v>0</v>
      </c>
      <c r="AC1930" s="9" t="s">
        <v>125</v>
      </c>
      <c r="AD1930" s="14">
        <v>16.344000000000001</v>
      </c>
      <c r="AF1930" s="14">
        <v>2.4</v>
      </c>
      <c r="AH1930" s="14">
        <v>18.744</v>
      </c>
      <c r="AI1930" s="13">
        <v>75.871931034482756</v>
      </c>
      <c r="AK1930" s="9">
        <v>120</v>
      </c>
    </row>
    <row r="1931" spans="1:37">
      <c r="A1931" s="9">
        <v>25</v>
      </c>
      <c r="B1931" s="9">
        <v>2024</v>
      </c>
      <c r="C1931" s="9" t="s">
        <v>46</v>
      </c>
      <c r="D1931" s="9" t="s">
        <v>47</v>
      </c>
      <c r="E1931" s="9" t="s">
        <v>47</v>
      </c>
      <c r="F1931" s="10">
        <v>45463</v>
      </c>
      <c r="G1931" s="9" t="s">
        <v>154</v>
      </c>
      <c r="H1931" s="9" t="s">
        <v>56</v>
      </c>
      <c r="I1931" s="9">
        <v>1</v>
      </c>
      <c r="J1931" s="9">
        <v>12</v>
      </c>
      <c r="K1931" s="9">
        <v>240</v>
      </c>
      <c r="L1931" s="9">
        <v>0.75</v>
      </c>
      <c r="M1931" s="9">
        <v>180</v>
      </c>
      <c r="N1931" s="9" t="s">
        <v>49</v>
      </c>
      <c r="Q1931" s="9">
        <f>IF(Auction_Sales[[#This Row],[Payment Date]]=0,"",-1+WEEKNUM(Auction_Sales[[#This Row],[Payment Date]]))</f>
        <v>26</v>
      </c>
      <c r="R1931" s="9">
        <v>0</v>
      </c>
      <c r="S1931" s="9" t="s">
        <v>154</v>
      </c>
      <c r="T1931" s="9" t="s">
        <v>56</v>
      </c>
      <c r="U1931" s="9">
        <v>240</v>
      </c>
      <c r="V1931" s="13">
        <v>1.2216666666666667</v>
      </c>
      <c r="W1931" s="13">
        <v>293.2</v>
      </c>
      <c r="X1931" s="14">
        <v>-16.013709677419346</v>
      </c>
      <c r="Y1931" s="13">
        <v>277.18629032258065</v>
      </c>
      <c r="Z1931" s="10">
        <v>45476</v>
      </c>
      <c r="AA1931" s="9">
        <v>0</v>
      </c>
      <c r="AC1931" s="9">
        <v>445120</v>
      </c>
      <c r="AD1931" s="14">
        <v>41</v>
      </c>
      <c r="AF1931" s="14">
        <v>4.8</v>
      </c>
      <c r="AH1931" s="14">
        <v>45.8</v>
      </c>
      <c r="AI1931" s="13">
        <v>231.38629032258063</v>
      </c>
      <c r="AK1931" s="9">
        <v>240</v>
      </c>
    </row>
    <row r="1932" spans="1:37">
      <c r="A1932" s="9">
        <v>25</v>
      </c>
      <c r="B1932" s="9">
        <v>2024</v>
      </c>
      <c r="C1932" s="9" t="s">
        <v>46</v>
      </c>
      <c r="D1932" s="9" t="s">
        <v>47</v>
      </c>
      <c r="E1932" s="9" t="s">
        <v>47</v>
      </c>
      <c r="F1932" s="10">
        <v>45463</v>
      </c>
      <c r="G1932" s="9" t="s">
        <v>155</v>
      </c>
      <c r="H1932" s="9" t="s">
        <v>51</v>
      </c>
      <c r="I1932" s="9">
        <v>1</v>
      </c>
      <c r="J1932" s="9">
        <v>12</v>
      </c>
      <c r="K1932" s="9">
        <v>760</v>
      </c>
      <c r="L1932" s="9">
        <v>0.38</v>
      </c>
      <c r="M1932" s="9">
        <v>288.8</v>
      </c>
      <c r="N1932" s="9" t="s">
        <v>49</v>
      </c>
      <c r="Q1932" s="9">
        <f>IF(Auction_Sales[[#This Row],[Payment Date]]=0,"",-1+WEEKNUM(Auction_Sales[[#This Row],[Payment Date]]))</f>
        <v>26</v>
      </c>
      <c r="R1932" s="9">
        <v>0</v>
      </c>
      <c r="S1932" s="9" t="s">
        <v>155</v>
      </c>
      <c r="T1932" s="9" t="s">
        <v>51</v>
      </c>
      <c r="U1932" s="9">
        <v>760</v>
      </c>
      <c r="V1932" s="13">
        <v>0.81</v>
      </c>
      <c r="W1932" s="13">
        <v>615.6</v>
      </c>
      <c r="X1932" s="14">
        <v>-50.710080645161263</v>
      </c>
      <c r="Y1932" s="13">
        <v>564.88991935483875</v>
      </c>
      <c r="Z1932" s="10">
        <v>45476</v>
      </c>
      <c r="AA1932" s="9">
        <v>0</v>
      </c>
      <c r="AC1932" s="9">
        <v>445120</v>
      </c>
      <c r="AD1932" s="14">
        <v>41</v>
      </c>
      <c r="AF1932" s="14">
        <v>15.200000000000001</v>
      </c>
      <c r="AH1932" s="14">
        <v>56.2</v>
      </c>
      <c r="AI1932" s="13">
        <v>508.68991935483876</v>
      </c>
      <c r="AK1932" s="9">
        <v>760</v>
      </c>
    </row>
    <row r="1933" spans="1:37">
      <c r="A1933" s="9">
        <v>25</v>
      </c>
      <c r="B1933" s="9">
        <v>2024</v>
      </c>
      <c r="C1933" s="9" t="s">
        <v>46</v>
      </c>
      <c r="D1933" s="9" t="s">
        <v>47</v>
      </c>
      <c r="E1933" s="9" t="s">
        <v>47</v>
      </c>
      <c r="F1933" s="10">
        <v>45463</v>
      </c>
      <c r="G1933" s="9" t="s">
        <v>155</v>
      </c>
      <c r="H1933" s="9" t="s">
        <v>56</v>
      </c>
      <c r="I1933" s="9">
        <v>1</v>
      </c>
      <c r="J1933" s="9">
        <v>12</v>
      </c>
      <c r="K1933" s="9">
        <v>240</v>
      </c>
      <c r="L1933" s="9">
        <v>0.75</v>
      </c>
      <c r="M1933" s="9">
        <v>180</v>
      </c>
      <c r="N1933" s="9" t="s">
        <v>49</v>
      </c>
      <c r="Q1933" s="9">
        <f>IF(Auction_Sales[[#This Row],[Payment Date]]=0,"",-1+WEEKNUM(Auction_Sales[[#This Row],[Payment Date]]))</f>
        <v>26</v>
      </c>
      <c r="R1933" s="9">
        <v>0</v>
      </c>
      <c r="S1933" s="9" t="s">
        <v>155</v>
      </c>
      <c r="T1933" s="9" t="s">
        <v>56</v>
      </c>
      <c r="U1933" s="9">
        <v>240</v>
      </c>
      <c r="V1933" s="13">
        <v>1.1833333333333333</v>
      </c>
      <c r="W1933" s="13">
        <v>284</v>
      </c>
      <c r="X1933" s="14">
        <v>-16.013709677419346</v>
      </c>
      <c r="Y1933" s="13">
        <v>267.98629032258066</v>
      </c>
      <c r="Z1933" s="10">
        <v>45476</v>
      </c>
      <c r="AA1933" s="9">
        <v>0</v>
      </c>
      <c r="AC1933" s="9">
        <v>445120</v>
      </c>
      <c r="AD1933" s="14">
        <v>41</v>
      </c>
      <c r="AF1933" s="14">
        <v>4.8</v>
      </c>
      <c r="AH1933" s="14">
        <v>45.8</v>
      </c>
      <c r="AI1933" s="13">
        <v>222.18629032258065</v>
      </c>
      <c r="AK1933" s="9">
        <v>240</v>
      </c>
    </row>
    <row r="1934" spans="1:37">
      <c r="A1934" s="9">
        <v>25</v>
      </c>
      <c r="B1934" s="9">
        <v>2024</v>
      </c>
      <c r="C1934" s="9" t="s">
        <v>46</v>
      </c>
      <c r="D1934" s="9" t="s">
        <v>47</v>
      </c>
      <c r="E1934" s="9" t="s">
        <v>47</v>
      </c>
      <c r="F1934" s="10">
        <v>45463</v>
      </c>
      <c r="G1934" s="9" t="s">
        <v>155</v>
      </c>
      <c r="H1934" s="9" t="s">
        <v>52</v>
      </c>
      <c r="I1934" s="9">
        <v>1</v>
      </c>
      <c r="J1934" s="9">
        <v>12</v>
      </c>
      <c r="K1934" s="9">
        <v>400</v>
      </c>
      <c r="L1934" s="9">
        <v>0.52</v>
      </c>
      <c r="M1934" s="9">
        <v>208</v>
      </c>
      <c r="N1934" s="9" t="s">
        <v>49</v>
      </c>
      <c r="Q1934" s="9">
        <f>IF(Auction_Sales[[#This Row],[Payment Date]]=0,"",-1+WEEKNUM(Auction_Sales[[#This Row],[Payment Date]]))</f>
        <v>26</v>
      </c>
      <c r="R1934" s="9">
        <v>0</v>
      </c>
      <c r="S1934" s="9" t="s">
        <v>155</v>
      </c>
      <c r="T1934" s="9" t="s">
        <v>52</v>
      </c>
      <c r="U1934" s="9">
        <v>400</v>
      </c>
      <c r="V1934" s="13">
        <v>1.345</v>
      </c>
      <c r="W1934" s="13">
        <v>538</v>
      </c>
      <c r="X1934" s="14">
        <v>-26.689516129032246</v>
      </c>
      <c r="Y1934" s="13">
        <v>511.31048387096774</v>
      </c>
      <c r="Z1934" s="10">
        <v>45476</v>
      </c>
      <c r="AA1934" s="9">
        <v>0</v>
      </c>
      <c r="AC1934" s="9">
        <v>445120</v>
      </c>
      <c r="AD1934" s="14">
        <v>41</v>
      </c>
      <c r="AF1934" s="14">
        <v>8</v>
      </c>
      <c r="AH1934" s="14">
        <v>49</v>
      </c>
      <c r="AI1934" s="13">
        <v>462.31048387096774</v>
      </c>
      <c r="AK1934" s="9">
        <v>400</v>
      </c>
    </row>
    <row r="1935" spans="1:37">
      <c r="A1935" s="9">
        <v>25</v>
      </c>
      <c r="B1935" s="9">
        <v>2024</v>
      </c>
      <c r="C1935" s="9" t="s">
        <v>46</v>
      </c>
      <c r="D1935" s="9" t="s">
        <v>47</v>
      </c>
      <c r="E1935" s="9" t="s">
        <v>47</v>
      </c>
      <c r="F1935" s="10">
        <v>45463</v>
      </c>
      <c r="G1935" s="9" t="s">
        <v>155</v>
      </c>
      <c r="H1935" s="9" t="s">
        <v>48</v>
      </c>
      <c r="I1935" s="9">
        <v>1</v>
      </c>
      <c r="J1935" s="9">
        <v>12</v>
      </c>
      <c r="K1935" s="9">
        <v>520</v>
      </c>
      <c r="L1935" s="9">
        <v>0.47</v>
      </c>
      <c r="M1935" s="9">
        <v>244.4</v>
      </c>
      <c r="N1935" s="9" t="s">
        <v>49</v>
      </c>
      <c r="Q1935" s="9">
        <f>IF(Auction_Sales[[#This Row],[Payment Date]]=0,"",-1+WEEKNUM(Auction_Sales[[#This Row],[Payment Date]]))</f>
        <v>26</v>
      </c>
      <c r="R1935" s="9">
        <v>0</v>
      </c>
      <c r="S1935" s="9" t="s">
        <v>155</v>
      </c>
      <c r="T1935" s="9" t="s">
        <v>48</v>
      </c>
      <c r="U1935" s="9">
        <v>520</v>
      </c>
      <c r="V1935" s="13">
        <v>1.323076923076923</v>
      </c>
      <c r="W1935" s="13">
        <v>688</v>
      </c>
      <c r="X1935" s="14">
        <v>-34.69637096774192</v>
      </c>
      <c r="Y1935" s="13">
        <v>653.30362903225807</v>
      </c>
      <c r="Z1935" s="10">
        <v>45476</v>
      </c>
      <c r="AA1935" s="9">
        <v>0</v>
      </c>
      <c r="AC1935" s="9">
        <v>445120</v>
      </c>
      <c r="AD1935" s="14">
        <v>41</v>
      </c>
      <c r="AF1935" s="14">
        <v>10.4</v>
      </c>
      <c r="AH1935" s="14">
        <v>51.4</v>
      </c>
      <c r="AI1935" s="13">
        <v>601.9036290322581</v>
      </c>
      <c r="AK1935" s="9">
        <v>520</v>
      </c>
    </row>
    <row r="1936" spans="1:37">
      <c r="A1936" s="9">
        <v>25</v>
      </c>
      <c r="B1936" s="9">
        <v>2024</v>
      </c>
      <c r="C1936" s="9" t="s">
        <v>46</v>
      </c>
      <c r="D1936" s="9" t="s">
        <v>47</v>
      </c>
      <c r="E1936" s="9" t="s">
        <v>47</v>
      </c>
      <c r="F1936" s="10">
        <v>45463</v>
      </c>
      <c r="G1936" s="9" t="s">
        <v>153</v>
      </c>
      <c r="H1936" s="9" t="s">
        <v>48</v>
      </c>
      <c r="I1936" s="9">
        <v>1</v>
      </c>
      <c r="J1936" s="9">
        <v>12</v>
      </c>
      <c r="K1936" s="9">
        <v>720</v>
      </c>
      <c r="L1936" s="9">
        <v>0.24</v>
      </c>
      <c r="M1936" s="9">
        <v>172.8</v>
      </c>
      <c r="N1936" s="9" t="s">
        <v>49</v>
      </c>
      <c r="Q1936" s="9">
        <f>IF(Auction_Sales[[#This Row],[Payment Date]]=0,"",-1+WEEKNUM(Auction_Sales[[#This Row],[Payment Date]]))</f>
        <v>26</v>
      </c>
      <c r="R1936" s="9">
        <v>0</v>
      </c>
      <c r="S1936" s="9" t="s">
        <v>153</v>
      </c>
      <c r="T1936" s="9" t="s">
        <v>48</v>
      </c>
      <c r="U1936" s="9">
        <v>720</v>
      </c>
      <c r="V1936" s="13">
        <v>0.71</v>
      </c>
      <c r="W1936" s="13">
        <v>511.2</v>
      </c>
      <c r="X1936" s="14">
        <v>-48.041129032258041</v>
      </c>
      <c r="Y1936" s="13">
        <v>463.15887096774196</v>
      </c>
      <c r="Z1936" s="10">
        <v>45476</v>
      </c>
      <c r="AA1936" s="9">
        <v>0</v>
      </c>
      <c r="AC1936" s="9">
        <v>445120</v>
      </c>
      <c r="AD1936" s="14">
        <v>41</v>
      </c>
      <c r="AF1936" s="14">
        <v>14.4</v>
      </c>
      <c r="AH1936" s="14">
        <v>55.4</v>
      </c>
      <c r="AI1936" s="13">
        <v>407.75887096774198</v>
      </c>
      <c r="AK1936" s="9">
        <v>720</v>
      </c>
    </row>
    <row r="1937" spans="1:37">
      <c r="A1937" s="9">
        <v>25</v>
      </c>
      <c r="B1937" s="9">
        <v>2024</v>
      </c>
      <c r="C1937" s="9" t="s">
        <v>46</v>
      </c>
      <c r="D1937" s="9" t="s">
        <v>47</v>
      </c>
      <c r="E1937" s="9" t="s">
        <v>47</v>
      </c>
      <c r="F1937" s="10">
        <v>45463</v>
      </c>
      <c r="G1937" s="9" t="s">
        <v>153</v>
      </c>
      <c r="H1937" s="9" t="s">
        <v>52</v>
      </c>
      <c r="I1937" s="9">
        <v>1</v>
      </c>
      <c r="J1937" s="9">
        <v>1.6</v>
      </c>
      <c r="K1937" s="9">
        <v>80</v>
      </c>
      <c r="L1937" s="9">
        <v>0.28000000000000003</v>
      </c>
      <c r="M1937" s="9">
        <v>22.4</v>
      </c>
      <c r="N1937" s="9" t="s">
        <v>49</v>
      </c>
      <c r="Q1937" s="9">
        <f>IF(Auction_Sales[[#This Row],[Payment Date]]=0,"",-1+WEEKNUM(Auction_Sales[[#This Row],[Payment Date]]))</f>
        <v>26</v>
      </c>
      <c r="R1937" s="9">
        <v>0</v>
      </c>
      <c r="S1937" s="9" t="s">
        <v>153</v>
      </c>
      <c r="T1937" s="9" t="s">
        <v>52</v>
      </c>
      <c r="U1937" s="9">
        <v>80</v>
      </c>
      <c r="V1937" s="13">
        <v>0.76</v>
      </c>
      <c r="W1937" s="13">
        <v>60.8</v>
      </c>
      <c r="X1937" s="14">
        <v>-5.3379032258064489</v>
      </c>
      <c r="Y1937" s="13">
        <v>55.462096774193547</v>
      </c>
      <c r="Z1937" s="10">
        <v>45476</v>
      </c>
      <c r="AA1937" s="9">
        <v>0</v>
      </c>
      <c r="AC1937" s="9">
        <v>445120</v>
      </c>
      <c r="AD1937" s="14">
        <v>5.4666666666666668</v>
      </c>
      <c r="AF1937" s="14">
        <v>1.6</v>
      </c>
      <c r="AH1937" s="14">
        <v>7.0666666666666664</v>
      </c>
      <c r="AI1937" s="13">
        <v>48.395430107526877</v>
      </c>
      <c r="AK1937" s="9">
        <v>80</v>
      </c>
    </row>
    <row r="1938" spans="1:37">
      <c r="A1938" s="9">
        <v>25</v>
      </c>
      <c r="B1938" s="9">
        <v>2024</v>
      </c>
      <c r="C1938" s="9" t="s">
        <v>46</v>
      </c>
      <c r="D1938" s="9" t="s">
        <v>47</v>
      </c>
      <c r="E1938" s="9" t="s">
        <v>47</v>
      </c>
      <c r="F1938" s="10">
        <v>45463</v>
      </c>
      <c r="G1938" s="9" t="s">
        <v>153</v>
      </c>
      <c r="H1938" s="9" t="s">
        <v>54</v>
      </c>
      <c r="J1938" s="9">
        <v>4</v>
      </c>
      <c r="K1938" s="9">
        <v>200</v>
      </c>
      <c r="L1938" s="9">
        <v>0.33</v>
      </c>
      <c r="M1938" s="9">
        <v>66</v>
      </c>
      <c r="N1938" s="9" t="s">
        <v>49</v>
      </c>
      <c r="Q1938" s="9">
        <f>IF(Auction_Sales[[#This Row],[Payment Date]]=0,"",-1+WEEKNUM(Auction_Sales[[#This Row],[Payment Date]]))</f>
        <v>26</v>
      </c>
      <c r="R1938" s="9">
        <v>0</v>
      </c>
      <c r="S1938" s="9" t="s">
        <v>153</v>
      </c>
      <c r="T1938" s="9" t="s">
        <v>54</v>
      </c>
      <c r="U1938" s="9">
        <v>200</v>
      </c>
      <c r="V1938" s="13">
        <v>0.76</v>
      </c>
      <c r="W1938" s="13">
        <v>152</v>
      </c>
      <c r="X1938" s="14">
        <v>-13.344758064516123</v>
      </c>
      <c r="Y1938" s="13">
        <v>138.65524193548387</v>
      </c>
      <c r="Z1938" s="10">
        <v>45476</v>
      </c>
      <c r="AA1938" s="9">
        <v>0</v>
      </c>
      <c r="AC1938" s="9">
        <v>445120</v>
      </c>
      <c r="AD1938" s="14">
        <v>13.666666666666668</v>
      </c>
      <c r="AF1938" s="14">
        <v>4</v>
      </c>
      <c r="AH1938" s="14">
        <v>17.666666666666668</v>
      </c>
      <c r="AI1938" s="13">
        <v>120.9885752688172</v>
      </c>
      <c r="AK1938" s="9">
        <v>200</v>
      </c>
    </row>
    <row r="1939" spans="1:37">
      <c r="A1939" s="9">
        <v>25</v>
      </c>
      <c r="B1939" s="9">
        <v>2024</v>
      </c>
      <c r="C1939" s="9" t="s">
        <v>46</v>
      </c>
      <c r="D1939" s="9" t="s">
        <v>47</v>
      </c>
      <c r="E1939" s="9" t="s">
        <v>47</v>
      </c>
      <c r="F1939" s="10">
        <v>45463</v>
      </c>
      <c r="G1939" s="9" t="s">
        <v>153</v>
      </c>
      <c r="H1939" s="9" t="s">
        <v>51</v>
      </c>
      <c r="J1939" s="9">
        <v>6.4</v>
      </c>
      <c r="K1939" s="9">
        <v>320</v>
      </c>
      <c r="L1939" s="9">
        <v>0.14000000000000001</v>
      </c>
      <c r="M1939" s="9">
        <v>44.8</v>
      </c>
      <c r="N1939" s="9" t="s">
        <v>49</v>
      </c>
      <c r="Q1939" s="9">
        <f>IF(Auction_Sales[[#This Row],[Payment Date]]=0,"",-1+WEEKNUM(Auction_Sales[[#This Row],[Payment Date]]))</f>
        <v>26</v>
      </c>
      <c r="R1939" s="9">
        <v>0</v>
      </c>
      <c r="S1939" s="9" t="s">
        <v>153</v>
      </c>
      <c r="T1939" s="9" t="s">
        <v>51</v>
      </c>
      <c r="U1939" s="9">
        <v>320</v>
      </c>
      <c r="V1939" s="13">
        <v>0.48125000000000001</v>
      </c>
      <c r="W1939" s="13">
        <v>154</v>
      </c>
      <c r="X1939" s="14">
        <v>-21.351612903225796</v>
      </c>
      <c r="Y1939" s="13">
        <v>132.6483870967742</v>
      </c>
      <c r="Z1939" s="10">
        <v>45476</v>
      </c>
      <c r="AA1939" s="9">
        <v>0</v>
      </c>
      <c r="AC1939" s="9">
        <v>445120</v>
      </c>
      <c r="AD1939" s="14">
        <v>21.866666666666667</v>
      </c>
      <c r="AF1939" s="14">
        <v>6.4</v>
      </c>
      <c r="AH1939" s="14">
        <v>28.266666666666666</v>
      </c>
      <c r="AI1939" s="13">
        <v>104.38172043010753</v>
      </c>
      <c r="AK1939" s="9">
        <v>320</v>
      </c>
    </row>
    <row r="1940" spans="1:37">
      <c r="A1940" s="9">
        <v>25</v>
      </c>
      <c r="B1940" s="9">
        <v>2024</v>
      </c>
      <c r="C1940" s="9" t="s">
        <v>46</v>
      </c>
      <c r="D1940" s="9" t="s">
        <v>47</v>
      </c>
      <c r="E1940" s="9" t="s">
        <v>47</v>
      </c>
      <c r="F1940" s="10">
        <v>45463</v>
      </c>
      <c r="G1940" s="9" t="s">
        <v>155</v>
      </c>
      <c r="H1940" s="9" t="s">
        <v>54</v>
      </c>
      <c r="I1940" s="9">
        <v>1</v>
      </c>
      <c r="J1940" s="9">
        <v>8.5714285714285712</v>
      </c>
      <c r="K1940" s="9">
        <v>200</v>
      </c>
      <c r="L1940" s="9">
        <v>0.56999999999999995</v>
      </c>
      <c r="M1940" s="9">
        <v>114</v>
      </c>
      <c r="N1940" s="9" t="s">
        <v>49</v>
      </c>
      <c r="Q1940" s="9">
        <f>IF(Auction_Sales[[#This Row],[Payment Date]]=0,"",-1+WEEKNUM(Auction_Sales[[#This Row],[Payment Date]]))</f>
        <v>26</v>
      </c>
      <c r="R1940" s="9">
        <v>0</v>
      </c>
      <c r="S1940" s="9" t="s">
        <v>155</v>
      </c>
      <c r="T1940" s="9" t="s">
        <v>54</v>
      </c>
      <c r="U1940" s="9">
        <v>200</v>
      </c>
      <c r="V1940" s="13">
        <v>1.19</v>
      </c>
      <c r="W1940" s="13">
        <v>238</v>
      </c>
      <c r="X1940" s="14">
        <v>-13.344758064516123</v>
      </c>
      <c r="Y1940" s="13">
        <v>224.65524193548387</v>
      </c>
      <c r="Z1940" s="10">
        <v>45476</v>
      </c>
      <c r="AA1940" s="9">
        <v>0</v>
      </c>
      <c r="AC1940" s="9">
        <v>445120</v>
      </c>
      <c r="AD1940" s="14">
        <v>29.285714285714285</v>
      </c>
      <c r="AF1940" s="14">
        <v>4</v>
      </c>
      <c r="AH1940" s="14">
        <v>33.285714285714285</v>
      </c>
      <c r="AI1940" s="13">
        <v>191.36952764976959</v>
      </c>
      <c r="AK1940" s="9">
        <v>200</v>
      </c>
    </row>
    <row r="1941" spans="1:37">
      <c r="A1941" s="9">
        <v>25</v>
      </c>
      <c r="B1941" s="9">
        <v>2024</v>
      </c>
      <c r="C1941" s="9" t="s">
        <v>46</v>
      </c>
      <c r="D1941" s="9" t="s">
        <v>47</v>
      </c>
      <c r="E1941" s="9" t="s">
        <v>47</v>
      </c>
      <c r="F1941" s="10">
        <v>45463</v>
      </c>
      <c r="G1941" s="9" t="s">
        <v>155</v>
      </c>
      <c r="H1941" s="9" t="s">
        <v>57</v>
      </c>
      <c r="J1941" s="9">
        <v>3.4285714285714284</v>
      </c>
      <c r="K1941" s="9">
        <v>80</v>
      </c>
      <c r="L1941" s="9">
        <v>0.94</v>
      </c>
      <c r="M1941" s="9">
        <v>75.2</v>
      </c>
      <c r="N1941" s="9" t="s">
        <v>49</v>
      </c>
      <c r="Q1941" s="9">
        <f>IF(Auction_Sales[[#This Row],[Payment Date]]=0,"",-1+WEEKNUM(Auction_Sales[[#This Row],[Payment Date]]))</f>
        <v>26</v>
      </c>
      <c r="R1941" s="9">
        <v>0</v>
      </c>
      <c r="S1941" s="9" t="s">
        <v>155</v>
      </c>
      <c r="T1941" s="9" t="s">
        <v>57</v>
      </c>
      <c r="U1941" s="9">
        <v>80</v>
      </c>
      <c r="V1941" s="13">
        <v>1.2749999999999999</v>
      </c>
      <c r="W1941" s="13">
        <v>102</v>
      </c>
      <c r="X1941" s="14">
        <v>-5.3379032258064489</v>
      </c>
      <c r="Y1941" s="13">
        <v>96.662096774193557</v>
      </c>
      <c r="Z1941" s="10">
        <v>45476</v>
      </c>
      <c r="AA1941" s="9">
        <v>0</v>
      </c>
      <c r="AC1941" s="9">
        <v>445120</v>
      </c>
      <c r="AD1941" s="14">
        <v>11.714285714285714</v>
      </c>
      <c r="AF1941" s="14">
        <v>1.6</v>
      </c>
      <c r="AH1941" s="14">
        <v>13.314285714285713</v>
      </c>
      <c r="AI1941" s="13">
        <v>83.347811059907841</v>
      </c>
      <c r="AK1941" s="9">
        <v>80</v>
      </c>
    </row>
    <row r="1942" spans="1:37">
      <c r="A1942" s="9">
        <v>25</v>
      </c>
      <c r="B1942" s="9">
        <v>2024</v>
      </c>
      <c r="C1942" s="9" t="s">
        <v>46</v>
      </c>
      <c r="D1942" s="9" t="s">
        <v>47</v>
      </c>
      <c r="E1942" s="9" t="s">
        <v>47</v>
      </c>
      <c r="F1942" s="10">
        <v>45463</v>
      </c>
      <c r="G1942" s="9" t="s">
        <v>154</v>
      </c>
      <c r="H1942" s="9" t="s">
        <v>54</v>
      </c>
      <c r="I1942" s="9">
        <v>1</v>
      </c>
      <c r="J1942" s="9">
        <v>4</v>
      </c>
      <c r="K1942" s="9">
        <v>120</v>
      </c>
      <c r="L1942" s="9">
        <v>0.56999999999999995</v>
      </c>
      <c r="M1942" s="9">
        <v>68.400000000000006</v>
      </c>
      <c r="N1942" s="9" t="s">
        <v>49</v>
      </c>
      <c r="Q1942" s="9">
        <f>IF(Auction_Sales[[#This Row],[Payment Date]]=0,"",-1+WEEKNUM(Auction_Sales[[#This Row],[Payment Date]]))</f>
        <v>26</v>
      </c>
      <c r="R1942" s="9">
        <v>0</v>
      </c>
      <c r="S1942" s="9" t="s">
        <v>154</v>
      </c>
      <c r="T1942" s="9" t="s">
        <v>54</v>
      </c>
      <c r="U1942" s="9">
        <v>120</v>
      </c>
      <c r="V1942" s="13">
        <v>1.23</v>
      </c>
      <c r="W1942" s="13">
        <v>147.6</v>
      </c>
      <c r="X1942" s="14">
        <v>-8.006854838709673</v>
      </c>
      <c r="Y1942" s="13">
        <v>139.59314516129032</v>
      </c>
      <c r="Z1942" s="10">
        <v>45476</v>
      </c>
      <c r="AA1942" s="9">
        <v>0</v>
      </c>
      <c r="AC1942" s="9">
        <v>445120</v>
      </c>
      <c r="AD1942" s="14">
        <v>13.666666666666668</v>
      </c>
      <c r="AF1942" s="14">
        <v>2.4</v>
      </c>
      <c r="AH1942" s="14">
        <v>16.066666666666666</v>
      </c>
      <c r="AI1942" s="13">
        <v>123.52647849462366</v>
      </c>
      <c r="AK1942" s="9">
        <v>120</v>
      </c>
    </row>
    <row r="1943" spans="1:37">
      <c r="A1943" s="9">
        <v>25</v>
      </c>
      <c r="B1943" s="9">
        <v>2024</v>
      </c>
      <c r="C1943" s="9" t="s">
        <v>46</v>
      </c>
      <c r="D1943" s="9" t="s">
        <v>47</v>
      </c>
      <c r="E1943" s="9" t="s">
        <v>47</v>
      </c>
      <c r="F1943" s="10">
        <v>45463</v>
      </c>
      <c r="G1943" s="9" t="s">
        <v>154</v>
      </c>
      <c r="H1943" s="9" t="s">
        <v>52</v>
      </c>
      <c r="J1943" s="9">
        <v>8</v>
      </c>
      <c r="K1943" s="9">
        <v>240</v>
      </c>
      <c r="L1943" s="9">
        <v>0.52</v>
      </c>
      <c r="M1943" s="9">
        <v>124.8</v>
      </c>
      <c r="N1943" s="9" t="s">
        <v>49</v>
      </c>
      <c r="Q1943" s="9">
        <f>IF(Auction_Sales[[#This Row],[Payment Date]]=0,"",-1+WEEKNUM(Auction_Sales[[#This Row],[Payment Date]]))</f>
        <v>26</v>
      </c>
      <c r="R1943" s="9">
        <v>0</v>
      </c>
      <c r="S1943" s="9" t="s">
        <v>154</v>
      </c>
      <c r="T1943" s="9" t="s">
        <v>52</v>
      </c>
      <c r="U1943" s="9">
        <v>240</v>
      </c>
      <c r="V1943" s="13">
        <v>1.4750000000000001</v>
      </c>
      <c r="W1943" s="13">
        <v>354</v>
      </c>
      <c r="X1943" s="14">
        <v>-16.013709677419346</v>
      </c>
      <c r="Y1943" s="13">
        <v>337.98629032258066</v>
      </c>
      <c r="Z1943" s="10">
        <v>45476</v>
      </c>
      <c r="AA1943" s="9">
        <v>0</v>
      </c>
      <c r="AC1943" s="9">
        <v>445120</v>
      </c>
      <c r="AD1943" s="14">
        <v>27.333333333333336</v>
      </c>
      <c r="AF1943" s="14">
        <v>4.8</v>
      </c>
      <c r="AH1943" s="14">
        <v>32.133333333333333</v>
      </c>
      <c r="AI1943" s="13">
        <v>305.85295698924733</v>
      </c>
      <c r="AK1943" s="9">
        <v>240</v>
      </c>
    </row>
    <row r="1944" spans="1:37">
      <c r="A1944" s="9">
        <v>25</v>
      </c>
      <c r="B1944" s="9">
        <v>2024</v>
      </c>
      <c r="C1944" s="9" t="s">
        <v>46</v>
      </c>
      <c r="D1944" s="9" t="s">
        <v>47</v>
      </c>
      <c r="E1944" s="9" t="s">
        <v>47</v>
      </c>
      <c r="F1944" s="10">
        <v>45463</v>
      </c>
      <c r="G1944" s="9" t="s">
        <v>154</v>
      </c>
      <c r="H1944" s="9" t="s">
        <v>57</v>
      </c>
      <c r="I1944" s="9">
        <v>1</v>
      </c>
      <c r="J1944" s="9">
        <v>3.2727272727272725</v>
      </c>
      <c r="K1944" s="9">
        <v>120</v>
      </c>
      <c r="L1944" s="9">
        <v>0.94</v>
      </c>
      <c r="M1944" s="9">
        <v>112.8</v>
      </c>
      <c r="N1944" s="9" t="s">
        <v>49</v>
      </c>
      <c r="Q1944" s="9">
        <f>IF(Auction_Sales[[#This Row],[Payment Date]]=0,"",-1+WEEKNUM(Auction_Sales[[#This Row],[Payment Date]]))</f>
        <v>26</v>
      </c>
      <c r="R1944" s="9">
        <v>0</v>
      </c>
      <c r="S1944" s="9" t="s">
        <v>154</v>
      </c>
      <c r="T1944" s="9" t="s">
        <v>57</v>
      </c>
      <c r="U1944" s="9">
        <v>120</v>
      </c>
      <c r="V1944" s="13">
        <v>1.2</v>
      </c>
      <c r="W1944" s="13">
        <v>144</v>
      </c>
      <c r="X1944" s="14">
        <v>-8.006854838709673</v>
      </c>
      <c r="Y1944" s="13">
        <v>135.99314516129033</v>
      </c>
      <c r="Z1944" s="10">
        <v>45476</v>
      </c>
      <c r="AA1944" s="9">
        <v>0</v>
      </c>
      <c r="AC1944" s="9">
        <v>445120</v>
      </c>
      <c r="AD1944" s="14">
        <v>11.18181818181818</v>
      </c>
      <c r="AF1944" s="14">
        <v>2.4</v>
      </c>
      <c r="AH1944" s="14">
        <v>13.58181818181818</v>
      </c>
      <c r="AI1944" s="13">
        <v>122.41132697947215</v>
      </c>
      <c r="AK1944" s="9">
        <v>120</v>
      </c>
    </row>
    <row r="1945" spans="1:37">
      <c r="A1945" s="9">
        <v>25</v>
      </c>
      <c r="B1945" s="9">
        <v>2024</v>
      </c>
      <c r="C1945" s="9" t="s">
        <v>46</v>
      </c>
      <c r="D1945" s="9" t="s">
        <v>47</v>
      </c>
      <c r="E1945" s="9" t="s">
        <v>47</v>
      </c>
      <c r="F1945" s="10">
        <v>45463</v>
      </c>
      <c r="G1945" s="9" t="s">
        <v>154</v>
      </c>
      <c r="H1945" s="9" t="s">
        <v>51</v>
      </c>
      <c r="J1945" s="9">
        <v>8.7272727272727266</v>
      </c>
      <c r="K1945" s="9">
        <v>320</v>
      </c>
      <c r="L1945" s="9">
        <v>0.38</v>
      </c>
      <c r="M1945" s="9">
        <v>121.6</v>
      </c>
      <c r="N1945" s="9" t="s">
        <v>49</v>
      </c>
      <c r="Q1945" s="9">
        <f>IF(Auction_Sales[[#This Row],[Payment Date]]=0,"",-1+WEEKNUM(Auction_Sales[[#This Row],[Payment Date]]))</f>
        <v>26</v>
      </c>
      <c r="R1945" s="9">
        <v>0</v>
      </c>
      <c r="S1945" s="9" t="s">
        <v>154</v>
      </c>
      <c r="T1945" s="9" t="s">
        <v>51</v>
      </c>
      <c r="U1945" s="9">
        <v>320</v>
      </c>
      <c r="V1945" s="13">
        <v>0.71250000000000002</v>
      </c>
      <c r="W1945" s="13">
        <v>228</v>
      </c>
      <c r="X1945" s="14">
        <v>-21.351612903225796</v>
      </c>
      <c r="Y1945" s="13">
        <v>206.6483870967742</v>
      </c>
      <c r="Z1945" s="10">
        <v>45476</v>
      </c>
      <c r="AA1945" s="9">
        <v>0</v>
      </c>
      <c r="AC1945" s="9">
        <v>445120</v>
      </c>
      <c r="AD1945" s="14">
        <v>29.81818181818182</v>
      </c>
      <c r="AF1945" s="14">
        <v>6.4</v>
      </c>
      <c r="AH1945" s="14">
        <v>36.218181818181819</v>
      </c>
      <c r="AI1945" s="13">
        <v>170.43020527859238</v>
      </c>
      <c r="AK1945" s="9">
        <v>320</v>
      </c>
    </row>
    <row r="1946" spans="1:37">
      <c r="A1946" s="9">
        <v>25</v>
      </c>
      <c r="B1946" s="9">
        <v>2024</v>
      </c>
      <c r="C1946" s="9" t="s">
        <v>46</v>
      </c>
      <c r="D1946" s="9" t="s">
        <v>47</v>
      </c>
      <c r="E1946" s="9" t="s">
        <v>47</v>
      </c>
      <c r="F1946" s="10">
        <v>45463</v>
      </c>
      <c r="G1946" s="9" t="s">
        <v>156</v>
      </c>
      <c r="H1946" s="9" t="s">
        <v>51</v>
      </c>
      <c r="I1946" s="9">
        <v>1</v>
      </c>
      <c r="J1946" s="9">
        <v>8.3999999999999986</v>
      </c>
      <c r="K1946" s="9">
        <v>280</v>
      </c>
      <c r="L1946" s="9">
        <v>0.42</v>
      </c>
      <c r="M1946" s="9">
        <v>117.6</v>
      </c>
      <c r="N1946" s="9" t="s">
        <v>49</v>
      </c>
      <c r="Q1946" s="9">
        <f>IF(Auction_Sales[[#This Row],[Payment Date]]=0,"",-1+WEEKNUM(Auction_Sales[[#This Row],[Payment Date]]))</f>
        <v>26</v>
      </c>
      <c r="R1946" s="9">
        <v>0</v>
      </c>
      <c r="S1946" s="9" t="s">
        <v>156</v>
      </c>
      <c r="T1946" s="9" t="s">
        <v>51</v>
      </c>
      <c r="U1946" s="9">
        <v>280</v>
      </c>
      <c r="V1946" s="13">
        <v>0.59142857142857141</v>
      </c>
      <c r="W1946" s="13">
        <v>165.6</v>
      </c>
      <c r="X1946" s="14">
        <v>-18.682661290322567</v>
      </c>
      <c r="Y1946" s="13">
        <v>146.91733870967744</v>
      </c>
      <c r="Z1946" s="10">
        <v>45476</v>
      </c>
      <c r="AA1946" s="9">
        <v>0</v>
      </c>
      <c r="AC1946" s="9">
        <v>445120</v>
      </c>
      <c r="AD1946" s="14">
        <v>28.699999999999996</v>
      </c>
      <c r="AF1946" s="14">
        <v>5.6000000000000005</v>
      </c>
      <c r="AH1946" s="14">
        <v>34.299999999999997</v>
      </c>
      <c r="AI1946" s="13">
        <v>112.61733870967744</v>
      </c>
      <c r="AK1946" s="9">
        <v>280</v>
      </c>
    </row>
    <row r="1947" spans="1:37">
      <c r="A1947" s="9">
        <v>25</v>
      </c>
      <c r="B1947" s="9">
        <v>2024</v>
      </c>
      <c r="C1947" s="9" t="s">
        <v>46</v>
      </c>
      <c r="D1947" s="9" t="s">
        <v>47</v>
      </c>
      <c r="E1947" s="9" t="s">
        <v>47</v>
      </c>
      <c r="F1947" s="10">
        <v>45463</v>
      </c>
      <c r="G1947" s="9" t="s">
        <v>156</v>
      </c>
      <c r="H1947" s="9" t="s">
        <v>52</v>
      </c>
      <c r="J1947" s="9">
        <v>3.5999999999999996</v>
      </c>
      <c r="K1947" s="9">
        <v>120</v>
      </c>
      <c r="L1947" s="9">
        <v>0.61</v>
      </c>
      <c r="M1947" s="9">
        <v>73.2</v>
      </c>
      <c r="N1947" s="9" t="s">
        <v>49</v>
      </c>
      <c r="Q1947" s="9">
        <f>IF(Auction_Sales[[#This Row],[Payment Date]]=0,"",-1+WEEKNUM(Auction_Sales[[#This Row],[Payment Date]]))</f>
        <v>26</v>
      </c>
      <c r="R1947" s="9">
        <v>0</v>
      </c>
      <c r="S1947" s="9" t="s">
        <v>156</v>
      </c>
      <c r="T1947" s="9" t="s">
        <v>52</v>
      </c>
      <c r="U1947" s="9">
        <v>120</v>
      </c>
      <c r="V1947" s="13">
        <v>1.0366666666666666</v>
      </c>
      <c r="W1947" s="13">
        <v>124.39999999999999</v>
      </c>
      <c r="X1947" s="14">
        <v>-8.006854838709673</v>
      </c>
      <c r="Y1947" s="13">
        <v>116.39314516129032</v>
      </c>
      <c r="Z1947" s="10">
        <v>45476</v>
      </c>
      <c r="AA1947" s="9">
        <v>0</v>
      </c>
      <c r="AC1947" s="9">
        <v>445120</v>
      </c>
      <c r="AD1947" s="14">
        <v>12.299999999999999</v>
      </c>
      <c r="AF1947" s="14">
        <v>2.4</v>
      </c>
      <c r="AH1947" s="14">
        <v>14.7</v>
      </c>
      <c r="AI1947" s="13">
        <v>101.69314516129032</v>
      </c>
      <c r="AK1947" s="9">
        <v>120</v>
      </c>
    </row>
    <row r="1948" spans="1:37">
      <c r="A1948" s="9">
        <v>26</v>
      </c>
      <c r="B1948" s="9">
        <v>2024</v>
      </c>
      <c r="C1948" s="9" t="s">
        <v>46</v>
      </c>
      <c r="D1948" s="9" t="s">
        <v>47</v>
      </c>
      <c r="E1948" s="9" t="s">
        <v>47</v>
      </c>
      <c r="F1948" s="10">
        <v>45465</v>
      </c>
      <c r="G1948" s="9" t="s">
        <v>155</v>
      </c>
      <c r="H1948" s="9" t="s">
        <v>48</v>
      </c>
      <c r="I1948" s="9">
        <v>2</v>
      </c>
      <c r="J1948" s="9">
        <v>24</v>
      </c>
      <c r="K1948" s="9">
        <v>1040</v>
      </c>
      <c r="L1948" s="9">
        <v>0.47</v>
      </c>
      <c r="M1948" s="9">
        <v>488.8</v>
      </c>
      <c r="N1948" s="9" t="s">
        <v>49</v>
      </c>
      <c r="Q1948" s="9">
        <f>IF(Auction_Sales[[#This Row],[Payment Date]]=0,"",-1+WEEKNUM(Auction_Sales[[#This Row],[Payment Date]]))</f>
        <v>26</v>
      </c>
      <c r="R1948" s="9">
        <v>-160</v>
      </c>
      <c r="S1948" s="9" t="s">
        <v>155</v>
      </c>
      <c r="T1948" s="9" t="s">
        <v>48</v>
      </c>
      <c r="U1948" s="9">
        <v>1200</v>
      </c>
      <c r="V1948" s="13">
        <v>0.629</v>
      </c>
      <c r="W1948" s="13">
        <v>754.8</v>
      </c>
      <c r="X1948" s="14">
        <v>-63.512820512820589</v>
      </c>
      <c r="Y1948" s="13">
        <v>691.2871794871794</v>
      </c>
      <c r="Z1948" s="10">
        <v>45476</v>
      </c>
      <c r="AA1948" s="9">
        <v>160</v>
      </c>
      <c r="AC1948" s="9">
        <v>445268</v>
      </c>
      <c r="AD1948" s="14">
        <v>80.824000000000012</v>
      </c>
      <c r="AF1948" s="14">
        <v>24</v>
      </c>
      <c r="AH1948" s="14">
        <v>104.82400000000001</v>
      </c>
      <c r="AI1948" s="13">
        <v>586.46317948717933</v>
      </c>
      <c r="AK1948" s="9">
        <v>1200</v>
      </c>
    </row>
    <row r="1949" spans="1:37">
      <c r="A1949" s="9">
        <v>26</v>
      </c>
      <c r="B1949" s="9">
        <v>2024</v>
      </c>
      <c r="C1949" s="9" t="s">
        <v>46</v>
      </c>
      <c r="D1949" s="9" t="s">
        <v>47</v>
      </c>
      <c r="E1949" s="9" t="s">
        <v>47</v>
      </c>
      <c r="F1949" s="10">
        <v>45465</v>
      </c>
      <c r="G1949" s="9" t="s">
        <v>154</v>
      </c>
      <c r="H1949" s="9" t="s">
        <v>51</v>
      </c>
      <c r="I1949" s="9">
        <v>1</v>
      </c>
      <c r="J1949" s="9">
        <v>12</v>
      </c>
      <c r="K1949" s="9">
        <v>520</v>
      </c>
      <c r="L1949" s="9">
        <v>0.38</v>
      </c>
      <c r="M1949" s="9">
        <v>197.6</v>
      </c>
      <c r="N1949" s="9" t="s">
        <v>49</v>
      </c>
      <c r="Q1949" s="9">
        <f>IF(Auction_Sales[[#This Row],[Payment Date]]=0,"",-1+WEEKNUM(Auction_Sales[[#This Row],[Payment Date]]))</f>
        <v>26</v>
      </c>
      <c r="R1949" s="9">
        <v>0</v>
      </c>
      <c r="S1949" s="9" t="s">
        <v>154</v>
      </c>
      <c r="T1949" s="9" t="s">
        <v>51</v>
      </c>
      <c r="U1949" s="9">
        <v>520</v>
      </c>
      <c r="V1949" s="13">
        <v>0.45615384615384613</v>
      </c>
      <c r="W1949" s="13">
        <v>237.2</v>
      </c>
      <c r="X1949" s="14">
        <v>-27.522222222222254</v>
      </c>
      <c r="Y1949" s="13">
        <v>209.67777777777775</v>
      </c>
      <c r="Z1949" s="10">
        <v>45476</v>
      </c>
      <c r="AA1949" s="9">
        <v>0</v>
      </c>
      <c r="AC1949" s="9">
        <v>445268</v>
      </c>
      <c r="AD1949" s="14">
        <v>40.412000000000006</v>
      </c>
      <c r="AF1949" s="14">
        <v>10.4</v>
      </c>
      <c r="AH1949" s="14">
        <v>50.812000000000005</v>
      </c>
      <c r="AI1949" s="13">
        <v>158.86577777777774</v>
      </c>
      <c r="AK1949" s="9">
        <v>520</v>
      </c>
    </row>
    <row r="1950" spans="1:37">
      <c r="A1950" s="9">
        <v>26</v>
      </c>
      <c r="B1950" s="9">
        <v>2024</v>
      </c>
      <c r="C1950" s="9" t="s">
        <v>46</v>
      </c>
      <c r="D1950" s="9" t="s">
        <v>47</v>
      </c>
      <c r="E1950" s="9" t="s">
        <v>47</v>
      </c>
      <c r="F1950" s="10">
        <v>45465</v>
      </c>
      <c r="G1950" s="9" t="s">
        <v>153</v>
      </c>
      <c r="H1950" s="9" t="s">
        <v>48</v>
      </c>
      <c r="I1950" s="9">
        <v>1</v>
      </c>
      <c r="J1950" s="9">
        <v>12</v>
      </c>
      <c r="K1950" s="9">
        <v>720</v>
      </c>
      <c r="L1950" s="9">
        <v>0.24</v>
      </c>
      <c r="M1950" s="9">
        <v>172.8</v>
      </c>
      <c r="N1950" s="9" t="s">
        <v>49</v>
      </c>
      <c r="Q1950" s="9">
        <f>IF(Auction_Sales[[#This Row],[Payment Date]]=0,"",-1+WEEKNUM(Auction_Sales[[#This Row],[Payment Date]]))</f>
        <v>26</v>
      </c>
      <c r="R1950" s="9">
        <v>-200</v>
      </c>
      <c r="S1950" s="9" t="s">
        <v>153</v>
      </c>
      <c r="T1950" s="9" t="s">
        <v>48</v>
      </c>
      <c r="U1950" s="9">
        <v>920</v>
      </c>
      <c r="V1950" s="13">
        <v>0.56521739130434778</v>
      </c>
      <c r="W1950" s="13">
        <v>520</v>
      </c>
      <c r="X1950" s="14">
        <v>-48.693162393162446</v>
      </c>
      <c r="Y1950" s="13">
        <v>471.30683760683758</v>
      </c>
      <c r="Z1950" s="10">
        <v>45476</v>
      </c>
      <c r="AA1950" s="9">
        <v>200</v>
      </c>
      <c r="AC1950" s="9">
        <v>445268</v>
      </c>
      <c r="AD1950" s="14">
        <v>40.412000000000006</v>
      </c>
      <c r="AF1950" s="14">
        <v>18.400000000000002</v>
      </c>
      <c r="AH1950" s="14">
        <v>58.812000000000012</v>
      </c>
      <c r="AI1950" s="13">
        <v>412.49483760683756</v>
      </c>
      <c r="AK1950" s="9">
        <v>920</v>
      </c>
    </row>
    <row r="1951" spans="1:37">
      <c r="A1951" s="9">
        <v>26</v>
      </c>
      <c r="B1951" s="9">
        <v>2024</v>
      </c>
      <c r="C1951" s="9" t="s">
        <v>46</v>
      </c>
      <c r="D1951" s="9" t="s">
        <v>47</v>
      </c>
      <c r="E1951" s="9" t="s">
        <v>47</v>
      </c>
      <c r="F1951" s="10">
        <v>45465</v>
      </c>
      <c r="G1951" s="9" t="s">
        <v>155</v>
      </c>
      <c r="H1951" s="9" t="s">
        <v>56</v>
      </c>
      <c r="I1951" s="9">
        <v>1</v>
      </c>
      <c r="J1951" s="9">
        <v>2</v>
      </c>
      <c r="K1951" s="9">
        <v>40</v>
      </c>
      <c r="L1951" s="9">
        <v>0.75</v>
      </c>
      <c r="M1951" s="9">
        <v>30</v>
      </c>
      <c r="N1951" s="9" t="s">
        <v>49</v>
      </c>
      <c r="Q1951" s="9">
        <f>IF(Auction_Sales[[#This Row],[Payment Date]]=0,"",-1+WEEKNUM(Auction_Sales[[#This Row],[Payment Date]]))</f>
        <v>26</v>
      </c>
      <c r="R1951" s="9">
        <v>0</v>
      </c>
      <c r="S1951" s="9" t="s">
        <v>155</v>
      </c>
      <c r="T1951" s="9" t="s">
        <v>56</v>
      </c>
      <c r="U1951" s="9">
        <v>40</v>
      </c>
      <c r="V1951" s="13">
        <v>1.04</v>
      </c>
      <c r="W1951" s="13">
        <v>41.6</v>
      </c>
      <c r="X1951" s="14">
        <v>-2.1170940170940193</v>
      </c>
      <c r="Y1951" s="13">
        <v>39.482905982905983</v>
      </c>
      <c r="Z1951" s="10">
        <v>45476</v>
      </c>
      <c r="AA1951" s="9">
        <v>0</v>
      </c>
      <c r="AC1951" s="9">
        <v>445268</v>
      </c>
      <c r="AD1951" s="14">
        <v>6.7353333333333332</v>
      </c>
      <c r="AF1951" s="14">
        <v>0.8</v>
      </c>
      <c r="AH1951" s="14">
        <v>7.535333333333333</v>
      </c>
      <c r="AI1951" s="13">
        <v>31.947572649572649</v>
      </c>
      <c r="AK1951" s="9">
        <v>40</v>
      </c>
    </row>
    <row r="1952" spans="1:37">
      <c r="A1952" s="9">
        <v>26</v>
      </c>
      <c r="B1952" s="9">
        <v>2024</v>
      </c>
      <c r="C1952" s="9" t="s">
        <v>46</v>
      </c>
      <c r="D1952" s="9" t="s">
        <v>47</v>
      </c>
      <c r="E1952" s="9" t="s">
        <v>47</v>
      </c>
      <c r="F1952" s="10">
        <v>45465</v>
      </c>
      <c r="G1952" s="9" t="s">
        <v>155</v>
      </c>
      <c r="H1952" s="9" t="s">
        <v>48</v>
      </c>
      <c r="J1952" s="9">
        <v>8</v>
      </c>
      <c r="K1952" s="9">
        <v>160</v>
      </c>
      <c r="L1952" s="9">
        <v>0.47</v>
      </c>
      <c r="M1952" s="9">
        <v>75.2</v>
      </c>
      <c r="N1952" s="9" t="s">
        <v>49</v>
      </c>
      <c r="Q1952" s="9">
        <f>IF(Auction_Sales[[#This Row],[Payment Date]]=0,"",-1+WEEKNUM(Auction_Sales[[#This Row],[Payment Date]]))</f>
        <v>26</v>
      </c>
      <c r="R1952" s="9">
        <v>160</v>
      </c>
      <c r="S1952" s="9" t="s">
        <v>155</v>
      </c>
      <c r="T1952" s="9" t="s">
        <v>48</v>
      </c>
      <c r="W1952" s="13">
        <v>0</v>
      </c>
      <c r="X1952" s="14">
        <v>0</v>
      </c>
      <c r="Y1952" s="13">
        <v>0</v>
      </c>
      <c r="Z1952" s="10">
        <v>45476</v>
      </c>
      <c r="AA1952" s="9">
        <v>-160</v>
      </c>
      <c r="AC1952" s="9">
        <v>445268</v>
      </c>
      <c r="AD1952" s="14">
        <v>26.941333333333333</v>
      </c>
      <c r="AF1952" s="14">
        <v>0</v>
      </c>
      <c r="AH1952" s="14">
        <v>26.941333333333333</v>
      </c>
      <c r="AI1952" s="13">
        <v>-26.941333333333333</v>
      </c>
      <c r="AK1952" s="9">
        <v>0</v>
      </c>
    </row>
    <row r="1953" spans="1:37">
      <c r="A1953" s="9">
        <v>26</v>
      </c>
      <c r="B1953" s="9">
        <v>2024</v>
      </c>
      <c r="C1953" s="9" t="s">
        <v>46</v>
      </c>
      <c r="D1953" s="9" t="s">
        <v>47</v>
      </c>
      <c r="E1953" s="9" t="s">
        <v>47</v>
      </c>
      <c r="F1953" s="10">
        <v>45465</v>
      </c>
      <c r="G1953" s="9" t="s">
        <v>155</v>
      </c>
      <c r="H1953" s="9" t="s">
        <v>57</v>
      </c>
      <c r="J1953" s="9">
        <v>2</v>
      </c>
      <c r="K1953" s="9">
        <v>40</v>
      </c>
      <c r="L1953" s="9">
        <v>0.94</v>
      </c>
      <c r="M1953" s="9">
        <v>37.6</v>
      </c>
      <c r="N1953" s="9" t="s">
        <v>49</v>
      </c>
      <c r="Q1953" s="9">
        <f>IF(Auction_Sales[[#This Row],[Payment Date]]=0,"",-1+WEEKNUM(Auction_Sales[[#This Row],[Payment Date]]))</f>
        <v>26</v>
      </c>
      <c r="R1953" s="9">
        <v>0</v>
      </c>
      <c r="S1953" s="9" t="s">
        <v>155</v>
      </c>
      <c r="T1953" s="9" t="s">
        <v>57</v>
      </c>
      <c r="U1953" s="9">
        <v>40</v>
      </c>
      <c r="V1953" s="13">
        <v>1.1000000000000001</v>
      </c>
      <c r="W1953" s="13">
        <v>44</v>
      </c>
      <c r="X1953" s="14">
        <v>-2.1170940170940193</v>
      </c>
      <c r="Y1953" s="13">
        <v>41.882905982905982</v>
      </c>
      <c r="Z1953" s="10">
        <v>45476</v>
      </c>
      <c r="AA1953" s="9">
        <v>0</v>
      </c>
      <c r="AC1953" s="9">
        <v>445268</v>
      </c>
      <c r="AD1953" s="14">
        <v>6.7353333333333332</v>
      </c>
      <c r="AF1953" s="14">
        <v>0.8</v>
      </c>
      <c r="AH1953" s="14">
        <v>7.535333333333333</v>
      </c>
      <c r="AI1953" s="13">
        <v>34.347572649572648</v>
      </c>
      <c r="AK1953" s="9">
        <v>40</v>
      </c>
    </row>
    <row r="1954" spans="1:37">
      <c r="A1954" s="9">
        <v>26</v>
      </c>
      <c r="B1954" s="9">
        <v>2024</v>
      </c>
      <c r="C1954" s="9" t="s">
        <v>46</v>
      </c>
      <c r="D1954" s="9" t="s">
        <v>47</v>
      </c>
      <c r="E1954" s="9" t="s">
        <v>47</v>
      </c>
      <c r="F1954" s="10">
        <v>45465</v>
      </c>
      <c r="G1954" s="9" t="s">
        <v>153</v>
      </c>
      <c r="H1954" s="9" t="s">
        <v>48</v>
      </c>
      <c r="I1954" s="9">
        <v>1</v>
      </c>
      <c r="J1954" s="9">
        <v>3.75</v>
      </c>
      <c r="K1954" s="9">
        <v>200</v>
      </c>
      <c r="L1954" s="9">
        <v>0.24</v>
      </c>
      <c r="M1954" s="9">
        <v>48</v>
      </c>
      <c r="N1954" s="9" t="s">
        <v>49</v>
      </c>
      <c r="Q1954" s="9">
        <f>IF(Auction_Sales[[#This Row],[Payment Date]]=0,"",-1+WEEKNUM(Auction_Sales[[#This Row],[Payment Date]]))</f>
        <v>26</v>
      </c>
      <c r="R1954" s="9">
        <v>200</v>
      </c>
      <c r="S1954" s="9" t="s">
        <v>153</v>
      </c>
      <c r="T1954" s="9" t="s">
        <v>48</v>
      </c>
      <c r="W1954" s="13">
        <v>0</v>
      </c>
      <c r="X1954" s="14">
        <v>0</v>
      </c>
      <c r="Y1954" s="13">
        <v>0</v>
      </c>
      <c r="Z1954" s="10">
        <v>45476</v>
      </c>
      <c r="AA1954" s="9">
        <v>-200</v>
      </c>
      <c r="AC1954" s="9">
        <v>445268</v>
      </c>
      <c r="AD1954" s="14">
        <v>12.62875</v>
      </c>
      <c r="AF1954" s="14">
        <v>0</v>
      </c>
      <c r="AH1954" s="14">
        <v>12.62875</v>
      </c>
      <c r="AI1954" s="13">
        <v>-12.62875</v>
      </c>
      <c r="AK1954" s="9">
        <v>0</v>
      </c>
    </row>
    <row r="1955" spans="1:37">
      <c r="A1955" s="9">
        <v>26</v>
      </c>
      <c r="B1955" s="9">
        <v>2024</v>
      </c>
      <c r="C1955" s="9" t="s">
        <v>46</v>
      </c>
      <c r="D1955" s="9" t="s">
        <v>47</v>
      </c>
      <c r="E1955" s="9" t="s">
        <v>47</v>
      </c>
      <c r="F1955" s="10">
        <v>45465</v>
      </c>
      <c r="G1955" s="9" t="s">
        <v>153</v>
      </c>
      <c r="H1955" s="9" t="s">
        <v>52</v>
      </c>
      <c r="J1955" s="9">
        <v>8.25</v>
      </c>
      <c r="K1955" s="9">
        <v>440</v>
      </c>
      <c r="L1955" s="9">
        <v>0.28000000000000003</v>
      </c>
      <c r="M1955" s="9">
        <v>123.2</v>
      </c>
      <c r="N1955" s="9" t="s">
        <v>49</v>
      </c>
      <c r="Q1955" s="9">
        <f>IF(Auction_Sales[[#This Row],[Payment Date]]=0,"",-1+WEEKNUM(Auction_Sales[[#This Row],[Payment Date]]))</f>
        <v>26</v>
      </c>
      <c r="R1955" s="9">
        <v>0</v>
      </c>
      <c r="S1955" s="9" t="s">
        <v>153</v>
      </c>
      <c r="T1955" s="9" t="s">
        <v>52</v>
      </c>
      <c r="U1955" s="9">
        <v>440</v>
      </c>
      <c r="V1955" s="13">
        <v>0.59000000000000008</v>
      </c>
      <c r="W1955" s="13">
        <v>259.60000000000002</v>
      </c>
      <c r="X1955" s="14">
        <v>-23.288034188034214</v>
      </c>
      <c r="Y1955" s="13">
        <v>236.31196581196582</v>
      </c>
      <c r="Z1955" s="10">
        <v>45476</v>
      </c>
      <c r="AA1955" s="9">
        <v>0</v>
      </c>
      <c r="AC1955" s="9">
        <v>445268</v>
      </c>
      <c r="AD1955" s="14">
        <v>27.783250000000002</v>
      </c>
      <c r="AF1955" s="14">
        <v>8.8000000000000007</v>
      </c>
      <c r="AH1955" s="14">
        <v>36.583250000000007</v>
      </c>
      <c r="AI1955" s="13">
        <v>199.7287158119658</v>
      </c>
      <c r="AK1955" s="9">
        <v>440</v>
      </c>
    </row>
    <row r="1956" spans="1:37">
      <c r="A1956" s="9">
        <v>26</v>
      </c>
      <c r="B1956" s="9">
        <v>2024</v>
      </c>
      <c r="C1956" s="9" t="s">
        <v>46</v>
      </c>
      <c r="D1956" s="9" t="s">
        <v>47</v>
      </c>
      <c r="E1956" s="9" t="s">
        <v>47</v>
      </c>
      <c r="F1956" s="10">
        <v>45465</v>
      </c>
      <c r="G1956" s="9" t="s">
        <v>154</v>
      </c>
      <c r="H1956" s="9" t="s">
        <v>48</v>
      </c>
      <c r="I1956" s="9">
        <v>1</v>
      </c>
      <c r="J1956" s="9">
        <v>9.4285714285714288</v>
      </c>
      <c r="K1956" s="9">
        <v>440</v>
      </c>
      <c r="L1956" s="9">
        <v>0.47</v>
      </c>
      <c r="M1956" s="9">
        <v>206.8</v>
      </c>
      <c r="N1956" s="9" t="s">
        <v>49</v>
      </c>
      <c r="Q1956" s="9">
        <f>IF(Auction_Sales[[#This Row],[Payment Date]]=0,"",-1+WEEKNUM(Auction_Sales[[#This Row],[Payment Date]]))</f>
        <v>26</v>
      </c>
      <c r="R1956" s="9">
        <v>0</v>
      </c>
      <c r="S1956" s="9" t="s">
        <v>154</v>
      </c>
      <c r="T1956" s="9" t="s">
        <v>48</v>
      </c>
      <c r="U1956" s="9">
        <v>440</v>
      </c>
      <c r="V1956" s="13">
        <v>0.64363636363636356</v>
      </c>
      <c r="W1956" s="13">
        <v>283.2</v>
      </c>
      <c r="X1956" s="14">
        <v>-23.288034188034214</v>
      </c>
      <c r="Y1956" s="13">
        <v>259.91196581196579</v>
      </c>
      <c r="Z1956" s="10">
        <v>45476</v>
      </c>
      <c r="AA1956" s="9">
        <v>0</v>
      </c>
      <c r="AC1956" s="9">
        <v>445268</v>
      </c>
      <c r="AD1956" s="14">
        <v>31.752285714285716</v>
      </c>
      <c r="AF1956" s="14">
        <v>8.8000000000000007</v>
      </c>
      <c r="AH1956" s="14">
        <v>40.552285714285716</v>
      </c>
      <c r="AI1956" s="13">
        <v>219.35968009768007</v>
      </c>
      <c r="AK1956" s="9">
        <v>440</v>
      </c>
    </row>
    <row r="1957" spans="1:37">
      <c r="A1957" s="9">
        <v>26</v>
      </c>
      <c r="B1957" s="9">
        <v>2024</v>
      </c>
      <c r="C1957" s="9" t="s">
        <v>46</v>
      </c>
      <c r="D1957" s="9" t="s">
        <v>47</v>
      </c>
      <c r="E1957" s="9" t="s">
        <v>47</v>
      </c>
      <c r="F1957" s="10">
        <v>45465</v>
      </c>
      <c r="G1957" s="9" t="s">
        <v>154</v>
      </c>
      <c r="H1957" s="9" t="s">
        <v>52</v>
      </c>
      <c r="J1957" s="9">
        <v>0.8571428571428571</v>
      </c>
      <c r="K1957" s="9">
        <v>40</v>
      </c>
      <c r="L1957" s="9">
        <v>0.52</v>
      </c>
      <c r="M1957" s="9">
        <v>20.8</v>
      </c>
      <c r="N1957" s="9" t="s">
        <v>49</v>
      </c>
      <c r="Q1957" s="9">
        <f>IF(Auction_Sales[[#This Row],[Payment Date]]=0,"",-1+WEEKNUM(Auction_Sales[[#This Row],[Payment Date]]))</f>
        <v>26</v>
      </c>
      <c r="R1957" s="9">
        <v>0</v>
      </c>
      <c r="S1957" s="9" t="s">
        <v>154</v>
      </c>
      <c r="T1957" s="9" t="s">
        <v>52</v>
      </c>
      <c r="U1957" s="9">
        <v>40</v>
      </c>
      <c r="V1957" s="13">
        <v>1.04</v>
      </c>
      <c r="W1957" s="13">
        <v>41.6</v>
      </c>
      <c r="X1957" s="14">
        <v>-2.1170940170940193</v>
      </c>
      <c r="Y1957" s="13">
        <v>39.482905982905983</v>
      </c>
      <c r="Z1957" s="10">
        <v>45476</v>
      </c>
      <c r="AA1957" s="9">
        <v>0</v>
      </c>
      <c r="AC1957" s="9">
        <v>445268</v>
      </c>
      <c r="AD1957" s="14">
        <v>2.8865714285714286</v>
      </c>
      <c r="AF1957" s="14">
        <v>0.8</v>
      </c>
      <c r="AH1957" s="14">
        <v>3.6865714285714288</v>
      </c>
      <c r="AI1957" s="13">
        <v>35.796334554334557</v>
      </c>
      <c r="AK1957" s="9">
        <v>40</v>
      </c>
    </row>
    <row r="1958" spans="1:37">
      <c r="A1958" s="9">
        <v>26</v>
      </c>
      <c r="B1958" s="9">
        <v>2024</v>
      </c>
      <c r="C1958" s="9" t="s">
        <v>46</v>
      </c>
      <c r="D1958" s="9" t="s">
        <v>47</v>
      </c>
      <c r="E1958" s="9" t="s">
        <v>47</v>
      </c>
      <c r="F1958" s="10">
        <v>45465</v>
      </c>
      <c r="G1958" s="9" t="s">
        <v>154</v>
      </c>
      <c r="H1958" s="9" t="s">
        <v>54</v>
      </c>
      <c r="J1958" s="9">
        <v>1.7142857142857142</v>
      </c>
      <c r="K1958" s="9">
        <v>80</v>
      </c>
      <c r="L1958" s="9">
        <v>0.56999999999999995</v>
      </c>
      <c r="M1958" s="9">
        <v>45.6</v>
      </c>
      <c r="N1958" s="9" t="s">
        <v>49</v>
      </c>
      <c r="Q1958" s="9">
        <f>IF(Auction_Sales[[#This Row],[Payment Date]]=0,"",-1+WEEKNUM(Auction_Sales[[#This Row],[Payment Date]]))</f>
        <v>26</v>
      </c>
      <c r="R1958" s="9">
        <v>0</v>
      </c>
      <c r="S1958" s="9" t="s">
        <v>154</v>
      </c>
      <c r="T1958" s="9" t="s">
        <v>54</v>
      </c>
      <c r="U1958" s="9">
        <v>80</v>
      </c>
      <c r="V1958" s="13">
        <v>1.085</v>
      </c>
      <c r="W1958" s="13">
        <v>86.8</v>
      </c>
      <c r="X1958" s="14">
        <v>-4.2341880341880387</v>
      </c>
      <c r="Y1958" s="13">
        <v>82.56581196581196</v>
      </c>
      <c r="Z1958" s="10">
        <v>45476</v>
      </c>
      <c r="AA1958" s="9">
        <v>0</v>
      </c>
      <c r="AC1958" s="9">
        <v>445268</v>
      </c>
      <c r="AD1958" s="14">
        <v>5.7731428571428571</v>
      </c>
      <c r="AF1958" s="14">
        <v>1.6</v>
      </c>
      <c r="AH1958" s="14">
        <v>7.3731428571428577</v>
      </c>
      <c r="AI1958" s="13">
        <v>75.192669108669108</v>
      </c>
      <c r="AK1958" s="9">
        <v>80</v>
      </c>
    </row>
    <row r="1959" spans="1:37">
      <c r="A1959" s="9">
        <v>26</v>
      </c>
      <c r="B1959" s="9">
        <v>2024</v>
      </c>
      <c r="C1959" s="9" t="s">
        <v>46</v>
      </c>
      <c r="D1959" s="9" t="s">
        <v>47</v>
      </c>
      <c r="E1959" s="9" t="s">
        <v>47</v>
      </c>
      <c r="F1959" s="10">
        <v>45465</v>
      </c>
      <c r="G1959" s="9" t="s">
        <v>154</v>
      </c>
      <c r="H1959" s="9" t="s">
        <v>56</v>
      </c>
      <c r="I1959" s="9">
        <v>1</v>
      </c>
      <c r="J1959" s="9">
        <v>6</v>
      </c>
      <c r="K1959" s="9">
        <v>120</v>
      </c>
      <c r="L1959" s="9">
        <v>0.75</v>
      </c>
      <c r="M1959" s="9">
        <v>90</v>
      </c>
      <c r="N1959" s="9" t="s">
        <v>49</v>
      </c>
      <c r="Q1959" s="9">
        <f>IF(Auction_Sales[[#This Row],[Payment Date]]=0,"",-1+WEEKNUM(Auction_Sales[[#This Row],[Payment Date]]))</f>
        <v>26</v>
      </c>
      <c r="R1959" s="9">
        <v>0</v>
      </c>
      <c r="S1959" s="9" t="s">
        <v>154</v>
      </c>
      <c r="T1959" s="9" t="s">
        <v>56</v>
      </c>
      <c r="U1959" s="9">
        <v>120</v>
      </c>
      <c r="V1959" s="13">
        <v>1.1499999999999999</v>
      </c>
      <c r="W1959" s="13">
        <v>138</v>
      </c>
      <c r="X1959" s="14">
        <v>-6.351282051282058</v>
      </c>
      <c r="Y1959" s="13">
        <v>131.64871794871794</v>
      </c>
      <c r="Z1959" s="10">
        <v>45476</v>
      </c>
      <c r="AA1959" s="9">
        <v>0</v>
      </c>
      <c r="AC1959" s="9">
        <v>445268</v>
      </c>
      <c r="AD1959" s="14">
        <v>20.206000000000003</v>
      </c>
      <c r="AF1959" s="14">
        <v>2.4</v>
      </c>
      <c r="AH1959" s="14">
        <v>22.606000000000002</v>
      </c>
      <c r="AI1959" s="13">
        <v>109.04271794871795</v>
      </c>
      <c r="AK1959" s="9">
        <v>120</v>
      </c>
    </row>
    <row r="1960" spans="1:37">
      <c r="A1960" s="9">
        <v>26</v>
      </c>
      <c r="B1960" s="9">
        <v>2024</v>
      </c>
      <c r="C1960" s="9" t="s">
        <v>46</v>
      </c>
      <c r="D1960" s="9" t="s">
        <v>47</v>
      </c>
      <c r="E1960" s="9" t="s">
        <v>47</v>
      </c>
      <c r="F1960" s="10">
        <v>45465</v>
      </c>
      <c r="G1960" s="9" t="s">
        <v>154</v>
      </c>
      <c r="H1960" s="9" t="s">
        <v>57</v>
      </c>
      <c r="J1960" s="9">
        <v>6</v>
      </c>
      <c r="K1960" s="9">
        <v>120</v>
      </c>
      <c r="L1960" s="9">
        <v>0.94</v>
      </c>
      <c r="M1960" s="9">
        <v>112.8</v>
      </c>
      <c r="N1960" s="9" t="s">
        <v>49</v>
      </c>
      <c r="Q1960" s="9">
        <f>IF(Auction_Sales[[#This Row],[Payment Date]]=0,"",-1+WEEKNUM(Auction_Sales[[#This Row],[Payment Date]]))</f>
        <v>26</v>
      </c>
      <c r="R1960" s="9">
        <v>0</v>
      </c>
      <c r="S1960" s="9" t="s">
        <v>154</v>
      </c>
      <c r="T1960" s="9" t="s">
        <v>57</v>
      </c>
      <c r="U1960" s="9">
        <v>120</v>
      </c>
      <c r="V1960" s="13">
        <v>1.07</v>
      </c>
      <c r="W1960" s="13">
        <v>128.4</v>
      </c>
      <c r="X1960" s="14">
        <v>-6.351282051282058</v>
      </c>
      <c r="Y1960" s="13">
        <v>122.04871794871795</v>
      </c>
      <c r="Z1960" s="10">
        <v>45476</v>
      </c>
      <c r="AA1960" s="9">
        <v>0</v>
      </c>
      <c r="AC1960" s="9">
        <v>445268</v>
      </c>
      <c r="AD1960" s="14">
        <v>20.206000000000003</v>
      </c>
      <c r="AF1960" s="14">
        <v>2.4</v>
      </c>
      <c r="AH1960" s="14">
        <v>22.606000000000002</v>
      </c>
      <c r="AI1960" s="13">
        <v>99.442717948717956</v>
      </c>
      <c r="AK1960" s="9">
        <v>120</v>
      </c>
    </row>
    <row r="1961" spans="1:37">
      <c r="A1961" s="9">
        <v>26</v>
      </c>
      <c r="B1961" s="9">
        <v>2024</v>
      </c>
      <c r="C1961" s="9" t="s">
        <v>46</v>
      </c>
      <c r="D1961" s="9" t="s">
        <v>47</v>
      </c>
      <c r="E1961" s="9" t="s">
        <v>47</v>
      </c>
      <c r="F1961" s="10">
        <v>45465</v>
      </c>
      <c r="G1961" s="9" t="s">
        <v>153</v>
      </c>
      <c r="H1961" s="9" t="s">
        <v>54</v>
      </c>
      <c r="I1961" s="9">
        <v>1</v>
      </c>
      <c r="J1961" s="9">
        <v>5.1428571428571423</v>
      </c>
      <c r="K1961" s="9">
        <v>120</v>
      </c>
      <c r="L1961" s="9">
        <v>0.33</v>
      </c>
      <c r="M1961" s="9">
        <v>39.6</v>
      </c>
      <c r="N1961" s="9" t="s">
        <v>49</v>
      </c>
      <c r="Q1961" s="9">
        <f>IF(Auction_Sales[[#This Row],[Payment Date]]=0,"",-1+WEEKNUM(Auction_Sales[[#This Row],[Payment Date]]))</f>
        <v>26</v>
      </c>
      <c r="R1961" s="9">
        <v>0</v>
      </c>
      <c r="S1961" s="9" t="s">
        <v>153</v>
      </c>
      <c r="T1961" s="9" t="s">
        <v>54</v>
      </c>
      <c r="U1961" s="9">
        <v>120</v>
      </c>
      <c r="V1961" s="13">
        <v>0.67333333333333334</v>
      </c>
      <c r="W1961" s="13">
        <v>80.8</v>
      </c>
      <c r="X1961" s="14">
        <v>-6.351282051282058</v>
      </c>
      <c r="Y1961" s="13">
        <v>74.448717948717942</v>
      </c>
      <c r="Z1961" s="10">
        <v>45476</v>
      </c>
      <c r="AA1961" s="9">
        <v>0</v>
      </c>
      <c r="AC1961" s="9">
        <v>445268</v>
      </c>
      <c r="AD1961" s="14">
        <v>17.319428571428571</v>
      </c>
      <c r="AF1961" s="14">
        <v>2.4</v>
      </c>
      <c r="AH1961" s="14">
        <v>19.719428571428569</v>
      </c>
      <c r="AI1961" s="13">
        <v>54.729289377289376</v>
      </c>
      <c r="AK1961" s="9">
        <v>120</v>
      </c>
    </row>
    <row r="1962" spans="1:37">
      <c r="A1962" s="9">
        <v>26</v>
      </c>
      <c r="B1962" s="9">
        <v>2024</v>
      </c>
      <c r="C1962" s="9" t="s">
        <v>46</v>
      </c>
      <c r="D1962" s="9" t="s">
        <v>47</v>
      </c>
      <c r="E1962" s="9" t="s">
        <v>47</v>
      </c>
      <c r="F1962" s="10">
        <v>45465</v>
      </c>
      <c r="G1962" s="9" t="s">
        <v>153</v>
      </c>
      <c r="H1962" s="9" t="s">
        <v>56</v>
      </c>
      <c r="J1962" s="9">
        <v>6.8571428571428568</v>
      </c>
      <c r="K1962" s="9">
        <v>160</v>
      </c>
      <c r="L1962" s="9">
        <v>0.38</v>
      </c>
      <c r="M1962" s="9">
        <v>60.8</v>
      </c>
      <c r="N1962" s="9" t="s">
        <v>49</v>
      </c>
      <c r="Q1962" s="9">
        <f>IF(Auction_Sales[[#This Row],[Payment Date]]=0,"",-1+WEEKNUM(Auction_Sales[[#This Row],[Payment Date]]))</f>
        <v>26</v>
      </c>
      <c r="R1962" s="9">
        <v>0</v>
      </c>
      <c r="S1962" s="9" t="s">
        <v>153</v>
      </c>
      <c r="T1962" s="9" t="s">
        <v>56</v>
      </c>
      <c r="U1962" s="9">
        <v>160</v>
      </c>
      <c r="V1962" s="13">
        <v>0.72</v>
      </c>
      <c r="W1962" s="13">
        <v>115.19999999999999</v>
      </c>
      <c r="X1962" s="14">
        <v>-8.4683760683760774</v>
      </c>
      <c r="Y1962" s="13">
        <v>106.73162393162391</v>
      </c>
      <c r="Z1962" s="10">
        <v>45476</v>
      </c>
      <c r="AA1962" s="9">
        <v>0</v>
      </c>
      <c r="AC1962" s="9">
        <v>445268</v>
      </c>
      <c r="AD1962" s="14">
        <v>23.092571428571429</v>
      </c>
      <c r="AF1962" s="14">
        <v>3.2</v>
      </c>
      <c r="AH1962" s="14">
        <v>26.292571428571428</v>
      </c>
      <c r="AI1962" s="13">
        <v>80.439052503052494</v>
      </c>
      <c r="AK1962" s="9">
        <v>160</v>
      </c>
    </row>
    <row r="1963" spans="1:37">
      <c r="A1963" s="9">
        <v>26</v>
      </c>
      <c r="B1963" s="9">
        <v>2024</v>
      </c>
      <c r="C1963" s="9" t="s">
        <v>46</v>
      </c>
      <c r="D1963" s="9" t="s">
        <v>47</v>
      </c>
      <c r="E1963" s="9" t="s">
        <v>47</v>
      </c>
      <c r="F1963" s="10">
        <v>45465</v>
      </c>
      <c r="G1963" s="9" t="s">
        <v>156</v>
      </c>
      <c r="H1963" s="9" t="s">
        <v>51</v>
      </c>
      <c r="I1963" s="9">
        <v>1</v>
      </c>
      <c r="J1963" s="9">
        <v>4.3636363636363633</v>
      </c>
      <c r="K1963" s="9">
        <v>160</v>
      </c>
      <c r="L1963" s="9">
        <v>0.42</v>
      </c>
      <c r="M1963" s="9">
        <v>67.2</v>
      </c>
      <c r="N1963" s="9" t="s">
        <v>49</v>
      </c>
      <c r="Q1963" s="9">
        <f>IF(Auction_Sales[[#This Row],[Payment Date]]=0,"",-1+WEEKNUM(Auction_Sales[[#This Row],[Payment Date]]))</f>
        <v>26</v>
      </c>
      <c r="R1963" s="9">
        <v>0</v>
      </c>
      <c r="S1963" s="9" t="s">
        <v>156</v>
      </c>
      <c r="T1963" s="9" t="s">
        <v>51</v>
      </c>
      <c r="U1963" s="9">
        <v>160</v>
      </c>
      <c r="V1963" s="13">
        <v>0.38250000000000001</v>
      </c>
      <c r="W1963" s="13">
        <v>61.2</v>
      </c>
      <c r="X1963" s="14">
        <v>-8.4683760683760774</v>
      </c>
      <c r="Y1963" s="13">
        <v>52.731623931623929</v>
      </c>
      <c r="Z1963" s="10">
        <v>45476</v>
      </c>
      <c r="AA1963" s="9">
        <v>0</v>
      </c>
      <c r="AC1963" s="9">
        <v>445268</v>
      </c>
      <c r="AD1963" s="14">
        <v>14.695272727272727</v>
      </c>
      <c r="AF1963" s="14">
        <v>3.2</v>
      </c>
      <c r="AH1963" s="14">
        <v>17.895272727272726</v>
      </c>
      <c r="AI1963" s="13">
        <v>34.836351204351203</v>
      </c>
      <c r="AK1963" s="9">
        <v>160</v>
      </c>
    </row>
    <row r="1964" spans="1:37">
      <c r="A1964" s="9">
        <v>26</v>
      </c>
      <c r="B1964" s="9">
        <v>2024</v>
      </c>
      <c r="C1964" s="9" t="s">
        <v>46</v>
      </c>
      <c r="D1964" s="9" t="s">
        <v>47</v>
      </c>
      <c r="E1964" s="9" t="s">
        <v>47</v>
      </c>
      <c r="F1964" s="10">
        <v>45465</v>
      </c>
      <c r="G1964" s="9" t="s">
        <v>156</v>
      </c>
      <c r="H1964" s="9" t="s">
        <v>48</v>
      </c>
      <c r="J1964" s="9">
        <v>7.6363636363636367</v>
      </c>
      <c r="K1964" s="9">
        <v>280</v>
      </c>
      <c r="L1964" s="9">
        <v>0.52</v>
      </c>
      <c r="M1964" s="9">
        <v>145.6</v>
      </c>
      <c r="N1964" s="9" t="s">
        <v>49</v>
      </c>
      <c r="Q1964" s="9">
        <f>IF(Auction_Sales[[#This Row],[Payment Date]]=0,"",-1+WEEKNUM(Auction_Sales[[#This Row],[Payment Date]]))</f>
        <v>26</v>
      </c>
      <c r="R1964" s="9">
        <v>0</v>
      </c>
      <c r="S1964" s="9" t="s">
        <v>156</v>
      </c>
      <c r="T1964" s="9" t="s">
        <v>48</v>
      </c>
      <c r="U1964" s="9">
        <v>280</v>
      </c>
      <c r="V1964" s="13">
        <v>0.65</v>
      </c>
      <c r="W1964" s="13">
        <v>182</v>
      </c>
      <c r="X1964" s="14">
        <v>-14.819658119658135</v>
      </c>
      <c r="Y1964" s="13">
        <v>167.18034188034187</v>
      </c>
      <c r="Z1964" s="10">
        <v>45476</v>
      </c>
      <c r="AA1964" s="9">
        <v>0</v>
      </c>
      <c r="AC1964" s="9">
        <v>445268</v>
      </c>
      <c r="AD1964" s="14">
        <v>25.716727272727276</v>
      </c>
      <c r="AF1964" s="14">
        <v>5.6000000000000005</v>
      </c>
      <c r="AH1964" s="14">
        <v>31.316727272727277</v>
      </c>
      <c r="AI1964" s="13">
        <v>135.86361460761458</v>
      </c>
      <c r="AK1964" s="9">
        <v>280</v>
      </c>
    </row>
    <row r="1965" spans="1:37">
      <c r="A1965" s="9">
        <v>26</v>
      </c>
      <c r="B1965" s="9">
        <v>2024</v>
      </c>
      <c r="C1965" s="9" t="s">
        <v>46</v>
      </c>
      <c r="D1965" s="9" t="s">
        <v>47</v>
      </c>
      <c r="E1965" s="9" t="s">
        <v>47</v>
      </c>
      <c r="F1965" s="10">
        <v>45467</v>
      </c>
      <c r="G1965" s="9" t="s">
        <v>154</v>
      </c>
      <c r="H1965" s="9" t="s">
        <v>51</v>
      </c>
      <c r="I1965" s="9">
        <v>1</v>
      </c>
      <c r="J1965" s="9">
        <v>12</v>
      </c>
      <c r="K1965" s="9">
        <v>520</v>
      </c>
      <c r="L1965" s="9">
        <v>0.38</v>
      </c>
      <c r="M1965" s="9">
        <v>197.6</v>
      </c>
      <c r="N1965" s="9" t="s">
        <v>49</v>
      </c>
      <c r="Q1965" s="9">
        <f>IF(Auction_Sales[[#This Row],[Payment Date]]=0,"",-1+WEEKNUM(Auction_Sales[[#This Row],[Payment Date]]))</f>
        <v>26</v>
      </c>
      <c r="R1965" s="9">
        <v>0</v>
      </c>
      <c r="S1965" s="9" t="s">
        <v>154</v>
      </c>
      <c r="T1965" s="9" t="s">
        <v>51</v>
      </c>
      <c r="U1965" s="9">
        <v>520</v>
      </c>
      <c r="V1965" s="13">
        <v>0.48</v>
      </c>
      <c r="W1965" s="13">
        <v>249.6</v>
      </c>
      <c r="X1965" s="14">
        <v>-31.974537815126055</v>
      </c>
      <c r="Y1965" s="13">
        <v>217.62546218487392</v>
      </c>
      <c r="Z1965" s="10">
        <v>45476</v>
      </c>
      <c r="AA1965" s="9">
        <v>0</v>
      </c>
      <c r="AC1965" s="9" t="s">
        <v>127</v>
      </c>
      <c r="AD1965" s="14">
        <v>41.332499999999996</v>
      </c>
      <c r="AF1965" s="14">
        <v>10.4</v>
      </c>
      <c r="AH1965" s="14">
        <v>51.732499999999995</v>
      </c>
      <c r="AI1965" s="13">
        <v>165.89296218487394</v>
      </c>
      <c r="AK1965" s="9">
        <v>520</v>
      </c>
    </row>
    <row r="1966" spans="1:37">
      <c r="A1966" s="9">
        <v>26</v>
      </c>
      <c r="B1966" s="9">
        <v>2024</v>
      </c>
      <c r="C1966" s="9" t="s">
        <v>46</v>
      </c>
      <c r="D1966" s="9" t="s">
        <v>47</v>
      </c>
      <c r="E1966" s="9" t="s">
        <v>47</v>
      </c>
      <c r="F1966" s="10">
        <v>45467</v>
      </c>
      <c r="G1966" s="9" t="s">
        <v>154</v>
      </c>
      <c r="H1966" s="9" t="s">
        <v>52</v>
      </c>
      <c r="I1966" s="9">
        <v>1</v>
      </c>
      <c r="J1966" s="9">
        <v>12</v>
      </c>
      <c r="K1966" s="9">
        <v>320</v>
      </c>
      <c r="L1966" s="9">
        <v>0.52</v>
      </c>
      <c r="M1966" s="9">
        <v>166.4</v>
      </c>
      <c r="N1966" s="9" t="s">
        <v>49</v>
      </c>
      <c r="Q1966" s="9">
        <f>IF(Auction_Sales[[#This Row],[Payment Date]]=0,"",-1+WEEKNUM(Auction_Sales[[#This Row],[Payment Date]]))</f>
        <v>26</v>
      </c>
      <c r="R1966" s="9">
        <v>0</v>
      </c>
      <c r="S1966" s="9" t="s">
        <v>154</v>
      </c>
      <c r="T1966" s="9" t="s">
        <v>52</v>
      </c>
      <c r="U1966" s="9">
        <v>320</v>
      </c>
      <c r="V1966" s="13">
        <v>1.0349999999999999</v>
      </c>
      <c r="W1966" s="13">
        <v>331.2</v>
      </c>
      <c r="X1966" s="14">
        <v>-19.676638655462188</v>
      </c>
      <c r="Y1966" s="13">
        <v>311.52336134453782</v>
      </c>
      <c r="Z1966" s="10">
        <v>45476</v>
      </c>
      <c r="AA1966" s="9">
        <v>0</v>
      </c>
      <c r="AC1966" s="9" t="s">
        <v>127</v>
      </c>
      <c r="AD1966" s="14">
        <v>41.332499999999996</v>
      </c>
      <c r="AF1966" s="14">
        <v>6.4</v>
      </c>
      <c r="AH1966" s="14">
        <v>47.732499999999995</v>
      </c>
      <c r="AI1966" s="13">
        <v>263.7908613445378</v>
      </c>
      <c r="AK1966" s="9">
        <v>320</v>
      </c>
    </row>
    <row r="1967" spans="1:37">
      <c r="A1967" s="9">
        <v>26</v>
      </c>
      <c r="B1967" s="9">
        <v>2024</v>
      </c>
      <c r="C1967" s="9" t="s">
        <v>46</v>
      </c>
      <c r="D1967" s="9" t="s">
        <v>47</v>
      </c>
      <c r="E1967" s="9" t="s">
        <v>47</v>
      </c>
      <c r="F1967" s="10">
        <v>45467</v>
      </c>
      <c r="G1967" s="9" t="s">
        <v>153</v>
      </c>
      <c r="H1967" s="9" t="s">
        <v>48</v>
      </c>
      <c r="I1967" s="9">
        <v>1</v>
      </c>
      <c r="J1967" s="9">
        <v>12</v>
      </c>
      <c r="K1967" s="9">
        <v>600</v>
      </c>
      <c r="L1967" s="9">
        <v>0.24</v>
      </c>
      <c r="M1967" s="9">
        <v>144</v>
      </c>
      <c r="N1967" s="9" t="s">
        <v>49</v>
      </c>
      <c r="Q1967" s="9">
        <f>IF(Auction_Sales[[#This Row],[Payment Date]]=0,"",-1+WEEKNUM(Auction_Sales[[#This Row],[Payment Date]]))</f>
        <v>26</v>
      </c>
      <c r="R1967" s="9">
        <v>0</v>
      </c>
      <c r="S1967" s="9" t="s">
        <v>153</v>
      </c>
      <c r="T1967" s="9" t="s">
        <v>48</v>
      </c>
      <c r="U1967" s="9">
        <v>600</v>
      </c>
      <c r="V1967" s="13">
        <v>0.43</v>
      </c>
      <c r="W1967" s="13">
        <v>258</v>
      </c>
      <c r="X1967" s="14">
        <v>-36.893697478991605</v>
      </c>
      <c r="Y1967" s="13">
        <v>221.10630252100839</v>
      </c>
      <c r="Z1967" s="10">
        <v>45476</v>
      </c>
      <c r="AA1967" s="9">
        <v>0</v>
      </c>
      <c r="AC1967" s="9" t="s">
        <v>127</v>
      </c>
      <c r="AD1967" s="14">
        <v>41.332499999999996</v>
      </c>
      <c r="AF1967" s="14">
        <v>12</v>
      </c>
      <c r="AH1967" s="14">
        <v>53.332499999999996</v>
      </c>
      <c r="AI1967" s="13">
        <v>167.77380252100841</v>
      </c>
      <c r="AK1967" s="9">
        <v>600</v>
      </c>
    </row>
    <row r="1968" spans="1:37">
      <c r="A1968" s="9">
        <v>26</v>
      </c>
      <c r="B1968" s="9">
        <v>2024</v>
      </c>
      <c r="C1968" s="9" t="s">
        <v>46</v>
      </c>
      <c r="D1968" s="9" t="s">
        <v>47</v>
      </c>
      <c r="E1968" s="9" t="s">
        <v>47</v>
      </c>
      <c r="F1968" s="10">
        <v>45467</v>
      </c>
      <c r="G1968" s="9" t="s">
        <v>155</v>
      </c>
      <c r="H1968" s="9" t="s">
        <v>48</v>
      </c>
      <c r="I1968" s="9">
        <v>1</v>
      </c>
      <c r="J1968" s="9">
        <v>12</v>
      </c>
      <c r="K1968" s="9">
        <v>520</v>
      </c>
      <c r="L1968" s="9">
        <v>0.47</v>
      </c>
      <c r="M1968" s="9">
        <v>244.4</v>
      </c>
      <c r="N1968" s="9" t="s">
        <v>49</v>
      </c>
      <c r="Q1968" s="9">
        <f>IF(Auction_Sales[[#This Row],[Payment Date]]=0,"",-1+WEEKNUM(Auction_Sales[[#This Row],[Payment Date]]))</f>
        <v>26</v>
      </c>
      <c r="R1968" s="9">
        <v>-240</v>
      </c>
      <c r="S1968" s="9" t="s">
        <v>155</v>
      </c>
      <c r="T1968" s="9" t="s">
        <v>48</v>
      </c>
      <c r="U1968" s="9">
        <v>760</v>
      </c>
      <c r="V1968" s="13">
        <v>0.78842105263157902</v>
      </c>
      <c r="W1968" s="13">
        <v>599.20000000000005</v>
      </c>
      <c r="X1968" s="14">
        <v>-46.732016806722697</v>
      </c>
      <c r="Y1968" s="13">
        <v>552.46798319327741</v>
      </c>
      <c r="Z1968" s="10">
        <v>45476</v>
      </c>
      <c r="AA1968" s="9">
        <v>240</v>
      </c>
      <c r="AC1968" s="9" t="s">
        <v>127</v>
      </c>
      <c r="AD1968" s="14">
        <v>41.332499999999996</v>
      </c>
      <c r="AF1968" s="14">
        <v>15.200000000000001</v>
      </c>
      <c r="AH1968" s="14">
        <v>56.532499999999999</v>
      </c>
      <c r="AI1968" s="13">
        <v>495.93548319327738</v>
      </c>
      <c r="AK1968" s="9">
        <v>760</v>
      </c>
    </row>
    <row r="1969" spans="1:37">
      <c r="A1969" s="9">
        <v>26</v>
      </c>
      <c r="B1969" s="9">
        <v>2024</v>
      </c>
      <c r="C1969" s="9" t="s">
        <v>46</v>
      </c>
      <c r="D1969" s="9" t="s">
        <v>47</v>
      </c>
      <c r="E1969" s="9" t="s">
        <v>47</v>
      </c>
      <c r="F1969" s="10">
        <v>45467</v>
      </c>
      <c r="G1969" s="9" t="s">
        <v>154</v>
      </c>
      <c r="H1969" s="9" t="s">
        <v>56</v>
      </c>
      <c r="I1969" s="9">
        <v>1</v>
      </c>
      <c r="J1969" s="9">
        <v>4.8000000000000007</v>
      </c>
      <c r="K1969" s="9">
        <v>80</v>
      </c>
      <c r="L1969" s="9">
        <v>0.75</v>
      </c>
      <c r="M1969" s="9">
        <v>60</v>
      </c>
      <c r="N1969" s="9" t="s">
        <v>49</v>
      </c>
      <c r="Q1969" s="9">
        <f>IF(Auction_Sales[[#This Row],[Payment Date]]=0,"",-1+WEEKNUM(Auction_Sales[[#This Row],[Payment Date]]))</f>
        <v>26</v>
      </c>
      <c r="R1969" s="9">
        <v>0</v>
      </c>
      <c r="S1969" s="9" t="s">
        <v>154</v>
      </c>
      <c r="T1969" s="9" t="s">
        <v>56</v>
      </c>
      <c r="U1969" s="9">
        <v>80</v>
      </c>
      <c r="V1969" s="13">
        <v>1.115</v>
      </c>
      <c r="W1969" s="13">
        <v>89.2</v>
      </c>
      <c r="X1969" s="14">
        <v>-4.919159663865547</v>
      </c>
      <c r="Y1969" s="13">
        <v>84.28084033613446</v>
      </c>
      <c r="Z1969" s="10">
        <v>45476</v>
      </c>
      <c r="AA1969" s="9">
        <v>0</v>
      </c>
      <c r="AC1969" s="9" t="s">
        <v>127</v>
      </c>
      <c r="AD1969" s="14">
        <v>16.533000000000005</v>
      </c>
      <c r="AF1969" s="14">
        <v>1.6</v>
      </c>
      <c r="AH1969" s="14">
        <v>18.133000000000006</v>
      </c>
      <c r="AI1969" s="13">
        <v>66.14784033613445</v>
      </c>
      <c r="AK1969" s="9">
        <v>80</v>
      </c>
    </row>
    <row r="1970" spans="1:37">
      <c r="A1970" s="9">
        <v>26</v>
      </c>
      <c r="B1970" s="9">
        <v>2024</v>
      </c>
      <c r="C1970" s="9" t="s">
        <v>46</v>
      </c>
      <c r="D1970" s="9" t="s">
        <v>47</v>
      </c>
      <c r="E1970" s="9" t="s">
        <v>47</v>
      </c>
      <c r="F1970" s="10">
        <v>45467</v>
      </c>
      <c r="G1970" s="9" t="s">
        <v>154</v>
      </c>
      <c r="H1970" s="9" t="s">
        <v>57</v>
      </c>
      <c r="J1970" s="9">
        <v>7.1999999999999993</v>
      </c>
      <c r="K1970" s="9">
        <v>120</v>
      </c>
      <c r="L1970" s="9">
        <v>0.94</v>
      </c>
      <c r="M1970" s="9">
        <v>112.8</v>
      </c>
      <c r="N1970" s="9" t="s">
        <v>49</v>
      </c>
      <c r="Q1970" s="9">
        <f>IF(Auction_Sales[[#This Row],[Payment Date]]=0,"",-1+WEEKNUM(Auction_Sales[[#This Row],[Payment Date]]))</f>
        <v>26</v>
      </c>
      <c r="R1970" s="9">
        <v>0</v>
      </c>
      <c r="S1970" s="9" t="s">
        <v>154</v>
      </c>
      <c r="T1970" s="9" t="s">
        <v>57</v>
      </c>
      <c r="U1970" s="9">
        <v>120</v>
      </c>
      <c r="V1970" s="13">
        <v>1.1666666666666667</v>
      </c>
      <c r="W1970" s="13">
        <v>140</v>
      </c>
      <c r="X1970" s="14">
        <v>-7.3787394957983201</v>
      </c>
      <c r="Y1970" s="13">
        <v>132.62126050420167</v>
      </c>
      <c r="Z1970" s="10">
        <v>45476</v>
      </c>
      <c r="AA1970" s="9">
        <v>0</v>
      </c>
      <c r="AC1970" s="9" t="s">
        <v>127</v>
      </c>
      <c r="AD1970" s="14">
        <v>24.799499999999998</v>
      </c>
      <c r="AF1970" s="14">
        <v>2.4</v>
      </c>
      <c r="AH1970" s="14">
        <v>27.199499999999997</v>
      </c>
      <c r="AI1970" s="13">
        <v>105.42176050420167</v>
      </c>
      <c r="AK1970" s="9">
        <v>120</v>
      </c>
    </row>
    <row r="1971" spans="1:37">
      <c r="A1971" s="9">
        <v>26</v>
      </c>
      <c r="B1971" s="9">
        <v>2024</v>
      </c>
      <c r="C1971" s="9" t="s">
        <v>46</v>
      </c>
      <c r="D1971" s="9" t="s">
        <v>47</v>
      </c>
      <c r="E1971" s="9" t="s">
        <v>47</v>
      </c>
      <c r="F1971" s="10">
        <v>45467</v>
      </c>
      <c r="G1971" s="9" t="s">
        <v>154</v>
      </c>
      <c r="H1971" s="9" t="s">
        <v>48</v>
      </c>
      <c r="I1971" s="9">
        <v>1</v>
      </c>
      <c r="J1971" s="9">
        <v>8.7272727272727266</v>
      </c>
      <c r="K1971" s="9">
        <v>320</v>
      </c>
      <c r="L1971" s="9">
        <v>0.47</v>
      </c>
      <c r="M1971" s="9">
        <v>150.4</v>
      </c>
      <c r="N1971" s="9" t="s">
        <v>49</v>
      </c>
      <c r="Q1971" s="9">
        <f>IF(Auction_Sales[[#This Row],[Payment Date]]=0,"",-1+WEEKNUM(Auction_Sales[[#This Row],[Payment Date]]))</f>
        <v>26</v>
      </c>
      <c r="R1971" s="9">
        <v>0</v>
      </c>
      <c r="S1971" s="9" t="s">
        <v>154</v>
      </c>
      <c r="T1971" s="9" t="s">
        <v>48</v>
      </c>
      <c r="U1971" s="9">
        <v>320</v>
      </c>
      <c r="V1971" s="13">
        <v>0.83750000000000002</v>
      </c>
      <c r="W1971" s="13">
        <v>268</v>
      </c>
      <c r="X1971" s="14">
        <v>-19.676638655462188</v>
      </c>
      <c r="Y1971" s="13">
        <v>248.3233613445378</v>
      </c>
      <c r="Z1971" s="10">
        <v>45476</v>
      </c>
      <c r="AA1971" s="9">
        <v>0</v>
      </c>
      <c r="AC1971" s="9" t="s">
        <v>127</v>
      </c>
      <c r="AD1971" s="14">
        <v>30.06</v>
      </c>
      <c r="AF1971" s="14">
        <v>6.4</v>
      </c>
      <c r="AH1971" s="14">
        <v>36.46</v>
      </c>
      <c r="AI1971" s="13">
        <v>211.86336134453779</v>
      </c>
      <c r="AK1971" s="9">
        <v>320</v>
      </c>
    </row>
    <row r="1972" spans="1:37">
      <c r="A1972" s="9">
        <v>26</v>
      </c>
      <c r="B1972" s="9">
        <v>2024</v>
      </c>
      <c r="C1972" s="9" t="s">
        <v>46</v>
      </c>
      <c r="D1972" s="9" t="s">
        <v>47</v>
      </c>
      <c r="E1972" s="9" t="s">
        <v>47</v>
      </c>
      <c r="F1972" s="10">
        <v>45467</v>
      </c>
      <c r="G1972" s="9" t="s">
        <v>154</v>
      </c>
      <c r="H1972" s="9" t="s">
        <v>54</v>
      </c>
      <c r="J1972" s="9">
        <v>3.2727272727272725</v>
      </c>
      <c r="K1972" s="9">
        <v>120</v>
      </c>
      <c r="L1972" s="9">
        <v>0.56999999999999995</v>
      </c>
      <c r="M1972" s="9">
        <v>68.400000000000006</v>
      </c>
      <c r="N1972" s="9" t="s">
        <v>49</v>
      </c>
      <c r="Q1972" s="9">
        <f>IF(Auction_Sales[[#This Row],[Payment Date]]=0,"",-1+WEEKNUM(Auction_Sales[[#This Row],[Payment Date]]))</f>
        <v>26</v>
      </c>
      <c r="R1972" s="9">
        <v>0</v>
      </c>
      <c r="S1972" s="9" t="s">
        <v>154</v>
      </c>
      <c r="T1972" s="9" t="s">
        <v>54</v>
      </c>
      <c r="U1972" s="9">
        <v>120</v>
      </c>
      <c r="V1972" s="13">
        <v>0.95</v>
      </c>
      <c r="W1972" s="13">
        <v>114</v>
      </c>
      <c r="X1972" s="14">
        <v>-7.3787394957983201</v>
      </c>
      <c r="Y1972" s="13">
        <v>106.62126050420169</v>
      </c>
      <c r="Z1972" s="10">
        <v>45476</v>
      </c>
      <c r="AA1972" s="9">
        <v>0</v>
      </c>
      <c r="AC1972" s="9" t="s">
        <v>127</v>
      </c>
      <c r="AD1972" s="14">
        <v>11.272499999999999</v>
      </c>
      <c r="AF1972" s="14">
        <v>2.4</v>
      </c>
      <c r="AH1972" s="14">
        <v>13.672499999999999</v>
      </c>
      <c r="AI1972" s="13">
        <v>92.948760504201687</v>
      </c>
      <c r="AK1972" s="9">
        <v>120</v>
      </c>
    </row>
    <row r="1973" spans="1:37">
      <c r="A1973" s="9">
        <v>26</v>
      </c>
      <c r="B1973" s="9">
        <v>2024</v>
      </c>
      <c r="C1973" s="9" t="s">
        <v>46</v>
      </c>
      <c r="D1973" s="9" t="s">
        <v>47</v>
      </c>
      <c r="E1973" s="9" t="s">
        <v>47</v>
      </c>
      <c r="F1973" s="10">
        <v>45467</v>
      </c>
      <c r="G1973" s="9" t="s">
        <v>155</v>
      </c>
      <c r="H1973" s="9" t="s">
        <v>51</v>
      </c>
      <c r="I1973" s="9">
        <v>1</v>
      </c>
      <c r="J1973" s="9">
        <v>8.4705882352941178</v>
      </c>
      <c r="K1973" s="9">
        <v>480</v>
      </c>
      <c r="L1973" s="9">
        <v>0.38</v>
      </c>
      <c r="M1973" s="9">
        <v>182.4</v>
      </c>
      <c r="N1973" s="9" t="s">
        <v>49</v>
      </c>
      <c r="Q1973" s="9">
        <f>IF(Auction_Sales[[#This Row],[Payment Date]]=0,"",-1+WEEKNUM(Auction_Sales[[#This Row],[Payment Date]]))</f>
        <v>26</v>
      </c>
      <c r="R1973" s="9">
        <v>40</v>
      </c>
      <c r="S1973" s="9" t="s">
        <v>155</v>
      </c>
      <c r="T1973" s="9" t="s">
        <v>51</v>
      </c>
      <c r="U1973" s="9">
        <v>440</v>
      </c>
      <c r="V1973" s="13">
        <v>0.58545454545454556</v>
      </c>
      <c r="W1973" s="13">
        <v>257.60000000000002</v>
      </c>
      <c r="X1973" s="14">
        <v>-27.055378151260509</v>
      </c>
      <c r="Y1973" s="13">
        <v>230.54462184873952</v>
      </c>
      <c r="Z1973" s="10">
        <v>45476</v>
      </c>
      <c r="AA1973" s="9">
        <v>-40</v>
      </c>
      <c r="AC1973" s="9" t="s">
        <v>127</v>
      </c>
      <c r="AD1973" s="14">
        <v>29.175882352941176</v>
      </c>
      <c r="AF1973" s="14">
        <v>8.8000000000000007</v>
      </c>
      <c r="AH1973" s="14">
        <v>37.975882352941177</v>
      </c>
      <c r="AI1973" s="13">
        <v>192.56873949579835</v>
      </c>
      <c r="AK1973" s="9">
        <v>440</v>
      </c>
    </row>
    <row r="1974" spans="1:37">
      <c r="A1974" s="9">
        <v>26</v>
      </c>
      <c r="B1974" s="9">
        <v>2024</v>
      </c>
      <c r="C1974" s="9" t="s">
        <v>46</v>
      </c>
      <c r="D1974" s="9" t="s">
        <v>47</v>
      </c>
      <c r="E1974" s="9" t="s">
        <v>47</v>
      </c>
      <c r="F1974" s="10">
        <v>45467</v>
      </c>
      <c r="G1974" s="9" t="s">
        <v>155</v>
      </c>
      <c r="H1974" s="9" t="s">
        <v>48</v>
      </c>
      <c r="J1974" s="9">
        <v>3.5294117647058822</v>
      </c>
      <c r="K1974" s="9">
        <v>200</v>
      </c>
      <c r="L1974" s="9">
        <v>0.47</v>
      </c>
      <c r="M1974" s="9">
        <v>94</v>
      </c>
      <c r="N1974" s="9" t="s">
        <v>49</v>
      </c>
      <c r="Q1974" s="9">
        <f>IF(Auction_Sales[[#This Row],[Payment Date]]=0,"",-1+WEEKNUM(Auction_Sales[[#This Row],[Payment Date]]))</f>
        <v>26</v>
      </c>
      <c r="R1974" s="9">
        <v>200</v>
      </c>
      <c r="S1974" s="9" t="s">
        <v>155</v>
      </c>
      <c r="T1974" s="9" t="s">
        <v>48</v>
      </c>
      <c r="W1974" s="13">
        <v>0</v>
      </c>
      <c r="X1974" s="14">
        <v>0</v>
      </c>
      <c r="Y1974" s="13">
        <v>0</v>
      </c>
      <c r="Z1974" s="10">
        <v>45476</v>
      </c>
      <c r="AA1974" s="9">
        <v>-200</v>
      </c>
      <c r="AC1974" s="9" t="s">
        <v>127</v>
      </c>
      <c r="AD1974" s="14">
        <v>12.156617647058823</v>
      </c>
      <c r="AF1974" s="14">
        <v>0</v>
      </c>
      <c r="AH1974" s="14">
        <v>12.156617647058823</v>
      </c>
      <c r="AI1974" s="13">
        <v>-12.156617647058823</v>
      </c>
      <c r="AK1974" s="9">
        <v>0</v>
      </c>
    </row>
    <row r="1975" spans="1:37">
      <c r="A1975" s="9">
        <v>26</v>
      </c>
      <c r="B1975" s="9">
        <v>2024</v>
      </c>
      <c r="C1975" s="9" t="s">
        <v>46</v>
      </c>
      <c r="D1975" s="9" t="s">
        <v>47</v>
      </c>
      <c r="E1975" s="9" t="s">
        <v>47</v>
      </c>
      <c r="F1975" s="10">
        <v>45467</v>
      </c>
      <c r="G1975" s="9" t="s">
        <v>153</v>
      </c>
      <c r="H1975" s="9" t="s">
        <v>52</v>
      </c>
      <c r="I1975" s="9">
        <v>1</v>
      </c>
      <c r="J1975" s="9">
        <v>6</v>
      </c>
      <c r="K1975" s="9">
        <v>240</v>
      </c>
      <c r="L1975" s="9">
        <v>0.28000000000000003</v>
      </c>
      <c r="M1975" s="9">
        <v>67.2</v>
      </c>
      <c r="N1975" s="9" t="s">
        <v>49</v>
      </c>
      <c r="Q1975" s="9">
        <f>IF(Auction_Sales[[#This Row],[Payment Date]]=0,"",-1+WEEKNUM(Auction_Sales[[#This Row],[Payment Date]]))</f>
        <v>26</v>
      </c>
      <c r="R1975" s="9">
        <v>0</v>
      </c>
      <c r="S1975" s="9" t="s">
        <v>153</v>
      </c>
      <c r="T1975" s="9" t="s">
        <v>52</v>
      </c>
      <c r="U1975" s="9">
        <v>240</v>
      </c>
      <c r="V1975" s="13">
        <v>0.51833333333333331</v>
      </c>
      <c r="W1975" s="13">
        <v>124.39999999999999</v>
      </c>
      <c r="X1975" s="14">
        <v>-14.75747899159664</v>
      </c>
      <c r="Y1975" s="13">
        <v>109.64252100840335</v>
      </c>
      <c r="Z1975" s="10">
        <v>45476</v>
      </c>
      <c r="AA1975" s="9">
        <v>0</v>
      </c>
      <c r="AC1975" s="9" t="s">
        <v>127</v>
      </c>
      <c r="AD1975" s="14">
        <v>20.666249999999998</v>
      </c>
      <c r="AF1975" s="14">
        <v>4.8</v>
      </c>
      <c r="AH1975" s="14">
        <v>25.466249999999999</v>
      </c>
      <c r="AI1975" s="13">
        <v>84.176271008403347</v>
      </c>
      <c r="AK1975" s="9">
        <v>240</v>
      </c>
    </row>
    <row r="1976" spans="1:37">
      <c r="A1976" s="9">
        <v>26</v>
      </c>
      <c r="B1976" s="9">
        <v>2024</v>
      </c>
      <c r="C1976" s="9" t="s">
        <v>46</v>
      </c>
      <c r="D1976" s="9" t="s">
        <v>47</v>
      </c>
      <c r="E1976" s="9" t="s">
        <v>47</v>
      </c>
      <c r="F1976" s="10">
        <v>45467</v>
      </c>
      <c r="G1976" s="9" t="s">
        <v>153</v>
      </c>
      <c r="H1976" s="9" t="s">
        <v>56</v>
      </c>
      <c r="J1976" s="9">
        <v>1</v>
      </c>
      <c r="K1976" s="9">
        <v>40</v>
      </c>
      <c r="L1976" s="9">
        <v>0.38</v>
      </c>
      <c r="M1976" s="9">
        <v>15.2</v>
      </c>
      <c r="N1976" s="9" t="s">
        <v>49</v>
      </c>
      <c r="Q1976" s="9">
        <f>IF(Auction_Sales[[#This Row],[Payment Date]]=0,"",-1+WEEKNUM(Auction_Sales[[#This Row],[Payment Date]]))</f>
        <v>26</v>
      </c>
      <c r="R1976" s="9">
        <v>0</v>
      </c>
      <c r="S1976" s="9" t="s">
        <v>153</v>
      </c>
      <c r="T1976" s="9" t="s">
        <v>56</v>
      </c>
      <c r="U1976" s="9">
        <v>40</v>
      </c>
      <c r="V1976" s="13">
        <v>0.61</v>
      </c>
      <c r="W1976" s="13">
        <v>24.4</v>
      </c>
      <c r="X1976" s="14">
        <v>-2.4595798319327735</v>
      </c>
      <c r="Y1976" s="13">
        <v>21.940420168067224</v>
      </c>
      <c r="Z1976" s="10">
        <v>45476</v>
      </c>
      <c r="AA1976" s="9">
        <v>0</v>
      </c>
      <c r="AC1976" s="9" t="s">
        <v>127</v>
      </c>
      <c r="AD1976" s="14">
        <v>3.444375</v>
      </c>
      <c r="AF1976" s="14">
        <v>0.8</v>
      </c>
      <c r="AH1976" s="14">
        <v>4.2443749999999998</v>
      </c>
      <c r="AI1976" s="13">
        <v>17.696045168067222</v>
      </c>
      <c r="AK1976" s="9">
        <v>40</v>
      </c>
    </row>
    <row r="1977" spans="1:37">
      <c r="A1977" s="9">
        <v>26</v>
      </c>
      <c r="B1977" s="9">
        <v>2024</v>
      </c>
      <c r="C1977" s="9" t="s">
        <v>46</v>
      </c>
      <c r="D1977" s="9" t="s">
        <v>47</v>
      </c>
      <c r="E1977" s="9" t="s">
        <v>47</v>
      </c>
      <c r="F1977" s="10">
        <v>45467</v>
      </c>
      <c r="G1977" s="9" t="s">
        <v>153</v>
      </c>
      <c r="H1977" s="9" t="s">
        <v>54</v>
      </c>
      <c r="J1977" s="9">
        <v>5</v>
      </c>
      <c r="K1977" s="9">
        <v>200</v>
      </c>
      <c r="L1977" s="9">
        <v>0.33</v>
      </c>
      <c r="M1977" s="9">
        <v>66</v>
      </c>
      <c r="N1977" s="9" t="s">
        <v>49</v>
      </c>
      <c r="Q1977" s="9">
        <f>IF(Auction_Sales[[#This Row],[Payment Date]]=0,"",-1+WEEKNUM(Auction_Sales[[#This Row],[Payment Date]]))</f>
        <v>26</v>
      </c>
      <c r="R1977" s="9">
        <v>0</v>
      </c>
      <c r="S1977" s="9" t="s">
        <v>153</v>
      </c>
      <c r="T1977" s="9" t="s">
        <v>54</v>
      </c>
      <c r="U1977" s="9">
        <v>200</v>
      </c>
      <c r="V1977" s="13">
        <v>0.56000000000000005</v>
      </c>
      <c r="W1977" s="13">
        <v>112.00000000000001</v>
      </c>
      <c r="X1977" s="14">
        <v>-12.297899159663869</v>
      </c>
      <c r="Y1977" s="13">
        <v>99.702100840336144</v>
      </c>
      <c r="Z1977" s="10">
        <v>45476</v>
      </c>
      <c r="AA1977" s="9">
        <v>0</v>
      </c>
      <c r="AC1977" s="9" t="s">
        <v>127</v>
      </c>
      <c r="AD1977" s="14">
        <v>17.221875000000001</v>
      </c>
      <c r="AF1977" s="14">
        <v>4</v>
      </c>
      <c r="AH1977" s="14">
        <v>21.221875000000001</v>
      </c>
      <c r="AI1977" s="13">
        <v>78.480225840336146</v>
      </c>
      <c r="AK1977" s="9">
        <v>200</v>
      </c>
    </row>
    <row r="1978" spans="1:37">
      <c r="A1978" s="9">
        <v>26</v>
      </c>
      <c r="B1978" s="9">
        <v>2024</v>
      </c>
      <c r="C1978" s="9" t="s">
        <v>46</v>
      </c>
      <c r="D1978" s="9" t="s">
        <v>47</v>
      </c>
      <c r="E1978" s="9" t="s">
        <v>47</v>
      </c>
      <c r="F1978" s="10">
        <v>45467</v>
      </c>
      <c r="G1978" s="9" t="s">
        <v>155</v>
      </c>
      <c r="H1978" s="9" t="s">
        <v>52</v>
      </c>
      <c r="I1978" s="9">
        <v>1</v>
      </c>
      <c r="J1978" s="9">
        <v>6.8571428571428568</v>
      </c>
      <c r="K1978" s="9">
        <v>160</v>
      </c>
      <c r="L1978" s="9">
        <v>0.52</v>
      </c>
      <c r="M1978" s="9">
        <v>83.2</v>
      </c>
      <c r="N1978" s="9" t="s">
        <v>49</v>
      </c>
      <c r="Q1978" s="9">
        <f>IF(Auction_Sales[[#This Row],[Payment Date]]=0,"",-1+WEEKNUM(Auction_Sales[[#This Row],[Payment Date]]))</f>
        <v>26</v>
      </c>
      <c r="R1978" s="9">
        <v>0</v>
      </c>
      <c r="S1978" s="9" t="s">
        <v>155</v>
      </c>
      <c r="T1978" s="9" t="s">
        <v>52</v>
      </c>
      <c r="U1978" s="9">
        <v>160</v>
      </c>
      <c r="V1978" s="13">
        <v>1.08</v>
      </c>
      <c r="W1978" s="13">
        <v>172.8</v>
      </c>
      <c r="X1978" s="14">
        <v>-9.8383193277310941</v>
      </c>
      <c r="Y1978" s="13">
        <v>162.96168067226893</v>
      </c>
      <c r="Z1978" s="10">
        <v>45476</v>
      </c>
      <c r="AA1978" s="9">
        <v>0</v>
      </c>
      <c r="AC1978" s="9" t="s">
        <v>127</v>
      </c>
      <c r="AD1978" s="14">
        <v>23.618571428571428</v>
      </c>
      <c r="AF1978" s="14">
        <v>3.2</v>
      </c>
      <c r="AH1978" s="14">
        <v>26.818571428571428</v>
      </c>
      <c r="AI1978" s="13">
        <v>136.1431092436975</v>
      </c>
      <c r="AK1978" s="9">
        <v>160</v>
      </c>
    </row>
    <row r="1979" spans="1:37">
      <c r="A1979" s="9">
        <v>26</v>
      </c>
      <c r="B1979" s="9">
        <v>2024</v>
      </c>
      <c r="C1979" s="9" t="s">
        <v>46</v>
      </c>
      <c r="D1979" s="9" t="s">
        <v>47</v>
      </c>
      <c r="E1979" s="9" t="s">
        <v>47</v>
      </c>
      <c r="F1979" s="10">
        <v>45467</v>
      </c>
      <c r="G1979" s="9" t="s">
        <v>155</v>
      </c>
      <c r="H1979" s="9" t="s">
        <v>54</v>
      </c>
      <c r="J1979" s="9">
        <v>5.1428571428571423</v>
      </c>
      <c r="K1979" s="9">
        <v>120</v>
      </c>
      <c r="L1979" s="9">
        <v>0.56999999999999995</v>
      </c>
      <c r="M1979" s="9">
        <v>68.400000000000006</v>
      </c>
      <c r="N1979" s="9" t="s">
        <v>49</v>
      </c>
      <c r="Q1979" s="9">
        <f>IF(Auction_Sales[[#This Row],[Payment Date]]=0,"",-1+WEEKNUM(Auction_Sales[[#This Row],[Payment Date]]))</f>
        <v>26</v>
      </c>
      <c r="R1979" s="9">
        <v>0</v>
      </c>
      <c r="S1979" s="9" t="s">
        <v>155</v>
      </c>
      <c r="T1979" s="9" t="s">
        <v>54</v>
      </c>
      <c r="U1979" s="9">
        <v>120</v>
      </c>
      <c r="V1979" s="13">
        <v>1.1900000000000002</v>
      </c>
      <c r="W1979" s="13">
        <v>142.80000000000001</v>
      </c>
      <c r="X1979" s="14">
        <v>-7.3787394957983201</v>
      </c>
      <c r="Y1979" s="13">
        <v>135.42126050420168</v>
      </c>
      <c r="Z1979" s="10">
        <v>45476</v>
      </c>
      <c r="AA1979" s="9">
        <v>0</v>
      </c>
      <c r="AC1979" s="9" t="s">
        <v>127</v>
      </c>
      <c r="AD1979" s="14">
        <v>17.713928571428571</v>
      </c>
      <c r="AF1979" s="14">
        <v>2.4</v>
      </c>
      <c r="AH1979" s="14">
        <v>20.11392857142857</v>
      </c>
      <c r="AI1979" s="13">
        <v>115.30733193277311</v>
      </c>
      <c r="AK1979" s="9">
        <v>120</v>
      </c>
    </row>
    <row r="1980" spans="1:37">
      <c r="A1980" s="9">
        <v>26</v>
      </c>
      <c r="B1980" s="9">
        <v>2024</v>
      </c>
      <c r="C1980" s="9" t="s">
        <v>46</v>
      </c>
      <c r="D1980" s="9" t="s">
        <v>47</v>
      </c>
      <c r="E1980" s="9" t="s">
        <v>47</v>
      </c>
      <c r="F1980" s="10">
        <v>45467</v>
      </c>
      <c r="G1980" s="9" t="s">
        <v>155</v>
      </c>
      <c r="H1980" s="9" t="s">
        <v>56</v>
      </c>
      <c r="I1980" s="9">
        <v>1</v>
      </c>
      <c r="J1980" s="9">
        <v>9</v>
      </c>
      <c r="K1980" s="9">
        <v>120</v>
      </c>
      <c r="L1980" s="9">
        <v>0.75</v>
      </c>
      <c r="M1980" s="9">
        <v>90</v>
      </c>
      <c r="N1980" s="9" t="s">
        <v>49</v>
      </c>
      <c r="Q1980" s="9">
        <f>IF(Auction_Sales[[#This Row],[Payment Date]]=0,"",-1+WEEKNUM(Auction_Sales[[#This Row],[Payment Date]]))</f>
        <v>26</v>
      </c>
      <c r="R1980" s="9">
        <v>0</v>
      </c>
      <c r="S1980" s="9" t="s">
        <v>155</v>
      </c>
      <c r="T1980" s="9" t="s">
        <v>56</v>
      </c>
      <c r="U1980" s="9">
        <v>120</v>
      </c>
      <c r="V1980" s="13">
        <v>1.25</v>
      </c>
      <c r="W1980" s="13">
        <v>150</v>
      </c>
      <c r="X1980" s="14">
        <v>-7.3787394957983201</v>
      </c>
      <c r="Y1980" s="13">
        <v>142.62126050420167</v>
      </c>
      <c r="Z1980" s="10">
        <v>45476</v>
      </c>
      <c r="AA1980" s="9">
        <v>0</v>
      </c>
      <c r="AC1980" s="9" t="s">
        <v>127</v>
      </c>
      <c r="AD1980" s="14">
        <v>30.999375000000001</v>
      </c>
      <c r="AF1980" s="14">
        <v>2.4</v>
      </c>
      <c r="AH1980" s="14">
        <v>33.399374999999999</v>
      </c>
      <c r="AI1980" s="13">
        <v>109.22188550420168</v>
      </c>
      <c r="AK1980" s="9">
        <v>120</v>
      </c>
    </row>
    <row r="1981" spans="1:37">
      <c r="A1981" s="9">
        <v>26</v>
      </c>
      <c r="B1981" s="9">
        <v>2024</v>
      </c>
      <c r="C1981" s="9" t="s">
        <v>46</v>
      </c>
      <c r="D1981" s="9" t="s">
        <v>47</v>
      </c>
      <c r="E1981" s="9" t="s">
        <v>47</v>
      </c>
      <c r="F1981" s="10">
        <v>45467</v>
      </c>
      <c r="G1981" s="9" t="s">
        <v>155</v>
      </c>
      <c r="H1981" s="9" t="s">
        <v>57</v>
      </c>
      <c r="J1981" s="9">
        <v>3</v>
      </c>
      <c r="K1981" s="9">
        <v>40</v>
      </c>
      <c r="L1981" s="9">
        <v>0.94</v>
      </c>
      <c r="M1981" s="9">
        <v>37.6</v>
      </c>
      <c r="N1981" s="9" t="s">
        <v>49</v>
      </c>
      <c r="Q1981" s="9">
        <f>IF(Auction_Sales[[#This Row],[Payment Date]]=0,"",-1+WEEKNUM(Auction_Sales[[#This Row],[Payment Date]]))</f>
        <v>26</v>
      </c>
      <c r="R1981" s="9">
        <v>0</v>
      </c>
      <c r="S1981" s="9" t="s">
        <v>155</v>
      </c>
      <c r="T1981" s="9" t="s">
        <v>57</v>
      </c>
      <c r="U1981" s="9">
        <v>40</v>
      </c>
      <c r="V1981" s="13">
        <v>1.3</v>
      </c>
      <c r="W1981" s="13">
        <v>52</v>
      </c>
      <c r="X1981" s="14">
        <v>-2.4595798319327735</v>
      </c>
      <c r="Y1981" s="13">
        <v>49.540420168067229</v>
      </c>
      <c r="Z1981" s="10">
        <v>45476</v>
      </c>
      <c r="AA1981" s="9">
        <v>0</v>
      </c>
      <c r="AC1981" s="9" t="s">
        <v>127</v>
      </c>
      <c r="AD1981" s="14">
        <v>10.333124999999999</v>
      </c>
      <c r="AF1981" s="14">
        <v>0.8</v>
      </c>
      <c r="AH1981" s="14">
        <v>11.133125</v>
      </c>
      <c r="AI1981" s="13">
        <v>38.407295168067229</v>
      </c>
      <c r="AK1981" s="9">
        <v>40</v>
      </c>
    </row>
    <row r="1982" spans="1:37">
      <c r="A1982" s="9">
        <v>26</v>
      </c>
      <c r="B1982" s="9">
        <v>2024</v>
      </c>
      <c r="C1982" s="9" t="s">
        <v>46</v>
      </c>
      <c r="D1982" s="9" t="s">
        <v>47</v>
      </c>
      <c r="E1982" s="9" t="s">
        <v>47</v>
      </c>
      <c r="F1982" s="10">
        <v>45467</v>
      </c>
      <c r="G1982" s="9" t="s">
        <v>156</v>
      </c>
      <c r="H1982" s="9" t="s">
        <v>51</v>
      </c>
      <c r="I1982" s="9">
        <v>1</v>
      </c>
      <c r="J1982" s="9">
        <v>6.666666666666667</v>
      </c>
      <c r="K1982" s="9">
        <v>200</v>
      </c>
      <c r="L1982" s="9">
        <v>0.42</v>
      </c>
      <c r="M1982" s="9">
        <v>84</v>
      </c>
      <c r="N1982" s="9" t="s">
        <v>49</v>
      </c>
      <c r="Q1982" s="9">
        <f>IF(Auction_Sales[[#This Row],[Payment Date]]=0,"",-1+WEEKNUM(Auction_Sales[[#This Row],[Payment Date]]))</f>
        <v>26</v>
      </c>
      <c r="R1982" s="9">
        <v>0</v>
      </c>
      <c r="S1982" s="9" t="s">
        <v>156</v>
      </c>
      <c r="T1982" s="9" t="s">
        <v>51</v>
      </c>
      <c r="U1982" s="9">
        <v>200</v>
      </c>
      <c r="V1982" s="13">
        <v>0.48</v>
      </c>
      <c r="W1982" s="13">
        <v>96</v>
      </c>
      <c r="X1982" s="14">
        <v>-12.297899159663869</v>
      </c>
      <c r="Y1982" s="13">
        <v>83.702100840336129</v>
      </c>
      <c r="Z1982" s="10">
        <v>45476</v>
      </c>
      <c r="AA1982" s="9">
        <v>0</v>
      </c>
      <c r="AC1982" s="9" t="s">
        <v>127</v>
      </c>
      <c r="AD1982" s="14">
        <v>22.962500000000002</v>
      </c>
      <c r="AF1982" s="14">
        <v>4</v>
      </c>
      <c r="AH1982" s="14">
        <v>26.962500000000002</v>
      </c>
      <c r="AI1982" s="13">
        <v>56.739600840336124</v>
      </c>
      <c r="AK1982" s="9">
        <v>200</v>
      </c>
    </row>
    <row r="1983" spans="1:37">
      <c r="A1983" s="9">
        <v>26</v>
      </c>
      <c r="B1983" s="9">
        <v>2024</v>
      </c>
      <c r="C1983" s="9" t="s">
        <v>46</v>
      </c>
      <c r="D1983" s="9" t="s">
        <v>47</v>
      </c>
      <c r="E1983" s="9" t="s">
        <v>47</v>
      </c>
      <c r="F1983" s="10">
        <v>45467</v>
      </c>
      <c r="G1983" s="9" t="s">
        <v>156</v>
      </c>
      <c r="H1983" s="9" t="s">
        <v>48</v>
      </c>
      <c r="J1983" s="9">
        <v>5.333333333333333</v>
      </c>
      <c r="K1983" s="9">
        <v>160</v>
      </c>
      <c r="L1983" s="9">
        <v>0.52</v>
      </c>
      <c r="M1983" s="9">
        <v>83.2</v>
      </c>
      <c r="N1983" s="9" t="s">
        <v>49</v>
      </c>
      <c r="Q1983" s="9">
        <f>IF(Auction_Sales[[#This Row],[Payment Date]]=0,"",-1+WEEKNUM(Auction_Sales[[#This Row],[Payment Date]]))</f>
        <v>26</v>
      </c>
      <c r="R1983" s="9">
        <v>0</v>
      </c>
      <c r="S1983" s="9" t="s">
        <v>156</v>
      </c>
      <c r="T1983" s="9" t="s">
        <v>48</v>
      </c>
      <c r="U1983" s="9">
        <v>160</v>
      </c>
      <c r="V1983" s="13">
        <v>0.6875</v>
      </c>
      <c r="W1983" s="13">
        <v>110</v>
      </c>
      <c r="X1983" s="14">
        <v>-9.8383193277310941</v>
      </c>
      <c r="Y1983" s="13">
        <v>100.1616806722689</v>
      </c>
      <c r="Z1983" s="10">
        <v>45476</v>
      </c>
      <c r="AA1983" s="9">
        <v>0</v>
      </c>
      <c r="AC1983" s="9" t="s">
        <v>127</v>
      </c>
      <c r="AD1983" s="14">
        <v>18.37</v>
      </c>
      <c r="AF1983" s="14">
        <v>3.2</v>
      </c>
      <c r="AH1983" s="14">
        <v>21.57</v>
      </c>
      <c r="AI1983" s="13">
        <v>78.591680672268893</v>
      </c>
      <c r="AK1983" s="9">
        <v>160</v>
      </c>
    </row>
    <row r="1984" spans="1:37">
      <c r="A1984" s="9">
        <v>26</v>
      </c>
      <c r="B1984" s="9">
        <v>2024</v>
      </c>
      <c r="C1984" s="9" t="s">
        <v>46</v>
      </c>
      <c r="D1984" s="9" t="s">
        <v>47</v>
      </c>
      <c r="E1984" s="9" t="s">
        <v>47</v>
      </c>
      <c r="F1984" s="10">
        <v>45467</v>
      </c>
      <c r="G1984" s="9" t="s">
        <v>156</v>
      </c>
      <c r="H1984" s="9" t="s">
        <v>52</v>
      </c>
      <c r="I1984" s="9">
        <v>1</v>
      </c>
      <c r="J1984" s="9">
        <v>4.8000000000000007</v>
      </c>
      <c r="K1984" s="9">
        <v>80</v>
      </c>
      <c r="L1984" s="9">
        <v>0.61</v>
      </c>
      <c r="M1984" s="9">
        <v>48.8</v>
      </c>
      <c r="N1984" s="9" t="s">
        <v>49</v>
      </c>
      <c r="Q1984" s="9">
        <f>IF(Auction_Sales[[#This Row],[Payment Date]]=0,"",-1+WEEKNUM(Auction_Sales[[#This Row],[Payment Date]]))</f>
        <v>26</v>
      </c>
      <c r="R1984" s="9">
        <v>0</v>
      </c>
      <c r="S1984" s="9" t="s">
        <v>156</v>
      </c>
      <c r="T1984" s="9" t="s">
        <v>52</v>
      </c>
      <c r="U1984" s="9">
        <v>80</v>
      </c>
      <c r="V1984" s="13">
        <v>0.73499999999999999</v>
      </c>
      <c r="W1984" s="13">
        <v>58.8</v>
      </c>
      <c r="X1984" s="14">
        <v>-4.919159663865547</v>
      </c>
      <c r="Y1984" s="13">
        <v>53.880840336134447</v>
      </c>
      <c r="Z1984" s="10">
        <v>45476</v>
      </c>
      <c r="AA1984" s="9">
        <v>0</v>
      </c>
      <c r="AC1984" s="9" t="s">
        <v>127</v>
      </c>
      <c r="AD1984" s="14">
        <v>16.533000000000005</v>
      </c>
      <c r="AF1984" s="14">
        <v>1.6</v>
      </c>
      <c r="AH1984" s="14">
        <v>18.133000000000006</v>
      </c>
      <c r="AI1984" s="13">
        <v>35.747840336134445</v>
      </c>
      <c r="AK1984" s="9">
        <v>80</v>
      </c>
    </row>
    <row r="1985" spans="1:37">
      <c r="A1985" s="9">
        <v>26</v>
      </c>
      <c r="B1985" s="9">
        <v>2024</v>
      </c>
      <c r="C1985" s="9" t="s">
        <v>46</v>
      </c>
      <c r="D1985" s="9" t="s">
        <v>47</v>
      </c>
      <c r="E1985" s="9" t="s">
        <v>47</v>
      </c>
      <c r="F1985" s="10">
        <v>45467</v>
      </c>
      <c r="G1985" s="9" t="s">
        <v>156</v>
      </c>
      <c r="H1985" s="9" t="s">
        <v>56</v>
      </c>
      <c r="J1985" s="9">
        <v>7.1999999999999993</v>
      </c>
      <c r="K1985" s="9">
        <v>120</v>
      </c>
      <c r="L1985" s="9">
        <v>0.85</v>
      </c>
      <c r="M1985" s="9">
        <v>102</v>
      </c>
      <c r="N1985" s="9" t="s">
        <v>49</v>
      </c>
      <c r="Q1985" s="9">
        <f>IF(Auction_Sales[[#This Row],[Payment Date]]=0,"",-1+WEEKNUM(Auction_Sales[[#This Row],[Payment Date]]))</f>
        <v>26</v>
      </c>
      <c r="R1985" s="9">
        <v>0</v>
      </c>
      <c r="S1985" s="9" t="s">
        <v>156</v>
      </c>
      <c r="T1985" s="9" t="s">
        <v>56</v>
      </c>
      <c r="U1985" s="9">
        <v>120</v>
      </c>
      <c r="V1985" s="13">
        <v>1.3333333333333333</v>
      </c>
      <c r="W1985" s="13">
        <v>160</v>
      </c>
      <c r="X1985" s="14">
        <v>-7.3787394957983201</v>
      </c>
      <c r="Y1985" s="13">
        <v>152.62126050420167</v>
      </c>
      <c r="Z1985" s="10">
        <v>45476</v>
      </c>
      <c r="AA1985" s="9">
        <v>0</v>
      </c>
      <c r="AC1985" s="9" t="s">
        <v>127</v>
      </c>
      <c r="AD1985" s="14">
        <v>24.799499999999998</v>
      </c>
      <c r="AF1985" s="14">
        <v>2.4</v>
      </c>
      <c r="AH1985" s="14">
        <v>27.199499999999997</v>
      </c>
      <c r="AI1985" s="13">
        <v>125.42176050420167</v>
      </c>
      <c r="AK1985" s="9">
        <v>120</v>
      </c>
    </row>
    <row r="1986" spans="1:37">
      <c r="A1986" s="9">
        <v>26</v>
      </c>
      <c r="B1986" s="9">
        <v>2024</v>
      </c>
      <c r="C1986" s="9" t="s">
        <v>46</v>
      </c>
      <c r="D1986" s="9" t="s">
        <v>47</v>
      </c>
      <c r="E1986" s="9" t="s">
        <v>47</v>
      </c>
      <c r="F1986" s="10">
        <v>45470</v>
      </c>
      <c r="G1986" s="9" t="s">
        <v>154</v>
      </c>
      <c r="H1986" s="9" t="s">
        <v>51</v>
      </c>
      <c r="I1986" s="9">
        <v>1</v>
      </c>
      <c r="J1986" s="9">
        <v>12</v>
      </c>
      <c r="K1986" s="9">
        <v>520</v>
      </c>
      <c r="L1986" s="9">
        <v>0.38</v>
      </c>
      <c r="M1986" s="9">
        <v>197.6</v>
      </c>
      <c r="N1986" s="9" t="s">
        <v>49</v>
      </c>
      <c r="Q1986" s="9">
        <f>IF(Auction_Sales[[#This Row],[Payment Date]]=0,"",-1+WEEKNUM(Auction_Sales[[#This Row],[Payment Date]]))</f>
        <v>27</v>
      </c>
      <c r="R1986" s="9">
        <v>520</v>
      </c>
      <c r="S1986" s="9" t="s">
        <v>154</v>
      </c>
      <c r="T1986" s="9" t="s">
        <v>51</v>
      </c>
      <c r="W1986" s="13">
        <v>0</v>
      </c>
      <c r="X1986" s="14">
        <v>0</v>
      </c>
      <c r="Y1986" s="13">
        <v>0</v>
      </c>
      <c r="Z1986" s="10">
        <v>45483</v>
      </c>
      <c r="AA1986" s="9">
        <v>-520</v>
      </c>
      <c r="AC1986" s="9">
        <v>446086</v>
      </c>
      <c r="AD1986" s="14">
        <v>40.928750000000001</v>
      </c>
      <c r="AF1986" s="14">
        <v>0</v>
      </c>
      <c r="AH1986" s="14">
        <v>40.928750000000001</v>
      </c>
      <c r="AI1986" s="13">
        <v>-40.928750000000001</v>
      </c>
      <c r="AK1986" s="9">
        <v>0</v>
      </c>
    </row>
    <row r="1987" spans="1:37">
      <c r="A1987" s="9">
        <v>26</v>
      </c>
      <c r="B1987" s="9">
        <v>2024</v>
      </c>
      <c r="C1987" s="9" t="s">
        <v>46</v>
      </c>
      <c r="D1987" s="9" t="s">
        <v>47</v>
      </c>
      <c r="E1987" s="9" t="s">
        <v>47</v>
      </c>
      <c r="F1987" s="10">
        <v>45470</v>
      </c>
      <c r="G1987" s="9" t="s">
        <v>155</v>
      </c>
      <c r="H1987" s="9" t="s">
        <v>48</v>
      </c>
      <c r="I1987" s="9">
        <v>1</v>
      </c>
      <c r="J1987" s="9">
        <v>12</v>
      </c>
      <c r="K1987" s="9">
        <v>440</v>
      </c>
      <c r="L1987" s="9">
        <v>0.47</v>
      </c>
      <c r="M1987" s="9">
        <v>206.8</v>
      </c>
      <c r="N1987" s="9" t="s">
        <v>49</v>
      </c>
      <c r="Q1987" s="9">
        <f>IF(Auction_Sales[[#This Row],[Payment Date]]=0,"",-1+WEEKNUM(Auction_Sales[[#This Row],[Payment Date]]))</f>
        <v>27</v>
      </c>
      <c r="R1987" s="9">
        <v>440</v>
      </c>
      <c r="S1987" s="9" t="s">
        <v>155</v>
      </c>
      <c r="T1987" s="9" t="s">
        <v>48</v>
      </c>
      <c r="W1987" s="13">
        <v>0</v>
      </c>
      <c r="X1987" s="14">
        <v>0</v>
      </c>
      <c r="Y1987" s="13">
        <v>0</v>
      </c>
      <c r="Z1987" s="10">
        <v>45483</v>
      </c>
      <c r="AA1987" s="9">
        <v>-440</v>
      </c>
      <c r="AC1987" s="9">
        <v>446086</v>
      </c>
      <c r="AD1987" s="14">
        <v>40.928750000000001</v>
      </c>
      <c r="AF1987" s="14">
        <v>0</v>
      </c>
      <c r="AH1987" s="14">
        <v>40.928750000000001</v>
      </c>
      <c r="AI1987" s="13">
        <v>-40.928750000000001</v>
      </c>
      <c r="AK1987" s="9">
        <v>0</v>
      </c>
    </row>
    <row r="1988" spans="1:37">
      <c r="A1988" s="9">
        <v>26</v>
      </c>
      <c r="B1988" s="9">
        <v>2024</v>
      </c>
      <c r="C1988" s="9" t="s">
        <v>46</v>
      </c>
      <c r="D1988" s="9" t="s">
        <v>47</v>
      </c>
      <c r="E1988" s="9" t="s">
        <v>47</v>
      </c>
      <c r="F1988" s="10">
        <v>45470</v>
      </c>
      <c r="G1988" s="9" t="s">
        <v>155</v>
      </c>
      <c r="H1988" s="9" t="s">
        <v>48</v>
      </c>
      <c r="I1988" s="9">
        <v>1</v>
      </c>
      <c r="J1988" s="9">
        <v>12</v>
      </c>
      <c r="K1988" s="9">
        <v>400</v>
      </c>
      <c r="L1988" s="9">
        <v>0.47</v>
      </c>
      <c r="M1988" s="9">
        <v>188</v>
      </c>
      <c r="N1988" s="9" t="s">
        <v>49</v>
      </c>
      <c r="Q1988" s="9">
        <f>IF(Auction_Sales[[#This Row],[Payment Date]]=0,"",-1+WEEKNUM(Auction_Sales[[#This Row],[Payment Date]]))</f>
        <v>27</v>
      </c>
      <c r="R1988" s="9">
        <v>-440</v>
      </c>
      <c r="S1988" s="9" t="s">
        <v>155</v>
      </c>
      <c r="T1988" s="9" t="s">
        <v>48</v>
      </c>
      <c r="U1988" s="9">
        <v>840</v>
      </c>
      <c r="V1988" s="13">
        <v>0.87</v>
      </c>
      <c r="W1988" s="13">
        <v>730.8</v>
      </c>
      <c r="X1988" s="14">
        <v>-43.822258064516163</v>
      </c>
      <c r="Y1988" s="13">
        <v>686.97774193548378</v>
      </c>
      <c r="Z1988" s="10">
        <v>45483</v>
      </c>
      <c r="AA1988" s="9">
        <v>440</v>
      </c>
      <c r="AC1988" s="9">
        <v>446086</v>
      </c>
      <c r="AD1988" s="14">
        <v>40.928750000000001</v>
      </c>
      <c r="AF1988" s="14">
        <v>16.8</v>
      </c>
      <c r="AH1988" s="14">
        <v>57.728750000000005</v>
      </c>
      <c r="AI1988" s="13">
        <v>629.24899193548379</v>
      </c>
      <c r="AK1988" s="9">
        <v>840</v>
      </c>
    </row>
    <row r="1989" spans="1:37">
      <c r="A1989" s="9">
        <v>26</v>
      </c>
      <c r="B1989" s="9">
        <v>2024</v>
      </c>
      <c r="C1989" s="9" t="s">
        <v>46</v>
      </c>
      <c r="D1989" s="9" t="s">
        <v>47</v>
      </c>
      <c r="E1989" s="9" t="s">
        <v>47</v>
      </c>
      <c r="F1989" s="10">
        <v>45470</v>
      </c>
      <c r="G1989" s="9" t="s">
        <v>153</v>
      </c>
      <c r="H1989" s="9" t="s">
        <v>48</v>
      </c>
      <c r="I1989" s="9">
        <v>1</v>
      </c>
      <c r="J1989" s="9">
        <v>12</v>
      </c>
      <c r="K1989" s="9">
        <v>720</v>
      </c>
      <c r="L1989" s="9">
        <v>0.24</v>
      </c>
      <c r="M1989" s="9">
        <v>172.8</v>
      </c>
      <c r="N1989" s="9" t="s">
        <v>49</v>
      </c>
      <c r="Q1989" s="9">
        <f>IF(Auction_Sales[[#This Row],[Payment Date]]=0,"",-1+WEEKNUM(Auction_Sales[[#This Row],[Payment Date]]))</f>
        <v>27</v>
      </c>
      <c r="R1989" s="9">
        <v>0</v>
      </c>
      <c r="S1989" s="9" t="s">
        <v>153</v>
      </c>
      <c r="T1989" s="9" t="s">
        <v>48</v>
      </c>
      <c r="U1989" s="9">
        <v>720</v>
      </c>
      <c r="V1989" s="13">
        <v>0.60111111111111115</v>
      </c>
      <c r="W1989" s="13">
        <v>432.8</v>
      </c>
      <c r="X1989" s="14">
        <v>-37.561935483870997</v>
      </c>
      <c r="Y1989" s="13">
        <v>395.23806451612904</v>
      </c>
      <c r="Z1989" s="10">
        <v>45483</v>
      </c>
      <c r="AA1989" s="9">
        <v>0</v>
      </c>
      <c r="AC1989" s="9">
        <v>446086</v>
      </c>
      <c r="AD1989" s="14">
        <v>40.928750000000001</v>
      </c>
      <c r="AF1989" s="14">
        <v>14.4</v>
      </c>
      <c r="AH1989" s="14">
        <v>55.328749999999999</v>
      </c>
      <c r="AI1989" s="13">
        <v>339.90931451612903</v>
      </c>
      <c r="AK1989" s="9">
        <v>720</v>
      </c>
    </row>
    <row r="1990" spans="1:37">
      <c r="A1990" s="9">
        <v>26</v>
      </c>
      <c r="B1990" s="9">
        <v>2024</v>
      </c>
      <c r="C1990" s="9" t="s">
        <v>46</v>
      </c>
      <c r="D1990" s="9" t="s">
        <v>47</v>
      </c>
      <c r="E1990" s="9" t="s">
        <v>47</v>
      </c>
      <c r="F1990" s="10">
        <v>45470</v>
      </c>
      <c r="G1990" s="9" t="s">
        <v>153</v>
      </c>
      <c r="H1990" s="9" t="s">
        <v>52</v>
      </c>
      <c r="I1990" s="9">
        <v>1</v>
      </c>
      <c r="J1990" s="9">
        <v>5.333333333333333</v>
      </c>
      <c r="K1990" s="9">
        <v>160</v>
      </c>
      <c r="L1990" s="9">
        <v>0.28000000000000003</v>
      </c>
      <c r="M1990" s="9">
        <v>44.8</v>
      </c>
      <c r="N1990" s="9" t="s">
        <v>49</v>
      </c>
      <c r="Q1990" s="9">
        <f>IF(Auction_Sales[[#This Row],[Payment Date]]=0,"",-1+WEEKNUM(Auction_Sales[[#This Row],[Payment Date]]))</f>
        <v>27</v>
      </c>
      <c r="R1990" s="9">
        <v>0</v>
      </c>
      <c r="S1990" s="9" t="s">
        <v>153</v>
      </c>
      <c r="T1990" s="9" t="s">
        <v>52</v>
      </c>
      <c r="U1990" s="9">
        <v>160</v>
      </c>
      <c r="V1990" s="13">
        <v>0.39</v>
      </c>
      <c r="W1990" s="13">
        <v>62.400000000000006</v>
      </c>
      <c r="X1990" s="14">
        <v>-8.347096774193556</v>
      </c>
      <c r="Y1990" s="13">
        <v>54.052903225806446</v>
      </c>
      <c r="Z1990" s="10">
        <v>45483</v>
      </c>
      <c r="AA1990" s="9">
        <v>0</v>
      </c>
      <c r="AC1990" s="9">
        <v>446086</v>
      </c>
      <c r="AD1990" s="14">
        <v>18.190555555555555</v>
      </c>
      <c r="AF1990" s="14">
        <v>3.2</v>
      </c>
      <c r="AH1990" s="14">
        <v>21.390555555555554</v>
      </c>
      <c r="AI1990" s="13">
        <v>32.662347670250895</v>
      </c>
      <c r="AK1990" s="9">
        <v>160</v>
      </c>
    </row>
    <row r="1991" spans="1:37">
      <c r="A1991" s="9">
        <v>26</v>
      </c>
      <c r="B1991" s="9">
        <v>2024</v>
      </c>
      <c r="C1991" s="9" t="s">
        <v>46</v>
      </c>
      <c r="D1991" s="9" t="s">
        <v>47</v>
      </c>
      <c r="E1991" s="9" t="s">
        <v>47</v>
      </c>
      <c r="F1991" s="10">
        <v>45470</v>
      </c>
      <c r="G1991" s="9" t="s">
        <v>153</v>
      </c>
      <c r="H1991" s="9" t="s">
        <v>54</v>
      </c>
      <c r="J1991" s="9">
        <v>5.333333333333333</v>
      </c>
      <c r="K1991" s="9">
        <v>160</v>
      </c>
      <c r="L1991" s="9">
        <v>0.33</v>
      </c>
      <c r="M1991" s="9">
        <v>52.8</v>
      </c>
      <c r="N1991" s="9" t="s">
        <v>49</v>
      </c>
      <c r="Q1991" s="9">
        <f>IF(Auction_Sales[[#This Row],[Payment Date]]=0,"",-1+WEEKNUM(Auction_Sales[[#This Row],[Payment Date]]))</f>
        <v>27</v>
      </c>
      <c r="R1991" s="9">
        <v>0</v>
      </c>
      <c r="S1991" s="9" t="s">
        <v>153</v>
      </c>
      <c r="T1991" s="9" t="s">
        <v>54</v>
      </c>
      <c r="U1991" s="9">
        <v>160</v>
      </c>
      <c r="V1991" s="13">
        <v>0.44500000000000001</v>
      </c>
      <c r="W1991" s="13">
        <v>71.2</v>
      </c>
      <c r="X1991" s="14">
        <v>-8.347096774193556</v>
      </c>
      <c r="Y1991" s="13">
        <v>62.852903225806443</v>
      </c>
      <c r="Z1991" s="10">
        <v>45483</v>
      </c>
      <c r="AA1991" s="9">
        <v>0</v>
      </c>
      <c r="AC1991" s="9">
        <v>446086</v>
      </c>
      <c r="AD1991" s="14">
        <v>18.190555555555555</v>
      </c>
      <c r="AF1991" s="14">
        <v>3.2</v>
      </c>
      <c r="AH1991" s="14">
        <v>21.390555555555554</v>
      </c>
      <c r="AI1991" s="13">
        <v>41.462347670250892</v>
      </c>
      <c r="AK1991" s="9">
        <v>160</v>
      </c>
    </row>
    <row r="1992" spans="1:37">
      <c r="A1992" s="9">
        <v>26</v>
      </c>
      <c r="B1992" s="9">
        <v>2024</v>
      </c>
      <c r="C1992" s="9" t="s">
        <v>46</v>
      </c>
      <c r="D1992" s="9" t="s">
        <v>47</v>
      </c>
      <c r="E1992" s="9" t="s">
        <v>47</v>
      </c>
      <c r="F1992" s="10">
        <v>45470</v>
      </c>
      <c r="G1992" s="9" t="s">
        <v>153</v>
      </c>
      <c r="H1992" s="9" t="s">
        <v>56</v>
      </c>
      <c r="J1992" s="9">
        <v>1.3333333333333333</v>
      </c>
      <c r="K1992" s="9">
        <v>40</v>
      </c>
      <c r="L1992" s="9">
        <v>0.38</v>
      </c>
      <c r="M1992" s="9">
        <v>15.2</v>
      </c>
      <c r="N1992" s="9" t="s">
        <v>49</v>
      </c>
      <c r="Q1992" s="9">
        <f>IF(Auction_Sales[[#This Row],[Payment Date]]=0,"",-1+WEEKNUM(Auction_Sales[[#This Row],[Payment Date]]))</f>
        <v>27</v>
      </c>
      <c r="R1992" s="9">
        <v>0</v>
      </c>
      <c r="S1992" s="9" t="s">
        <v>153</v>
      </c>
      <c r="T1992" s="9" t="s">
        <v>56</v>
      </c>
      <c r="U1992" s="9">
        <v>40</v>
      </c>
      <c r="V1992" s="13">
        <v>0.45</v>
      </c>
      <c r="W1992" s="13">
        <v>18</v>
      </c>
      <c r="X1992" s="14">
        <v>-2.086774193548389</v>
      </c>
      <c r="Y1992" s="13">
        <v>15.91322580645161</v>
      </c>
      <c r="Z1992" s="10">
        <v>45483</v>
      </c>
      <c r="AA1992" s="9">
        <v>0</v>
      </c>
      <c r="AC1992" s="9">
        <v>446086</v>
      </c>
      <c r="AD1992" s="14">
        <v>4.5476388888888888</v>
      </c>
      <c r="AF1992" s="14">
        <v>0.8</v>
      </c>
      <c r="AH1992" s="14">
        <v>5.3476388888888886</v>
      </c>
      <c r="AI1992" s="13">
        <v>10.565586917562722</v>
      </c>
      <c r="AK1992" s="9">
        <v>40</v>
      </c>
    </row>
    <row r="1993" spans="1:37">
      <c r="A1993" s="9">
        <v>26</v>
      </c>
      <c r="B1993" s="9">
        <v>2024</v>
      </c>
      <c r="C1993" s="9" t="s">
        <v>46</v>
      </c>
      <c r="D1993" s="9" t="s">
        <v>47</v>
      </c>
      <c r="E1993" s="9" t="s">
        <v>47</v>
      </c>
      <c r="F1993" s="10">
        <v>45470</v>
      </c>
      <c r="G1993" s="9" t="s">
        <v>155</v>
      </c>
      <c r="H1993" s="9" t="s">
        <v>51</v>
      </c>
      <c r="I1993" s="9">
        <v>1</v>
      </c>
      <c r="J1993" s="9">
        <v>7.384615384615385</v>
      </c>
      <c r="K1993" s="9">
        <v>320</v>
      </c>
      <c r="L1993" s="9">
        <v>0.38</v>
      </c>
      <c r="M1993" s="9">
        <v>121.6</v>
      </c>
      <c r="N1993" s="9" t="s">
        <v>49</v>
      </c>
      <c r="Q1993" s="9">
        <f>IF(Auction_Sales[[#This Row],[Payment Date]]=0,"",-1+WEEKNUM(Auction_Sales[[#This Row],[Payment Date]]))</f>
        <v>27</v>
      </c>
      <c r="R1993" s="9">
        <v>0</v>
      </c>
      <c r="S1993" s="9" t="s">
        <v>155</v>
      </c>
      <c r="T1993" s="9" t="s">
        <v>51</v>
      </c>
      <c r="U1993" s="9">
        <v>320</v>
      </c>
      <c r="V1993" s="13">
        <v>0.64</v>
      </c>
      <c r="W1993" s="13">
        <v>204.8</v>
      </c>
      <c r="X1993" s="14">
        <v>-16.694193548387112</v>
      </c>
      <c r="Y1993" s="13">
        <v>188.10580645161289</v>
      </c>
      <c r="Z1993" s="10">
        <v>45483</v>
      </c>
      <c r="AA1993" s="9">
        <v>0</v>
      </c>
      <c r="AC1993" s="9">
        <v>446086</v>
      </c>
      <c r="AD1993" s="14">
        <v>25.18692307692308</v>
      </c>
      <c r="AF1993" s="14">
        <v>6.4</v>
      </c>
      <c r="AH1993" s="14">
        <v>31.586923076923078</v>
      </c>
      <c r="AI1993" s="13">
        <v>156.51888337468981</v>
      </c>
      <c r="AK1993" s="9">
        <v>320</v>
      </c>
    </row>
    <row r="1994" spans="1:37">
      <c r="A1994" s="9">
        <v>26</v>
      </c>
      <c r="B1994" s="9">
        <v>2024</v>
      </c>
      <c r="C1994" s="9" t="s">
        <v>46</v>
      </c>
      <c r="D1994" s="9" t="s">
        <v>47</v>
      </c>
      <c r="E1994" s="9" t="s">
        <v>47</v>
      </c>
      <c r="F1994" s="10">
        <v>45470</v>
      </c>
      <c r="G1994" s="9" t="s">
        <v>155</v>
      </c>
      <c r="H1994" s="9" t="s">
        <v>52</v>
      </c>
      <c r="J1994" s="9">
        <v>2.7692307692307692</v>
      </c>
      <c r="K1994" s="9">
        <v>120</v>
      </c>
      <c r="L1994" s="9">
        <v>0.52</v>
      </c>
      <c r="M1994" s="9">
        <v>62.4</v>
      </c>
      <c r="N1994" s="9" t="s">
        <v>49</v>
      </c>
      <c r="Q1994" s="9">
        <f>IF(Auction_Sales[[#This Row],[Payment Date]]=0,"",-1+WEEKNUM(Auction_Sales[[#This Row],[Payment Date]]))</f>
        <v>27</v>
      </c>
      <c r="R1994" s="9">
        <v>0</v>
      </c>
      <c r="S1994" s="9" t="s">
        <v>155</v>
      </c>
      <c r="T1994" s="9" t="s">
        <v>52</v>
      </c>
      <c r="U1994" s="9">
        <v>120</v>
      </c>
      <c r="V1994" s="13">
        <v>0.51333333333333331</v>
      </c>
      <c r="W1994" s="13">
        <v>61.599999999999994</v>
      </c>
      <c r="X1994" s="14">
        <v>-6.260322580645167</v>
      </c>
      <c r="Y1994" s="13">
        <v>55.339677419354828</v>
      </c>
      <c r="Z1994" s="10">
        <v>45483</v>
      </c>
      <c r="AA1994" s="9">
        <v>0</v>
      </c>
      <c r="AC1994" s="9">
        <v>446086</v>
      </c>
      <c r="AD1994" s="14">
        <v>9.4450961538461531</v>
      </c>
      <c r="AF1994" s="14">
        <v>2.4</v>
      </c>
      <c r="AH1994" s="14">
        <v>11.845096153846153</v>
      </c>
      <c r="AI1994" s="13">
        <v>43.494581265508671</v>
      </c>
      <c r="AK1994" s="9">
        <v>120</v>
      </c>
    </row>
    <row r="1995" spans="1:37">
      <c r="A1995" s="9">
        <v>26</v>
      </c>
      <c r="B1995" s="9">
        <v>2024</v>
      </c>
      <c r="C1995" s="9" t="s">
        <v>46</v>
      </c>
      <c r="D1995" s="9" t="s">
        <v>47</v>
      </c>
      <c r="E1995" s="9" t="s">
        <v>47</v>
      </c>
      <c r="F1995" s="10">
        <v>45470</v>
      </c>
      <c r="G1995" s="9" t="s">
        <v>155</v>
      </c>
      <c r="H1995" s="9" t="s">
        <v>54</v>
      </c>
      <c r="J1995" s="9">
        <v>1.8461538461538463</v>
      </c>
      <c r="K1995" s="9">
        <v>80</v>
      </c>
      <c r="L1995" s="9">
        <v>0.56999999999999995</v>
      </c>
      <c r="M1995" s="9">
        <v>45.6</v>
      </c>
      <c r="N1995" s="9" t="s">
        <v>49</v>
      </c>
      <c r="Q1995" s="9">
        <f>IF(Auction_Sales[[#This Row],[Payment Date]]=0,"",-1+WEEKNUM(Auction_Sales[[#This Row],[Payment Date]]))</f>
        <v>27</v>
      </c>
      <c r="R1995" s="9">
        <v>0</v>
      </c>
      <c r="S1995" s="9" t="s">
        <v>155</v>
      </c>
      <c r="T1995" s="9" t="s">
        <v>54</v>
      </c>
      <c r="U1995" s="9">
        <v>80</v>
      </c>
      <c r="V1995" s="13">
        <v>0.8</v>
      </c>
      <c r="W1995" s="13">
        <v>64</v>
      </c>
      <c r="X1995" s="14">
        <v>-4.173548387096778</v>
      </c>
      <c r="Y1995" s="13">
        <v>59.82645161290322</v>
      </c>
      <c r="Z1995" s="10">
        <v>45483</v>
      </c>
      <c r="AA1995" s="9">
        <v>0</v>
      </c>
      <c r="AC1995" s="9">
        <v>446086</v>
      </c>
      <c r="AD1995" s="14">
        <v>6.2967307692307699</v>
      </c>
      <c r="AF1995" s="14">
        <v>1.6</v>
      </c>
      <c r="AH1995" s="14">
        <v>7.8967307692307696</v>
      </c>
      <c r="AI1995" s="13">
        <v>51.929720843672449</v>
      </c>
      <c r="AK1995" s="9">
        <v>80</v>
      </c>
    </row>
    <row r="1996" spans="1:37">
      <c r="A1996" s="9">
        <v>26</v>
      </c>
      <c r="B1996" s="9">
        <v>2024</v>
      </c>
      <c r="C1996" s="9" t="s">
        <v>46</v>
      </c>
      <c r="D1996" s="9" t="s">
        <v>47</v>
      </c>
      <c r="E1996" s="9" t="s">
        <v>47</v>
      </c>
      <c r="F1996" s="10">
        <v>45470</v>
      </c>
      <c r="G1996" s="9" t="s">
        <v>154</v>
      </c>
      <c r="H1996" s="9" t="s">
        <v>51</v>
      </c>
      <c r="I1996" s="9">
        <v>1</v>
      </c>
      <c r="J1996" s="9">
        <v>5.4545454545454541</v>
      </c>
      <c r="K1996" s="9">
        <v>200</v>
      </c>
      <c r="L1996" s="9">
        <v>0.38</v>
      </c>
      <c r="M1996" s="9">
        <v>76</v>
      </c>
      <c r="N1996" s="9" t="s">
        <v>49</v>
      </c>
      <c r="Q1996" s="9">
        <f>IF(Auction_Sales[[#This Row],[Payment Date]]=0,"",-1+WEEKNUM(Auction_Sales[[#This Row],[Payment Date]]))</f>
        <v>27</v>
      </c>
      <c r="R1996" s="9">
        <v>-520</v>
      </c>
      <c r="S1996" s="9" t="s">
        <v>154</v>
      </c>
      <c r="T1996" s="9" t="s">
        <v>51</v>
      </c>
      <c r="U1996" s="9">
        <v>720</v>
      </c>
      <c r="V1996" s="13">
        <v>0.71777777777777774</v>
      </c>
      <c r="W1996" s="13">
        <v>516.79999999999995</v>
      </c>
      <c r="X1996" s="14">
        <v>-37.561935483870997</v>
      </c>
      <c r="Y1996" s="13">
        <v>479.23806451612893</v>
      </c>
      <c r="Z1996" s="10">
        <v>45483</v>
      </c>
      <c r="AA1996" s="9">
        <v>520</v>
      </c>
      <c r="AC1996" s="9">
        <v>446086</v>
      </c>
      <c r="AD1996" s="14">
        <v>18.603977272727274</v>
      </c>
      <c r="AF1996" s="14">
        <v>14.4</v>
      </c>
      <c r="AH1996" s="14">
        <v>33.003977272727276</v>
      </c>
      <c r="AI1996" s="13">
        <v>446.23408724340163</v>
      </c>
      <c r="AK1996" s="9">
        <v>720</v>
      </c>
    </row>
    <row r="1997" spans="1:37">
      <c r="A1997" s="9">
        <v>26</v>
      </c>
      <c r="B1997" s="9">
        <v>2024</v>
      </c>
      <c r="C1997" s="9" t="s">
        <v>46</v>
      </c>
      <c r="D1997" s="9" t="s">
        <v>47</v>
      </c>
      <c r="E1997" s="9" t="s">
        <v>47</v>
      </c>
      <c r="F1997" s="10">
        <v>45470</v>
      </c>
      <c r="G1997" s="9" t="s">
        <v>154</v>
      </c>
      <c r="H1997" s="9" t="s">
        <v>48</v>
      </c>
      <c r="J1997" s="9">
        <v>5.4545454545454541</v>
      </c>
      <c r="K1997" s="9">
        <v>200</v>
      </c>
      <c r="L1997" s="9">
        <v>0.47</v>
      </c>
      <c r="M1997" s="9">
        <v>94</v>
      </c>
      <c r="N1997" s="9" t="s">
        <v>49</v>
      </c>
      <c r="Q1997" s="9">
        <f>IF(Auction_Sales[[#This Row],[Payment Date]]=0,"",-1+WEEKNUM(Auction_Sales[[#This Row],[Payment Date]]))</f>
        <v>27</v>
      </c>
      <c r="R1997" s="9">
        <v>0</v>
      </c>
      <c r="S1997" s="9" t="s">
        <v>154</v>
      </c>
      <c r="T1997" s="9" t="s">
        <v>48</v>
      </c>
      <c r="U1997" s="9">
        <v>200</v>
      </c>
      <c r="V1997" s="13">
        <v>0.97799999999999998</v>
      </c>
      <c r="W1997" s="13">
        <v>195.6</v>
      </c>
      <c r="X1997" s="14">
        <v>-10.433870967741944</v>
      </c>
      <c r="Y1997" s="13">
        <v>185.16612903225806</v>
      </c>
      <c r="Z1997" s="10">
        <v>45483</v>
      </c>
      <c r="AA1997" s="9">
        <v>0</v>
      </c>
      <c r="AC1997" s="9">
        <v>446086</v>
      </c>
      <c r="AD1997" s="14">
        <v>18.603977272727274</v>
      </c>
      <c r="AF1997" s="14">
        <v>4</v>
      </c>
      <c r="AH1997" s="14">
        <v>22.603977272727274</v>
      </c>
      <c r="AI1997" s="13">
        <v>162.56215175953079</v>
      </c>
      <c r="AK1997" s="9">
        <v>200</v>
      </c>
    </row>
    <row r="1998" spans="1:37">
      <c r="A1998" s="9">
        <v>26</v>
      </c>
      <c r="B1998" s="9">
        <v>2024</v>
      </c>
      <c r="C1998" s="9" t="s">
        <v>46</v>
      </c>
      <c r="D1998" s="9" t="s">
        <v>47</v>
      </c>
      <c r="E1998" s="9" t="s">
        <v>47</v>
      </c>
      <c r="F1998" s="10">
        <v>45470</v>
      </c>
      <c r="G1998" s="9" t="s">
        <v>154</v>
      </c>
      <c r="H1998" s="9" t="s">
        <v>56</v>
      </c>
      <c r="J1998" s="9">
        <v>1.0909090909090908</v>
      </c>
      <c r="K1998" s="9">
        <v>40</v>
      </c>
      <c r="L1998" s="9">
        <v>0.75</v>
      </c>
      <c r="M1998" s="9">
        <v>30</v>
      </c>
      <c r="N1998" s="9" t="s">
        <v>49</v>
      </c>
      <c r="Q1998" s="9">
        <f>IF(Auction_Sales[[#This Row],[Payment Date]]=0,"",-1+WEEKNUM(Auction_Sales[[#This Row],[Payment Date]]))</f>
        <v>27</v>
      </c>
      <c r="R1998" s="9">
        <v>0</v>
      </c>
      <c r="S1998" s="9" t="s">
        <v>154</v>
      </c>
      <c r="T1998" s="9" t="s">
        <v>56</v>
      </c>
      <c r="U1998" s="9">
        <v>40</v>
      </c>
      <c r="V1998" s="13">
        <v>0.51</v>
      </c>
      <c r="W1998" s="13">
        <v>20.399999999999999</v>
      </c>
      <c r="X1998" s="14">
        <v>-2.086774193548389</v>
      </c>
      <c r="Y1998" s="13">
        <v>18.313225806451609</v>
      </c>
      <c r="Z1998" s="10">
        <v>45483</v>
      </c>
      <c r="AA1998" s="9">
        <v>0</v>
      </c>
      <c r="AC1998" s="9">
        <v>446086</v>
      </c>
      <c r="AD1998" s="14">
        <v>3.720795454545454</v>
      </c>
      <c r="AF1998" s="14">
        <v>0.8</v>
      </c>
      <c r="AH1998" s="14">
        <v>4.5207954545454543</v>
      </c>
      <c r="AI1998" s="13">
        <v>13.792430351906155</v>
      </c>
      <c r="AK1998" s="9">
        <v>40</v>
      </c>
    </row>
    <row r="1999" spans="1:37">
      <c r="A1999" s="9">
        <v>26</v>
      </c>
      <c r="B1999" s="9">
        <v>2024</v>
      </c>
      <c r="C1999" s="9" t="s">
        <v>46</v>
      </c>
      <c r="D1999" s="9" t="s">
        <v>47</v>
      </c>
      <c r="E1999" s="9" t="s">
        <v>47</v>
      </c>
      <c r="F1999" s="10">
        <v>45470</v>
      </c>
      <c r="G1999" s="9" t="s">
        <v>154</v>
      </c>
      <c r="H1999" s="9" t="s">
        <v>52</v>
      </c>
      <c r="I1999" s="9">
        <v>1</v>
      </c>
      <c r="J1999" s="9">
        <v>6</v>
      </c>
      <c r="K1999" s="9">
        <v>160</v>
      </c>
      <c r="L1999" s="9">
        <v>0.52</v>
      </c>
      <c r="M1999" s="9">
        <v>83.2</v>
      </c>
      <c r="N1999" s="9" t="s">
        <v>49</v>
      </c>
      <c r="Q1999" s="9">
        <f>IF(Auction_Sales[[#This Row],[Payment Date]]=0,"",-1+WEEKNUM(Auction_Sales[[#This Row],[Payment Date]]))</f>
        <v>27</v>
      </c>
      <c r="R1999" s="9">
        <v>0</v>
      </c>
      <c r="S1999" s="9" t="s">
        <v>154</v>
      </c>
      <c r="T1999" s="9" t="s">
        <v>52</v>
      </c>
      <c r="U1999" s="9">
        <v>160</v>
      </c>
      <c r="V1999" s="13">
        <v>0.495</v>
      </c>
      <c r="W1999" s="13">
        <v>79.2</v>
      </c>
      <c r="X1999" s="14">
        <v>-8.347096774193556</v>
      </c>
      <c r="Y1999" s="13">
        <v>70.852903225806443</v>
      </c>
      <c r="Z1999" s="10">
        <v>45483</v>
      </c>
      <c r="AA1999" s="9">
        <v>0</v>
      </c>
      <c r="AC1999" s="9">
        <v>446086</v>
      </c>
      <c r="AD1999" s="14">
        <v>20.464375</v>
      </c>
      <c r="AF1999" s="14">
        <v>3.2</v>
      </c>
      <c r="AH1999" s="14">
        <v>23.664375</v>
      </c>
      <c r="AI1999" s="13">
        <v>47.188528225806444</v>
      </c>
      <c r="AK1999" s="9">
        <v>160</v>
      </c>
    </row>
    <row r="2000" spans="1:37">
      <c r="A2000" s="9">
        <v>26</v>
      </c>
      <c r="B2000" s="9">
        <v>2024</v>
      </c>
      <c r="C2000" s="9" t="s">
        <v>46</v>
      </c>
      <c r="D2000" s="9" t="s">
        <v>47</v>
      </c>
      <c r="E2000" s="9" t="s">
        <v>47</v>
      </c>
      <c r="F2000" s="10">
        <v>45470</v>
      </c>
      <c r="G2000" s="9" t="s">
        <v>154</v>
      </c>
      <c r="H2000" s="9" t="s">
        <v>54</v>
      </c>
      <c r="J2000" s="9">
        <v>6</v>
      </c>
      <c r="K2000" s="9">
        <v>160</v>
      </c>
      <c r="L2000" s="9">
        <v>0.56999999999999995</v>
      </c>
      <c r="M2000" s="9">
        <v>91.2</v>
      </c>
      <c r="N2000" s="9" t="s">
        <v>49</v>
      </c>
      <c r="Q2000" s="9">
        <f>IF(Auction_Sales[[#This Row],[Payment Date]]=0,"",-1+WEEKNUM(Auction_Sales[[#This Row],[Payment Date]]))</f>
        <v>27</v>
      </c>
      <c r="R2000" s="9">
        <v>0</v>
      </c>
      <c r="S2000" s="9" t="s">
        <v>154</v>
      </c>
      <c r="T2000" s="9" t="s">
        <v>54</v>
      </c>
      <c r="U2000" s="9">
        <v>160</v>
      </c>
      <c r="V2000" s="13">
        <v>0.49249999999999999</v>
      </c>
      <c r="W2000" s="13">
        <v>78.8</v>
      </c>
      <c r="X2000" s="14">
        <v>-8.347096774193556</v>
      </c>
      <c r="Y2000" s="13">
        <v>70.452903225806438</v>
      </c>
      <c r="Z2000" s="10">
        <v>45483</v>
      </c>
      <c r="AA2000" s="9">
        <v>0</v>
      </c>
      <c r="AC2000" s="9">
        <v>446086</v>
      </c>
      <c r="AD2000" s="14">
        <v>20.464375</v>
      </c>
      <c r="AF2000" s="14">
        <v>3.2</v>
      </c>
      <c r="AH2000" s="14">
        <v>23.664375</v>
      </c>
      <c r="AI2000" s="13">
        <v>46.788528225806438</v>
      </c>
      <c r="AK2000" s="9">
        <v>160</v>
      </c>
    </row>
    <row r="2001" spans="1:37">
      <c r="A2001" s="9">
        <v>27</v>
      </c>
      <c r="B2001" s="9">
        <v>2024</v>
      </c>
      <c r="C2001" s="9" t="s">
        <v>46</v>
      </c>
      <c r="D2001" s="9" t="s">
        <v>47</v>
      </c>
      <c r="E2001" s="9" t="s">
        <v>47</v>
      </c>
      <c r="F2001" s="10">
        <v>45472</v>
      </c>
      <c r="G2001" s="9" t="s">
        <v>154</v>
      </c>
      <c r="H2001" s="9" t="s">
        <v>51</v>
      </c>
      <c r="I2001" s="9">
        <v>1</v>
      </c>
      <c r="J2001" s="9">
        <v>12</v>
      </c>
      <c r="K2001" s="9">
        <v>520</v>
      </c>
      <c r="L2001" s="9">
        <v>0.38</v>
      </c>
      <c r="M2001" s="9">
        <v>197.6</v>
      </c>
      <c r="N2001" s="9" t="s">
        <v>49</v>
      </c>
      <c r="Q2001" s="9">
        <f>IF(Auction_Sales[[#This Row],[Payment Date]]=0,"",-1+WEEKNUM(Auction_Sales[[#This Row],[Payment Date]]))</f>
        <v>27</v>
      </c>
      <c r="R2001" s="9">
        <v>-120</v>
      </c>
      <c r="S2001" s="9" t="s">
        <v>154</v>
      </c>
      <c r="T2001" s="9" t="s">
        <v>51</v>
      </c>
      <c r="U2001" s="9">
        <v>640</v>
      </c>
      <c r="V2001" s="13">
        <v>0.42750000000000005</v>
      </c>
      <c r="W2001" s="13">
        <v>273.60000000000002</v>
      </c>
      <c r="X2001" s="14">
        <v>-34.449729729729761</v>
      </c>
      <c r="Y2001" s="13">
        <v>239.15027027027025</v>
      </c>
      <c r="Z2001" s="10">
        <v>45483</v>
      </c>
      <c r="AA2001" s="9">
        <v>120</v>
      </c>
      <c r="AC2001" s="9">
        <v>446088</v>
      </c>
      <c r="AD2001" s="14">
        <v>46.566000000000003</v>
      </c>
      <c r="AF2001" s="14">
        <v>12.8</v>
      </c>
      <c r="AH2001" s="14">
        <v>59.366</v>
      </c>
      <c r="AI2001" s="13">
        <v>179.78427027027027</v>
      </c>
      <c r="AK2001" s="9">
        <v>640</v>
      </c>
    </row>
    <row r="2002" spans="1:37">
      <c r="A2002" s="9">
        <v>27</v>
      </c>
      <c r="B2002" s="9">
        <v>2024</v>
      </c>
      <c r="C2002" s="9" t="s">
        <v>46</v>
      </c>
      <c r="D2002" s="9" t="s">
        <v>47</v>
      </c>
      <c r="E2002" s="9" t="s">
        <v>47</v>
      </c>
      <c r="F2002" s="10">
        <v>45472</v>
      </c>
      <c r="G2002" s="9" t="s">
        <v>155</v>
      </c>
      <c r="H2002" s="9" t="s">
        <v>51</v>
      </c>
      <c r="I2002" s="9">
        <v>1</v>
      </c>
      <c r="J2002" s="9">
        <v>4</v>
      </c>
      <c r="K2002" s="9">
        <v>200</v>
      </c>
      <c r="L2002" s="9">
        <v>0.38</v>
      </c>
      <c r="M2002" s="9">
        <v>76</v>
      </c>
      <c r="N2002" s="9" t="s">
        <v>49</v>
      </c>
      <c r="Q2002" s="9">
        <f>IF(Auction_Sales[[#This Row],[Payment Date]]=0,"",-1+WEEKNUM(Auction_Sales[[#This Row],[Payment Date]]))</f>
        <v>27</v>
      </c>
      <c r="R2002" s="9">
        <v>-40</v>
      </c>
      <c r="S2002" s="9" t="s">
        <v>155</v>
      </c>
      <c r="T2002" s="9" t="s">
        <v>51</v>
      </c>
      <c r="U2002" s="9">
        <v>240</v>
      </c>
      <c r="V2002" s="13">
        <v>0.78833333333333333</v>
      </c>
      <c r="W2002" s="13">
        <v>189.2</v>
      </c>
      <c r="X2002" s="14">
        <v>-12.918648648648663</v>
      </c>
      <c r="Y2002" s="13">
        <v>176.28135135135133</v>
      </c>
      <c r="Z2002" s="10">
        <v>45483</v>
      </c>
      <c r="AA2002" s="9">
        <v>40</v>
      </c>
      <c r="AC2002" s="9">
        <v>446088</v>
      </c>
      <c r="AD2002" s="14">
        <v>15.522</v>
      </c>
      <c r="AF2002" s="14">
        <v>4.8</v>
      </c>
      <c r="AH2002" s="14">
        <v>20.321999999999999</v>
      </c>
      <c r="AI2002" s="13">
        <v>155.95935135135133</v>
      </c>
      <c r="AK2002" s="9">
        <v>240</v>
      </c>
    </row>
    <row r="2003" spans="1:37">
      <c r="A2003" s="9">
        <v>27</v>
      </c>
      <c r="B2003" s="9">
        <v>2024</v>
      </c>
      <c r="C2003" s="9" t="s">
        <v>46</v>
      </c>
      <c r="D2003" s="9" t="s">
        <v>47</v>
      </c>
      <c r="E2003" s="9" t="s">
        <v>47</v>
      </c>
      <c r="F2003" s="10">
        <v>45472</v>
      </c>
      <c r="G2003" s="9" t="s">
        <v>155</v>
      </c>
      <c r="H2003" s="9" t="s">
        <v>48</v>
      </c>
      <c r="J2003" s="9">
        <v>7.1999999999999993</v>
      </c>
      <c r="K2003" s="9">
        <v>360</v>
      </c>
      <c r="L2003" s="9">
        <v>0.47</v>
      </c>
      <c r="M2003" s="9">
        <v>169.2</v>
      </c>
      <c r="N2003" s="9" t="s">
        <v>49</v>
      </c>
      <c r="Q2003" s="9">
        <f>IF(Auction_Sales[[#This Row],[Payment Date]]=0,"",-1+WEEKNUM(Auction_Sales[[#This Row],[Payment Date]]))</f>
        <v>27</v>
      </c>
      <c r="R2003" s="9">
        <v>40</v>
      </c>
      <c r="S2003" s="9" t="s">
        <v>155</v>
      </c>
      <c r="T2003" s="9" t="s">
        <v>48</v>
      </c>
      <c r="U2003" s="9">
        <v>320</v>
      </c>
      <c r="V2003" s="13">
        <v>0.7</v>
      </c>
      <c r="W2003" s="13">
        <v>224</v>
      </c>
      <c r="X2003" s="14">
        <v>-17.22486486486488</v>
      </c>
      <c r="Y2003" s="13">
        <v>206.77513513513512</v>
      </c>
      <c r="Z2003" s="10">
        <v>45483</v>
      </c>
      <c r="AA2003" s="9">
        <v>-40</v>
      </c>
      <c r="AC2003" s="9">
        <v>446088</v>
      </c>
      <c r="AD2003" s="14">
        <v>27.939599999999999</v>
      </c>
      <c r="AF2003" s="14">
        <v>6.4</v>
      </c>
      <c r="AH2003" s="14">
        <v>34.339599999999997</v>
      </c>
      <c r="AI2003" s="13">
        <v>172.43553513513513</v>
      </c>
      <c r="AK2003" s="9">
        <v>320</v>
      </c>
    </row>
    <row r="2004" spans="1:37">
      <c r="A2004" s="9">
        <v>27</v>
      </c>
      <c r="B2004" s="9">
        <v>2024</v>
      </c>
      <c r="C2004" s="9" t="s">
        <v>46</v>
      </c>
      <c r="D2004" s="9" t="s">
        <v>47</v>
      </c>
      <c r="E2004" s="9" t="s">
        <v>47</v>
      </c>
      <c r="F2004" s="10">
        <v>45472</v>
      </c>
      <c r="G2004" s="9" t="s">
        <v>155</v>
      </c>
      <c r="H2004" s="9" t="s">
        <v>52</v>
      </c>
      <c r="J2004" s="9">
        <v>0.8</v>
      </c>
      <c r="K2004" s="9">
        <v>40</v>
      </c>
      <c r="L2004" s="9">
        <v>0.52</v>
      </c>
      <c r="M2004" s="9">
        <v>20.8</v>
      </c>
      <c r="N2004" s="9" t="s">
        <v>49</v>
      </c>
      <c r="Q2004" s="9">
        <f>IF(Auction_Sales[[#This Row],[Payment Date]]=0,"",-1+WEEKNUM(Auction_Sales[[#This Row],[Payment Date]]))</f>
        <v>27</v>
      </c>
      <c r="R2004" s="9">
        <v>0</v>
      </c>
      <c r="S2004" s="9" t="s">
        <v>155</v>
      </c>
      <c r="T2004" s="9" t="s">
        <v>52</v>
      </c>
      <c r="U2004" s="9">
        <v>40</v>
      </c>
      <c r="V2004" s="13">
        <v>1.03</v>
      </c>
      <c r="W2004" s="13">
        <v>41.2</v>
      </c>
      <c r="X2004" s="14">
        <v>-2.15310810810811</v>
      </c>
      <c r="Y2004" s="13">
        <v>39.046891891891896</v>
      </c>
      <c r="Z2004" s="10">
        <v>45483</v>
      </c>
      <c r="AA2004" s="9">
        <v>0</v>
      </c>
      <c r="AC2004" s="9">
        <v>446088</v>
      </c>
      <c r="AD2004" s="14">
        <v>3.1044000000000005</v>
      </c>
      <c r="AF2004" s="14">
        <v>0.8</v>
      </c>
      <c r="AH2004" s="14">
        <v>3.9044000000000008</v>
      </c>
      <c r="AI2004" s="13">
        <v>35.142491891891893</v>
      </c>
      <c r="AK2004" s="9">
        <v>40</v>
      </c>
    </row>
    <row r="2005" spans="1:37">
      <c r="A2005" s="9">
        <v>27</v>
      </c>
      <c r="B2005" s="9">
        <v>2024</v>
      </c>
      <c r="C2005" s="9" t="s">
        <v>46</v>
      </c>
      <c r="D2005" s="9" t="s">
        <v>47</v>
      </c>
      <c r="E2005" s="9" t="s">
        <v>47</v>
      </c>
      <c r="F2005" s="10">
        <v>45472</v>
      </c>
      <c r="G2005" s="9" t="s">
        <v>153</v>
      </c>
      <c r="H2005" s="9" t="s">
        <v>51</v>
      </c>
      <c r="I2005" s="9">
        <v>1</v>
      </c>
      <c r="J2005" s="9">
        <v>4.3636363636363633</v>
      </c>
      <c r="K2005" s="9">
        <v>320</v>
      </c>
      <c r="L2005" s="9">
        <v>0.14000000000000001</v>
      </c>
      <c r="M2005" s="9">
        <v>44.8</v>
      </c>
      <c r="N2005" s="9" t="s">
        <v>49</v>
      </c>
      <c r="Q2005" s="9">
        <f>IF(Auction_Sales[[#This Row],[Payment Date]]=0,"",-1+WEEKNUM(Auction_Sales[[#This Row],[Payment Date]]))</f>
        <v>27</v>
      </c>
      <c r="R2005" s="9">
        <v>0</v>
      </c>
      <c r="S2005" s="9" t="s">
        <v>153</v>
      </c>
      <c r="T2005" s="9" t="s">
        <v>51</v>
      </c>
      <c r="U2005" s="9">
        <v>320</v>
      </c>
      <c r="V2005" s="13">
        <v>0.49000000000000005</v>
      </c>
      <c r="W2005" s="13">
        <v>156.80000000000001</v>
      </c>
      <c r="X2005" s="14">
        <v>-17.22486486486488</v>
      </c>
      <c r="Y2005" s="13">
        <v>139.57513513513513</v>
      </c>
      <c r="Z2005" s="10">
        <v>45483</v>
      </c>
      <c r="AA2005" s="9">
        <v>0</v>
      </c>
      <c r="AC2005" s="9">
        <v>446088</v>
      </c>
      <c r="AD2005" s="14">
        <v>16.933090909090907</v>
      </c>
      <c r="AF2005" s="14">
        <v>6.4</v>
      </c>
      <c r="AH2005" s="14">
        <v>23.333090909090906</v>
      </c>
      <c r="AI2005" s="13">
        <v>116.24204422604421</v>
      </c>
      <c r="AK2005" s="9">
        <v>320</v>
      </c>
    </row>
    <row r="2006" spans="1:37">
      <c r="A2006" s="9">
        <v>27</v>
      </c>
      <c r="B2006" s="9">
        <v>2024</v>
      </c>
      <c r="C2006" s="9" t="s">
        <v>46</v>
      </c>
      <c r="D2006" s="9" t="s">
        <v>47</v>
      </c>
      <c r="E2006" s="9" t="s">
        <v>47</v>
      </c>
      <c r="F2006" s="10">
        <v>45472</v>
      </c>
      <c r="G2006" s="9" t="s">
        <v>153</v>
      </c>
      <c r="H2006" s="9" t="s">
        <v>48</v>
      </c>
      <c r="J2006" s="9">
        <v>4.3636363636363633</v>
      </c>
      <c r="K2006" s="9">
        <v>320</v>
      </c>
      <c r="L2006" s="9">
        <v>0.24</v>
      </c>
      <c r="M2006" s="9">
        <v>76.8</v>
      </c>
      <c r="N2006" s="9" t="s">
        <v>49</v>
      </c>
      <c r="Q2006" s="9">
        <f>IF(Auction_Sales[[#This Row],[Payment Date]]=0,"",-1+WEEKNUM(Auction_Sales[[#This Row],[Payment Date]]))</f>
        <v>27</v>
      </c>
      <c r="R2006" s="9">
        <v>-240</v>
      </c>
      <c r="S2006" s="9" t="s">
        <v>153</v>
      </c>
      <c r="T2006" s="9" t="s">
        <v>48</v>
      </c>
      <c r="U2006" s="9">
        <v>560</v>
      </c>
      <c r="V2006" s="13">
        <v>0.36142857142857143</v>
      </c>
      <c r="W2006" s="13">
        <v>202.4</v>
      </c>
      <c r="X2006" s="14">
        <v>-30.143513513513543</v>
      </c>
      <c r="Y2006" s="13">
        <v>172.25648648648647</v>
      </c>
      <c r="Z2006" s="10">
        <v>45483</v>
      </c>
      <c r="AA2006" s="9">
        <v>240</v>
      </c>
      <c r="AC2006" s="9">
        <v>446088</v>
      </c>
      <c r="AD2006" s="14">
        <v>16.933090909090907</v>
      </c>
      <c r="AF2006" s="14">
        <v>11.200000000000001</v>
      </c>
      <c r="AH2006" s="14">
        <v>28.13309090909091</v>
      </c>
      <c r="AI2006" s="13">
        <v>144.12339557739557</v>
      </c>
      <c r="AK2006" s="9">
        <v>560</v>
      </c>
    </row>
    <row r="2007" spans="1:37">
      <c r="A2007" s="9">
        <v>27</v>
      </c>
      <c r="B2007" s="9">
        <v>2024</v>
      </c>
      <c r="C2007" s="9" t="s">
        <v>46</v>
      </c>
      <c r="D2007" s="9" t="s">
        <v>47</v>
      </c>
      <c r="E2007" s="9" t="s">
        <v>47</v>
      </c>
      <c r="F2007" s="10">
        <v>45472</v>
      </c>
      <c r="G2007" s="9" t="s">
        <v>153</v>
      </c>
      <c r="H2007" s="9" t="s">
        <v>52</v>
      </c>
      <c r="J2007" s="9">
        <v>1.6363636363636362</v>
      </c>
      <c r="K2007" s="9">
        <v>120</v>
      </c>
      <c r="L2007" s="9">
        <v>0.28000000000000003</v>
      </c>
      <c r="M2007" s="9">
        <v>33.6</v>
      </c>
      <c r="N2007" s="9" t="s">
        <v>49</v>
      </c>
      <c r="Q2007" s="9">
        <f>IF(Auction_Sales[[#This Row],[Payment Date]]=0,"",-1+WEEKNUM(Auction_Sales[[#This Row],[Payment Date]]))</f>
        <v>27</v>
      </c>
      <c r="R2007" s="9">
        <v>120</v>
      </c>
      <c r="S2007" s="9" t="s">
        <v>153</v>
      </c>
      <c r="T2007" s="9" t="s">
        <v>52</v>
      </c>
      <c r="W2007" s="13">
        <v>0</v>
      </c>
      <c r="X2007" s="14">
        <v>0</v>
      </c>
      <c r="Y2007" s="13">
        <v>0</v>
      </c>
      <c r="Z2007" s="10">
        <v>45483</v>
      </c>
      <c r="AA2007" s="9">
        <v>-120</v>
      </c>
      <c r="AC2007" s="9">
        <v>446088</v>
      </c>
      <c r="AD2007" s="14">
        <v>6.3499090909090912</v>
      </c>
      <c r="AF2007" s="14">
        <v>0</v>
      </c>
      <c r="AH2007" s="14">
        <v>6.3499090909090912</v>
      </c>
      <c r="AI2007" s="13">
        <v>-6.3499090909090912</v>
      </c>
      <c r="AK2007" s="9">
        <v>0</v>
      </c>
    </row>
    <row r="2008" spans="1:37">
      <c r="A2008" s="9">
        <v>27</v>
      </c>
      <c r="B2008" s="9">
        <v>2024</v>
      </c>
      <c r="C2008" s="9" t="s">
        <v>46</v>
      </c>
      <c r="D2008" s="9" t="s">
        <v>47</v>
      </c>
      <c r="E2008" s="9" t="s">
        <v>47</v>
      </c>
      <c r="F2008" s="10">
        <v>45472</v>
      </c>
      <c r="G2008" s="9" t="s">
        <v>153</v>
      </c>
      <c r="H2008" s="9" t="s">
        <v>54</v>
      </c>
      <c r="J2008" s="9">
        <v>0.54545454545454541</v>
      </c>
      <c r="K2008" s="9">
        <v>40</v>
      </c>
      <c r="L2008" s="9">
        <v>0.33</v>
      </c>
      <c r="M2008" s="9">
        <v>13.2</v>
      </c>
      <c r="N2008" s="9" t="s">
        <v>49</v>
      </c>
      <c r="Q2008" s="9">
        <f>IF(Auction_Sales[[#This Row],[Payment Date]]=0,"",-1+WEEKNUM(Auction_Sales[[#This Row],[Payment Date]]))</f>
        <v>27</v>
      </c>
      <c r="R2008" s="9">
        <v>40</v>
      </c>
      <c r="S2008" s="9" t="s">
        <v>153</v>
      </c>
      <c r="T2008" s="9" t="s">
        <v>54</v>
      </c>
      <c r="W2008" s="13">
        <v>0</v>
      </c>
      <c r="X2008" s="14">
        <v>0</v>
      </c>
      <c r="Y2008" s="13">
        <v>0</v>
      </c>
      <c r="Z2008" s="10">
        <v>45483</v>
      </c>
      <c r="AA2008" s="9">
        <v>-40</v>
      </c>
      <c r="AC2008" s="9">
        <v>446088</v>
      </c>
      <c r="AD2008" s="14">
        <v>2.1166363636363634</v>
      </c>
      <c r="AF2008" s="14">
        <v>0</v>
      </c>
      <c r="AH2008" s="14">
        <v>2.1166363636363634</v>
      </c>
      <c r="AI2008" s="13">
        <v>-2.1166363636363634</v>
      </c>
      <c r="AK2008" s="9">
        <v>0</v>
      </c>
    </row>
    <row r="2009" spans="1:37">
      <c r="A2009" s="9">
        <v>27</v>
      </c>
      <c r="B2009" s="9">
        <v>2024</v>
      </c>
      <c r="C2009" s="9" t="s">
        <v>46</v>
      </c>
      <c r="D2009" s="9" t="s">
        <v>47</v>
      </c>
      <c r="E2009" s="9" t="s">
        <v>47</v>
      </c>
      <c r="F2009" s="10">
        <v>45472</v>
      </c>
      <c r="G2009" s="9" t="s">
        <v>153</v>
      </c>
      <c r="H2009" s="9" t="s">
        <v>56</v>
      </c>
      <c r="J2009" s="9">
        <v>1.0909090909090908</v>
      </c>
      <c r="K2009" s="9">
        <v>80</v>
      </c>
      <c r="L2009" s="9">
        <v>0.38</v>
      </c>
      <c r="M2009" s="9">
        <v>30.4</v>
      </c>
      <c r="N2009" s="9" t="s">
        <v>49</v>
      </c>
      <c r="Q2009" s="9">
        <f>IF(Auction_Sales[[#This Row],[Payment Date]]=0,"",-1+WEEKNUM(Auction_Sales[[#This Row],[Payment Date]]))</f>
        <v>27</v>
      </c>
      <c r="R2009" s="9">
        <v>80</v>
      </c>
      <c r="S2009" s="9" t="s">
        <v>153</v>
      </c>
      <c r="T2009" s="9" t="s">
        <v>56</v>
      </c>
      <c r="W2009" s="13">
        <v>0</v>
      </c>
      <c r="X2009" s="14">
        <v>0</v>
      </c>
      <c r="Y2009" s="13">
        <v>0</v>
      </c>
      <c r="Z2009" s="10">
        <v>45483</v>
      </c>
      <c r="AA2009" s="9">
        <v>-80</v>
      </c>
      <c r="AC2009" s="9">
        <v>446088</v>
      </c>
      <c r="AD2009" s="14">
        <v>4.2332727272727269</v>
      </c>
      <c r="AF2009" s="14">
        <v>0</v>
      </c>
      <c r="AH2009" s="14">
        <v>4.2332727272727269</v>
      </c>
      <c r="AI2009" s="13">
        <v>-4.2332727272727269</v>
      </c>
      <c r="AK2009" s="9">
        <v>0</v>
      </c>
    </row>
    <row r="2010" spans="1:37">
      <c r="A2010" s="9">
        <v>27</v>
      </c>
      <c r="B2010" s="9">
        <v>2024</v>
      </c>
      <c r="C2010" s="9" t="s">
        <v>46</v>
      </c>
      <c r="D2010" s="9" t="s">
        <v>47</v>
      </c>
      <c r="E2010" s="9" t="s">
        <v>47</v>
      </c>
      <c r="F2010" s="10">
        <v>45472</v>
      </c>
      <c r="G2010" s="9" t="s">
        <v>154</v>
      </c>
      <c r="H2010" s="9" t="s">
        <v>51</v>
      </c>
      <c r="I2010" s="9">
        <v>1</v>
      </c>
      <c r="J2010" s="9">
        <v>3.5999999999999996</v>
      </c>
      <c r="K2010" s="9">
        <v>120</v>
      </c>
      <c r="L2010" s="9">
        <v>0.38</v>
      </c>
      <c r="M2010" s="9">
        <v>45.6</v>
      </c>
      <c r="N2010" s="9" t="s">
        <v>49</v>
      </c>
      <c r="Q2010" s="9">
        <f>IF(Auction_Sales[[#This Row],[Payment Date]]=0,"",-1+WEEKNUM(Auction_Sales[[#This Row],[Payment Date]]))</f>
        <v>27</v>
      </c>
      <c r="R2010" s="9">
        <v>120</v>
      </c>
      <c r="S2010" s="9" t="s">
        <v>154</v>
      </c>
      <c r="T2010" s="9" t="s">
        <v>51</v>
      </c>
      <c r="W2010" s="13">
        <v>0</v>
      </c>
      <c r="X2010" s="14">
        <v>0</v>
      </c>
      <c r="Y2010" s="13">
        <v>0</v>
      </c>
      <c r="Z2010" s="10">
        <v>45483</v>
      </c>
      <c r="AA2010" s="9">
        <v>-120</v>
      </c>
      <c r="AC2010" s="9">
        <v>446088</v>
      </c>
      <c r="AD2010" s="14">
        <v>13.969799999999999</v>
      </c>
      <c r="AF2010" s="14">
        <v>0</v>
      </c>
      <c r="AH2010" s="14">
        <v>13.969799999999999</v>
      </c>
      <c r="AI2010" s="13">
        <v>-13.969799999999999</v>
      </c>
      <c r="AK2010" s="9">
        <v>0</v>
      </c>
    </row>
    <row r="2011" spans="1:37">
      <c r="A2011" s="9">
        <v>27</v>
      </c>
      <c r="B2011" s="9">
        <v>2024</v>
      </c>
      <c r="C2011" s="9" t="s">
        <v>46</v>
      </c>
      <c r="D2011" s="9" t="s">
        <v>47</v>
      </c>
      <c r="E2011" s="9" t="s">
        <v>47</v>
      </c>
      <c r="F2011" s="10">
        <v>45472</v>
      </c>
      <c r="G2011" s="9" t="s">
        <v>154</v>
      </c>
      <c r="H2011" s="9" t="s">
        <v>48</v>
      </c>
      <c r="J2011" s="9">
        <v>7.1999999999999993</v>
      </c>
      <c r="K2011" s="9">
        <v>240</v>
      </c>
      <c r="L2011" s="9">
        <v>0.47</v>
      </c>
      <c r="M2011" s="9">
        <v>112.8</v>
      </c>
      <c r="N2011" s="9" t="s">
        <v>49</v>
      </c>
      <c r="Q2011" s="9">
        <f>IF(Auction_Sales[[#This Row],[Payment Date]]=0,"",-1+WEEKNUM(Auction_Sales[[#This Row],[Payment Date]]))</f>
        <v>27</v>
      </c>
      <c r="R2011" s="9">
        <v>0</v>
      </c>
      <c r="S2011" s="9" t="s">
        <v>154</v>
      </c>
      <c r="T2011" s="9" t="s">
        <v>48</v>
      </c>
      <c r="U2011" s="9">
        <v>240</v>
      </c>
      <c r="V2011" s="13">
        <v>0.62</v>
      </c>
      <c r="W2011" s="13">
        <v>148.80000000000001</v>
      </c>
      <c r="X2011" s="14">
        <v>-12.918648648648663</v>
      </c>
      <c r="Y2011" s="13">
        <v>135.88135135135136</v>
      </c>
      <c r="Z2011" s="10">
        <v>45483</v>
      </c>
      <c r="AA2011" s="9">
        <v>0</v>
      </c>
      <c r="AC2011" s="9">
        <v>446088</v>
      </c>
      <c r="AD2011" s="14">
        <v>27.939599999999999</v>
      </c>
      <c r="AF2011" s="14">
        <v>4.8</v>
      </c>
      <c r="AH2011" s="14">
        <v>32.739599999999996</v>
      </c>
      <c r="AI2011" s="13">
        <v>103.14175135135136</v>
      </c>
      <c r="AK2011" s="9">
        <v>240</v>
      </c>
    </row>
    <row r="2012" spans="1:37">
      <c r="A2012" s="9">
        <v>27</v>
      </c>
      <c r="B2012" s="9">
        <v>2024</v>
      </c>
      <c r="C2012" s="9" t="s">
        <v>46</v>
      </c>
      <c r="D2012" s="9" t="s">
        <v>47</v>
      </c>
      <c r="E2012" s="9" t="s">
        <v>47</v>
      </c>
      <c r="F2012" s="10">
        <v>45472</v>
      </c>
      <c r="G2012" s="9" t="s">
        <v>154</v>
      </c>
      <c r="H2012" s="9" t="s">
        <v>52</v>
      </c>
      <c r="J2012" s="9">
        <v>1.2000000000000002</v>
      </c>
      <c r="K2012" s="9">
        <v>40</v>
      </c>
      <c r="L2012" s="9">
        <v>0.52</v>
      </c>
      <c r="M2012" s="9">
        <v>20.8</v>
      </c>
      <c r="N2012" s="9" t="s">
        <v>49</v>
      </c>
      <c r="Q2012" s="9">
        <f>IF(Auction_Sales[[#This Row],[Payment Date]]=0,"",-1+WEEKNUM(Auction_Sales[[#This Row],[Payment Date]]))</f>
        <v>27</v>
      </c>
      <c r="R2012" s="9">
        <v>0</v>
      </c>
      <c r="S2012" s="9" t="s">
        <v>154</v>
      </c>
      <c r="T2012" s="9" t="s">
        <v>52</v>
      </c>
      <c r="U2012" s="9">
        <v>40</v>
      </c>
      <c r="V2012" s="13">
        <v>0.95</v>
      </c>
      <c r="W2012" s="13">
        <v>38</v>
      </c>
      <c r="X2012" s="14">
        <v>-2.15310810810811</v>
      </c>
      <c r="Y2012" s="13">
        <v>35.846891891891893</v>
      </c>
      <c r="Z2012" s="10">
        <v>45483</v>
      </c>
      <c r="AA2012" s="9">
        <v>0</v>
      </c>
      <c r="AC2012" s="9">
        <v>446088</v>
      </c>
      <c r="AD2012" s="14">
        <v>4.656600000000001</v>
      </c>
      <c r="AF2012" s="14">
        <v>0.8</v>
      </c>
      <c r="AH2012" s="14">
        <v>5.4566000000000008</v>
      </c>
      <c r="AI2012" s="13">
        <v>30.390291891891891</v>
      </c>
      <c r="AK2012" s="9">
        <v>40</v>
      </c>
    </row>
    <row r="2013" spans="1:37">
      <c r="A2013" s="9">
        <v>27</v>
      </c>
      <c r="B2013" s="9">
        <v>2024</v>
      </c>
      <c r="C2013" s="9" t="s">
        <v>46</v>
      </c>
      <c r="D2013" s="9" t="s">
        <v>47</v>
      </c>
      <c r="E2013" s="9" t="s">
        <v>47</v>
      </c>
      <c r="F2013" s="10">
        <v>45472</v>
      </c>
      <c r="G2013" s="9" t="s">
        <v>156</v>
      </c>
      <c r="H2013" s="9" t="s">
        <v>51</v>
      </c>
      <c r="I2013" s="9">
        <v>1</v>
      </c>
      <c r="J2013" s="9">
        <v>10.153846153846153</v>
      </c>
      <c r="K2013" s="9">
        <v>440</v>
      </c>
      <c r="L2013" s="9">
        <v>0.42</v>
      </c>
      <c r="M2013" s="9">
        <v>184.8</v>
      </c>
      <c r="N2013" s="9" t="s">
        <v>49</v>
      </c>
      <c r="Q2013" s="9">
        <f>IF(Auction_Sales[[#This Row],[Payment Date]]=0,"",-1+WEEKNUM(Auction_Sales[[#This Row],[Payment Date]]))</f>
        <v>27</v>
      </c>
      <c r="R2013" s="9">
        <v>0</v>
      </c>
      <c r="S2013" s="9" t="s">
        <v>156</v>
      </c>
      <c r="T2013" s="9" t="s">
        <v>51</v>
      </c>
      <c r="U2013" s="9">
        <v>440</v>
      </c>
      <c r="V2013" s="13">
        <v>0.28000000000000003</v>
      </c>
      <c r="W2013" s="13">
        <v>123.20000000000002</v>
      </c>
      <c r="X2013" s="14">
        <v>-23.684189189189212</v>
      </c>
      <c r="Y2013" s="13">
        <v>99.515810810810805</v>
      </c>
      <c r="Z2013" s="10">
        <v>45483</v>
      </c>
      <c r="AA2013" s="9">
        <v>0</v>
      </c>
      <c r="AC2013" s="9">
        <v>446088</v>
      </c>
      <c r="AD2013" s="14">
        <v>39.402000000000001</v>
      </c>
      <c r="AF2013" s="14">
        <v>8.8000000000000007</v>
      </c>
      <c r="AH2013" s="14">
        <v>48.201999999999998</v>
      </c>
      <c r="AI2013" s="13">
        <v>51.313810810810807</v>
      </c>
      <c r="AK2013" s="9">
        <v>440</v>
      </c>
    </row>
    <row r="2014" spans="1:37">
      <c r="A2014" s="9">
        <v>27</v>
      </c>
      <c r="B2014" s="9">
        <v>2024</v>
      </c>
      <c r="C2014" s="9" t="s">
        <v>46</v>
      </c>
      <c r="D2014" s="9" t="s">
        <v>47</v>
      </c>
      <c r="E2014" s="9" t="s">
        <v>47</v>
      </c>
      <c r="F2014" s="10">
        <v>45472</v>
      </c>
      <c r="G2014" s="9" t="s">
        <v>156</v>
      </c>
      <c r="H2014" s="9" t="s">
        <v>48</v>
      </c>
      <c r="J2014" s="9">
        <v>1.8461538461538463</v>
      </c>
      <c r="K2014" s="9">
        <v>80</v>
      </c>
      <c r="L2014" s="9">
        <v>0.52</v>
      </c>
      <c r="M2014" s="9">
        <v>41.6</v>
      </c>
      <c r="N2014" s="9" t="s">
        <v>49</v>
      </c>
      <c r="Q2014" s="9">
        <f>IF(Auction_Sales[[#This Row],[Payment Date]]=0,"",-1+WEEKNUM(Auction_Sales[[#This Row],[Payment Date]]))</f>
        <v>27</v>
      </c>
      <c r="R2014" s="9">
        <v>0</v>
      </c>
      <c r="S2014" s="9" t="s">
        <v>156</v>
      </c>
      <c r="T2014" s="9" t="s">
        <v>48</v>
      </c>
      <c r="U2014" s="9">
        <v>80</v>
      </c>
      <c r="V2014" s="13">
        <v>0.25</v>
      </c>
      <c r="W2014" s="13">
        <v>20</v>
      </c>
      <c r="X2014" s="14">
        <v>-4.3062162162162201</v>
      </c>
      <c r="Y2014" s="13">
        <v>15.693783783783779</v>
      </c>
      <c r="Z2014" s="10">
        <v>45483</v>
      </c>
      <c r="AA2014" s="9">
        <v>0</v>
      </c>
      <c r="AC2014" s="9">
        <v>446088</v>
      </c>
      <c r="AD2014" s="14">
        <v>7.1640000000000006</v>
      </c>
      <c r="AF2014" s="14">
        <v>1.6</v>
      </c>
      <c r="AH2014" s="14">
        <v>8.7640000000000011</v>
      </c>
      <c r="AI2014" s="13">
        <v>6.9297837837837779</v>
      </c>
      <c r="AK2014" s="9">
        <v>80</v>
      </c>
    </row>
    <row r="2015" spans="1:37">
      <c r="A2015" s="9">
        <v>27</v>
      </c>
      <c r="B2015" s="9">
        <v>2024</v>
      </c>
      <c r="C2015" s="9" t="s">
        <v>46</v>
      </c>
      <c r="D2015" s="9" t="s">
        <v>47</v>
      </c>
      <c r="E2015" s="9" t="s">
        <v>47</v>
      </c>
      <c r="F2015" s="10">
        <v>45472</v>
      </c>
      <c r="G2015" s="9" t="s">
        <v>159</v>
      </c>
      <c r="H2015" s="9" t="s">
        <v>54</v>
      </c>
      <c r="K2015" s="9">
        <v>80</v>
      </c>
      <c r="N2015" s="9" t="s">
        <v>49</v>
      </c>
      <c r="Q2015" s="9">
        <f>IF(Auction_Sales[[#This Row],[Payment Date]]=0,"",-1+WEEKNUM(Auction_Sales[[#This Row],[Payment Date]]))</f>
        <v>27</v>
      </c>
      <c r="R2015" s="9">
        <v>0</v>
      </c>
      <c r="S2015" s="1" t="str">
        <f t="shared" ref="S2015:S2017" si="364">G2015</f>
        <v>Miniature Roses</v>
      </c>
      <c r="T2015" s="9" t="s">
        <v>54</v>
      </c>
      <c r="U2015" s="9">
        <v>80</v>
      </c>
      <c r="V2015" s="13">
        <v>0.86999999999999988</v>
      </c>
      <c r="W2015" s="13">
        <v>69.599999999999994</v>
      </c>
      <c r="X2015" s="14">
        <v>-4.3062162162162201</v>
      </c>
      <c r="Y2015" s="13">
        <v>65.29378378378378</v>
      </c>
      <c r="Z2015" s="10">
        <v>45483</v>
      </c>
      <c r="AA2015" s="9">
        <v>0</v>
      </c>
      <c r="AC2015" s="9">
        <v>446088</v>
      </c>
      <c r="AD2015" s="14">
        <v>0</v>
      </c>
      <c r="AF2015" s="14">
        <v>1.6</v>
      </c>
      <c r="AH2015" s="14">
        <v>1.6</v>
      </c>
      <c r="AI2015" s="13">
        <v>63.693783783783779</v>
      </c>
      <c r="AK2015" s="9">
        <v>80</v>
      </c>
    </row>
    <row r="2016" spans="1:37">
      <c r="A2016" s="9">
        <v>27</v>
      </c>
      <c r="B2016" s="9">
        <v>2024</v>
      </c>
      <c r="C2016" s="9" t="s">
        <v>46</v>
      </c>
      <c r="D2016" s="9" t="s">
        <v>47</v>
      </c>
      <c r="E2016" s="9" t="s">
        <v>47</v>
      </c>
      <c r="F2016" s="10">
        <v>45472</v>
      </c>
      <c r="G2016" s="9" t="s">
        <v>159</v>
      </c>
      <c r="H2016" s="9" t="s">
        <v>52</v>
      </c>
      <c r="K2016" s="9">
        <v>120</v>
      </c>
      <c r="N2016" s="9" t="s">
        <v>49</v>
      </c>
      <c r="Q2016" s="9">
        <f>IF(Auction_Sales[[#This Row],[Payment Date]]=0,"",-1+WEEKNUM(Auction_Sales[[#This Row],[Payment Date]]))</f>
        <v>27</v>
      </c>
      <c r="R2016" s="9">
        <v>0</v>
      </c>
      <c r="S2016" s="1" t="str">
        <f t="shared" si="364"/>
        <v>Miniature Roses</v>
      </c>
      <c r="T2016" s="9" t="s">
        <v>52</v>
      </c>
      <c r="U2016" s="9">
        <v>120</v>
      </c>
      <c r="V2016" s="13">
        <v>0.91666666666666663</v>
      </c>
      <c r="W2016" s="13">
        <v>110</v>
      </c>
      <c r="X2016" s="14">
        <v>-6.4593243243243315</v>
      </c>
      <c r="Y2016" s="13">
        <v>103.54067567567567</v>
      </c>
      <c r="Z2016" s="10">
        <v>45483</v>
      </c>
      <c r="AA2016" s="9">
        <v>0</v>
      </c>
      <c r="AC2016" s="9">
        <v>446088</v>
      </c>
      <c r="AD2016" s="14">
        <v>0</v>
      </c>
      <c r="AF2016" s="14">
        <v>2.4</v>
      </c>
      <c r="AH2016" s="14">
        <v>2.4</v>
      </c>
      <c r="AI2016" s="13">
        <v>101.14067567567567</v>
      </c>
      <c r="AK2016" s="9">
        <v>120</v>
      </c>
    </row>
    <row r="2017" spans="1:37">
      <c r="A2017" s="9">
        <v>27</v>
      </c>
      <c r="B2017" s="9">
        <v>2024</v>
      </c>
      <c r="C2017" s="9" t="s">
        <v>46</v>
      </c>
      <c r="D2017" s="9" t="s">
        <v>47</v>
      </c>
      <c r="E2017" s="9" t="s">
        <v>47</v>
      </c>
      <c r="F2017" s="10">
        <v>45472</v>
      </c>
      <c r="G2017" s="9" t="s">
        <v>159</v>
      </c>
      <c r="H2017" s="9" t="s">
        <v>56</v>
      </c>
      <c r="K2017" s="9">
        <v>80</v>
      </c>
      <c r="N2017" s="9" t="s">
        <v>49</v>
      </c>
      <c r="Q2017" s="9">
        <f>IF(Auction_Sales[[#This Row],[Payment Date]]=0,"",-1+WEEKNUM(Auction_Sales[[#This Row],[Payment Date]]))</f>
        <v>27</v>
      </c>
      <c r="R2017" s="9">
        <v>0</v>
      </c>
      <c r="S2017" s="1" t="str">
        <f t="shared" si="364"/>
        <v>Miniature Roses</v>
      </c>
      <c r="T2017" s="9" t="s">
        <v>56</v>
      </c>
      <c r="U2017" s="9">
        <v>80</v>
      </c>
      <c r="V2017" s="13">
        <v>0.92500000000000004</v>
      </c>
      <c r="W2017" s="13">
        <v>74</v>
      </c>
      <c r="X2017" s="14">
        <v>-4.3062162162162201</v>
      </c>
      <c r="Y2017" s="13">
        <v>69.693783783783786</v>
      </c>
      <c r="Z2017" s="10">
        <v>45483</v>
      </c>
      <c r="AA2017" s="9">
        <v>0</v>
      </c>
      <c r="AC2017" s="9">
        <v>446088</v>
      </c>
      <c r="AD2017" s="14">
        <v>0</v>
      </c>
      <c r="AF2017" s="14">
        <v>1.6</v>
      </c>
      <c r="AH2017" s="14">
        <v>1.6</v>
      </c>
      <c r="AI2017" s="13">
        <v>68.093783783783792</v>
      </c>
      <c r="AK2017" s="9">
        <v>80</v>
      </c>
    </row>
    <row r="2018" spans="1:37">
      <c r="A2018" s="9">
        <v>27</v>
      </c>
      <c r="B2018" s="9">
        <v>2024</v>
      </c>
      <c r="C2018" s="9" t="s">
        <v>46</v>
      </c>
      <c r="D2018" s="9" t="s">
        <v>47</v>
      </c>
      <c r="E2018" s="9" t="s">
        <v>47</v>
      </c>
      <c r="F2018" s="10">
        <v>45472</v>
      </c>
      <c r="G2018" s="9" t="s">
        <v>153</v>
      </c>
      <c r="H2018" s="9" t="s">
        <v>48</v>
      </c>
      <c r="N2018" s="9" t="s">
        <v>49</v>
      </c>
      <c r="Q2018" s="9">
        <f>IF(Auction_Sales[[#This Row],[Payment Date]]=0,"",-1+WEEKNUM(Auction_Sales[[#This Row],[Payment Date]]))</f>
        <v>27</v>
      </c>
      <c r="R2018" s="9">
        <v>240</v>
      </c>
      <c r="S2018" s="9" t="s">
        <v>153</v>
      </c>
      <c r="T2018" s="9" t="s">
        <v>48</v>
      </c>
      <c r="U2018" s="9">
        <v>-240</v>
      </c>
      <c r="V2018" s="13">
        <v>0.59</v>
      </c>
      <c r="W2018" s="13">
        <v>-141.6</v>
      </c>
      <c r="X2018" s="14">
        <v>12.918648648648663</v>
      </c>
      <c r="Y2018" s="13">
        <v>-128.68135135135134</v>
      </c>
      <c r="Z2018" s="10">
        <v>45483</v>
      </c>
      <c r="AA2018" s="9">
        <v>-240</v>
      </c>
      <c r="AC2018" s="9">
        <v>446088</v>
      </c>
      <c r="AD2018" s="14">
        <v>0</v>
      </c>
      <c r="AF2018" s="14">
        <v>-4.8</v>
      </c>
      <c r="AH2018" s="14">
        <v>-4.8</v>
      </c>
      <c r="AI2018" s="13">
        <v>-123.88135135135134</v>
      </c>
      <c r="AK2018" s="9">
        <v>-240</v>
      </c>
    </row>
    <row r="2019" spans="1:37">
      <c r="A2019" s="9">
        <v>27</v>
      </c>
      <c r="B2019" s="9">
        <v>2024</v>
      </c>
      <c r="C2019" s="9" t="s">
        <v>46</v>
      </c>
      <c r="D2019" s="9" t="s">
        <v>47</v>
      </c>
      <c r="E2019" s="9" t="s">
        <v>47</v>
      </c>
      <c r="F2019" s="10">
        <v>45474</v>
      </c>
      <c r="G2019" s="9" t="s">
        <v>154</v>
      </c>
      <c r="H2019" s="9" t="s">
        <v>48</v>
      </c>
      <c r="I2019" s="9">
        <v>1</v>
      </c>
      <c r="J2019" s="9">
        <v>12</v>
      </c>
      <c r="K2019" s="9">
        <v>480</v>
      </c>
      <c r="L2019" s="9">
        <v>0.47</v>
      </c>
      <c r="M2019" s="9">
        <v>225.6</v>
      </c>
      <c r="N2019" s="9" t="s">
        <v>49</v>
      </c>
      <c r="Q2019" s="9">
        <f>IF(Auction_Sales[[#This Row],[Payment Date]]=0,"",-1+WEEKNUM(Auction_Sales[[#This Row],[Payment Date]]))</f>
        <v>27</v>
      </c>
      <c r="R2019" s="9">
        <v>-40</v>
      </c>
      <c r="S2019" s="9" t="s">
        <v>154</v>
      </c>
      <c r="T2019" s="9" t="s">
        <v>48</v>
      </c>
      <c r="U2019" s="9">
        <v>520</v>
      </c>
      <c r="V2019" s="13">
        <v>0.5607692307692308</v>
      </c>
      <c r="W2019" s="13">
        <v>291.60000000000002</v>
      </c>
      <c r="X2019" s="14">
        <v>-24.434157303370785</v>
      </c>
      <c r="Y2019" s="13">
        <v>267.16584269662923</v>
      </c>
      <c r="Z2019" s="10">
        <v>45483</v>
      </c>
      <c r="AA2019" s="9">
        <v>40</v>
      </c>
      <c r="AC2019" s="9" t="s">
        <v>128</v>
      </c>
      <c r="AD2019" s="14">
        <v>49.702857142857141</v>
      </c>
      <c r="AF2019" s="14">
        <v>10.4</v>
      </c>
      <c r="AH2019" s="14">
        <v>60.10285714285714</v>
      </c>
      <c r="AI2019" s="13">
        <v>207.06298555377208</v>
      </c>
      <c r="AK2019" s="9">
        <v>520</v>
      </c>
    </row>
    <row r="2020" spans="1:37">
      <c r="A2020" s="9">
        <v>27</v>
      </c>
      <c r="B2020" s="9">
        <v>2024</v>
      </c>
      <c r="C2020" s="9" t="s">
        <v>46</v>
      </c>
      <c r="D2020" s="9" t="s">
        <v>47</v>
      </c>
      <c r="E2020" s="9" t="s">
        <v>47</v>
      </c>
      <c r="F2020" s="10">
        <v>45474</v>
      </c>
      <c r="G2020" s="9" t="s">
        <v>155</v>
      </c>
      <c r="H2020" s="9" t="s">
        <v>48</v>
      </c>
      <c r="I2020" s="9">
        <v>1</v>
      </c>
      <c r="J2020" s="9">
        <v>12</v>
      </c>
      <c r="K2020" s="9">
        <v>480</v>
      </c>
      <c r="L2020" s="9">
        <v>0.47</v>
      </c>
      <c r="M2020" s="9">
        <v>225.6</v>
      </c>
      <c r="N2020" s="9" t="s">
        <v>49</v>
      </c>
      <c r="Q2020" s="9">
        <f>IF(Auction_Sales[[#This Row],[Payment Date]]=0,"",-1+WEEKNUM(Auction_Sales[[#This Row],[Payment Date]]))</f>
        <v>27</v>
      </c>
      <c r="R2020" s="9">
        <v>480</v>
      </c>
      <c r="S2020" s="9" t="s">
        <v>155</v>
      </c>
      <c r="T2020" s="9" t="s">
        <v>48</v>
      </c>
      <c r="W2020" s="13">
        <v>0</v>
      </c>
      <c r="X2020" s="14">
        <v>0</v>
      </c>
      <c r="Y2020" s="13">
        <v>0</v>
      </c>
      <c r="Z2020" s="10">
        <v>45483</v>
      </c>
      <c r="AA2020" s="9">
        <v>-480</v>
      </c>
      <c r="AC2020" s="9" t="s">
        <v>128</v>
      </c>
      <c r="AD2020" s="14">
        <v>49.702857142857141</v>
      </c>
      <c r="AF2020" s="14">
        <v>0</v>
      </c>
      <c r="AH2020" s="14">
        <v>49.702857142857141</v>
      </c>
      <c r="AI2020" s="13">
        <v>-49.702857142857141</v>
      </c>
      <c r="AK2020" s="9">
        <v>0</v>
      </c>
    </row>
    <row r="2021" spans="1:37">
      <c r="A2021" s="9">
        <v>27</v>
      </c>
      <c r="B2021" s="9">
        <v>2024</v>
      </c>
      <c r="C2021" s="9" t="s">
        <v>46</v>
      </c>
      <c r="D2021" s="9" t="s">
        <v>47</v>
      </c>
      <c r="E2021" s="9" t="s">
        <v>47</v>
      </c>
      <c r="F2021" s="10">
        <v>45474</v>
      </c>
      <c r="G2021" s="9" t="s">
        <v>154</v>
      </c>
      <c r="H2021" s="9" t="s">
        <v>51</v>
      </c>
      <c r="I2021" s="9">
        <v>1</v>
      </c>
      <c r="J2021" s="9">
        <v>11.076923076923077</v>
      </c>
      <c r="K2021" s="9">
        <v>480</v>
      </c>
      <c r="L2021" s="9">
        <v>0.38</v>
      </c>
      <c r="M2021" s="9">
        <v>182.4</v>
      </c>
      <c r="N2021" s="9" t="s">
        <v>49</v>
      </c>
      <c r="Q2021" s="9">
        <f>IF(Auction_Sales[[#This Row],[Payment Date]]=0,"",-1+WEEKNUM(Auction_Sales[[#This Row],[Payment Date]]))</f>
        <v>27</v>
      </c>
      <c r="R2021" s="9">
        <v>0</v>
      </c>
      <c r="S2021" s="9" t="s">
        <v>154</v>
      </c>
      <c r="T2021" s="9" t="s">
        <v>51</v>
      </c>
      <c r="U2021" s="9">
        <v>480</v>
      </c>
      <c r="V2021" s="13">
        <v>0.47</v>
      </c>
      <c r="W2021" s="13">
        <v>225.6</v>
      </c>
      <c r="X2021" s="14">
        <v>-22.554606741573032</v>
      </c>
      <c r="Y2021" s="13">
        <v>203.04539325842697</v>
      </c>
      <c r="Z2021" s="10">
        <v>45483</v>
      </c>
      <c r="AA2021" s="9">
        <v>0</v>
      </c>
      <c r="AC2021" s="9" t="s">
        <v>128</v>
      </c>
      <c r="AD2021" s="14">
        <v>45.879560439560443</v>
      </c>
      <c r="AF2021" s="14">
        <v>9.6</v>
      </c>
      <c r="AH2021" s="14">
        <v>55.479560439560444</v>
      </c>
      <c r="AI2021" s="13">
        <v>147.56583281886651</v>
      </c>
      <c r="AK2021" s="9">
        <v>480</v>
      </c>
    </row>
    <row r="2022" spans="1:37">
      <c r="A2022" s="9">
        <v>27</v>
      </c>
      <c r="B2022" s="9">
        <v>2024</v>
      </c>
      <c r="C2022" s="9" t="s">
        <v>46</v>
      </c>
      <c r="D2022" s="9" t="s">
        <v>47</v>
      </c>
      <c r="E2022" s="9" t="s">
        <v>47</v>
      </c>
      <c r="F2022" s="10">
        <v>45474</v>
      </c>
      <c r="G2022" s="9" t="s">
        <v>154</v>
      </c>
      <c r="H2022" s="9" t="s">
        <v>48</v>
      </c>
      <c r="J2022" s="9">
        <v>0.92307692307692313</v>
      </c>
      <c r="K2022" s="9">
        <v>40</v>
      </c>
      <c r="L2022" s="9">
        <v>0.47</v>
      </c>
      <c r="M2022" s="9">
        <v>18.8</v>
      </c>
      <c r="N2022" s="9" t="s">
        <v>49</v>
      </c>
      <c r="Q2022" s="9">
        <f>IF(Auction_Sales[[#This Row],[Payment Date]]=0,"",-1+WEEKNUM(Auction_Sales[[#This Row],[Payment Date]]))</f>
        <v>27</v>
      </c>
      <c r="R2022" s="9">
        <v>40</v>
      </c>
      <c r="S2022" s="9" t="s">
        <v>154</v>
      </c>
      <c r="T2022" s="9" t="s">
        <v>48</v>
      </c>
      <c r="W2022" s="13">
        <v>0</v>
      </c>
      <c r="X2022" s="14">
        <v>0</v>
      </c>
      <c r="Y2022" s="13">
        <v>0</v>
      </c>
      <c r="Z2022" s="10">
        <v>45483</v>
      </c>
      <c r="AA2022" s="9">
        <v>-40</v>
      </c>
      <c r="AC2022" s="9" t="s">
        <v>128</v>
      </c>
      <c r="AD2022" s="14">
        <v>3.8232967032967036</v>
      </c>
      <c r="AF2022" s="14">
        <v>0</v>
      </c>
      <c r="AH2022" s="14">
        <v>3.8232967032967036</v>
      </c>
      <c r="AI2022" s="13">
        <v>-3.8232967032967036</v>
      </c>
      <c r="AK2022" s="9">
        <v>0</v>
      </c>
    </row>
    <row r="2023" spans="1:37">
      <c r="A2023" s="9">
        <v>27</v>
      </c>
      <c r="B2023" s="9">
        <v>2024</v>
      </c>
      <c r="C2023" s="9" t="s">
        <v>46</v>
      </c>
      <c r="D2023" s="9" t="s">
        <v>47</v>
      </c>
      <c r="E2023" s="9" t="s">
        <v>47</v>
      </c>
      <c r="F2023" s="10">
        <v>45474</v>
      </c>
      <c r="G2023" s="9" t="s">
        <v>155</v>
      </c>
      <c r="H2023" s="9" t="s">
        <v>52</v>
      </c>
      <c r="I2023" s="9">
        <v>1</v>
      </c>
      <c r="J2023" s="9">
        <v>8</v>
      </c>
      <c r="K2023" s="9">
        <v>240</v>
      </c>
      <c r="L2023" s="9">
        <v>0.52</v>
      </c>
      <c r="M2023" s="9">
        <v>124.8</v>
      </c>
      <c r="N2023" s="9" t="s">
        <v>49</v>
      </c>
      <c r="Q2023" s="9">
        <f>IF(Auction_Sales[[#This Row],[Payment Date]]=0,"",-1+WEEKNUM(Auction_Sales[[#This Row],[Payment Date]]))</f>
        <v>27</v>
      </c>
      <c r="R2023" s="9">
        <v>0</v>
      </c>
      <c r="S2023" s="9" t="s">
        <v>155</v>
      </c>
      <c r="T2023" s="9" t="s">
        <v>52</v>
      </c>
      <c r="U2023" s="9">
        <v>240</v>
      </c>
      <c r="V2023" s="13">
        <v>0.44500000000000001</v>
      </c>
      <c r="W2023" s="13">
        <v>106.8</v>
      </c>
      <c r="X2023" s="14">
        <v>-11.277303370786516</v>
      </c>
      <c r="Y2023" s="13">
        <v>95.522696629213485</v>
      </c>
      <c r="Z2023" s="10">
        <v>45483</v>
      </c>
      <c r="AA2023" s="9">
        <v>0</v>
      </c>
      <c r="AC2023" s="9" t="s">
        <v>128</v>
      </c>
      <c r="AD2023" s="14">
        <v>33.135238095238094</v>
      </c>
      <c r="AF2023" s="14">
        <v>4.8</v>
      </c>
      <c r="AH2023" s="14">
        <v>37.935238095238091</v>
      </c>
      <c r="AI2023" s="13">
        <v>57.587458533975393</v>
      </c>
      <c r="AK2023" s="9">
        <v>240</v>
      </c>
    </row>
    <row r="2024" spans="1:37">
      <c r="A2024" s="9">
        <v>27</v>
      </c>
      <c r="B2024" s="9">
        <v>2024</v>
      </c>
      <c r="C2024" s="9" t="s">
        <v>46</v>
      </c>
      <c r="D2024" s="9" t="s">
        <v>47</v>
      </c>
      <c r="E2024" s="9" t="s">
        <v>47</v>
      </c>
      <c r="F2024" s="10">
        <v>45474</v>
      </c>
      <c r="G2024" s="9" t="s">
        <v>155</v>
      </c>
      <c r="H2024" s="9" t="s">
        <v>54</v>
      </c>
      <c r="J2024" s="9">
        <v>4</v>
      </c>
      <c r="K2024" s="9">
        <v>120</v>
      </c>
      <c r="L2024" s="9">
        <v>0.56999999999999995</v>
      </c>
      <c r="M2024" s="9">
        <v>68.400000000000006</v>
      </c>
      <c r="N2024" s="9" t="s">
        <v>49</v>
      </c>
      <c r="Q2024" s="9">
        <f>IF(Auction_Sales[[#This Row],[Payment Date]]=0,"",-1+WEEKNUM(Auction_Sales[[#This Row],[Payment Date]]))</f>
        <v>27</v>
      </c>
      <c r="R2024" s="9">
        <v>0</v>
      </c>
      <c r="S2024" s="9" t="s">
        <v>155</v>
      </c>
      <c r="T2024" s="9" t="s">
        <v>54</v>
      </c>
      <c r="U2024" s="9">
        <v>120</v>
      </c>
      <c r="V2024" s="13">
        <v>0.4</v>
      </c>
      <c r="W2024" s="13">
        <v>48</v>
      </c>
      <c r="X2024" s="14">
        <v>-5.638651685393258</v>
      </c>
      <c r="Y2024" s="13">
        <v>42.361348314606744</v>
      </c>
      <c r="Z2024" s="10">
        <v>45483</v>
      </c>
      <c r="AA2024" s="9">
        <v>0</v>
      </c>
      <c r="AC2024" s="9" t="s">
        <v>128</v>
      </c>
      <c r="AD2024" s="14">
        <v>16.567619047619047</v>
      </c>
      <c r="AF2024" s="14">
        <v>2.4</v>
      </c>
      <c r="AH2024" s="14">
        <v>18.967619047619046</v>
      </c>
      <c r="AI2024" s="13">
        <v>23.393729266987698</v>
      </c>
      <c r="AK2024" s="9">
        <v>120</v>
      </c>
    </row>
    <row r="2025" spans="1:37">
      <c r="A2025" s="9">
        <v>27</v>
      </c>
      <c r="B2025" s="9">
        <v>2024</v>
      </c>
      <c r="C2025" s="9" t="s">
        <v>46</v>
      </c>
      <c r="D2025" s="9" t="s">
        <v>47</v>
      </c>
      <c r="E2025" s="9" t="s">
        <v>47</v>
      </c>
      <c r="F2025" s="10">
        <v>45474</v>
      </c>
      <c r="G2025" s="9" t="s">
        <v>155</v>
      </c>
      <c r="H2025" s="9" t="s">
        <v>51</v>
      </c>
      <c r="I2025" s="9">
        <v>1</v>
      </c>
      <c r="J2025" s="9">
        <v>6.666666666666667</v>
      </c>
      <c r="K2025" s="9">
        <v>200</v>
      </c>
      <c r="L2025" s="9">
        <v>0.38</v>
      </c>
      <c r="M2025" s="9">
        <v>76</v>
      </c>
      <c r="N2025" s="9" t="s">
        <v>49</v>
      </c>
      <c r="Q2025" s="9">
        <f>IF(Auction_Sales[[#This Row],[Payment Date]]=0,"",-1+WEEKNUM(Auction_Sales[[#This Row],[Payment Date]]))</f>
        <v>27</v>
      </c>
      <c r="R2025" s="9">
        <v>0</v>
      </c>
      <c r="S2025" s="9" t="s">
        <v>155</v>
      </c>
      <c r="T2025" s="9" t="s">
        <v>51</v>
      </c>
      <c r="U2025" s="9">
        <v>200</v>
      </c>
      <c r="V2025" s="13">
        <v>0.65400000000000003</v>
      </c>
      <c r="W2025" s="13">
        <v>130.80000000000001</v>
      </c>
      <c r="X2025" s="14">
        <v>-9.3977528089887628</v>
      </c>
      <c r="Y2025" s="13">
        <v>121.40224719101124</v>
      </c>
      <c r="Z2025" s="10">
        <v>45483</v>
      </c>
      <c r="AA2025" s="9">
        <v>0</v>
      </c>
      <c r="AC2025" s="9" t="s">
        <v>128</v>
      </c>
      <c r="AD2025" s="14">
        <v>27.612698412698418</v>
      </c>
      <c r="AF2025" s="14">
        <v>4</v>
      </c>
      <c r="AH2025" s="14">
        <v>31.612698412698418</v>
      </c>
      <c r="AI2025" s="13">
        <v>89.78954877831282</v>
      </c>
      <c r="AK2025" s="9">
        <v>200</v>
      </c>
    </row>
    <row r="2026" spans="1:37">
      <c r="A2026" s="9">
        <v>27</v>
      </c>
      <c r="B2026" s="9">
        <v>2024</v>
      </c>
      <c r="C2026" s="9" t="s">
        <v>46</v>
      </c>
      <c r="D2026" s="9" t="s">
        <v>47</v>
      </c>
      <c r="E2026" s="9" t="s">
        <v>47</v>
      </c>
      <c r="F2026" s="10">
        <v>45474</v>
      </c>
      <c r="G2026" s="9" t="s">
        <v>155</v>
      </c>
      <c r="H2026" s="9" t="s">
        <v>48</v>
      </c>
      <c r="J2026" s="9">
        <v>5.333333333333333</v>
      </c>
      <c r="K2026" s="9">
        <v>160</v>
      </c>
      <c r="L2026" s="9">
        <v>0.47</v>
      </c>
      <c r="M2026" s="9">
        <v>75.2</v>
      </c>
      <c r="N2026" s="9" t="s">
        <v>49</v>
      </c>
      <c r="Q2026" s="9">
        <f>IF(Auction_Sales[[#This Row],[Payment Date]]=0,"",-1+WEEKNUM(Auction_Sales[[#This Row],[Payment Date]]))</f>
        <v>27</v>
      </c>
      <c r="R2026" s="9">
        <v>-480</v>
      </c>
      <c r="S2026" s="9" t="s">
        <v>155</v>
      </c>
      <c r="T2026" s="9" t="s">
        <v>48</v>
      </c>
      <c r="U2026" s="9">
        <v>640</v>
      </c>
      <c r="V2026" s="13">
        <v>0.63</v>
      </c>
      <c r="W2026" s="13">
        <v>403.2</v>
      </c>
      <c r="X2026" s="14">
        <v>-30.072808988764042</v>
      </c>
      <c r="Y2026" s="13">
        <v>373.12719101123594</v>
      </c>
      <c r="Z2026" s="10">
        <v>45483</v>
      </c>
      <c r="AA2026" s="9">
        <v>480</v>
      </c>
      <c r="AC2026" s="9" t="s">
        <v>128</v>
      </c>
      <c r="AD2026" s="14">
        <v>22.090158730158731</v>
      </c>
      <c r="AF2026" s="14">
        <v>12.8</v>
      </c>
      <c r="AH2026" s="14">
        <v>34.890158730158731</v>
      </c>
      <c r="AI2026" s="13">
        <v>338.23703228107718</v>
      </c>
      <c r="AK2026" s="9">
        <v>640</v>
      </c>
    </row>
    <row r="2027" spans="1:37">
      <c r="A2027" s="9">
        <v>27</v>
      </c>
      <c r="B2027" s="9">
        <v>2024</v>
      </c>
      <c r="C2027" s="9" t="s">
        <v>46</v>
      </c>
      <c r="D2027" s="9" t="s">
        <v>47</v>
      </c>
      <c r="E2027" s="9" t="s">
        <v>47</v>
      </c>
      <c r="F2027" s="10">
        <v>45474</v>
      </c>
      <c r="G2027" s="9" t="s">
        <v>153</v>
      </c>
      <c r="H2027" s="9" t="s">
        <v>51</v>
      </c>
      <c r="I2027" s="9">
        <v>1</v>
      </c>
      <c r="J2027" s="9">
        <v>1.1428571428571428</v>
      </c>
      <c r="K2027" s="9">
        <v>80</v>
      </c>
      <c r="L2027" s="9">
        <v>0.14000000000000001</v>
      </c>
      <c r="M2027" s="9">
        <v>11.2</v>
      </c>
      <c r="N2027" s="9" t="s">
        <v>49</v>
      </c>
      <c r="Q2027" s="9">
        <f>IF(Auction_Sales[[#This Row],[Payment Date]]=0,"",-1+WEEKNUM(Auction_Sales[[#This Row],[Payment Date]]))</f>
        <v>27</v>
      </c>
      <c r="R2027" s="9">
        <v>0</v>
      </c>
      <c r="S2027" s="9" t="s">
        <v>153</v>
      </c>
      <c r="T2027" s="9" t="s">
        <v>51</v>
      </c>
      <c r="U2027" s="9">
        <v>80</v>
      </c>
      <c r="V2027" s="13">
        <v>0.59000000000000008</v>
      </c>
      <c r="W2027" s="13">
        <v>47.2</v>
      </c>
      <c r="X2027" s="14">
        <v>-3.7591011235955052</v>
      </c>
      <c r="Y2027" s="13">
        <v>43.440898876404496</v>
      </c>
      <c r="Z2027" s="10">
        <v>45483</v>
      </c>
      <c r="AA2027" s="9">
        <v>0</v>
      </c>
      <c r="AC2027" s="9" t="s">
        <v>128</v>
      </c>
      <c r="AD2027" s="14">
        <v>4.733605442176871</v>
      </c>
      <c r="AF2027" s="14">
        <v>1.6</v>
      </c>
      <c r="AH2027" s="14">
        <v>6.3336054421768715</v>
      </c>
      <c r="AI2027" s="13">
        <v>37.107293434227628</v>
      </c>
      <c r="AK2027" s="9">
        <v>80</v>
      </c>
    </row>
    <row r="2028" spans="1:37">
      <c r="A2028" s="9">
        <v>27</v>
      </c>
      <c r="B2028" s="9">
        <v>2024</v>
      </c>
      <c r="C2028" s="9" t="s">
        <v>46</v>
      </c>
      <c r="D2028" s="9" t="s">
        <v>47</v>
      </c>
      <c r="E2028" s="9" t="s">
        <v>47</v>
      </c>
      <c r="F2028" s="10">
        <v>45474</v>
      </c>
      <c r="G2028" s="9" t="s">
        <v>153</v>
      </c>
      <c r="H2028" s="9" t="s">
        <v>48</v>
      </c>
      <c r="J2028" s="9">
        <v>6.8571428571428568</v>
      </c>
      <c r="K2028" s="9">
        <v>480</v>
      </c>
      <c r="L2028" s="9">
        <v>0.24</v>
      </c>
      <c r="M2028" s="9">
        <v>115.2</v>
      </c>
      <c r="N2028" s="9" t="s">
        <v>49</v>
      </c>
      <c r="Q2028" s="9">
        <f>IF(Auction_Sales[[#This Row],[Payment Date]]=0,"",-1+WEEKNUM(Auction_Sales[[#This Row],[Payment Date]]))</f>
        <v>27</v>
      </c>
      <c r="R2028" s="9">
        <v>0</v>
      </c>
      <c r="S2028" s="9" t="s">
        <v>153</v>
      </c>
      <c r="T2028" s="9" t="s">
        <v>48</v>
      </c>
      <c r="U2028" s="9">
        <v>480</v>
      </c>
      <c r="V2028" s="13">
        <v>0.57000000000000006</v>
      </c>
      <c r="W2028" s="13">
        <v>273.60000000000002</v>
      </c>
      <c r="X2028" s="14">
        <v>-22.554606741573032</v>
      </c>
      <c r="Y2028" s="13">
        <v>251.045393258427</v>
      </c>
      <c r="Z2028" s="10">
        <v>45483</v>
      </c>
      <c r="AA2028" s="9">
        <v>0</v>
      </c>
      <c r="AC2028" s="9" t="s">
        <v>128</v>
      </c>
      <c r="AD2028" s="14">
        <v>28.401632653061224</v>
      </c>
      <c r="AF2028" s="14">
        <v>9.6</v>
      </c>
      <c r="AH2028" s="14">
        <v>38.001632653061222</v>
      </c>
      <c r="AI2028" s="13">
        <v>213.04376060536578</v>
      </c>
      <c r="AK2028" s="9">
        <v>480</v>
      </c>
    </row>
    <row r="2029" spans="1:37">
      <c r="A2029" s="9">
        <v>27</v>
      </c>
      <c r="B2029" s="9">
        <v>2024</v>
      </c>
      <c r="C2029" s="9" t="s">
        <v>46</v>
      </c>
      <c r="D2029" s="9" t="s">
        <v>47</v>
      </c>
      <c r="E2029" s="9" t="s">
        <v>47</v>
      </c>
      <c r="F2029" s="10">
        <v>45474</v>
      </c>
      <c r="G2029" s="9" t="s">
        <v>153</v>
      </c>
      <c r="H2029" s="9" t="s">
        <v>52</v>
      </c>
      <c r="J2029" s="9">
        <v>3.4285714285714284</v>
      </c>
      <c r="K2029" s="9">
        <v>240</v>
      </c>
      <c r="L2029" s="9">
        <v>0.28000000000000003</v>
      </c>
      <c r="M2029" s="9">
        <v>67.2</v>
      </c>
      <c r="N2029" s="9" t="s">
        <v>49</v>
      </c>
      <c r="Q2029" s="9">
        <f>IF(Auction_Sales[[#This Row],[Payment Date]]=0,"",-1+WEEKNUM(Auction_Sales[[#This Row],[Payment Date]]))</f>
        <v>27</v>
      </c>
      <c r="R2029" s="9">
        <v>0</v>
      </c>
      <c r="S2029" s="9" t="s">
        <v>153</v>
      </c>
      <c r="T2029" s="9" t="s">
        <v>52</v>
      </c>
      <c r="U2029" s="9">
        <v>240</v>
      </c>
      <c r="V2029" s="13">
        <v>0.6</v>
      </c>
      <c r="W2029" s="13">
        <v>144</v>
      </c>
      <c r="X2029" s="14">
        <v>-11.277303370786516</v>
      </c>
      <c r="Y2029" s="13">
        <v>132.72269662921349</v>
      </c>
      <c r="Z2029" s="10">
        <v>45483</v>
      </c>
      <c r="AA2029" s="9">
        <v>0</v>
      </c>
      <c r="AC2029" s="9" t="s">
        <v>128</v>
      </c>
      <c r="AD2029" s="14">
        <v>14.200816326530612</v>
      </c>
      <c r="AF2029" s="14">
        <v>4.8</v>
      </c>
      <c r="AH2029" s="14">
        <v>19.000816326530611</v>
      </c>
      <c r="AI2029" s="13">
        <v>113.72188030268288</v>
      </c>
      <c r="AK2029" s="9">
        <v>240</v>
      </c>
    </row>
    <row r="2030" spans="1:37">
      <c r="A2030" s="9">
        <v>27</v>
      </c>
      <c r="B2030" s="9">
        <v>2024</v>
      </c>
      <c r="C2030" s="9" t="s">
        <v>46</v>
      </c>
      <c r="D2030" s="9" t="s">
        <v>47</v>
      </c>
      <c r="E2030" s="9" t="s">
        <v>47</v>
      </c>
      <c r="F2030" s="10">
        <v>45474</v>
      </c>
      <c r="G2030" s="9" t="s">
        <v>153</v>
      </c>
      <c r="H2030" s="9" t="s">
        <v>54</v>
      </c>
      <c r="J2030" s="9">
        <v>0.5714285714285714</v>
      </c>
      <c r="K2030" s="9">
        <v>40</v>
      </c>
      <c r="L2030" s="9">
        <v>0.33</v>
      </c>
      <c r="M2030" s="9">
        <v>13.2</v>
      </c>
      <c r="N2030" s="9" t="s">
        <v>49</v>
      </c>
      <c r="Q2030" s="9">
        <f>IF(Auction_Sales[[#This Row],[Payment Date]]=0,"",-1+WEEKNUM(Auction_Sales[[#This Row],[Payment Date]]))</f>
        <v>27</v>
      </c>
      <c r="R2030" s="9">
        <v>0</v>
      </c>
      <c r="S2030" s="9" t="s">
        <v>153</v>
      </c>
      <c r="T2030" s="9" t="s">
        <v>54</v>
      </c>
      <c r="U2030" s="9">
        <v>40</v>
      </c>
      <c r="V2030" s="13">
        <v>0.67999999999999994</v>
      </c>
      <c r="W2030" s="13">
        <v>27.199999999999996</v>
      </c>
      <c r="X2030" s="14">
        <v>-1.8795505617977526</v>
      </c>
      <c r="Y2030" s="13">
        <v>25.320449438202242</v>
      </c>
      <c r="Z2030" s="10">
        <v>45483</v>
      </c>
      <c r="AA2030" s="9">
        <v>0</v>
      </c>
      <c r="AC2030" s="9" t="s">
        <v>128</v>
      </c>
      <c r="AD2030" s="14">
        <v>2.3668027210884355</v>
      </c>
      <c r="AF2030" s="14">
        <v>0.8</v>
      </c>
      <c r="AH2030" s="14">
        <v>3.1668027210884357</v>
      </c>
      <c r="AI2030" s="13">
        <v>22.153646717113809</v>
      </c>
      <c r="AK2030" s="9">
        <v>40</v>
      </c>
    </row>
    <row r="2031" spans="1:37">
      <c r="A2031" s="9">
        <v>27</v>
      </c>
      <c r="B2031" s="9">
        <v>2024</v>
      </c>
      <c r="C2031" s="9" t="s">
        <v>46</v>
      </c>
      <c r="D2031" s="9" t="s">
        <v>47</v>
      </c>
      <c r="E2031" s="9" t="s">
        <v>47</v>
      </c>
      <c r="F2031" s="10">
        <v>45474</v>
      </c>
      <c r="G2031" s="9" t="s">
        <v>156</v>
      </c>
      <c r="H2031" s="9" t="s">
        <v>51</v>
      </c>
      <c r="I2031" s="9">
        <v>1</v>
      </c>
      <c r="J2031" s="9">
        <v>4.6153846153846159</v>
      </c>
      <c r="K2031" s="9">
        <v>200</v>
      </c>
      <c r="L2031" s="9">
        <v>0.42</v>
      </c>
      <c r="M2031" s="9">
        <v>84</v>
      </c>
      <c r="N2031" s="9" t="s">
        <v>49</v>
      </c>
      <c r="Q2031" s="9">
        <f>IF(Auction_Sales[[#This Row],[Payment Date]]=0,"",-1+WEEKNUM(Auction_Sales[[#This Row],[Payment Date]]))</f>
        <v>27</v>
      </c>
      <c r="R2031" s="9">
        <v>0</v>
      </c>
      <c r="S2031" s="9" t="s">
        <v>156</v>
      </c>
      <c r="T2031" s="9" t="s">
        <v>51</v>
      </c>
      <c r="U2031" s="9">
        <v>200</v>
      </c>
      <c r="V2031" s="13">
        <v>0.26</v>
      </c>
      <c r="W2031" s="13">
        <v>52</v>
      </c>
      <c r="X2031" s="14">
        <v>-9.3977528089887628</v>
      </c>
      <c r="Y2031" s="13">
        <v>42.602247191011237</v>
      </c>
      <c r="Z2031" s="10">
        <v>45483</v>
      </c>
      <c r="AA2031" s="9">
        <v>0</v>
      </c>
      <c r="AC2031" s="9" t="s">
        <v>128</v>
      </c>
      <c r="AD2031" s="14">
        <v>19.11648351648352</v>
      </c>
      <c r="AF2031" s="14">
        <v>4</v>
      </c>
      <c r="AH2031" s="14">
        <v>23.11648351648352</v>
      </c>
      <c r="AI2031" s="13">
        <v>19.485763674527718</v>
      </c>
      <c r="AK2031" s="9">
        <v>200</v>
      </c>
    </row>
    <row r="2032" spans="1:37">
      <c r="A2032" s="9">
        <v>27</v>
      </c>
      <c r="B2032" s="9">
        <v>2024</v>
      </c>
      <c r="C2032" s="9" t="s">
        <v>46</v>
      </c>
      <c r="D2032" s="9" t="s">
        <v>47</v>
      </c>
      <c r="E2032" s="9" t="s">
        <v>47</v>
      </c>
      <c r="F2032" s="10">
        <v>45474</v>
      </c>
      <c r="G2032" s="9" t="s">
        <v>156</v>
      </c>
      <c r="H2032" s="9" t="s">
        <v>48</v>
      </c>
      <c r="J2032" s="9">
        <v>4.6153846153846159</v>
      </c>
      <c r="K2032" s="9">
        <v>200</v>
      </c>
      <c r="L2032" s="9">
        <v>0.52</v>
      </c>
      <c r="M2032" s="9">
        <v>104</v>
      </c>
      <c r="N2032" s="9" t="s">
        <v>49</v>
      </c>
      <c r="Q2032" s="9">
        <f>IF(Auction_Sales[[#This Row],[Payment Date]]=0,"",-1+WEEKNUM(Auction_Sales[[#This Row],[Payment Date]]))</f>
        <v>27</v>
      </c>
      <c r="R2032" s="9">
        <v>0</v>
      </c>
      <c r="S2032" s="9" t="s">
        <v>156</v>
      </c>
      <c r="T2032" s="9" t="s">
        <v>48</v>
      </c>
      <c r="U2032" s="9">
        <v>200</v>
      </c>
      <c r="V2032" s="13">
        <v>0.40799999999999997</v>
      </c>
      <c r="W2032" s="13">
        <v>81.599999999999994</v>
      </c>
      <c r="X2032" s="14">
        <v>-9.3977528089887628</v>
      </c>
      <c r="Y2032" s="13">
        <v>72.202247191011224</v>
      </c>
      <c r="Z2032" s="10">
        <v>45483</v>
      </c>
      <c r="AA2032" s="9">
        <v>0</v>
      </c>
      <c r="AC2032" s="9" t="s">
        <v>128</v>
      </c>
      <c r="AD2032" s="14">
        <v>19.11648351648352</v>
      </c>
      <c r="AF2032" s="14">
        <v>4</v>
      </c>
      <c r="AH2032" s="14">
        <v>23.11648351648352</v>
      </c>
      <c r="AI2032" s="13">
        <v>49.085763674527705</v>
      </c>
      <c r="AK2032" s="9">
        <v>200</v>
      </c>
    </row>
    <row r="2033" spans="1:37">
      <c r="A2033" s="9">
        <v>27</v>
      </c>
      <c r="B2033" s="9">
        <v>2024</v>
      </c>
      <c r="C2033" s="9" t="s">
        <v>46</v>
      </c>
      <c r="D2033" s="9" t="s">
        <v>47</v>
      </c>
      <c r="E2033" s="9" t="s">
        <v>47</v>
      </c>
      <c r="F2033" s="10">
        <v>45474</v>
      </c>
      <c r="G2033" s="9" t="s">
        <v>156</v>
      </c>
      <c r="H2033" s="9" t="s">
        <v>52</v>
      </c>
      <c r="J2033" s="9">
        <v>1.8461538461538463</v>
      </c>
      <c r="K2033" s="9">
        <v>80</v>
      </c>
      <c r="L2033" s="9">
        <v>0.61</v>
      </c>
      <c r="M2033" s="9">
        <v>48.8</v>
      </c>
      <c r="N2033" s="9" t="s">
        <v>49</v>
      </c>
      <c r="Q2033" s="9">
        <f>IF(Auction_Sales[[#This Row],[Payment Date]]=0,"",-1+WEEKNUM(Auction_Sales[[#This Row],[Payment Date]]))</f>
        <v>27</v>
      </c>
      <c r="R2033" s="9">
        <v>0</v>
      </c>
      <c r="S2033" s="9" t="s">
        <v>156</v>
      </c>
      <c r="T2033" s="9" t="s">
        <v>52</v>
      </c>
      <c r="U2033" s="9">
        <v>80</v>
      </c>
      <c r="V2033" s="13">
        <v>0.47000000000000003</v>
      </c>
      <c r="W2033" s="13">
        <v>37.6</v>
      </c>
      <c r="X2033" s="14">
        <v>-3.7591011235955052</v>
      </c>
      <c r="Y2033" s="13">
        <v>33.840898876404495</v>
      </c>
      <c r="Z2033" s="10">
        <v>45483</v>
      </c>
      <c r="AA2033" s="9">
        <v>0</v>
      </c>
      <c r="AC2033" s="9" t="s">
        <v>128</v>
      </c>
      <c r="AD2033" s="14">
        <v>7.6465934065934071</v>
      </c>
      <c r="AF2033" s="14">
        <v>1.6</v>
      </c>
      <c r="AH2033" s="14">
        <v>9.2465934065934068</v>
      </c>
      <c r="AI2033" s="13">
        <v>24.59430546981109</v>
      </c>
      <c r="AK2033" s="9">
        <v>80</v>
      </c>
    </row>
    <row r="2034" spans="1:37">
      <c r="A2034" s="9">
        <v>27</v>
      </c>
      <c r="B2034" s="9">
        <v>2024</v>
      </c>
      <c r="C2034" s="9" t="s">
        <v>46</v>
      </c>
      <c r="D2034" s="9" t="s">
        <v>47</v>
      </c>
      <c r="E2034" s="9" t="s">
        <v>47</v>
      </c>
      <c r="F2034" s="10">
        <v>45474</v>
      </c>
      <c r="G2034" s="9" t="s">
        <v>156</v>
      </c>
      <c r="H2034" s="9" t="s">
        <v>54</v>
      </c>
      <c r="J2034" s="9">
        <v>0.92307692307692313</v>
      </c>
      <c r="K2034" s="9">
        <v>40</v>
      </c>
      <c r="L2034" s="9">
        <v>0.66</v>
      </c>
      <c r="M2034" s="9">
        <v>26.4</v>
      </c>
      <c r="N2034" s="9" t="s">
        <v>49</v>
      </c>
      <c r="Q2034" s="9">
        <f>IF(Auction_Sales[[#This Row],[Payment Date]]=0,"",-1+WEEKNUM(Auction_Sales[[#This Row],[Payment Date]]))</f>
        <v>27</v>
      </c>
      <c r="R2034" s="9">
        <v>0</v>
      </c>
      <c r="S2034" s="9" t="s">
        <v>156</v>
      </c>
      <c r="T2034" s="9" t="s">
        <v>54</v>
      </c>
      <c r="U2034" s="9">
        <v>40</v>
      </c>
      <c r="V2034" s="13">
        <v>0.52</v>
      </c>
      <c r="W2034" s="13">
        <v>20.8</v>
      </c>
      <c r="X2034" s="14">
        <v>-1.8795505617977526</v>
      </c>
      <c r="Y2034" s="13">
        <v>18.920449438202247</v>
      </c>
      <c r="Z2034" s="10">
        <v>45483</v>
      </c>
      <c r="AA2034" s="9">
        <v>0</v>
      </c>
      <c r="AC2034" s="9" t="s">
        <v>128</v>
      </c>
      <c r="AD2034" s="14">
        <v>3.8232967032967036</v>
      </c>
      <c r="AF2034" s="14">
        <v>0.8</v>
      </c>
      <c r="AH2034" s="14">
        <v>4.6232967032967034</v>
      </c>
      <c r="AI2034" s="13">
        <v>14.297152734905545</v>
      </c>
      <c r="AK2034" s="9">
        <v>40</v>
      </c>
    </row>
    <row r="2035" spans="1:37">
      <c r="A2035" s="9">
        <v>27</v>
      </c>
      <c r="B2035" s="9">
        <v>2024</v>
      </c>
      <c r="C2035" s="9" t="s">
        <v>46</v>
      </c>
      <c r="D2035" s="9" t="s">
        <v>47</v>
      </c>
      <c r="E2035" s="9" t="s">
        <v>47</v>
      </c>
      <c r="F2035" s="10">
        <v>45474</v>
      </c>
      <c r="G2035" s="9" t="s">
        <v>153</v>
      </c>
      <c r="H2035" s="9" t="s">
        <v>51</v>
      </c>
      <c r="N2035" s="9" t="s">
        <v>49</v>
      </c>
      <c r="Q2035" s="9">
        <f>IF(Auction_Sales[[#This Row],[Payment Date]]=0,"",-1+WEEKNUM(Auction_Sales[[#This Row],[Payment Date]]))</f>
        <v>27</v>
      </c>
      <c r="R2035" s="9">
        <v>0</v>
      </c>
      <c r="S2035" s="9" t="s">
        <v>153</v>
      </c>
      <c r="T2035" s="9" t="s">
        <v>51</v>
      </c>
      <c r="W2035" s="13">
        <v>-47.2</v>
      </c>
      <c r="X2035" s="14">
        <v>-0.52999999999999403</v>
      </c>
      <c r="Y2035" s="13">
        <v>-47.73</v>
      </c>
      <c r="Z2035" s="10">
        <v>45483</v>
      </c>
      <c r="AA2035" s="9">
        <v>0</v>
      </c>
      <c r="AC2035" s="9" t="s">
        <v>128</v>
      </c>
      <c r="AD2035" s="14">
        <v>0</v>
      </c>
      <c r="AF2035" s="14">
        <v>0</v>
      </c>
      <c r="AH2035" s="14">
        <v>0</v>
      </c>
      <c r="AI2035" s="13">
        <v>-47.73</v>
      </c>
      <c r="AK2035" s="9">
        <v>0</v>
      </c>
    </row>
    <row r="2036" spans="1:37">
      <c r="A2036" s="9">
        <v>27</v>
      </c>
      <c r="B2036" s="9">
        <v>2024</v>
      </c>
      <c r="C2036" s="9" t="s">
        <v>46</v>
      </c>
      <c r="D2036" s="9" t="s">
        <v>47</v>
      </c>
      <c r="E2036" s="9" t="s">
        <v>47</v>
      </c>
      <c r="F2036" s="10">
        <v>45477</v>
      </c>
      <c r="G2036" s="9" t="s">
        <v>154</v>
      </c>
      <c r="H2036" s="9" t="s">
        <v>51</v>
      </c>
      <c r="I2036" s="9">
        <v>1</v>
      </c>
      <c r="J2036" s="9">
        <v>12</v>
      </c>
      <c r="K2036" s="9">
        <v>520</v>
      </c>
      <c r="L2036" s="9">
        <v>0.38</v>
      </c>
      <c r="M2036" s="9">
        <v>197.6</v>
      </c>
      <c r="N2036" s="9" t="s">
        <v>49</v>
      </c>
      <c r="Q2036" s="9">
        <f>IF(Auction_Sales[[#This Row],[Payment Date]]=0,"",-1+WEEKNUM(Auction_Sales[[#This Row],[Payment Date]]))</f>
        <v>28</v>
      </c>
      <c r="R2036" s="9">
        <v>520</v>
      </c>
      <c r="S2036" s="9" t="s">
        <v>154</v>
      </c>
      <c r="T2036" s="9" t="s">
        <v>51</v>
      </c>
      <c r="W2036" s="13">
        <v>0</v>
      </c>
      <c r="X2036" s="14">
        <v>0</v>
      </c>
      <c r="Y2036" s="13">
        <v>0</v>
      </c>
      <c r="Z2036" s="10">
        <v>45490</v>
      </c>
      <c r="AA2036" s="9">
        <v>-520</v>
      </c>
      <c r="AC2036" s="9">
        <v>446854</v>
      </c>
      <c r="AD2036" s="14">
        <v>41.668888888888887</v>
      </c>
      <c r="AF2036" s="14">
        <v>0</v>
      </c>
      <c r="AH2036" s="14">
        <v>41.668888888888887</v>
      </c>
      <c r="AI2036" s="13">
        <v>-41.668888888888887</v>
      </c>
      <c r="AK2036" s="9">
        <v>0</v>
      </c>
    </row>
    <row r="2037" spans="1:37">
      <c r="A2037" s="9">
        <v>27</v>
      </c>
      <c r="B2037" s="9">
        <v>2024</v>
      </c>
      <c r="C2037" s="9" t="s">
        <v>46</v>
      </c>
      <c r="D2037" s="9" t="s">
        <v>47</v>
      </c>
      <c r="E2037" s="9" t="s">
        <v>47</v>
      </c>
      <c r="F2037" s="10">
        <v>45477</v>
      </c>
      <c r="G2037" s="9" t="s">
        <v>155</v>
      </c>
      <c r="H2037" s="9" t="s">
        <v>51</v>
      </c>
      <c r="I2037" s="9">
        <v>2</v>
      </c>
      <c r="J2037" s="9">
        <v>24</v>
      </c>
      <c r="K2037" s="9">
        <v>1520</v>
      </c>
      <c r="L2037" s="9">
        <v>0.38</v>
      </c>
      <c r="M2037" s="9">
        <v>577.6</v>
      </c>
      <c r="N2037" s="9" t="s">
        <v>49</v>
      </c>
      <c r="Q2037" s="9">
        <f>IF(Auction_Sales[[#This Row],[Payment Date]]=0,"",-1+WEEKNUM(Auction_Sales[[#This Row],[Payment Date]]))</f>
        <v>28</v>
      </c>
      <c r="R2037" s="9">
        <v>1520</v>
      </c>
      <c r="S2037" s="9" t="s">
        <v>155</v>
      </c>
      <c r="T2037" s="9" t="s">
        <v>51</v>
      </c>
      <c r="W2037" s="13">
        <v>0</v>
      </c>
      <c r="X2037" s="14">
        <v>0</v>
      </c>
      <c r="Y2037" s="13">
        <v>0</v>
      </c>
      <c r="Z2037" s="10">
        <v>45490</v>
      </c>
      <c r="AA2037" s="9">
        <v>-1520</v>
      </c>
      <c r="AC2037" s="9">
        <v>446854</v>
      </c>
      <c r="AD2037" s="14">
        <v>83.337777777777774</v>
      </c>
      <c r="AF2037" s="14">
        <v>0</v>
      </c>
      <c r="AH2037" s="14">
        <v>83.337777777777774</v>
      </c>
      <c r="AI2037" s="13">
        <v>-83.337777777777774</v>
      </c>
      <c r="AK2037" s="9">
        <v>0</v>
      </c>
    </row>
    <row r="2038" spans="1:37">
      <c r="A2038" s="9">
        <v>27</v>
      </c>
      <c r="B2038" s="9">
        <v>2024</v>
      </c>
      <c r="C2038" s="9" t="s">
        <v>46</v>
      </c>
      <c r="D2038" s="9" t="s">
        <v>47</v>
      </c>
      <c r="E2038" s="9" t="s">
        <v>47</v>
      </c>
      <c r="F2038" s="10">
        <v>45477</v>
      </c>
      <c r="G2038" s="9" t="s">
        <v>153</v>
      </c>
      <c r="H2038" s="9" t="s">
        <v>51</v>
      </c>
      <c r="I2038" s="9">
        <v>1</v>
      </c>
      <c r="J2038" s="9">
        <v>12</v>
      </c>
      <c r="K2038" s="9">
        <v>680</v>
      </c>
      <c r="L2038" s="9">
        <v>0.24</v>
      </c>
      <c r="M2038" s="9">
        <v>163.19999999999999</v>
      </c>
      <c r="N2038" s="9" t="s">
        <v>49</v>
      </c>
      <c r="Q2038" s="9">
        <f>IF(Auction_Sales[[#This Row],[Payment Date]]=0,"",-1+WEEKNUM(Auction_Sales[[#This Row],[Payment Date]]))</f>
        <v>28</v>
      </c>
      <c r="R2038" s="9">
        <v>0</v>
      </c>
      <c r="S2038" s="9" t="s">
        <v>153</v>
      </c>
      <c r="T2038" s="9" t="s">
        <v>51</v>
      </c>
      <c r="U2038" s="9">
        <v>680</v>
      </c>
      <c r="V2038" s="13">
        <v>0.21000000000000002</v>
      </c>
      <c r="W2038" s="13">
        <v>142.80000000000001</v>
      </c>
      <c r="X2038" s="14">
        <v>-27.281599999999987</v>
      </c>
      <c r="Y2038" s="13">
        <v>115.51840000000003</v>
      </c>
      <c r="Z2038" s="10">
        <v>45490</v>
      </c>
      <c r="AA2038" s="9">
        <v>0</v>
      </c>
      <c r="AC2038" s="9">
        <v>446854</v>
      </c>
      <c r="AD2038" s="14">
        <v>41.668888888888887</v>
      </c>
      <c r="AF2038" s="14">
        <v>13.6</v>
      </c>
      <c r="AH2038" s="14">
        <v>55.268888888888888</v>
      </c>
      <c r="AI2038" s="13">
        <v>60.24951111111114</v>
      </c>
      <c r="AK2038" s="9">
        <v>680</v>
      </c>
    </row>
    <row r="2039" spans="1:37">
      <c r="A2039" s="9">
        <v>27</v>
      </c>
      <c r="B2039" s="9">
        <v>2024</v>
      </c>
      <c r="C2039" s="9" t="s">
        <v>46</v>
      </c>
      <c r="D2039" s="9" t="s">
        <v>47</v>
      </c>
      <c r="E2039" s="9" t="s">
        <v>47</v>
      </c>
      <c r="F2039" s="10">
        <v>45477</v>
      </c>
      <c r="G2039" s="9" t="s">
        <v>153</v>
      </c>
      <c r="H2039" s="9" t="s">
        <v>48</v>
      </c>
      <c r="I2039" s="9">
        <v>1</v>
      </c>
      <c r="J2039" s="9">
        <v>7.764705882352942</v>
      </c>
      <c r="K2039" s="9">
        <v>440</v>
      </c>
      <c r="L2039" s="9">
        <v>0.24</v>
      </c>
      <c r="M2039" s="9">
        <v>105.6</v>
      </c>
      <c r="N2039" s="9" t="s">
        <v>49</v>
      </c>
      <c r="Q2039" s="9">
        <f>IF(Auction_Sales[[#This Row],[Payment Date]]=0,"",-1+WEEKNUM(Auction_Sales[[#This Row],[Payment Date]]))</f>
        <v>28</v>
      </c>
      <c r="R2039" s="9">
        <v>0</v>
      </c>
      <c r="S2039" s="9" t="s">
        <v>153</v>
      </c>
      <c r="T2039" s="9" t="s">
        <v>48</v>
      </c>
      <c r="U2039" s="9">
        <v>440</v>
      </c>
      <c r="V2039" s="13">
        <v>0.47272727272727272</v>
      </c>
      <c r="W2039" s="13">
        <v>208</v>
      </c>
      <c r="X2039" s="14">
        <v>-17.652799999999992</v>
      </c>
      <c r="Y2039" s="13">
        <v>190.34720000000002</v>
      </c>
      <c r="Z2039" s="10">
        <v>45490</v>
      </c>
      <c r="AA2039" s="9">
        <v>0</v>
      </c>
      <c r="AC2039" s="9">
        <v>446854</v>
      </c>
      <c r="AD2039" s="14">
        <v>26.962222222222223</v>
      </c>
      <c r="AF2039" s="14">
        <v>8.8000000000000007</v>
      </c>
      <c r="AH2039" s="14">
        <v>35.762222222222221</v>
      </c>
      <c r="AI2039" s="13">
        <v>154.58497777777779</v>
      </c>
      <c r="AK2039" s="9">
        <v>440</v>
      </c>
    </row>
    <row r="2040" spans="1:37">
      <c r="A2040" s="9">
        <v>27</v>
      </c>
      <c r="B2040" s="9">
        <v>2024</v>
      </c>
      <c r="C2040" s="9" t="s">
        <v>46</v>
      </c>
      <c r="D2040" s="9" t="s">
        <v>47</v>
      </c>
      <c r="E2040" s="9" t="s">
        <v>47</v>
      </c>
      <c r="F2040" s="10">
        <v>45477</v>
      </c>
      <c r="G2040" s="9" t="s">
        <v>153</v>
      </c>
      <c r="H2040" s="9" t="s">
        <v>52</v>
      </c>
      <c r="J2040" s="9">
        <v>2.1176470588235294</v>
      </c>
      <c r="K2040" s="9">
        <v>120</v>
      </c>
      <c r="L2040" s="9">
        <v>0.28000000000000003</v>
      </c>
      <c r="M2040" s="9">
        <v>33.6</v>
      </c>
      <c r="N2040" s="9" t="s">
        <v>49</v>
      </c>
      <c r="Q2040" s="9">
        <f>IF(Auction_Sales[[#This Row],[Payment Date]]=0,"",-1+WEEKNUM(Auction_Sales[[#This Row],[Payment Date]]))</f>
        <v>28</v>
      </c>
      <c r="R2040" s="9">
        <v>0</v>
      </c>
      <c r="S2040" s="9" t="s">
        <v>153</v>
      </c>
      <c r="T2040" s="9" t="s">
        <v>52</v>
      </c>
      <c r="U2040" s="9">
        <v>120</v>
      </c>
      <c r="V2040" s="13">
        <v>0.26</v>
      </c>
      <c r="W2040" s="13">
        <v>31.200000000000003</v>
      </c>
      <c r="X2040" s="14">
        <v>-4.8143999999999982</v>
      </c>
      <c r="Y2040" s="13">
        <v>26.385600000000004</v>
      </c>
      <c r="Z2040" s="10">
        <v>45490</v>
      </c>
      <c r="AA2040" s="9">
        <v>0</v>
      </c>
      <c r="AC2040" s="9">
        <v>446854</v>
      </c>
      <c r="AD2040" s="14">
        <v>7.3533333333333326</v>
      </c>
      <c r="AF2040" s="14">
        <v>2.4</v>
      </c>
      <c r="AH2040" s="14">
        <v>9.7533333333333321</v>
      </c>
      <c r="AI2040" s="13">
        <v>16.632266666666673</v>
      </c>
      <c r="AK2040" s="9">
        <v>120</v>
      </c>
    </row>
    <row r="2041" spans="1:37">
      <c r="A2041" s="9">
        <v>27</v>
      </c>
      <c r="B2041" s="9">
        <v>2024</v>
      </c>
      <c r="C2041" s="9" t="s">
        <v>46</v>
      </c>
      <c r="D2041" s="9" t="s">
        <v>47</v>
      </c>
      <c r="E2041" s="9" t="s">
        <v>47</v>
      </c>
      <c r="F2041" s="10">
        <v>45477</v>
      </c>
      <c r="G2041" s="9" t="s">
        <v>153</v>
      </c>
      <c r="H2041" s="9" t="s">
        <v>54</v>
      </c>
      <c r="J2041" s="9">
        <v>1.4117647058823528</v>
      </c>
      <c r="K2041" s="9">
        <v>80</v>
      </c>
      <c r="L2041" s="9">
        <v>0.33</v>
      </c>
      <c r="M2041" s="9">
        <v>26.4</v>
      </c>
      <c r="N2041" s="9" t="s">
        <v>49</v>
      </c>
      <c r="Q2041" s="9">
        <f>IF(Auction_Sales[[#This Row],[Payment Date]]=0,"",-1+WEEKNUM(Auction_Sales[[#This Row],[Payment Date]]))</f>
        <v>28</v>
      </c>
      <c r="R2041" s="9">
        <v>40</v>
      </c>
      <c r="S2041" s="9" t="s">
        <v>153</v>
      </c>
      <c r="T2041" s="9" t="s">
        <v>54</v>
      </c>
      <c r="U2041" s="9">
        <v>40</v>
      </c>
      <c r="V2041" s="13">
        <v>0.13</v>
      </c>
      <c r="W2041" s="13">
        <v>5.2</v>
      </c>
      <c r="X2041" s="14">
        <v>-1.6047999999999993</v>
      </c>
      <c r="Y2041" s="13">
        <v>3.5952000000000011</v>
      </c>
      <c r="Z2041" s="10">
        <v>45490</v>
      </c>
      <c r="AA2041" s="9">
        <v>-40</v>
      </c>
      <c r="AC2041" s="9">
        <v>446854</v>
      </c>
      <c r="AD2041" s="14">
        <v>4.9022222222222211</v>
      </c>
      <c r="AF2041" s="14">
        <v>0.8</v>
      </c>
      <c r="AH2041" s="14">
        <v>5.702222222222221</v>
      </c>
      <c r="AI2041" s="13">
        <v>-2.1070222222222199</v>
      </c>
      <c r="AK2041" s="9">
        <v>40</v>
      </c>
    </row>
    <row r="2042" spans="1:37">
      <c r="A2042" s="9">
        <v>27</v>
      </c>
      <c r="B2042" s="9">
        <v>2024</v>
      </c>
      <c r="C2042" s="9" t="s">
        <v>46</v>
      </c>
      <c r="D2042" s="9" t="s">
        <v>47</v>
      </c>
      <c r="E2042" s="9" t="s">
        <v>47</v>
      </c>
      <c r="F2042" s="10">
        <v>45477</v>
      </c>
      <c r="G2042" s="9" t="s">
        <v>153</v>
      </c>
      <c r="H2042" s="9" t="s">
        <v>56</v>
      </c>
      <c r="J2042" s="9">
        <v>0.70588235294117641</v>
      </c>
      <c r="K2042" s="9">
        <v>40</v>
      </c>
      <c r="L2042" s="9">
        <v>0.38</v>
      </c>
      <c r="M2042" s="9">
        <v>15.2</v>
      </c>
      <c r="N2042" s="9" t="s">
        <v>49</v>
      </c>
      <c r="Q2042" s="9">
        <f>IF(Auction_Sales[[#This Row],[Payment Date]]=0,"",-1+WEEKNUM(Auction_Sales[[#This Row],[Payment Date]]))</f>
        <v>28</v>
      </c>
      <c r="R2042" s="9">
        <v>-40</v>
      </c>
      <c r="S2042" s="9" t="s">
        <v>153</v>
      </c>
      <c r="T2042" s="9" t="s">
        <v>56</v>
      </c>
      <c r="U2042" s="9">
        <v>80</v>
      </c>
      <c r="V2042" s="13">
        <v>0.41</v>
      </c>
      <c r="W2042" s="13">
        <v>32.799999999999997</v>
      </c>
      <c r="X2042" s="14">
        <v>-3.2095999999999987</v>
      </c>
      <c r="Y2042" s="13">
        <v>29.590399999999999</v>
      </c>
      <c r="Z2042" s="10">
        <v>45490</v>
      </c>
      <c r="AA2042" s="9">
        <v>40</v>
      </c>
      <c r="AC2042" s="9">
        <v>446854</v>
      </c>
      <c r="AD2042" s="14">
        <v>2.4511111111111106</v>
      </c>
      <c r="AF2042" s="14">
        <v>1.6</v>
      </c>
      <c r="AH2042" s="14">
        <v>4.0511111111111102</v>
      </c>
      <c r="AI2042" s="13">
        <v>25.53928888888889</v>
      </c>
      <c r="AK2042" s="9">
        <v>80</v>
      </c>
    </row>
    <row r="2043" spans="1:37">
      <c r="A2043" s="9">
        <v>27</v>
      </c>
      <c r="B2043" s="9">
        <v>2024</v>
      </c>
      <c r="C2043" s="9" t="s">
        <v>46</v>
      </c>
      <c r="D2043" s="9" t="s">
        <v>47</v>
      </c>
      <c r="E2043" s="9" t="s">
        <v>47</v>
      </c>
      <c r="F2043" s="10">
        <v>45477</v>
      </c>
      <c r="G2043" s="9" t="s">
        <v>155</v>
      </c>
      <c r="H2043" s="9" t="s">
        <v>51</v>
      </c>
      <c r="I2043" s="9">
        <v>1</v>
      </c>
      <c r="J2043" s="9">
        <v>2.1818181818181817</v>
      </c>
      <c r="K2043" s="9">
        <v>80</v>
      </c>
      <c r="L2043" s="9">
        <v>0.38</v>
      </c>
      <c r="M2043" s="9">
        <v>30.4</v>
      </c>
      <c r="N2043" s="9" t="s">
        <v>49</v>
      </c>
      <c r="Q2043" s="9">
        <f>IF(Auction_Sales[[#This Row],[Payment Date]]=0,"",-1+WEEKNUM(Auction_Sales[[#This Row],[Payment Date]]))</f>
        <v>28</v>
      </c>
      <c r="R2043" s="9">
        <v>-1520</v>
      </c>
      <c r="S2043" s="9" t="s">
        <v>155</v>
      </c>
      <c r="T2043" s="9" t="s">
        <v>51</v>
      </c>
      <c r="U2043" s="9">
        <v>1600</v>
      </c>
      <c r="V2043" s="13">
        <v>0.499</v>
      </c>
      <c r="W2043" s="13">
        <v>798.4</v>
      </c>
      <c r="X2043" s="14">
        <v>-64.191999999999979</v>
      </c>
      <c r="Y2043" s="13">
        <v>734.20799999999997</v>
      </c>
      <c r="Z2043" s="10">
        <v>45490</v>
      </c>
      <c r="AA2043" s="9">
        <v>1520</v>
      </c>
      <c r="AC2043" s="9">
        <v>446854</v>
      </c>
      <c r="AD2043" s="14">
        <v>7.576161616161615</v>
      </c>
      <c r="AF2043" s="14">
        <v>32</v>
      </c>
      <c r="AH2043" s="14">
        <v>39.576161616161613</v>
      </c>
      <c r="AI2043" s="13">
        <v>694.63183838383839</v>
      </c>
      <c r="AK2043" s="9">
        <v>1600</v>
      </c>
    </row>
    <row r="2044" spans="1:37">
      <c r="A2044" s="9">
        <v>27</v>
      </c>
      <c r="B2044" s="9">
        <v>2024</v>
      </c>
      <c r="C2044" s="9" t="s">
        <v>46</v>
      </c>
      <c r="D2044" s="9" t="s">
        <v>47</v>
      </c>
      <c r="E2044" s="9" t="s">
        <v>47</v>
      </c>
      <c r="F2044" s="10">
        <v>45477</v>
      </c>
      <c r="G2044" s="9" t="s">
        <v>155</v>
      </c>
      <c r="H2044" s="9" t="s">
        <v>52</v>
      </c>
      <c r="J2044" s="9">
        <v>5.4545454545454541</v>
      </c>
      <c r="K2044" s="9">
        <v>200</v>
      </c>
      <c r="L2044" s="9">
        <v>0.52</v>
      </c>
      <c r="M2044" s="9">
        <v>104</v>
      </c>
      <c r="N2044" s="9" t="s">
        <v>49</v>
      </c>
      <c r="Q2044" s="9">
        <f>IF(Auction_Sales[[#This Row],[Payment Date]]=0,"",-1+WEEKNUM(Auction_Sales[[#This Row],[Payment Date]]))</f>
        <v>28</v>
      </c>
      <c r="R2044" s="9">
        <v>0</v>
      </c>
      <c r="S2044" s="9" t="s">
        <v>155</v>
      </c>
      <c r="T2044" s="9" t="s">
        <v>52</v>
      </c>
      <c r="U2044" s="9">
        <v>200</v>
      </c>
      <c r="V2044" s="13">
        <v>0.29199999999999998</v>
      </c>
      <c r="W2044" s="13">
        <v>58.4</v>
      </c>
      <c r="X2044" s="14">
        <v>-8.0239999999999974</v>
      </c>
      <c r="Y2044" s="13">
        <v>50.376000000000005</v>
      </c>
      <c r="Z2044" s="10">
        <v>45490</v>
      </c>
      <c r="AA2044" s="9">
        <v>0</v>
      </c>
      <c r="AC2044" s="9">
        <v>446854</v>
      </c>
      <c r="AD2044" s="14">
        <v>18.94040404040404</v>
      </c>
      <c r="AF2044" s="14">
        <v>4</v>
      </c>
      <c r="AH2044" s="14">
        <v>22.94040404040404</v>
      </c>
      <c r="AI2044" s="13">
        <v>27.435595959595965</v>
      </c>
      <c r="AK2044" s="9">
        <v>200</v>
      </c>
    </row>
    <row r="2045" spans="1:37">
      <c r="A2045" s="9">
        <v>27</v>
      </c>
      <c r="B2045" s="9">
        <v>2024</v>
      </c>
      <c r="C2045" s="9" t="s">
        <v>46</v>
      </c>
      <c r="D2045" s="9" t="s">
        <v>47</v>
      </c>
      <c r="E2045" s="9" t="s">
        <v>47</v>
      </c>
      <c r="F2045" s="10">
        <v>45477</v>
      </c>
      <c r="G2045" s="9" t="s">
        <v>155</v>
      </c>
      <c r="H2045" s="9" t="s">
        <v>48</v>
      </c>
      <c r="J2045" s="9">
        <v>4.3636363636363633</v>
      </c>
      <c r="K2045" s="9">
        <v>160</v>
      </c>
      <c r="L2045" s="9">
        <v>0.47</v>
      </c>
      <c r="M2045" s="9">
        <v>75.2</v>
      </c>
      <c r="N2045" s="9" t="s">
        <v>49</v>
      </c>
      <c r="Q2045" s="9">
        <f>IF(Auction_Sales[[#This Row],[Payment Date]]=0,"",-1+WEEKNUM(Auction_Sales[[#This Row],[Payment Date]]))</f>
        <v>28</v>
      </c>
      <c r="R2045" s="9">
        <v>0</v>
      </c>
      <c r="S2045" s="9" t="s">
        <v>155</v>
      </c>
      <c r="T2045" s="9" t="s">
        <v>48</v>
      </c>
      <c r="U2045" s="9">
        <v>160</v>
      </c>
      <c r="V2045" s="13">
        <v>0.35750000000000004</v>
      </c>
      <c r="W2045" s="13">
        <v>57.2</v>
      </c>
      <c r="X2045" s="14">
        <v>-6.4191999999999974</v>
      </c>
      <c r="Y2045" s="13">
        <v>50.780800000000006</v>
      </c>
      <c r="Z2045" s="10">
        <v>45490</v>
      </c>
      <c r="AA2045" s="9">
        <v>0</v>
      </c>
      <c r="AC2045" s="9">
        <v>446854</v>
      </c>
      <c r="AD2045" s="14">
        <v>15.15232323232323</v>
      </c>
      <c r="AF2045" s="14">
        <v>3.2</v>
      </c>
      <c r="AH2045" s="14">
        <v>18.352323232323229</v>
      </c>
      <c r="AI2045" s="13">
        <v>32.428476767676777</v>
      </c>
      <c r="AK2045" s="9">
        <v>160</v>
      </c>
    </row>
    <row r="2046" spans="1:37">
      <c r="A2046" s="9">
        <v>27</v>
      </c>
      <c r="B2046" s="9">
        <v>2024</v>
      </c>
      <c r="C2046" s="9" t="s">
        <v>46</v>
      </c>
      <c r="D2046" s="9" t="s">
        <v>47</v>
      </c>
      <c r="E2046" s="9" t="s">
        <v>47</v>
      </c>
      <c r="F2046" s="10">
        <v>45477</v>
      </c>
      <c r="G2046" s="9" t="s">
        <v>154</v>
      </c>
      <c r="H2046" s="9" t="s">
        <v>51</v>
      </c>
      <c r="I2046" s="9">
        <v>1</v>
      </c>
      <c r="J2046" s="9">
        <v>3.5999999999999996</v>
      </c>
      <c r="K2046" s="9">
        <v>120</v>
      </c>
      <c r="L2046" s="9">
        <v>0.38</v>
      </c>
      <c r="M2046" s="9">
        <v>45.6</v>
      </c>
      <c r="N2046" s="9" t="s">
        <v>49</v>
      </c>
      <c r="Q2046" s="9">
        <f>IF(Auction_Sales[[#This Row],[Payment Date]]=0,"",-1+WEEKNUM(Auction_Sales[[#This Row],[Payment Date]]))</f>
        <v>28</v>
      </c>
      <c r="R2046" s="9">
        <v>-480</v>
      </c>
      <c r="S2046" s="9" t="s">
        <v>154</v>
      </c>
      <c r="T2046" s="9" t="s">
        <v>51</v>
      </c>
      <c r="U2046" s="9">
        <v>600</v>
      </c>
      <c r="V2046" s="13">
        <v>0.53200000000000003</v>
      </c>
      <c r="W2046" s="13">
        <v>319.20000000000005</v>
      </c>
      <c r="X2046" s="14">
        <v>-24.071999999999989</v>
      </c>
      <c r="Y2046" s="13">
        <v>295.12800000000004</v>
      </c>
      <c r="Z2046" s="10">
        <v>45490</v>
      </c>
      <c r="AA2046" s="9">
        <v>480</v>
      </c>
      <c r="AC2046" s="9">
        <v>446854</v>
      </c>
      <c r="AD2046" s="14">
        <v>12.500666666666666</v>
      </c>
      <c r="AF2046" s="14">
        <v>12</v>
      </c>
      <c r="AH2046" s="14">
        <v>24.500666666666667</v>
      </c>
      <c r="AI2046" s="13">
        <v>270.62733333333335</v>
      </c>
      <c r="AK2046" s="9">
        <v>600</v>
      </c>
    </row>
    <row r="2047" spans="1:37">
      <c r="A2047" s="9">
        <v>27</v>
      </c>
      <c r="B2047" s="9">
        <v>2024</v>
      </c>
      <c r="C2047" s="9" t="s">
        <v>46</v>
      </c>
      <c r="D2047" s="9" t="s">
        <v>47</v>
      </c>
      <c r="E2047" s="9" t="s">
        <v>47</v>
      </c>
      <c r="F2047" s="10">
        <v>45477</v>
      </c>
      <c r="G2047" s="9" t="s">
        <v>154</v>
      </c>
      <c r="H2047" s="9" t="s">
        <v>48</v>
      </c>
      <c r="J2047" s="9">
        <v>4.8000000000000007</v>
      </c>
      <c r="K2047" s="9">
        <v>160</v>
      </c>
      <c r="L2047" s="9">
        <v>0.47</v>
      </c>
      <c r="M2047" s="9">
        <v>75.2</v>
      </c>
      <c r="N2047" s="9" t="s">
        <v>49</v>
      </c>
      <c r="Q2047" s="9">
        <f>IF(Auction_Sales[[#This Row],[Payment Date]]=0,"",-1+WEEKNUM(Auction_Sales[[#This Row],[Payment Date]]))</f>
        <v>28</v>
      </c>
      <c r="R2047" s="9">
        <v>-40</v>
      </c>
      <c r="S2047" s="9" t="s">
        <v>154</v>
      </c>
      <c r="T2047" s="9" t="s">
        <v>48</v>
      </c>
      <c r="U2047" s="9">
        <v>200</v>
      </c>
      <c r="V2047" s="13">
        <v>0.72400000000000009</v>
      </c>
      <c r="W2047" s="13">
        <v>144.80000000000001</v>
      </c>
      <c r="X2047" s="14">
        <v>-8.0239999999999974</v>
      </c>
      <c r="Y2047" s="13">
        <v>136.77600000000001</v>
      </c>
      <c r="Z2047" s="10">
        <v>45490</v>
      </c>
      <c r="AA2047" s="9">
        <v>40</v>
      </c>
      <c r="AC2047" s="9">
        <v>446854</v>
      </c>
      <c r="AD2047" s="14">
        <v>16.667555555555559</v>
      </c>
      <c r="AF2047" s="14">
        <v>4</v>
      </c>
      <c r="AH2047" s="14">
        <v>20.667555555555559</v>
      </c>
      <c r="AI2047" s="13">
        <v>116.10844444444444</v>
      </c>
      <c r="AK2047" s="9">
        <v>200</v>
      </c>
    </row>
    <row r="2048" spans="1:37">
      <c r="A2048" s="9">
        <v>27</v>
      </c>
      <c r="B2048" s="9">
        <v>2024</v>
      </c>
      <c r="C2048" s="9" t="s">
        <v>46</v>
      </c>
      <c r="D2048" s="9" t="s">
        <v>47</v>
      </c>
      <c r="E2048" s="9" t="s">
        <v>47</v>
      </c>
      <c r="F2048" s="10">
        <v>45477</v>
      </c>
      <c r="G2048" s="9" t="s">
        <v>154</v>
      </c>
      <c r="H2048" s="9" t="s">
        <v>52</v>
      </c>
      <c r="J2048" s="9">
        <v>3.5999999999999996</v>
      </c>
      <c r="K2048" s="9">
        <v>120</v>
      </c>
      <c r="L2048" s="9">
        <v>0.52</v>
      </c>
      <c r="M2048" s="9">
        <v>62.4</v>
      </c>
      <c r="N2048" s="9" t="s">
        <v>49</v>
      </c>
      <c r="Q2048" s="9">
        <f>IF(Auction_Sales[[#This Row],[Payment Date]]=0,"",-1+WEEKNUM(Auction_Sales[[#This Row],[Payment Date]]))</f>
        <v>28</v>
      </c>
      <c r="R2048" s="9">
        <v>0</v>
      </c>
      <c r="S2048" s="9" t="s">
        <v>154</v>
      </c>
      <c r="T2048" s="9" t="s">
        <v>52</v>
      </c>
      <c r="U2048" s="9">
        <v>120</v>
      </c>
      <c r="V2048" s="13">
        <v>0.23</v>
      </c>
      <c r="W2048" s="13">
        <v>27.6</v>
      </c>
      <c r="X2048" s="14">
        <v>-4.8143999999999982</v>
      </c>
      <c r="Y2048" s="13">
        <v>22.785600000000002</v>
      </c>
      <c r="Z2048" s="10">
        <v>45490</v>
      </c>
      <c r="AA2048" s="9">
        <v>0</v>
      </c>
      <c r="AC2048" s="9">
        <v>446854</v>
      </c>
      <c r="AD2048" s="14">
        <v>12.500666666666666</v>
      </c>
      <c r="AF2048" s="14">
        <v>2.4</v>
      </c>
      <c r="AH2048" s="14">
        <v>14.900666666666666</v>
      </c>
      <c r="AI2048" s="13">
        <v>7.8849333333333362</v>
      </c>
      <c r="AK2048" s="9">
        <v>120</v>
      </c>
    </row>
    <row r="2049" spans="1:37">
      <c r="A2049" s="9">
        <v>27</v>
      </c>
      <c r="B2049" s="9">
        <v>2024</v>
      </c>
      <c r="C2049" s="9" t="s">
        <v>46</v>
      </c>
      <c r="D2049" s="9" t="s">
        <v>47</v>
      </c>
      <c r="E2049" s="9" t="s">
        <v>47</v>
      </c>
      <c r="F2049" s="10">
        <v>45477</v>
      </c>
      <c r="G2049" s="9" t="s">
        <v>154</v>
      </c>
      <c r="H2049" s="9" t="s">
        <v>56</v>
      </c>
      <c r="I2049" s="9">
        <v>1</v>
      </c>
      <c r="J2049" s="9">
        <v>4.8000000000000007</v>
      </c>
      <c r="K2049" s="9">
        <v>80</v>
      </c>
      <c r="L2049" s="9">
        <v>0.75</v>
      </c>
      <c r="M2049" s="9">
        <v>60</v>
      </c>
      <c r="N2049" s="9" t="s">
        <v>49</v>
      </c>
      <c r="Q2049" s="9">
        <f>IF(Auction_Sales[[#This Row],[Payment Date]]=0,"",-1+WEEKNUM(Auction_Sales[[#This Row],[Payment Date]]))</f>
        <v>28</v>
      </c>
      <c r="R2049" s="9">
        <v>0</v>
      </c>
      <c r="S2049" s="9" t="s">
        <v>154</v>
      </c>
      <c r="T2049" s="9" t="s">
        <v>56</v>
      </c>
      <c r="U2049" s="9">
        <v>80</v>
      </c>
      <c r="V2049" s="13">
        <v>0.315</v>
      </c>
      <c r="W2049" s="13">
        <v>25.2</v>
      </c>
      <c r="X2049" s="14">
        <v>-3.2095999999999987</v>
      </c>
      <c r="Y2049" s="13">
        <v>21.990400000000001</v>
      </c>
      <c r="Z2049" s="10">
        <v>45490</v>
      </c>
      <c r="AA2049" s="9">
        <v>0</v>
      </c>
      <c r="AC2049" s="9">
        <v>446854</v>
      </c>
      <c r="AD2049" s="14">
        <v>16.667555555555559</v>
      </c>
      <c r="AF2049" s="14">
        <v>1.6</v>
      </c>
      <c r="AH2049" s="14">
        <v>18.26755555555556</v>
      </c>
      <c r="AI2049" s="13">
        <v>3.7228444444444406</v>
      </c>
      <c r="AK2049" s="9">
        <v>80</v>
      </c>
    </row>
    <row r="2050" spans="1:37">
      <c r="A2050" s="9">
        <v>27</v>
      </c>
      <c r="B2050" s="9">
        <v>2024</v>
      </c>
      <c r="C2050" s="9" t="s">
        <v>46</v>
      </c>
      <c r="D2050" s="9" t="s">
        <v>47</v>
      </c>
      <c r="E2050" s="9" t="s">
        <v>47</v>
      </c>
      <c r="F2050" s="10">
        <v>45477</v>
      </c>
      <c r="G2050" s="9" t="s">
        <v>154</v>
      </c>
      <c r="H2050" s="9" t="s">
        <v>54</v>
      </c>
      <c r="J2050" s="9">
        <v>7.1999999999999993</v>
      </c>
      <c r="K2050" s="9">
        <v>120</v>
      </c>
      <c r="L2050" s="9">
        <v>0.56999999999999995</v>
      </c>
      <c r="M2050" s="9">
        <v>68.400000000000006</v>
      </c>
      <c r="N2050" s="9" t="s">
        <v>49</v>
      </c>
      <c r="Q2050" s="9">
        <f>IF(Auction_Sales[[#This Row],[Payment Date]]=0,"",-1+WEEKNUM(Auction_Sales[[#This Row],[Payment Date]]))</f>
        <v>28</v>
      </c>
      <c r="R2050" s="9">
        <v>0</v>
      </c>
      <c r="S2050" s="9" t="s">
        <v>154</v>
      </c>
      <c r="T2050" s="9" t="s">
        <v>54</v>
      </c>
      <c r="U2050" s="9">
        <v>120</v>
      </c>
      <c r="V2050" s="13">
        <v>0.16999999999999998</v>
      </c>
      <c r="W2050" s="13">
        <v>20.399999999999999</v>
      </c>
      <c r="X2050" s="14">
        <v>-4.8143999999999982</v>
      </c>
      <c r="Y2050" s="13">
        <v>15.585599999999999</v>
      </c>
      <c r="Z2050" s="10">
        <v>45490</v>
      </c>
      <c r="AA2050" s="9">
        <v>0</v>
      </c>
      <c r="AC2050" s="9">
        <v>446854</v>
      </c>
      <c r="AD2050" s="14">
        <v>25.001333333333331</v>
      </c>
      <c r="AF2050" s="14">
        <v>2.4</v>
      </c>
      <c r="AH2050" s="14">
        <v>27.40133333333333</v>
      </c>
      <c r="AI2050" s="13">
        <v>-11.815733333333331</v>
      </c>
      <c r="AK2050" s="9">
        <v>120</v>
      </c>
    </row>
    <row r="2051" spans="1:37">
      <c r="A2051" s="9">
        <v>27</v>
      </c>
      <c r="B2051" s="9">
        <v>2024</v>
      </c>
      <c r="C2051" s="9" t="s">
        <v>46</v>
      </c>
      <c r="D2051" s="9" t="s">
        <v>47</v>
      </c>
      <c r="E2051" s="9" t="s">
        <v>47</v>
      </c>
      <c r="F2051" s="10">
        <v>45477</v>
      </c>
      <c r="G2051" s="9" t="s">
        <v>156</v>
      </c>
      <c r="H2051" s="9" t="s">
        <v>51</v>
      </c>
      <c r="I2051" s="9">
        <v>1</v>
      </c>
      <c r="J2051" s="9">
        <v>9.4285714285714288</v>
      </c>
      <c r="K2051" s="9">
        <v>440</v>
      </c>
      <c r="L2051" s="9">
        <v>0.42</v>
      </c>
      <c r="M2051" s="9">
        <v>184.8</v>
      </c>
      <c r="N2051" s="9" t="s">
        <v>49</v>
      </c>
      <c r="Q2051" s="9">
        <f>IF(Auction_Sales[[#This Row],[Payment Date]]=0,"",-1+WEEKNUM(Auction_Sales[[#This Row],[Payment Date]]))</f>
        <v>28</v>
      </c>
      <c r="R2051" s="9">
        <v>40</v>
      </c>
      <c r="S2051" s="9" t="s">
        <v>156</v>
      </c>
      <c r="T2051" s="9" t="s">
        <v>51</v>
      </c>
      <c r="U2051" s="9">
        <v>400</v>
      </c>
      <c r="V2051" s="13">
        <v>0.42</v>
      </c>
      <c r="W2051" s="13">
        <v>168</v>
      </c>
      <c r="X2051" s="14">
        <v>-16.047999999999995</v>
      </c>
      <c r="Y2051" s="13">
        <v>151.952</v>
      </c>
      <c r="Z2051" s="10">
        <v>45490</v>
      </c>
      <c r="AA2051" s="9">
        <v>-40</v>
      </c>
      <c r="AC2051" s="9">
        <v>446854</v>
      </c>
      <c r="AD2051" s="14">
        <v>32.739841269841271</v>
      </c>
      <c r="AF2051" s="14">
        <v>8</v>
      </c>
      <c r="AH2051" s="14">
        <v>40.739841269841271</v>
      </c>
      <c r="AI2051" s="13">
        <v>111.21215873015873</v>
      </c>
      <c r="AK2051" s="9">
        <v>400</v>
      </c>
    </row>
    <row r="2052" spans="1:37">
      <c r="A2052" s="9">
        <v>27</v>
      </c>
      <c r="B2052" s="9">
        <v>2024</v>
      </c>
      <c r="C2052" s="9" t="s">
        <v>46</v>
      </c>
      <c r="D2052" s="9" t="s">
        <v>47</v>
      </c>
      <c r="E2052" s="9" t="s">
        <v>47</v>
      </c>
      <c r="F2052" s="10">
        <v>45477</v>
      </c>
      <c r="G2052" s="9" t="s">
        <v>156</v>
      </c>
      <c r="H2052" s="9" t="s">
        <v>48</v>
      </c>
      <c r="J2052" s="9">
        <v>2.5714285714285712</v>
      </c>
      <c r="K2052" s="9">
        <v>120</v>
      </c>
      <c r="L2052" s="9">
        <v>0.52</v>
      </c>
      <c r="M2052" s="9">
        <v>62.4</v>
      </c>
      <c r="N2052" s="9" t="s">
        <v>49</v>
      </c>
      <c r="Q2052" s="9">
        <f>IF(Auction_Sales[[#This Row],[Payment Date]]=0,"",-1+WEEKNUM(Auction_Sales[[#This Row],[Payment Date]]))</f>
        <v>28</v>
      </c>
      <c r="R2052" s="9">
        <v>0</v>
      </c>
      <c r="S2052" s="9" t="s">
        <v>156</v>
      </c>
      <c r="T2052" s="9" t="s">
        <v>48</v>
      </c>
      <c r="U2052" s="9">
        <v>120</v>
      </c>
      <c r="V2052" s="13">
        <v>0.53666666666666674</v>
      </c>
      <c r="W2052" s="13">
        <v>64.400000000000006</v>
      </c>
      <c r="X2052" s="14">
        <v>-4.8143999999999982</v>
      </c>
      <c r="Y2052" s="13">
        <v>59.585600000000007</v>
      </c>
      <c r="Z2052" s="10">
        <v>45490</v>
      </c>
      <c r="AA2052" s="9">
        <v>0</v>
      </c>
      <c r="AC2052" s="9">
        <v>446854</v>
      </c>
      <c r="AD2052" s="14">
        <v>8.9290476190476173</v>
      </c>
      <c r="AF2052" s="14">
        <v>2.4</v>
      </c>
      <c r="AH2052" s="14">
        <v>11.329047619047618</v>
      </c>
      <c r="AI2052" s="13">
        <v>48.256552380952385</v>
      </c>
      <c r="AK2052" s="9">
        <v>120</v>
      </c>
    </row>
    <row r="2053" spans="1:37">
      <c r="A2053" s="9">
        <v>27</v>
      </c>
      <c r="B2053" s="9">
        <v>2024</v>
      </c>
      <c r="C2053" s="9" t="s">
        <v>46</v>
      </c>
      <c r="D2053" s="9" t="s">
        <v>47</v>
      </c>
      <c r="E2053" s="9" t="s">
        <v>47</v>
      </c>
      <c r="F2053" s="10">
        <v>45477</v>
      </c>
      <c r="G2053" s="9" t="s">
        <v>156</v>
      </c>
      <c r="H2053" s="9" t="s">
        <v>52</v>
      </c>
      <c r="N2053" s="9" t="s">
        <v>49</v>
      </c>
      <c r="Q2053" s="9">
        <f>IF(Auction_Sales[[#This Row],[Payment Date]]=0,"",-1+WEEKNUM(Auction_Sales[[#This Row],[Payment Date]]))</f>
        <v>28</v>
      </c>
      <c r="R2053" s="9">
        <v>-40</v>
      </c>
      <c r="S2053" s="9" t="s">
        <v>156</v>
      </c>
      <c r="T2053" s="9" t="s">
        <v>52</v>
      </c>
      <c r="U2053" s="9">
        <v>40</v>
      </c>
      <c r="V2053" s="13">
        <v>0.6</v>
      </c>
      <c r="W2053" s="13">
        <v>24</v>
      </c>
      <c r="X2053" s="14">
        <v>-1.6047999999999993</v>
      </c>
      <c r="Y2053" s="13">
        <v>22.395199999999999</v>
      </c>
      <c r="Z2053" s="10">
        <v>45490</v>
      </c>
      <c r="AA2053" s="9">
        <v>40</v>
      </c>
      <c r="AC2053" s="9">
        <v>446854</v>
      </c>
      <c r="AD2053" s="14">
        <v>0</v>
      </c>
      <c r="AF2053" s="14">
        <v>0.8</v>
      </c>
      <c r="AH2053" s="14">
        <v>0.8</v>
      </c>
      <c r="AI2053" s="13">
        <v>21.595199999999998</v>
      </c>
      <c r="AK2053" s="9">
        <v>40</v>
      </c>
    </row>
    <row r="2054" spans="1:37">
      <c r="A2054" s="9">
        <v>28</v>
      </c>
      <c r="B2054" s="9">
        <v>2024</v>
      </c>
      <c r="C2054" s="9" t="s">
        <v>46</v>
      </c>
      <c r="D2054" s="9" t="s">
        <v>47</v>
      </c>
      <c r="E2054" s="9" t="s">
        <v>47</v>
      </c>
      <c r="F2054" s="10">
        <v>45479</v>
      </c>
      <c r="G2054" s="9" t="s">
        <v>154</v>
      </c>
      <c r="H2054" s="9" t="s">
        <v>51</v>
      </c>
      <c r="I2054" s="9">
        <v>1</v>
      </c>
      <c r="J2054" s="9">
        <v>9.8181818181818183</v>
      </c>
      <c r="K2054" s="9">
        <v>360</v>
      </c>
      <c r="L2054" s="9">
        <v>0.38</v>
      </c>
      <c r="M2054" s="9">
        <v>136.80000000000001</v>
      </c>
      <c r="N2054" s="9" t="s">
        <v>49</v>
      </c>
      <c r="Q2054" s="9">
        <f>IF(Auction_Sales[[#This Row],[Payment Date]]=0,"",-1+WEEKNUM(Auction_Sales[[#This Row],[Payment Date]]))</f>
        <v>28</v>
      </c>
      <c r="R2054" s="9">
        <v>0</v>
      </c>
      <c r="S2054" s="9" t="s">
        <v>154</v>
      </c>
      <c r="T2054" s="9" t="s">
        <v>51</v>
      </c>
      <c r="U2054" s="9">
        <v>360</v>
      </c>
      <c r="V2054" s="13">
        <v>0.37555555555555553</v>
      </c>
      <c r="W2054" s="13">
        <v>135.19999999999999</v>
      </c>
      <c r="X2054" s="14">
        <v>-13.807058823529418</v>
      </c>
      <c r="Y2054" s="13">
        <v>121.39294117647057</v>
      </c>
      <c r="Z2054" s="10">
        <v>45490</v>
      </c>
      <c r="AA2054" s="9">
        <v>0</v>
      </c>
      <c r="AC2054" s="9">
        <v>447267</v>
      </c>
      <c r="AD2054" s="14">
        <v>34.015090909090908</v>
      </c>
      <c r="AF2054" s="14">
        <v>7.2</v>
      </c>
      <c r="AH2054" s="14">
        <v>41.215090909090911</v>
      </c>
      <c r="AI2054" s="13">
        <v>80.177850267379654</v>
      </c>
      <c r="AK2054" s="9">
        <v>360</v>
      </c>
    </row>
    <row r="2055" spans="1:37">
      <c r="A2055" s="9">
        <v>28</v>
      </c>
      <c r="B2055" s="9">
        <v>2024</v>
      </c>
      <c r="C2055" s="9" t="s">
        <v>46</v>
      </c>
      <c r="D2055" s="9" t="s">
        <v>47</v>
      </c>
      <c r="E2055" s="9" t="s">
        <v>47</v>
      </c>
      <c r="F2055" s="10">
        <v>45479</v>
      </c>
      <c r="G2055" s="9" t="s">
        <v>154</v>
      </c>
      <c r="H2055" s="9" t="s">
        <v>48</v>
      </c>
      <c r="J2055" s="9">
        <v>2.1818181818181817</v>
      </c>
      <c r="K2055" s="9">
        <v>80</v>
      </c>
      <c r="L2055" s="9">
        <v>0.47</v>
      </c>
      <c r="M2055" s="9">
        <v>37.6</v>
      </c>
      <c r="N2055" s="9" t="s">
        <v>49</v>
      </c>
      <c r="Q2055" s="9">
        <f>IF(Auction_Sales[[#This Row],[Payment Date]]=0,"",-1+WEEKNUM(Auction_Sales[[#This Row],[Payment Date]]))</f>
        <v>28</v>
      </c>
      <c r="R2055" s="9">
        <v>0</v>
      </c>
      <c r="S2055" s="9" t="s">
        <v>154</v>
      </c>
      <c r="T2055" s="9" t="s">
        <v>48</v>
      </c>
      <c r="U2055" s="9">
        <v>80</v>
      </c>
      <c r="V2055" s="13">
        <v>0.46500000000000002</v>
      </c>
      <c r="W2055" s="13">
        <v>37.200000000000003</v>
      </c>
      <c r="X2055" s="14">
        <v>-3.0682352941176485</v>
      </c>
      <c r="Y2055" s="13">
        <v>34.131764705882354</v>
      </c>
      <c r="Z2055" s="10">
        <v>45490</v>
      </c>
      <c r="AA2055" s="9">
        <v>0</v>
      </c>
      <c r="AC2055" s="9">
        <v>447267</v>
      </c>
      <c r="AD2055" s="14">
        <v>7.5589090909090908</v>
      </c>
      <c r="AF2055" s="14">
        <v>1.6</v>
      </c>
      <c r="AH2055" s="14">
        <v>9.1589090909090913</v>
      </c>
      <c r="AI2055" s="13">
        <v>24.972855614973263</v>
      </c>
      <c r="AK2055" s="9">
        <v>80</v>
      </c>
    </row>
    <row r="2056" spans="1:37">
      <c r="A2056" s="9">
        <v>28</v>
      </c>
      <c r="B2056" s="9">
        <v>2024</v>
      </c>
      <c r="C2056" s="9" t="s">
        <v>46</v>
      </c>
      <c r="D2056" s="9" t="s">
        <v>47</v>
      </c>
      <c r="E2056" s="9" t="s">
        <v>47</v>
      </c>
      <c r="F2056" s="10">
        <v>45479</v>
      </c>
      <c r="G2056" s="9" t="s">
        <v>155</v>
      </c>
      <c r="H2056" s="9" t="s">
        <v>129</v>
      </c>
      <c r="I2056" s="9">
        <v>1</v>
      </c>
      <c r="J2056" s="9">
        <v>12</v>
      </c>
      <c r="K2056" s="9">
        <v>760</v>
      </c>
      <c r="L2056" s="9">
        <v>0.38</v>
      </c>
      <c r="M2056" s="9">
        <v>288.8</v>
      </c>
      <c r="N2056" s="9" t="s">
        <v>49</v>
      </c>
      <c r="Q2056" s="9">
        <f>IF(Auction_Sales[[#This Row],[Payment Date]]=0,"",-1+WEEKNUM(Auction_Sales[[#This Row],[Payment Date]]))</f>
        <v>28</v>
      </c>
      <c r="R2056" s="9">
        <v>-160</v>
      </c>
      <c r="S2056" s="9" t="s">
        <v>155</v>
      </c>
      <c r="T2056" s="9" t="s">
        <v>129</v>
      </c>
      <c r="U2056" s="9">
        <v>920</v>
      </c>
      <c r="V2056" s="13">
        <v>0.35478260869565215</v>
      </c>
      <c r="W2056" s="13">
        <v>326.39999999999998</v>
      </c>
      <c r="X2056" s="14">
        <v>-35.284705882352959</v>
      </c>
      <c r="Y2056" s="13">
        <v>291.11529411764701</v>
      </c>
      <c r="Z2056" s="10">
        <v>45490</v>
      </c>
      <c r="AA2056" s="9">
        <v>160</v>
      </c>
      <c r="AC2056" s="9">
        <v>447267</v>
      </c>
      <c r="AD2056" s="14">
        <v>41.574000000000005</v>
      </c>
      <c r="AF2056" s="14">
        <v>18.400000000000002</v>
      </c>
      <c r="AH2056" s="14">
        <v>59.974000000000004</v>
      </c>
      <c r="AI2056" s="13">
        <v>231.14129411764702</v>
      </c>
      <c r="AK2056" s="9">
        <v>920</v>
      </c>
    </row>
    <row r="2057" spans="1:37">
      <c r="A2057" s="9">
        <v>28</v>
      </c>
      <c r="B2057" s="9">
        <v>2024</v>
      </c>
      <c r="C2057" s="9" t="s">
        <v>46</v>
      </c>
      <c r="D2057" s="9" t="s">
        <v>47</v>
      </c>
      <c r="E2057" s="9" t="s">
        <v>47</v>
      </c>
      <c r="F2057" s="10">
        <v>45479</v>
      </c>
      <c r="G2057" s="9" t="s">
        <v>153</v>
      </c>
      <c r="H2057" s="9" t="s">
        <v>51</v>
      </c>
      <c r="I2057" s="9">
        <v>1</v>
      </c>
      <c r="J2057" s="9">
        <v>7.5789473684210522</v>
      </c>
      <c r="K2057" s="9">
        <v>480</v>
      </c>
      <c r="L2057" s="9">
        <v>0.14000000000000001</v>
      </c>
      <c r="M2057" s="9">
        <v>67.2</v>
      </c>
      <c r="N2057" s="9" t="s">
        <v>49</v>
      </c>
      <c r="Q2057" s="9">
        <f>IF(Auction_Sales[[#This Row],[Payment Date]]=0,"",-1+WEEKNUM(Auction_Sales[[#This Row],[Payment Date]]))</f>
        <v>28</v>
      </c>
      <c r="R2057" s="9">
        <v>0</v>
      </c>
      <c r="S2057" s="9" t="s">
        <v>153</v>
      </c>
      <c r="T2057" s="9" t="s">
        <v>51</v>
      </c>
      <c r="U2057" s="9">
        <v>480</v>
      </c>
      <c r="V2057" s="13">
        <v>0.19499999999999998</v>
      </c>
      <c r="W2057" s="13">
        <v>93.6</v>
      </c>
      <c r="X2057" s="14">
        <v>-18.40941176470589</v>
      </c>
      <c r="Y2057" s="13">
        <v>75.190588235294101</v>
      </c>
      <c r="Z2057" s="10">
        <v>45490</v>
      </c>
      <c r="AA2057" s="9">
        <v>0</v>
      </c>
      <c r="AC2057" s="9">
        <v>447267</v>
      </c>
      <c r="AD2057" s="14">
        <v>26.257263157894737</v>
      </c>
      <c r="AF2057" s="14">
        <v>9.6</v>
      </c>
      <c r="AH2057" s="14">
        <v>35.857263157894735</v>
      </c>
      <c r="AI2057" s="13">
        <v>39.333325077399365</v>
      </c>
      <c r="AK2057" s="9">
        <v>480</v>
      </c>
    </row>
    <row r="2058" spans="1:37">
      <c r="A2058" s="9">
        <v>28</v>
      </c>
      <c r="B2058" s="9">
        <v>2024</v>
      </c>
      <c r="C2058" s="9" t="s">
        <v>46</v>
      </c>
      <c r="D2058" s="9" t="s">
        <v>47</v>
      </c>
      <c r="E2058" s="9" t="s">
        <v>47</v>
      </c>
      <c r="F2058" s="10">
        <v>45479</v>
      </c>
      <c r="G2058" s="9" t="s">
        <v>153</v>
      </c>
      <c r="H2058" s="9" t="s">
        <v>48</v>
      </c>
      <c r="J2058" s="9">
        <v>4.4210526315789469</v>
      </c>
      <c r="K2058" s="9">
        <v>280</v>
      </c>
      <c r="L2058" s="9">
        <v>0.24</v>
      </c>
      <c r="M2058" s="9">
        <v>67.2</v>
      </c>
      <c r="N2058" s="9" t="s">
        <v>49</v>
      </c>
      <c r="Q2058" s="9">
        <f>IF(Auction_Sales[[#This Row],[Payment Date]]=0,"",-1+WEEKNUM(Auction_Sales[[#This Row],[Payment Date]]))</f>
        <v>28</v>
      </c>
      <c r="R2058" s="9">
        <v>0</v>
      </c>
      <c r="S2058" s="9" t="s">
        <v>153</v>
      </c>
      <c r="T2058" s="9" t="s">
        <v>48</v>
      </c>
      <c r="U2058" s="9">
        <v>280</v>
      </c>
      <c r="V2058" s="13">
        <v>0.34</v>
      </c>
      <c r="W2058" s="13">
        <v>95.2</v>
      </c>
      <c r="X2058" s="14">
        <v>-10.73882352941177</v>
      </c>
      <c r="Y2058" s="13">
        <v>84.461176470588228</v>
      </c>
      <c r="Z2058" s="10">
        <v>45490</v>
      </c>
      <c r="AA2058" s="9">
        <v>0</v>
      </c>
      <c r="AC2058" s="9">
        <v>447267</v>
      </c>
      <c r="AD2058" s="14">
        <v>15.316736842105263</v>
      </c>
      <c r="AF2058" s="14">
        <v>5.6000000000000005</v>
      </c>
      <c r="AH2058" s="14">
        <v>20.916736842105262</v>
      </c>
      <c r="AI2058" s="13">
        <v>63.544439628482962</v>
      </c>
      <c r="AK2058" s="9">
        <v>280</v>
      </c>
    </row>
    <row r="2059" spans="1:37">
      <c r="A2059" s="9">
        <v>28</v>
      </c>
      <c r="B2059" s="9">
        <v>2024</v>
      </c>
      <c r="C2059" s="9" t="s">
        <v>46</v>
      </c>
      <c r="D2059" s="9" t="s">
        <v>47</v>
      </c>
      <c r="E2059" s="9" t="s">
        <v>47</v>
      </c>
      <c r="F2059" s="10">
        <v>45479</v>
      </c>
      <c r="G2059" s="9" t="s">
        <v>155</v>
      </c>
      <c r="H2059" s="9" t="s">
        <v>51</v>
      </c>
      <c r="I2059" s="9">
        <v>1</v>
      </c>
      <c r="J2059" s="9">
        <v>2.6666666666666665</v>
      </c>
      <c r="K2059" s="9">
        <v>160</v>
      </c>
      <c r="L2059" s="9">
        <v>0.38</v>
      </c>
      <c r="M2059" s="9">
        <v>60.8</v>
      </c>
      <c r="N2059" s="9" t="s">
        <v>49</v>
      </c>
      <c r="Q2059" s="9">
        <f>IF(Auction_Sales[[#This Row],[Payment Date]]=0,"",-1+WEEKNUM(Auction_Sales[[#This Row],[Payment Date]]))</f>
        <v>28</v>
      </c>
      <c r="R2059" s="9">
        <v>160</v>
      </c>
      <c r="S2059" s="9" t="s">
        <v>155</v>
      </c>
      <c r="T2059" s="9" t="s">
        <v>51</v>
      </c>
      <c r="W2059" s="13">
        <v>0</v>
      </c>
      <c r="X2059" s="14">
        <v>0</v>
      </c>
      <c r="Y2059" s="13">
        <v>0</v>
      </c>
      <c r="Z2059" s="10">
        <v>45490</v>
      </c>
      <c r="AA2059" s="9">
        <v>-160</v>
      </c>
      <c r="AC2059" s="9">
        <v>447267</v>
      </c>
      <c r="AD2059" s="14">
        <v>9.2386666666666653</v>
      </c>
      <c r="AF2059" s="14">
        <v>0</v>
      </c>
      <c r="AH2059" s="14">
        <v>9.2386666666666653</v>
      </c>
      <c r="AI2059" s="13">
        <v>-9.2386666666666653</v>
      </c>
      <c r="AK2059" s="9">
        <v>0</v>
      </c>
    </row>
    <row r="2060" spans="1:37">
      <c r="A2060" s="9">
        <v>28</v>
      </c>
      <c r="B2060" s="9">
        <v>2024</v>
      </c>
      <c r="C2060" s="9" t="s">
        <v>46</v>
      </c>
      <c r="D2060" s="9" t="s">
        <v>47</v>
      </c>
      <c r="E2060" s="9" t="s">
        <v>47</v>
      </c>
      <c r="F2060" s="10">
        <v>45479</v>
      </c>
      <c r="G2060" s="9" t="s">
        <v>155</v>
      </c>
      <c r="H2060" s="9" t="s">
        <v>48</v>
      </c>
      <c r="J2060" s="9">
        <v>4.666666666666667</v>
      </c>
      <c r="K2060" s="9">
        <v>280</v>
      </c>
      <c r="L2060" s="9">
        <v>0.47</v>
      </c>
      <c r="M2060" s="9">
        <v>131.6</v>
      </c>
      <c r="N2060" s="9" t="s">
        <v>49</v>
      </c>
      <c r="Q2060" s="9">
        <f>IF(Auction_Sales[[#This Row],[Payment Date]]=0,"",-1+WEEKNUM(Auction_Sales[[#This Row],[Payment Date]]))</f>
        <v>28</v>
      </c>
      <c r="R2060" s="9">
        <v>0</v>
      </c>
      <c r="S2060" s="9" t="s">
        <v>155</v>
      </c>
      <c r="T2060" s="9" t="s">
        <v>48</v>
      </c>
      <c r="U2060" s="9">
        <v>280</v>
      </c>
      <c r="V2060" s="13">
        <v>0.33428571428571424</v>
      </c>
      <c r="W2060" s="13">
        <v>93.6</v>
      </c>
      <c r="X2060" s="14">
        <v>-10.73882352941177</v>
      </c>
      <c r="Y2060" s="13">
        <v>82.861176470588219</v>
      </c>
      <c r="Z2060" s="10">
        <v>45490</v>
      </c>
      <c r="AA2060" s="9">
        <v>0</v>
      </c>
      <c r="AC2060" s="9">
        <v>447267</v>
      </c>
      <c r="AD2060" s="14">
        <v>16.167666666666666</v>
      </c>
      <c r="AF2060" s="14">
        <v>5.6000000000000005</v>
      </c>
      <c r="AH2060" s="14">
        <v>21.767666666666667</v>
      </c>
      <c r="AI2060" s="13">
        <v>61.093509803921549</v>
      </c>
      <c r="AK2060" s="9">
        <v>280</v>
      </c>
    </row>
    <row r="2061" spans="1:37">
      <c r="A2061" s="9">
        <v>28</v>
      </c>
      <c r="B2061" s="9">
        <v>2024</v>
      </c>
      <c r="C2061" s="9" t="s">
        <v>46</v>
      </c>
      <c r="D2061" s="9" t="s">
        <v>47</v>
      </c>
      <c r="E2061" s="9" t="s">
        <v>47</v>
      </c>
      <c r="F2061" s="10">
        <v>45479</v>
      </c>
      <c r="G2061" s="9" t="s">
        <v>156</v>
      </c>
      <c r="H2061" s="9" t="s">
        <v>51</v>
      </c>
      <c r="J2061" s="9">
        <v>4.666666666666667</v>
      </c>
      <c r="K2061" s="9">
        <v>280</v>
      </c>
      <c r="L2061" s="9">
        <v>0.42</v>
      </c>
      <c r="M2061" s="9">
        <v>117.6</v>
      </c>
      <c r="N2061" s="9" t="s">
        <v>49</v>
      </c>
      <c r="Q2061" s="9">
        <f>IF(Auction_Sales[[#This Row],[Payment Date]]=0,"",-1+WEEKNUM(Auction_Sales[[#This Row],[Payment Date]]))</f>
        <v>28</v>
      </c>
      <c r="R2061" s="9">
        <v>0</v>
      </c>
      <c r="S2061" s="9" t="s">
        <v>156</v>
      </c>
      <c r="T2061" s="9" t="s">
        <v>51</v>
      </c>
      <c r="U2061" s="9">
        <v>280</v>
      </c>
      <c r="V2061" s="13">
        <v>0.22</v>
      </c>
      <c r="W2061" s="13">
        <v>61.6</v>
      </c>
      <c r="X2061" s="14">
        <v>-10.73882352941177</v>
      </c>
      <c r="Y2061" s="13">
        <v>50.861176470588234</v>
      </c>
      <c r="Z2061" s="10">
        <v>45490</v>
      </c>
      <c r="AA2061" s="9">
        <v>0</v>
      </c>
      <c r="AC2061" s="9">
        <v>447267</v>
      </c>
      <c r="AD2061" s="14">
        <v>16.167666666666666</v>
      </c>
      <c r="AF2061" s="14">
        <v>5.6000000000000005</v>
      </c>
      <c r="AH2061" s="14">
        <v>21.767666666666667</v>
      </c>
      <c r="AI2061" s="13">
        <v>29.093509803921567</v>
      </c>
      <c r="AK2061" s="9">
        <v>280</v>
      </c>
    </row>
    <row r="2062" spans="1:37">
      <c r="A2062" s="9">
        <v>28</v>
      </c>
      <c r="B2062" s="9">
        <v>2024</v>
      </c>
      <c r="C2062" s="9" t="s">
        <v>46</v>
      </c>
      <c r="D2062" s="9" t="s">
        <v>47</v>
      </c>
      <c r="E2062" s="9" t="s">
        <v>47</v>
      </c>
      <c r="F2062" s="10">
        <v>45479</v>
      </c>
      <c r="G2062" s="9" t="s">
        <v>156</v>
      </c>
      <c r="H2062" s="9" t="s">
        <v>48</v>
      </c>
      <c r="I2062" s="9">
        <v>1</v>
      </c>
      <c r="J2062" s="9">
        <v>0.54545454545454541</v>
      </c>
      <c r="K2062" s="9">
        <v>40</v>
      </c>
      <c r="L2062" s="9">
        <v>0.52</v>
      </c>
      <c r="M2062" s="9">
        <v>20.8</v>
      </c>
      <c r="N2062" s="9" t="s">
        <v>49</v>
      </c>
      <c r="Q2062" s="9">
        <f>IF(Auction_Sales[[#This Row],[Payment Date]]=0,"",-1+WEEKNUM(Auction_Sales[[#This Row],[Payment Date]]))</f>
        <v>28</v>
      </c>
      <c r="R2062" s="9">
        <v>0</v>
      </c>
      <c r="S2062" s="9" t="s">
        <v>156</v>
      </c>
      <c r="T2062" s="9" t="s">
        <v>48</v>
      </c>
      <c r="U2062" s="9">
        <v>40</v>
      </c>
      <c r="V2062" s="13">
        <v>0.21000000000000002</v>
      </c>
      <c r="W2062" s="13">
        <v>8.4</v>
      </c>
      <c r="X2062" s="14">
        <v>-1.5341176470588243</v>
      </c>
      <c r="Y2062" s="13">
        <v>6.8658823529411759</v>
      </c>
      <c r="Z2062" s="10">
        <v>45490</v>
      </c>
      <c r="AA2062" s="9">
        <v>0</v>
      </c>
      <c r="AC2062" s="9">
        <v>447267</v>
      </c>
      <c r="AD2062" s="14">
        <v>1.8897272727272727</v>
      </c>
      <c r="AF2062" s="14">
        <v>0.8</v>
      </c>
      <c r="AH2062" s="14">
        <v>2.6897272727272727</v>
      </c>
      <c r="AI2062" s="13">
        <v>4.1761550802139027</v>
      </c>
      <c r="AK2062" s="9">
        <v>40</v>
      </c>
    </row>
    <row r="2063" spans="1:37">
      <c r="A2063" s="9">
        <v>28</v>
      </c>
      <c r="B2063" s="9">
        <v>2024</v>
      </c>
      <c r="C2063" s="9" t="s">
        <v>46</v>
      </c>
      <c r="D2063" s="9" t="s">
        <v>47</v>
      </c>
      <c r="E2063" s="9" t="s">
        <v>47</v>
      </c>
      <c r="F2063" s="10">
        <v>45481</v>
      </c>
      <c r="G2063" s="9" t="s">
        <v>154</v>
      </c>
      <c r="H2063" s="9" t="s">
        <v>51</v>
      </c>
      <c r="I2063" s="9">
        <v>1</v>
      </c>
      <c r="J2063" s="9">
        <v>12</v>
      </c>
      <c r="K2063" s="9">
        <v>400</v>
      </c>
      <c r="L2063" s="9">
        <v>0.38</v>
      </c>
      <c r="M2063" s="9">
        <v>152</v>
      </c>
      <c r="N2063" s="9" t="s">
        <v>49</v>
      </c>
      <c r="Q2063" s="9">
        <f>IF(Auction_Sales[[#This Row],[Payment Date]]=0,"",-1+WEEKNUM(Auction_Sales[[#This Row],[Payment Date]]))</f>
        <v>28</v>
      </c>
      <c r="R2063" s="9">
        <v>0</v>
      </c>
      <c r="S2063" s="9" t="s">
        <v>154</v>
      </c>
      <c r="T2063" s="9" t="s">
        <v>51</v>
      </c>
      <c r="U2063" s="9">
        <v>400</v>
      </c>
      <c r="V2063" s="13">
        <v>0.46200000000000002</v>
      </c>
      <c r="W2063" s="13">
        <v>184.8</v>
      </c>
      <c r="X2063" s="14">
        <v>-21.587959866220721</v>
      </c>
      <c r="Y2063" s="13">
        <v>163.21204013377928</v>
      </c>
      <c r="Z2063" s="10">
        <v>45490</v>
      </c>
      <c r="AA2063" s="9">
        <v>0</v>
      </c>
      <c r="AC2063" s="9" t="s">
        <v>130</v>
      </c>
      <c r="AD2063" s="14">
        <v>49.49166666666666</v>
      </c>
      <c r="AF2063" s="14">
        <v>8</v>
      </c>
      <c r="AH2063" s="14">
        <v>57.49166666666666</v>
      </c>
      <c r="AI2063" s="13">
        <v>105.72037346711262</v>
      </c>
      <c r="AK2063" s="9">
        <v>400</v>
      </c>
    </row>
    <row r="2064" spans="1:37">
      <c r="A2064" s="9">
        <v>28</v>
      </c>
      <c r="B2064" s="9">
        <v>2024</v>
      </c>
      <c r="C2064" s="9" t="s">
        <v>46</v>
      </c>
      <c r="D2064" s="9" t="s">
        <v>47</v>
      </c>
      <c r="E2064" s="9" t="s">
        <v>47</v>
      </c>
      <c r="F2064" s="10">
        <v>45481</v>
      </c>
      <c r="G2064" s="9" t="s">
        <v>155</v>
      </c>
      <c r="H2064" s="9" t="s">
        <v>51</v>
      </c>
      <c r="I2064" s="9">
        <v>1</v>
      </c>
      <c r="J2064" s="9">
        <v>12</v>
      </c>
      <c r="K2064" s="9">
        <v>760</v>
      </c>
      <c r="L2064" s="9">
        <v>0.38</v>
      </c>
      <c r="M2064" s="9">
        <v>288.8</v>
      </c>
      <c r="N2064" s="9" t="s">
        <v>49</v>
      </c>
      <c r="Q2064" s="9">
        <f>IF(Auction_Sales[[#This Row],[Payment Date]]=0,"",-1+WEEKNUM(Auction_Sales[[#This Row],[Payment Date]]))</f>
        <v>28</v>
      </c>
      <c r="R2064" s="9">
        <v>760</v>
      </c>
      <c r="S2064" s="9" t="s">
        <v>155</v>
      </c>
      <c r="T2064" s="9" t="s">
        <v>51</v>
      </c>
      <c r="W2064" s="13">
        <v>0</v>
      </c>
      <c r="X2064" s="14">
        <v>0</v>
      </c>
      <c r="Y2064" s="13">
        <v>0</v>
      </c>
      <c r="Z2064" s="10">
        <v>45490</v>
      </c>
      <c r="AA2064" s="9">
        <v>-760</v>
      </c>
      <c r="AC2064" s="9" t="s">
        <v>130</v>
      </c>
      <c r="AD2064" s="14">
        <v>49.49166666666666</v>
      </c>
      <c r="AF2064" s="14">
        <v>0</v>
      </c>
      <c r="AH2064" s="14">
        <v>49.49166666666666</v>
      </c>
      <c r="AI2064" s="13">
        <v>-49.49166666666666</v>
      </c>
      <c r="AK2064" s="9">
        <v>0</v>
      </c>
    </row>
    <row r="2065" spans="1:37">
      <c r="A2065" s="9">
        <v>28</v>
      </c>
      <c r="B2065" s="9">
        <v>2024</v>
      </c>
      <c r="C2065" s="9" t="s">
        <v>46</v>
      </c>
      <c r="D2065" s="9" t="s">
        <v>47</v>
      </c>
      <c r="E2065" s="9" t="s">
        <v>47</v>
      </c>
      <c r="F2065" s="10">
        <v>45481</v>
      </c>
      <c r="G2065" s="9" t="s">
        <v>154</v>
      </c>
      <c r="H2065" s="9" t="s">
        <v>52</v>
      </c>
      <c r="I2065" s="9">
        <v>1</v>
      </c>
      <c r="J2065" s="9">
        <v>1.3333333333333333</v>
      </c>
      <c r="K2065" s="9">
        <v>40</v>
      </c>
      <c r="L2065" s="9">
        <v>0.52</v>
      </c>
      <c r="M2065" s="9">
        <v>20.8</v>
      </c>
      <c r="N2065" s="9" t="s">
        <v>49</v>
      </c>
      <c r="Q2065" s="9">
        <f>IF(Auction_Sales[[#This Row],[Payment Date]]=0,"",-1+WEEKNUM(Auction_Sales[[#This Row],[Payment Date]]))</f>
        <v>28</v>
      </c>
      <c r="R2065" s="9">
        <v>0</v>
      </c>
      <c r="S2065" s="9" t="s">
        <v>154</v>
      </c>
      <c r="T2065" s="9" t="s">
        <v>52</v>
      </c>
      <c r="U2065" s="9">
        <v>40</v>
      </c>
      <c r="V2065" s="13">
        <v>0.57000000000000006</v>
      </c>
      <c r="W2065" s="13">
        <v>22.800000000000004</v>
      </c>
      <c r="X2065" s="14">
        <v>-2.1587959866220721</v>
      </c>
      <c r="Y2065" s="13">
        <v>20.641204013377934</v>
      </c>
      <c r="Z2065" s="10">
        <v>45490</v>
      </c>
      <c r="AA2065" s="9">
        <v>0</v>
      </c>
      <c r="AC2065" s="9" t="s">
        <v>130</v>
      </c>
      <c r="AD2065" s="14">
        <v>5.4990740740740733</v>
      </c>
      <c r="AF2065" s="14">
        <v>0.8</v>
      </c>
      <c r="AH2065" s="14">
        <v>6.2990740740740732</v>
      </c>
      <c r="AI2065" s="13">
        <v>14.342129939303859</v>
      </c>
      <c r="AK2065" s="9">
        <v>40</v>
      </c>
    </row>
    <row r="2066" spans="1:37">
      <c r="A2066" s="9">
        <v>28</v>
      </c>
      <c r="B2066" s="9">
        <v>2024</v>
      </c>
      <c r="C2066" s="9" t="s">
        <v>46</v>
      </c>
      <c r="D2066" s="9" t="s">
        <v>47</v>
      </c>
      <c r="E2066" s="9" t="s">
        <v>47</v>
      </c>
      <c r="F2066" s="10">
        <v>45481</v>
      </c>
      <c r="G2066" s="9" t="s">
        <v>154</v>
      </c>
      <c r="H2066" s="9" t="s">
        <v>48</v>
      </c>
      <c r="J2066" s="9">
        <v>10.666666666666666</v>
      </c>
      <c r="K2066" s="9">
        <v>320</v>
      </c>
      <c r="L2066" s="9">
        <v>0.47</v>
      </c>
      <c r="M2066" s="9">
        <v>150.4</v>
      </c>
      <c r="N2066" s="9" t="s">
        <v>49</v>
      </c>
      <c r="Q2066" s="9">
        <f>IF(Auction_Sales[[#This Row],[Payment Date]]=0,"",-1+WEEKNUM(Auction_Sales[[#This Row],[Payment Date]]))</f>
        <v>28</v>
      </c>
      <c r="R2066" s="9">
        <v>0</v>
      </c>
      <c r="S2066" s="9" t="s">
        <v>154</v>
      </c>
      <c r="T2066" s="9" t="s">
        <v>48</v>
      </c>
      <c r="U2066" s="9">
        <v>320</v>
      </c>
      <c r="V2066" s="13">
        <v>0.71500000000000008</v>
      </c>
      <c r="W2066" s="13">
        <v>228.8</v>
      </c>
      <c r="X2066" s="14">
        <v>-17.270367892976576</v>
      </c>
      <c r="Y2066" s="13">
        <v>211.52963210702345</v>
      </c>
      <c r="Z2066" s="10">
        <v>45490</v>
      </c>
      <c r="AA2066" s="9">
        <v>0</v>
      </c>
      <c r="AC2066" s="9" t="s">
        <v>130</v>
      </c>
      <c r="AD2066" s="14">
        <v>43.992592592592587</v>
      </c>
      <c r="AF2066" s="14">
        <v>6.4</v>
      </c>
      <c r="AH2066" s="14">
        <v>50.392592592592585</v>
      </c>
      <c r="AI2066" s="13">
        <v>161.13703951443085</v>
      </c>
      <c r="AK2066" s="9">
        <v>320</v>
      </c>
    </row>
    <row r="2067" spans="1:37">
      <c r="A2067" s="9">
        <v>28</v>
      </c>
      <c r="B2067" s="9">
        <v>2024</v>
      </c>
      <c r="C2067" s="9" t="s">
        <v>46</v>
      </c>
      <c r="D2067" s="9" t="s">
        <v>47</v>
      </c>
      <c r="E2067" s="9" t="s">
        <v>47</v>
      </c>
      <c r="F2067" s="10">
        <v>45481</v>
      </c>
      <c r="G2067" s="9" t="s">
        <v>155</v>
      </c>
      <c r="H2067" s="9" t="s">
        <v>51</v>
      </c>
      <c r="I2067" s="9">
        <v>1</v>
      </c>
      <c r="J2067" s="9">
        <v>4.2857142857142856</v>
      </c>
      <c r="K2067" s="9">
        <v>200</v>
      </c>
      <c r="L2067" s="9">
        <v>0.38</v>
      </c>
      <c r="M2067" s="9">
        <v>76</v>
      </c>
      <c r="N2067" s="9" t="s">
        <v>49</v>
      </c>
      <c r="Q2067" s="9">
        <f>IF(Auction_Sales[[#This Row],[Payment Date]]=0,"",-1+WEEKNUM(Auction_Sales[[#This Row],[Payment Date]]))</f>
        <v>28</v>
      </c>
      <c r="R2067" s="9">
        <v>-720</v>
      </c>
      <c r="S2067" s="9" t="s">
        <v>155</v>
      </c>
      <c r="T2067" s="9" t="s">
        <v>51</v>
      </c>
      <c r="U2067" s="9">
        <v>920</v>
      </c>
      <c r="V2067" s="13">
        <v>0.53869565217391302</v>
      </c>
      <c r="W2067" s="13">
        <v>495.59999999999997</v>
      </c>
      <c r="X2067" s="14">
        <v>-49.652307692307659</v>
      </c>
      <c r="Y2067" s="13">
        <v>445.94769230769231</v>
      </c>
      <c r="Z2067" s="10">
        <v>45490</v>
      </c>
      <c r="AA2067" s="9">
        <v>720</v>
      </c>
      <c r="AC2067" s="9" t="s">
        <v>130</v>
      </c>
      <c r="AD2067" s="14">
        <v>17.675595238095237</v>
      </c>
      <c r="AF2067" s="14">
        <v>18.400000000000002</v>
      </c>
      <c r="AH2067" s="14">
        <v>36.075595238095239</v>
      </c>
      <c r="AI2067" s="13">
        <v>409.87209706959709</v>
      </c>
      <c r="AK2067" s="9">
        <v>920</v>
      </c>
    </row>
    <row r="2068" spans="1:37">
      <c r="A2068" s="9">
        <v>28</v>
      </c>
      <c r="B2068" s="9">
        <v>2024</v>
      </c>
      <c r="C2068" s="9" t="s">
        <v>46</v>
      </c>
      <c r="D2068" s="9" t="s">
        <v>47</v>
      </c>
      <c r="E2068" s="9" t="s">
        <v>47</v>
      </c>
      <c r="F2068" s="10">
        <v>45481</v>
      </c>
      <c r="G2068" s="9" t="s">
        <v>155</v>
      </c>
      <c r="H2068" s="9" t="s">
        <v>48</v>
      </c>
      <c r="J2068" s="9">
        <v>7.7142857142857153</v>
      </c>
      <c r="K2068" s="9">
        <v>360</v>
      </c>
      <c r="L2068" s="9">
        <v>0.47</v>
      </c>
      <c r="M2068" s="9">
        <v>169.2</v>
      </c>
      <c r="N2068" s="9" t="s">
        <v>49</v>
      </c>
      <c r="Q2068" s="9">
        <f>IF(Auction_Sales[[#This Row],[Payment Date]]=0,"",-1+WEEKNUM(Auction_Sales[[#This Row],[Payment Date]]))</f>
        <v>28</v>
      </c>
      <c r="R2068" s="9">
        <v>0</v>
      </c>
      <c r="S2068" s="9" t="s">
        <v>155</v>
      </c>
      <c r="T2068" s="9" t="s">
        <v>48</v>
      </c>
      <c r="U2068" s="9">
        <v>360</v>
      </c>
      <c r="V2068" s="13">
        <v>0.59</v>
      </c>
      <c r="W2068" s="13">
        <v>212.39999999999998</v>
      </c>
      <c r="X2068" s="14">
        <v>-19.429163879598651</v>
      </c>
      <c r="Y2068" s="13">
        <v>192.97083612040132</v>
      </c>
      <c r="Z2068" s="10">
        <v>45490</v>
      </c>
      <c r="AA2068" s="9">
        <v>0</v>
      </c>
      <c r="AC2068" s="9" t="s">
        <v>130</v>
      </c>
      <c r="AD2068" s="14">
        <v>31.81607142857143</v>
      </c>
      <c r="AF2068" s="14">
        <v>7.2</v>
      </c>
      <c r="AH2068" s="14">
        <v>39.016071428571429</v>
      </c>
      <c r="AI2068" s="13">
        <v>153.95476469182989</v>
      </c>
      <c r="AK2068" s="9">
        <v>360</v>
      </c>
    </row>
    <row r="2069" spans="1:37">
      <c r="A2069" s="9">
        <v>28</v>
      </c>
      <c r="B2069" s="9">
        <v>2024</v>
      </c>
      <c r="C2069" s="9" t="s">
        <v>46</v>
      </c>
      <c r="D2069" s="9" t="s">
        <v>47</v>
      </c>
      <c r="E2069" s="9" t="s">
        <v>47</v>
      </c>
      <c r="F2069" s="10">
        <v>45481</v>
      </c>
      <c r="G2069" s="9" t="s">
        <v>153</v>
      </c>
      <c r="H2069" s="9" t="s">
        <v>56</v>
      </c>
      <c r="I2069" s="9">
        <v>1</v>
      </c>
      <c r="J2069" s="9">
        <v>0.92307692307692313</v>
      </c>
      <c r="K2069" s="9">
        <v>40</v>
      </c>
      <c r="L2069" s="9">
        <v>0.38</v>
      </c>
      <c r="M2069" s="9">
        <v>15.2</v>
      </c>
      <c r="N2069" s="9" t="s">
        <v>49</v>
      </c>
      <c r="Q2069" s="9">
        <f>IF(Auction_Sales[[#This Row],[Payment Date]]=0,"",-1+WEEKNUM(Auction_Sales[[#This Row],[Payment Date]]))</f>
        <v>28</v>
      </c>
      <c r="R2069" s="9">
        <v>10</v>
      </c>
      <c r="S2069" s="9" t="s">
        <v>153</v>
      </c>
      <c r="T2069" s="9" t="s">
        <v>56</v>
      </c>
      <c r="U2069" s="9">
        <v>30</v>
      </c>
      <c r="V2069" s="13">
        <v>0.5</v>
      </c>
      <c r="W2069" s="13">
        <v>15</v>
      </c>
      <c r="X2069" s="14">
        <v>-1.6190969899665542</v>
      </c>
      <c r="Y2069" s="13">
        <v>13.380903010033446</v>
      </c>
      <c r="Z2069" s="10">
        <v>45490</v>
      </c>
      <c r="AA2069" s="9">
        <v>-10</v>
      </c>
      <c r="AC2069" s="9" t="s">
        <v>130</v>
      </c>
      <c r="AD2069" s="14">
        <v>3.8070512820512823</v>
      </c>
      <c r="AF2069" s="14">
        <v>0.6</v>
      </c>
      <c r="AH2069" s="14">
        <v>4.4070512820512819</v>
      </c>
      <c r="AI2069" s="13">
        <v>8.973851727982165</v>
      </c>
      <c r="AK2069" s="9">
        <v>30</v>
      </c>
    </row>
    <row r="2070" spans="1:37">
      <c r="A2070" s="9">
        <v>28</v>
      </c>
      <c r="B2070" s="9">
        <v>2024</v>
      </c>
      <c r="C2070" s="9" t="s">
        <v>46</v>
      </c>
      <c r="D2070" s="9" t="s">
        <v>47</v>
      </c>
      <c r="E2070" s="9" t="s">
        <v>47</v>
      </c>
      <c r="F2070" s="10">
        <v>45481</v>
      </c>
      <c r="G2070" s="9" t="s">
        <v>153</v>
      </c>
      <c r="H2070" s="9" t="s">
        <v>48</v>
      </c>
      <c r="J2070" s="9">
        <v>4.6153846153846159</v>
      </c>
      <c r="K2070" s="9">
        <v>200</v>
      </c>
      <c r="L2070" s="9">
        <v>0.24</v>
      </c>
      <c r="M2070" s="9">
        <v>48</v>
      </c>
      <c r="N2070" s="9" t="s">
        <v>49</v>
      </c>
      <c r="Q2070" s="9">
        <f>IF(Auction_Sales[[#This Row],[Payment Date]]=0,"",-1+WEEKNUM(Auction_Sales[[#This Row],[Payment Date]]))</f>
        <v>28</v>
      </c>
      <c r="R2070" s="9">
        <v>0</v>
      </c>
      <c r="S2070" s="9" t="s">
        <v>153</v>
      </c>
      <c r="T2070" s="9" t="s">
        <v>48</v>
      </c>
      <c r="U2070" s="9">
        <v>200</v>
      </c>
      <c r="V2070" s="13">
        <v>0.35</v>
      </c>
      <c r="W2070" s="13">
        <v>70</v>
      </c>
      <c r="X2070" s="14">
        <v>-10.793979933110361</v>
      </c>
      <c r="Y2070" s="13">
        <v>59.206020066889636</v>
      </c>
      <c r="Z2070" s="10">
        <v>45490</v>
      </c>
      <c r="AA2070" s="9">
        <v>0</v>
      </c>
      <c r="AC2070" s="9" t="s">
        <v>130</v>
      </c>
      <c r="AD2070" s="14">
        <v>19.035256410256412</v>
      </c>
      <c r="AF2070" s="14">
        <v>4</v>
      </c>
      <c r="AH2070" s="14">
        <v>23.035256410256412</v>
      </c>
      <c r="AI2070" s="13">
        <v>36.170763656633227</v>
      </c>
      <c r="AK2070" s="9">
        <v>200</v>
      </c>
    </row>
    <row r="2071" spans="1:37">
      <c r="A2071" s="9">
        <v>28</v>
      </c>
      <c r="B2071" s="9">
        <v>2024</v>
      </c>
      <c r="C2071" s="9" t="s">
        <v>46</v>
      </c>
      <c r="D2071" s="9" t="s">
        <v>47</v>
      </c>
      <c r="E2071" s="9" t="s">
        <v>47</v>
      </c>
      <c r="F2071" s="10">
        <v>45481</v>
      </c>
      <c r="G2071" s="9" t="s">
        <v>153</v>
      </c>
      <c r="H2071" s="9" t="s">
        <v>52</v>
      </c>
      <c r="J2071" s="9">
        <v>5.5384615384615383</v>
      </c>
      <c r="K2071" s="9">
        <v>240</v>
      </c>
      <c r="L2071" s="9">
        <v>0.28000000000000003</v>
      </c>
      <c r="M2071" s="9">
        <v>67.2</v>
      </c>
      <c r="N2071" s="9" t="s">
        <v>49</v>
      </c>
      <c r="Q2071" s="9">
        <f>IF(Auction_Sales[[#This Row],[Payment Date]]=0,"",-1+WEEKNUM(Auction_Sales[[#This Row],[Payment Date]]))</f>
        <v>28</v>
      </c>
      <c r="R2071" s="9">
        <v>0</v>
      </c>
      <c r="S2071" s="9" t="s">
        <v>153</v>
      </c>
      <c r="T2071" s="9" t="s">
        <v>52</v>
      </c>
      <c r="U2071" s="9">
        <v>240</v>
      </c>
      <c r="V2071" s="13">
        <v>0.34499999999999997</v>
      </c>
      <c r="W2071" s="13">
        <v>82.8</v>
      </c>
      <c r="X2071" s="14">
        <v>-12.952775919732433</v>
      </c>
      <c r="Y2071" s="13">
        <v>69.847224080267566</v>
      </c>
      <c r="Z2071" s="10">
        <v>45490</v>
      </c>
      <c r="AA2071" s="9">
        <v>0</v>
      </c>
      <c r="AC2071" s="9" t="s">
        <v>130</v>
      </c>
      <c r="AD2071" s="14">
        <v>22.842307692307692</v>
      </c>
      <c r="AF2071" s="14">
        <v>4.8</v>
      </c>
      <c r="AH2071" s="14">
        <v>27.642307692307693</v>
      </c>
      <c r="AI2071" s="13">
        <v>42.204916387959869</v>
      </c>
      <c r="AK2071" s="9">
        <v>240</v>
      </c>
    </row>
    <row r="2072" spans="1:37">
      <c r="A2072" s="9">
        <v>28</v>
      </c>
      <c r="B2072" s="9">
        <v>2024</v>
      </c>
      <c r="C2072" s="9" t="s">
        <v>46</v>
      </c>
      <c r="D2072" s="9" t="s">
        <v>47</v>
      </c>
      <c r="E2072" s="9" t="s">
        <v>47</v>
      </c>
      <c r="F2072" s="10">
        <v>45481</v>
      </c>
      <c r="G2072" s="9" t="s">
        <v>153</v>
      </c>
      <c r="H2072" s="9" t="s">
        <v>54</v>
      </c>
      <c r="J2072" s="9">
        <v>0.92307692307692313</v>
      </c>
      <c r="K2072" s="9">
        <v>40</v>
      </c>
      <c r="L2072" s="9">
        <v>0.33</v>
      </c>
      <c r="M2072" s="9">
        <v>13.2</v>
      </c>
      <c r="N2072" s="9" t="s">
        <v>49</v>
      </c>
      <c r="Q2072" s="9">
        <f>IF(Auction_Sales[[#This Row],[Payment Date]]=0,"",-1+WEEKNUM(Auction_Sales[[#This Row],[Payment Date]]))</f>
        <v>28</v>
      </c>
      <c r="R2072" s="9">
        <v>0</v>
      </c>
      <c r="S2072" s="9" t="s">
        <v>153</v>
      </c>
      <c r="T2072" s="9" t="s">
        <v>54</v>
      </c>
      <c r="U2072" s="9">
        <v>40</v>
      </c>
      <c r="V2072" s="13">
        <v>0.45</v>
      </c>
      <c r="W2072" s="13">
        <v>18</v>
      </c>
      <c r="X2072" s="14">
        <v>-2.1587959866220721</v>
      </c>
      <c r="Y2072" s="13">
        <v>15.841204013377927</v>
      </c>
      <c r="Z2072" s="10">
        <v>45490</v>
      </c>
      <c r="AA2072" s="9">
        <v>0</v>
      </c>
      <c r="AC2072" s="9" t="s">
        <v>130</v>
      </c>
      <c r="AD2072" s="14">
        <v>3.8070512820512823</v>
      </c>
      <c r="AF2072" s="14">
        <v>0.8</v>
      </c>
      <c r="AH2072" s="14">
        <v>4.6070512820512821</v>
      </c>
      <c r="AI2072" s="13">
        <v>11.234152731326645</v>
      </c>
      <c r="AK2072" s="9">
        <v>40</v>
      </c>
    </row>
    <row r="2073" spans="1:37">
      <c r="A2073" s="9">
        <v>28</v>
      </c>
      <c r="B2073" s="9">
        <v>2024</v>
      </c>
      <c r="C2073" s="9" t="s">
        <v>46</v>
      </c>
      <c r="D2073" s="9" t="s">
        <v>47</v>
      </c>
      <c r="E2073" s="9" t="s">
        <v>47</v>
      </c>
      <c r="F2073" s="10">
        <v>45481</v>
      </c>
      <c r="G2073" s="9" t="s">
        <v>156</v>
      </c>
      <c r="H2073" s="9" t="s">
        <v>51</v>
      </c>
      <c r="I2073" s="9">
        <v>1</v>
      </c>
      <c r="J2073" s="9">
        <v>6.545454545454545</v>
      </c>
      <c r="K2073" s="9">
        <v>240</v>
      </c>
      <c r="L2073" s="9">
        <v>0.42</v>
      </c>
      <c r="M2073" s="9">
        <v>100.8</v>
      </c>
      <c r="N2073" s="9" t="s">
        <v>49</v>
      </c>
      <c r="Q2073" s="9">
        <f>IF(Auction_Sales[[#This Row],[Payment Date]]=0,"",-1+WEEKNUM(Auction_Sales[[#This Row],[Payment Date]]))</f>
        <v>28</v>
      </c>
      <c r="R2073" s="9">
        <v>0</v>
      </c>
      <c r="S2073" s="9" t="s">
        <v>156</v>
      </c>
      <c r="T2073" s="9" t="s">
        <v>51</v>
      </c>
      <c r="U2073" s="9">
        <v>240</v>
      </c>
      <c r="V2073" s="13">
        <v>0.42</v>
      </c>
      <c r="W2073" s="13">
        <v>100.8</v>
      </c>
      <c r="X2073" s="14">
        <v>-12.952775919732433</v>
      </c>
      <c r="Y2073" s="13">
        <v>87.847224080267566</v>
      </c>
      <c r="Z2073" s="10">
        <v>45490</v>
      </c>
      <c r="AA2073" s="9">
        <v>0</v>
      </c>
      <c r="AC2073" s="9" t="s">
        <v>130</v>
      </c>
      <c r="AD2073" s="14">
        <v>26.995454545454542</v>
      </c>
      <c r="AF2073" s="14">
        <v>4.8</v>
      </c>
      <c r="AH2073" s="14">
        <v>31.795454545454543</v>
      </c>
      <c r="AI2073" s="13">
        <v>56.051769534813019</v>
      </c>
      <c r="AK2073" s="9">
        <v>240</v>
      </c>
    </row>
    <row r="2074" spans="1:37">
      <c r="A2074" s="9">
        <v>28</v>
      </c>
      <c r="B2074" s="9">
        <v>2024</v>
      </c>
      <c r="C2074" s="9" t="s">
        <v>46</v>
      </c>
      <c r="D2074" s="9" t="s">
        <v>47</v>
      </c>
      <c r="E2074" s="9" t="s">
        <v>47</v>
      </c>
      <c r="F2074" s="10">
        <v>45481</v>
      </c>
      <c r="G2074" s="9" t="s">
        <v>156</v>
      </c>
      <c r="H2074" s="9" t="s">
        <v>48</v>
      </c>
      <c r="J2074" s="9">
        <v>2.1818181818181817</v>
      </c>
      <c r="K2074" s="9">
        <v>80</v>
      </c>
      <c r="L2074" s="9">
        <v>0.52</v>
      </c>
      <c r="M2074" s="9">
        <v>41.6</v>
      </c>
      <c r="N2074" s="9" t="s">
        <v>49</v>
      </c>
      <c r="Q2074" s="9">
        <f>IF(Auction_Sales[[#This Row],[Payment Date]]=0,"",-1+WEEKNUM(Auction_Sales[[#This Row],[Payment Date]]))</f>
        <v>28</v>
      </c>
      <c r="R2074" s="9">
        <v>0</v>
      </c>
      <c r="S2074" s="9" t="s">
        <v>156</v>
      </c>
      <c r="T2074" s="9" t="s">
        <v>48</v>
      </c>
      <c r="U2074" s="9">
        <v>80</v>
      </c>
      <c r="V2074" s="13">
        <v>0.57000000000000006</v>
      </c>
      <c r="W2074" s="13">
        <v>45.600000000000009</v>
      </c>
      <c r="X2074" s="14">
        <v>-4.3175919732441441</v>
      </c>
      <c r="Y2074" s="13">
        <v>41.282408026755867</v>
      </c>
      <c r="Z2074" s="10">
        <v>45490</v>
      </c>
      <c r="AA2074" s="9">
        <v>0</v>
      </c>
      <c r="AC2074" s="9" t="s">
        <v>130</v>
      </c>
      <c r="AD2074" s="14">
        <v>8.9984848484848481</v>
      </c>
      <c r="AF2074" s="14">
        <v>1.6</v>
      </c>
      <c r="AH2074" s="14">
        <v>10.598484848484848</v>
      </c>
      <c r="AI2074" s="13">
        <v>30.683923178271019</v>
      </c>
      <c r="AK2074" s="9">
        <v>80</v>
      </c>
    </row>
    <row r="2075" spans="1:37">
      <c r="A2075" s="9">
        <v>28</v>
      </c>
      <c r="B2075" s="9">
        <v>2024</v>
      </c>
      <c r="C2075" s="9" t="s">
        <v>46</v>
      </c>
      <c r="D2075" s="9" t="s">
        <v>47</v>
      </c>
      <c r="E2075" s="9" t="s">
        <v>47</v>
      </c>
      <c r="F2075" s="10">
        <v>45481</v>
      </c>
      <c r="G2075" s="9" t="s">
        <v>156</v>
      </c>
      <c r="H2075" s="9" t="s">
        <v>52</v>
      </c>
      <c r="J2075" s="9">
        <v>1.0909090909090908</v>
      </c>
      <c r="K2075" s="9">
        <v>40</v>
      </c>
      <c r="L2075" s="9">
        <v>0.61</v>
      </c>
      <c r="M2075" s="9">
        <v>24.4</v>
      </c>
      <c r="N2075" s="9" t="s">
        <v>49</v>
      </c>
      <c r="Q2075" s="9">
        <f>IF(Auction_Sales[[#This Row],[Payment Date]]=0,"",-1+WEEKNUM(Auction_Sales[[#This Row],[Payment Date]]))</f>
        <v>28</v>
      </c>
      <c r="R2075" s="9">
        <v>0</v>
      </c>
      <c r="S2075" s="9" t="s">
        <v>156</v>
      </c>
      <c r="T2075" s="9" t="s">
        <v>52</v>
      </c>
      <c r="U2075" s="9">
        <v>40</v>
      </c>
      <c r="V2075" s="13">
        <v>0.72</v>
      </c>
      <c r="W2075" s="13">
        <v>28.799999999999997</v>
      </c>
      <c r="X2075" s="14">
        <v>-2.1587959866220721</v>
      </c>
      <c r="Y2075" s="13">
        <v>26.641204013377926</v>
      </c>
      <c r="Z2075" s="10">
        <v>45490</v>
      </c>
      <c r="AA2075" s="9">
        <v>0</v>
      </c>
      <c r="AC2075" s="9" t="s">
        <v>130</v>
      </c>
      <c r="AD2075" s="14">
        <v>4.499242424242424</v>
      </c>
      <c r="AF2075" s="14">
        <v>0.8</v>
      </c>
      <c r="AH2075" s="14">
        <v>5.2992424242424239</v>
      </c>
      <c r="AI2075" s="13">
        <v>21.341961589135501</v>
      </c>
      <c r="AK2075" s="9">
        <v>40</v>
      </c>
    </row>
    <row r="2076" spans="1:37">
      <c r="A2076" s="9">
        <v>28</v>
      </c>
      <c r="B2076" s="9">
        <v>2024</v>
      </c>
      <c r="C2076" s="9" t="s">
        <v>46</v>
      </c>
      <c r="D2076" s="9" t="s">
        <v>47</v>
      </c>
      <c r="E2076" s="9" t="s">
        <v>47</v>
      </c>
      <c r="F2076" s="10">
        <v>45481</v>
      </c>
      <c r="G2076" s="9" t="s">
        <v>156</v>
      </c>
      <c r="H2076" s="9" t="s">
        <v>56</v>
      </c>
      <c r="J2076" s="9">
        <v>1.0909090909090908</v>
      </c>
      <c r="K2076" s="9">
        <v>40</v>
      </c>
      <c r="L2076" s="9">
        <v>0.85</v>
      </c>
      <c r="M2076" s="9">
        <v>34</v>
      </c>
      <c r="N2076" s="9" t="s">
        <v>49</v>
      </c>
      <c r="Q2076" s="9">
        <f>IF(Auction_Sales[[#This Row],[Payment Date]]=0,"",-1+WEEKNUM(Auction_Sales[[#This Row],[Payment Date]]))</f>
        <v>28</v>
      </c>
      <c r="R2076" s="9">
        <v>0</v>
      </c>
      <c r="S2076" s="9" t="s">
        <v>156</v>
      </c>
      <c r="T2076" s="9" t="s">
        <v>56</v>
      </c>
      <c r="U2076" s="9">
        <v>40</v>
      </c>
      <c r="V2076" s="13">
        <v>0.82</v>
      </c>
      <c r="W2076" s="13">
        <v>32.799999999999997</v>
      </c>
      <c r="X2076" s="14">
        <v>-2.1587959866220721</v>
      </c>
      <c r="Y2076" s="13">
        <v>30.641204013377926</v>
      </c>
      <c r="Z2076" s="10">
        <v>45490</v>
      </c>
      <c r="AA2076" s="9">
        <v>0</v>
      </c>
      <c r="AC2076" s="9" t="s">
        <v>130</v>
      </c>
      <c r="AD2076" s="14">
        <v>4.499242424242424</v>
      </c>
      <c r="AF2076" s="14">
        <v>0.8</v>
      </c>
      <c r="AH2076" s="14">
        <v>5.2992424242424239</v>
      </c>
      <c r="AI2076" s="13">
        <v>25.341961589135501</v>
      </c>
      <c r="AK2076" s="9">
        <v>40</v>
      </c>
    </row>
    <row r="2077" spans="1:37">
      <c r="A2077" s="9">
        <v>28</v>
      </c>
      <c r="B2077" s="9">
        <v>2024</v>
      </c>
      <c r="C2077" s="9" t="s">
        <v>46</v>
      </c>
      <c r="D2077" s="9" t="s">
        <v>47</v>
      </c>
      <c r="E2077" s="9" t="s">
        <v>47</v>
      </c>
      <c r="F2077" s="10">
        <v>45481</v>
      </c>
      <c r="G2077" s="9" t="s">
        <v>156</v>
      </c>
      <c r="H2077" s="9" t="s">
        <v>54</v>
      </c>
      <c r="J2077" s="9">
        <v>1.0909090909090908</v>
      </c>
      <c r="K2077" s="9">
        <v>40</v>
      </c>
      <c r="L2077" s="9">
        <v>0.66</v>
      </c>
      <c r="M2077" s="9">
        <v>26.4</v>
      </c>
      <c r="N2077" s="9" t="s">
        <v>49</v>
      </c>
      <c r="Q2077" s="9">
        <f>IF(Auction_Sales[[#This Row],[Payment Date]]=0,"",-1+WEEKNUM(Auction_Sales[[#This Row],[Payment Date]]))</f>
        <v>28</v>
      </c>
      <c r="R2077" s="9">
        <v>0</v>
      </c>
      <c r="S2077" s="9" t="s">
        <v>156</v>
      </c>
      <c r="T2077" s="9" t="s">
        <v>54</v>
      </c>
      <c r="U2077" s="9">
        <v>40</v>
      </c>
      <c r="V2077" s="13">
        <v>0.77</v>
      </c>
      <c r="W2077" s="13">
        <v>30.8</v>
      </c>
      <c r="X2077" s="14">
        <v>-2.1587959866220721</v>
      </c>
      <c r="Y2077" s="13">
        <v>28.64120401337793</v>
      </c>
      <c r="Z2077" s="10">
        <v>45490</v>
      </c>
      <c r="AA2077" s="9">
        <v>0</v>
      </c>
      <c r="AC2077" s="9" t="s">
        <v>130</v>
      </c>
      <c r="AD2077" s="14">
        <v>4.499242424242424</v>
      </c>
      <c r="AF2077" s="14">
        <v>0.8</v>
      </c>
      <c r="AH2077" s="14">
        <v>5.2992424242424239</v>
      </c>
      <c r="AI2077" s="13">
        <v>23.341961589135508</v>
      </c>
      <c r="AK2077" s="9">
        <v>40</v>
      </c>
    </row>
    <row r="2078" spans="1:37">
      <c r="A2078" s="9">
        <v>28</v>
      </c>
      <c r="B2078" s="9">
        <v>2024</v>
      </c>
      <c r="C2078" s="9" t="s">
        <v>46</v>
      </c>
      <c r="D2078" s="9" t="s">
        <v>47</v>
      </c>
      <c r="E2078" s="9" t="s">
        <v>47</v>
      </c>
      <c r="F2078" s="10">
        <v>45484</v>
      </c>
      <c r="G2078" s="9" t="s">
        <v>156</v>
      </c>
      <c r="H2078" s="9" t="s">
        <v>48</v>
      </c>
      <c r="I2078" s="9">
        <v>1</v>
      </c>
      <c r="J2078" s="9">
        <v>12</v>
      </c>
      <c r="K2078" s="9">
        <v>480</v>
      </c>
      <c r="L2078" s="9">
        <v>0.52</v>
      </c>
      <c r="M2078" s="9">
        <v>249.6</v>
      </c>
      <c r="N2078" s="9" t="s">
        <v>49</v>
      </c>
      <c r="Q2078" s="9">
        <f>IF(Auction_Sales[[#This Row],[Payment Date]]=0,"",-1+WEEKNUM(Auction_Sales[[#This Row],[Payment Date]]))</f>
        <v>29</v>
      </c>
      <c r="R2078" s="9">
        <v>0</v>
      </c>
      <c r="S2078" s="9" t="s">
        <v>156</v>
      </c>
      <c r="T2078" s="9" t="s">
        <v>48</v>
      </c>
      <c r="U2078" s="9">
        <v>480</v>
      </c>
      <c r="V2078" s="13">
        <v>0.47583333333333333</v>
      </c>
      <c r="W2078" s="13">
        <v>228.4</v>
      </c>
      <c r="X2078" s="14">
        <v>-20.221016949152531</v>
      </c>
      <c r="Y2078" s="13">
        <v>208.17898305084748</v>
      </c>
      <c r="Z2078" s="10">
        <v>45497</v>
      </c>
      <c r="AA2078" s="9">
        <v>0</v>
      </c>
      <c r="AC2078" s="9">
        <v>446854</v>
      </c>
      <c r="AD2078" s="14">
        <v>41.668888888888887</v>
      </c>
      <c r="AF2078" s="14">
        <v>9.6</v>
      </c>
      <c r="AH2078" s="14">
        <v>51.268888888888888</v>
      </c>
      <c r="AI2078" s="13">
        <v>156.9100941619586</v>
      </c>
      <c r="AK2078" s="9">
        <v>480</v>
      </c>
    </row>
    <row r="2079" spans="1:37">
      <c r="A2079" s="9">
        <v>28</v>
      </c>
      <c r="B2079" s="9">
        <v>2024</v>
      </c>
      <c r="C2079" s="9" t="s">
        <v>46</v>
      </c>
      <c r="D2079" s="9" t="s">
        <v>47</v>
      </c>
      <c r="E2079" s="9" t="s">
        <v>47</v>
      </c>
      <c r="F2079" s="10">
        <v>45484</v>
      </c>
      <c r="G2079" s="9" t="s">
        <v>155</v>
      </c>
      <c r="H2079" s="9" t="s">
        <v>51</v>
      </c>
      <c r="I2079" s="9">
        <v>1</v>
      </c>
      <c r="J2079" s="9">
        <v>12</v>
      </c>
      <c r="K2079" s="9">
        <v>760</v>
      </c>
      <c r="L2079" s="9">
        <v>0.38</v>
      </c>
      <c r="M2079" s="9">
        <v>288.8</v>
      </c>
      <c r="N2079" s="9" t="s">
        <v>49</v>
      </c>
      <c r="Q2079" s="9">
        <f>IF(Auction_Sales[[#This Row],[Payment Date]]=0,"",-1+WEEKNUM(Auction_Sales[[#This Row],[Payment Date]]))</f>
        <v>29</v>
      </c>
      <c r="R2079" s="9">
        <v>-560</v>
      </c>
      <c r="S2079" s="9" t="s">
        <v>155</v>
      </c>
      <c r="T2079" s="9" t="s">
        <v>51</v>
      </c>
      <c r="U2079" s="9">
        <v>1320</v>
      </c>
      <c r="V2079" s="13">
        <v>0.39787878787878789</v>
      </c>
      <c r="W2079" s="13">
        <v>525.20000000000005</v>
      </c>
      <c r="X2079" s="14">
        <v>-55.607796610169466</v>
      </c>
      <c r="Y2079" s="13">
        <v>469.59220338983056</v>
      </c>
      <c r="Z2079" s="10">
        <v>45497</v>
      </c>
      <c r="AA2079" s="9">
        <v>560</v>
      </c>
      <c r="AC2079" s="9">
        <v>446854</v>
      </c>
      <c r="AD2079" s="14">
        <v>41.668888888888887</v>
      </c>
      <c r="AF2079" s="14">
        <v>26.400000000000002</v>
      </c>
      <c r="AH2079" s="14">
        <v>68.068888888888893</v>
      </c>
      <c r="AI2079" s="13">
        <v>401.52331450094164</v>
      </c>
      <c r="AK2079" s="9">
        <v>1320</v>
      </c>
    </row>
    <row r="2080" spans="1:37">
      <c r="A2080" s="9">
        <v>28</v>
      </c>
      <c r="B2080" s="9">
        <v>2024</v>
      </c>
      <c r="C2080" s="9" t="s">
        <v>46</v>
      </c>
      <c r="D2080" s="9" t="s">
        <v>47</v>
      </c>
      <c r="E2080" s="9" t="s">
        <v>47</v>
      </c>
      <c r="F2080" s="10">
        <v>45484</v>
      </c>
      <c r="G2080" s="9" t="s">
        <v>155</v>
      </c>
      <c r="H2080" s="9" t="s">
        <v>48</v>
      </c>
      <c r="I2080" s="9">
        <v>1</v>
      </c>
      <c r="J2080" s="9">
        <v>12</v>
      </c>
      <c r="K2080" s="9">
        <v>520</v>
      </c>
      <c r="L2080" s="9">
        <v>0.47</v>
      </c>
      <c r="M2080" s="9">
        <v>244.4</v>
      </c>
      <c r="N2080" s="9" t="s">
        <v>49</v>
      </c>
      <c r="Q2080" s="9">
        <f>IF(Auction_Sales[[#This Row],[Payment Date]]=0,"",-1+WEEKNUM(Auction_Sales[[#This Row],[Payment Date]]))</f>
        <v>29</v>
      </c>
      <c r="R2080" s="9">
        <v>-40</v>
      </c>
      <c r="S2080" s="9" t="s">
        <v>155</v>
      </c>
      <c r="T2080" s="9" t="s">
        <v>48</v>
      </c>
      <c r="U2080" s="9">
        <v>560</v>
      </c>
      <c r="V2080" s="13">
        <v>0.38</v>
      </c>
      <c r="W2080" s="13">
        <v>212.8</v>
      </c>
      <c r="X2080" s="14">
        <v>-23.591186440677955</v>
      </c>
      <c r="Y2080" s="13">
        <v>189.20881355932207</v>
      </c>
      <c r="Z2080" s="10">
        <v>45497</v>
      </c>
      <c r="AA2080" s="9">
        <v>40</v>
      </c>
      <c r="AC2080" s="9">
        <v>446854</v>
      </c>
      <c r="AD2080" s="14">
        <v>41.668888888888887</v>
      </c>
      <c r="AF2080" s="14">
        <v>11.200000000000001</v>
      </c>
      <c r="AH2080" s="14">
        <v>52.86888888888889</v>
      </c>
      <c r="AI2080" s="13">
        <v>136.33992467043316</v>
      </c>
      <c r="AK2080" s="9">
        <v>560</v>
      </c>
    </row>
    <row r="2081" spans="1:37">
      <c r="A2081" s="9">
        <v>28</v>
      </c>
      <c r="B2081" s="9">
        <v>2024</v>
      </c>
      <c r="C2081" s="9" t="s">
        <v>46</v>
      </c>
      <c r="D2081" s="9" t="s">
        <v>47</v>
      </c>
      <c r="E2081" s="9" t="s">
        <v>47</v>
      </c>
      <c r="F2081" s="10">
        <v>45484</v>
      </c>
      <c r="G2081" s="9" t="s">
        <v>153</v>
      </c>
      <c r="H2081" s="9" t="s">
        <v>51</v>
      </c>
      <c r="I2081" s="9">
        <v>1</v>
      </c>
      <c r="J2081" s="9">
        <v>12</v>
      </c>
      <c r="K2081" s="9">
        <v>680</v>
      </c>
      <c r="L2081" s="9">
        <v>0.14000000000000001</v>
      </c>
      <c r="M2081" s="9">
        <v>95.2</v>
      </c>
      <c r="N2081" s="9" t="s">
        <v>49</v>
      </c>
      <c r="Q2081" s="9">
        <f>IF(Auction_Sales[[#This Row],[Payment Date]]=0,"",-1+WEEKNUM(Auction_Sales[[#This Row],[Payment Date]]))</f>
        <v>29</v>
      </c>
      <c r="R2081" s="9">
        <v>0</v>
      </c>
      <c r="S2081" s="9" t="s">
        <v>153</v>
      </c>
      <c r="T2081" s="9" t="s">
        <v>51</v>
      </c>
      <c r="U2081" s="9">
        <v>680</v>
      </c>
      <c r="V2081" s="13">
        <v>0.36352941176470588</v>
      </c>
      <c r="W2081" s="13">
        <v>247.2</v>
      </c>
      <c r="X2081" s="14">
        <v>-28.646440677966091</v>
      </c>
      <c r="Y2081" s="13">
        <v>218.55355932203389</v>
      </c>
      <c r="Z2081" s="10">
        <v>45497</v>
      </c>
      <c r="AA2081" s="9">
        <v>0</v>
      </c>
      <c r="AC2081" s="9">
        <v>446854</v>
      </c>
      <c r="AD2081" s="14">
        <v>41.668888888888887</v>
      </c>
      <c r="AF2081" s="14">
        <v>13.6</v>
      </c>
      <c r="AH2081" s="14">
        <v>55.268888888888888</v>
      </c>
      <c r="AI2081" s="13">
        <v>163.28467043314501</v>
      </c>
      <c r="AK2081" s="9">
        <v>680</v>
      </c>
    </row>
    <row r="2082" spans="1:37">
      <c r="A2082" s="9">
        <v>28</v>
      </c>
      <c r="B2082" s="9">
        <v>2024</v>
      </c>
      <c r="C2082" s="9" t="s">
        <v>46</v>
      </c>
      <c r="D2082" s="9" t="s">
        <v>47</v>
      </c>
      <c r="E2082" s="9" t="s">
        <v>47</v>
      </c>
      <c r="F2082" s="10">
        <v>45484</v>
      </c>
      <c r="G2082" s="9" t="s">
        <v>153</v>
      </c>
      <c r="H2082" s="9" t="s">
        <v>48</v>
      </c>
      <c r="I2082" s="9">
        <v>1</v>
      </c>
      <c r="J2082" s="9">
        <v>7.6363636363636367</v>
      </c>
      <c r="K2082" s="9">
        <v>280</v>
      </c>
      <c r="L2082" s="9">
        <v>0.24</v>
      </c>
      <c r="M2082" s="9">
        <v>67.2</v>
      </c>
      <c r="N2082" s="9" t="s">
        <v>49</v>
      </c>
      <c r="Q2082" s="9">
        <f>IF(Auction_Sales[[#This Row],[Payment Date]]=0,"",-1+WEEKNUM(Auction_Sales[[#This Row],[Payment Date]]))</f>
        <v>29</v>
      </c>
      <c r="R2082" s="9">
        <v>0</v>
      </c>
      <c r="S2082" s="9" t="s">
        <v>153</v>
      </c>
      <c r="T2082" s="9" t="s">
        <v>48</v>
      </c>
      <c r="U2082" s="9">
        <v>280</v>
      </c>
      <c r="V2082" s="13">
        <v>0.4</v>
      </c>
      <c r="W2082" s="13">
        <v>112</v>
      </c>
      <c r="X2082" s="14">
        <v>-11.795593220338978</v>
      </c>
      <c r="Y2082" s="13">
        <v>100.20440677966103</v>
      </c>
      <c r="Z2082" s="10">
        <v>45497</v>
      </c>
      <c r="AA2082" s="9">
        <v>0</v>
      </c>
      <c r="AC2082" s="9">
        <v>446854</v>
      </c>
      <c r="AD2082" s="14">
        <v>26.516565656565653</v>
      </c>
      <c r="AF2082" s="14">
        <v>5.6000000000000005</v>
      </c>
      <c r="AH2082" s="14">
        <v>32.116565656565655</v>
      </c>
      <c r="AI2082" s="13">
        <v>68.087841123095373</v>
      </c>
      <c r="AK2082" s="9">
        <v>280</v>
      </c>
    </row>
    <row r="2083" spans="1:37">
      <c r="A2083" s="9">
        <v>28</v>
      </c>
      <c r="B2083" s="9">
        <v>2024</v>
      </c>
      <c r="C2083" s="9" t="s">
        <v>46</v>
      </c>
      <c r="D2083" s="9" t="s">
        <v>47</v>
      </c>
      <c r="E2083" s="9" t="s">
        <v>47</v>
      </c>
      <c r="F2083" s="10">
        <v>45484</v>
      </c>
      <c r="G2083" s="9" t="s">
        <v>153</v>
      </c>
      <c r="H2083" s="9" t="s">
        <v>52</v>
      </c>
      <c r="J2083" s="9">
        <v>2.1818181818181817</v>
      </c>
      <c r="K2083" s="9">
        <v>80</v>
      </c>
      <c r="L2083" s="9">
        <v>0.28000000000000003</v>
      </c>
      <c r="M2083" s="9">
        <v>22.4</v>
      </c>
      <c r="N2083" s="9" t="s">
        <v>49</v>
      </c>
      <c r="Q2083" s="9">
        <f>IF(Auction_Sales[[#This Row],[Payment Date]]=0,"",-1+WEEKNUM(Auction_Sales[[#This Row],[Payment Date]]))</f>
        <v>29</v>
      </c>
      <c r="R2083" s="9">
        <v>0</v>
      </c>
      <c r="S2083" s="9" t="s">
        <v>153</v>
      </c>
      <c r="T2083" s="9" t="s">
        <v>52</v>
      </c>
      <c r="U2083" s="9">
        <v>80</v>
      </c>
      <c r="V2083" s="13">
        <v>0.24</v>
      </c>
      <c r="W2083" s="13">
        <v>19.2</v>
      </c>
      <c r="X2083" s="14">
        <v>-3.3701694915254223</v>
      </c>
      <c r="Y2083" s="13">
        <v>15.829830508474577</v>
      </c>
      <c r="Z2083" s="10">
        <v>45497</v>
      </c>
      <c r="AA2083" s="9">
        <v>0</v>
      </c>
      <c r="AC2083" s="9">
        <v>446854</v>
      </c>
      <c r="AD2083" s="14">
        <v>7.576161616161615</v>
      </c>
      <c r="AF2083" s="14">
        <v>1.6</v>
      </c>
      <c r="AH2083" s="14">
        <v>9.1761616161616146</v>
      </c>
      <c r="AI2083" s="13">
        <v>6.6536688923129628</v>
      </c>
      <c r="AK2083" s="9">
        <v>80</v>
      </c>
    </row>
    <row r="2084" spans="1:37">
      <c r="A2084" s="9">
        <v>28</v>
      </c>
      <c r="B2084" s="9">
        <v>2024</v>
      </c>
      <c r="C2084" s="9" t="s">
        <v>46</v>
      </c>
      <c r="D2084" s="9" t="s">
        <v>47</v>
      </c>
      <c r="E2084" s="9" t="s">
        <v>47</v>
      </c>
      <c r="F2084" s="10">
        <v>45484</v>
      </c>
      <c r="G2084" s="9" t="s">
        <v>153</v>
      </c>
      <c r="H2084" s="9" t="s">
        <v>54</v>
      </c>
      <c r="J2084" s="9">
        <v>2.1818181818181817</v>
      </c>
      <c r="K2084" s="9">
        <v>80</v>
      </c>
      <c r="L2084" s="9">
        <v>0.33</v>
      </c>
      <c r="M2084" s="9">
        <v>26.4</v>
      </c>
      <c r="N2084" s="9" t="s">
        <v>49</v>
      </c>
      <c r="Q2084" s="9">
        <f>IF(Auction_Sales[[#This Row],[Payment Date]]=0,"",-1+WEEKNUM(Auction_Sales[[#This Row],[Payment Date]]))</f>
        <v>29</v>
      </c>
      <c r="R2084" s="9">
        <v>0</v>
      </c>
      <c r="S2084" s="9" t="s">
        <v>153</v>
      </c>
      <c r="T2084" s="9" t="s">
        <v>54</v>
      </c>
      <c r="U2084" s="9">
        <v>80</v>
      </c>
      <c r="V2084" s="13">
        <v>0.27</v>
      </c>
      <c r="W2084" s="13">
        <v>21.6</v>
      </c>
      <c r="X2084" s="14">
        <v>-3.3701694915254223</v>
      </c>
      <c r="Y2084" s="13">
        <v>18.229830508474578</v>
      </c>
      <c r="Z2084" s="10">
        <v>45497</v>
      </c>
      <c r="AA2084" s="9">
        <v>0</v>
      </c>
      <c r="AC2084" s="9">
        <v>446854</v>
      </c>
      <c r="AD2084" s="14">
        <v>7.576161616161615</v>
      </c>
      <c r="AF2084" s="14">
        <v>1.6</v>
      </c>
      <c r="AH2084" s="14">
        <v>9.1761616161616146</v>
      </c>
      <c r="AI2084" s="13">
        <v>9.0536688923129631</v>
      </c>
      <c r="AK2084" s="9">
        <v>80</v>
      </c>
    </row>
    <row r="2085" spans="1:37">
      <c r="A2085" s="9">
        <v>28</v>
      </c>
      <c r="B2085" s="9">
        <v>2024</v>
      </c>
      <c r="C2085" s="9" t="s">
        <v>46</v>
      </c>
      <c r="D2085" s="9" t="s">
        <v>47</v>
      </c>
      <c r="E2085" s="9" t="s">
        <v>47</v>
      </c>
      <c r="F2085" s="10">
        <v>45484</v>
      </c>
      <c r="G2085" s="9" t="s">
        <v>155</v>
      </c>
      <c r="H2085" s="9" t="s">
        <v>51</v>
      </c>
      <c r="I2085" s="9">
        <v>1</v>
      </c>
      <c r="J2085" s="9">
        <v>11.2</v>
      </c>
      <c r="K2085" s="9">
        <v>560</v>
      </c>
      <c r="L2085" s="9">
        <v>0.38</v>
      </c>
      <c r="M2085" s="9">
        <v>212.8</v>
      </c>
      <c r="N2085" s="9" t="s">
        <v>49</v>
      </c>
      <c r="Q2085" s="9">
        <f>IF(Auction_Sales[[#This Row],[Payment Date]]=0,"",-1+WEEKNUM(Auction_Sales[[#This Row],[Payment Date]]))</f>
        <v>29</v>
      </c>
      <c r="R2085" s="9">
        <v>560</v>
      </c>
      <c r="S2085" s="9" t="s">
        <v>155</v>
      </c>
      <c r="T2085" s="9" t="s">
        <v>51</v>
      </c>
      <c r="W2085" s="13">
        <v>0</v>
      </c>
      <c r="X2085" s="14">
        <v>0</v>
      </c>
      <c r="Y2085" s="13">
        <v>0</v>
      </c>
      <c r="Z2085" s="10">
        <v>45497</v>
      </c>
      <c r="AA2085" s="9">
        <v>-560</v>
      </c>
      <c r="AC2085" s="9">
        <v>446854</v>
      </c>
      <c r="AD2085" s="14">
        <v>38.890962962962959</v>
      </c>
      <c r="AF2085" s="14">
        <v>0</v>
      </c>
      <c r="AH2085" s="14">
        <v>38.890962962962959</v>
      </c>
      <c r="AI2085" s="13">
        <v>-38.890962962962959</v>
      </c>
      <c r="AK2085" s="9">
        <v>0</v>
      </c>
    </row>
    <row r="2086" spans="1:37">
      <c r="A2086" s="9">
        <v>28</v>
      </c>
      <c r="B2086" s="9">
        <v>2024</v>
      </c>
      <c r="C2086" s="9" t="s">
        <v>46</v>
      </c>
      <c r="D2086" s="9" t="s">
        <v>47</v>
      </c>
      <c r="E2086" s="9" t="s">
        <v>47</v>
      </c>
      <c r="F2086" s="10">
        <v>45484</v>
      </c>
      <c r="G2086" s="9" t="s">
        <v>155</v>
      </c>
      <c r="H2086" s="9" t="s">
        <v>48</v>
      </c>
      <c r="J2086" s="9">
        <v>0.8</v>
      </c>
      <c r="K2086" s="9">
        <v>40</v>
      </c>
      <c r="L2086" s="9">
        <v>0.47</v>
      </c>
      <c r="M2086" s="9">
        <v>18.8</v>
      </c>
      <c r="N2086" s="9" t="s">
        <v>49</v>
      </c>
      <c r="Q2086" s="9">
        <f>IF(Auction_Sales[[#This Row],[Payment Date]]=0,"",-1+WEEKNUM(Auction_Sales[[#This Row],[Payment Date]]))</f>
        <v>29</v>
      </c>
      <c r="R2086" s="9">
        <v>40</v>
      </c>
      <c r="S2086" s="9" t="s">
        <v>155</v>
      </c>
      <c r="T2086" s="9" t="s">
        <v>48</v>
      </c>
      <c r="W2086" s="13">
        <v>0</v>
      </c>
      <c r="X2086" s="14">
        <v>0</v>
      </c>
      <c r="Y2086" s="13">
        <v>0</v>
      </c>
      <c r="Z2086" s="10">
        <v>45497</v>
      </c>
      <c r="AA2086" s="9">
        <v>-40</v>
      </c>
      <c r="AC2086" s="9">
        <v>446854</v>
      </c>
      <c r="AD2086" s="14">
        <v>2.7779259259259259</v>
      </c>
      <c r="AF2086" s="14">
        <v>0</v>
      </c>
      <c r="AH2086" s="14">
        <v>2.7779259259259259</v>
      </c>
      <c r="AI2086" s="13">
        <v>-2.7779259259259259</v>
      </c>
      <c r="AK2086" s="9">
        <v>0</v>
      </c>
    </row>
    <row r="2087" spans="1:37">
      <c r="A2087" s="9">
        <v>28</v>
      </c>
      <c r="B2087" s="9">
        <v>2024</v>
      </c>
      <c r="C2087" s="9" t="s">
        <v>46</v>
      </c>
      <c r="D2087" s="9" t="s">
        <v>47</v>
      </c>
      <c r="E2087" s="9" t="s">
        <v>47</v>
      </c>
      <c r="F2087" s="10">
        <v>45484</v>
      </c>
      <c r="G2087" s="9" t="s">
        <v>154</v>
      </c>
      <c r="H2087" s="9" t="s">
        <v>51</v>
      </c>
      <c r="I2087" s="9">
        <v>1</v>
      </c>
      <c r="J2087" s="9">
        <v>8</v>
      </c>
      <c r="K2087" s="9">
        <v>320</v>
      </c>
      <c r="L2087" s="9">
        <v>0.38</v>
      </c>
      <c r="M2087" s="9">
        <v>121.6</v>
      </c>
      <c r="N2087" s="9" t="s">
        <v>49</v>
      </c>
      <c r="Q2087" s="9">
        <f>IF(Auction_Sales[[#This Row],[Payment Date]]=0,"",-1+WEEKNUM(Auction_Sales[[#This Row],[Payment Date]]))</f>
        <v>29</v>
      </c>
      <c r="R2087" s="9">
        <v>0</v>
      </c>
      <c r="S2087" s="9" t="s">
        <v>154</v>
      </c>
      <c r="T2087" s="9" t="s">
        <v>51</v>
      </c>
      <c r="U2087" s="9">
        <v>320</v>
      </c>
      <c r="V2087" s="13">
        <v>0.51249999999999996</v>
      </c>
      <c r="W2087" s="13">
        <v>164</v>
      </c>
      <c r="X2087" s="14">
        <v>-13.480677966101689</v>
      </c>
      <c r="Y2087" s="13">
        <v>150.51932203389831</v>
      </c>
      <c r="Z2087" s="10">
        <v>45497</v>
      </c>
      <c r="AA2087" s="9">
        <v>0</v>
      </c>
      <c r="AC2087" s="9">
        <v>446854</v>
      </c>
      <c r="AD2087" s="14">
        <v>27.779259259259256</v>
      </c>
      <c r="AF2087" s="14">
        <v>6.4</v>
      </c>
      <c r="AH2087" s="14">
        <v>34.179259259259254</v>
      </c>
      <c r="AI2087" s="13">
        <v>116.34006277463905</v>
      </c>
      <c r="AK2087" s="9">
        <v>320</v>
      </c>
    </row>
    <row r="2088" spans="1:37">
      <c r="A2088" s="9">
        <v>28</v>
      </c>
      <c r="B2088" s="9">
        <v>2024</v>
      </c>
      <c r="C2088" s="9" t="s">
        <v>46</v>
      </c>
      <c r="D2088" s="9" t="s">
        <v>47</v>
      </c>
      <c r="E2088" s="9" t="s">
        <v>47</v>
      </c>
      <c r="F2088" s="10">
        <v>45484</v>
      </c>
      <c r="G2088" s="9" t="s">
        <v>154</v>
      </c>
      <c r="H2088" s="9" t="s">
        <v>48</v>
      </c>
      <c r="J2088" s="9">
        <v>4</v>
      </c>
      <c r="K2088" s="9">
        <v>160</v>
      </c>
      <c r="L2088" s="9">
        <v>0.47</v>
      </c>
      <c r="M2088" s="9">
        <v>75.2</v>
      </c>
      <c r="N2088" s="9" t="s">
        <v>49</v>
      </c>
      <c r="Q2088" s="9">
        <f>IF(Auction_Sales[[#This Row],[Payment Date]]=0,"",-1+WEEKNUM(Auction_Sales[[#This Row],[Payment Date]]))</f>
        <v>29</v>
      </c>
      <c r="R2088" s="9">
        <v>0</v>
      </c>
      <c r="S2088" s="9" t="s">
        <v>154</v>
      </c>
      <c r="T2088" s="9" t="s">
        <v>48</v>
      </c>
      <c r="U2088" s="9">
        <v>160</v>
      </c>
      <c r="V2088" s="13">
        <v>0.60250000000000004</v>
      </c>
      <c r="W2088" s="13">
        <v>96.4</v>
      </c>
      <c r="X2088" s="14">
        <v>-6.7403389830508447</v>
      </c>
      <c r="Y2088" s="13">
        <v>89.659661016949158</v>
      </c>
      <c r="Z2088" s="10">
        <v>45497</v>
      </c>
      <c r="AA2088" s="9">
        <v>0</v>
      </c>
      <c r="AC2088" s="9">
        <v>446854</v>
      </c>
      <c r="AD2088" s="14">
        <v>13.889629629629628</v>
      </c>
      <c r="AF2088" s="14">
        <v>3.2</v>
      </c>
      <c r="AH2088" s="14">
        <v>17.089629629629627</v>
      </c>
      <c r="AI2088" s="13">
        <v>72.570031387319531</v>
      </c>
      <c r="AK2088" s="9">
        <v>160</v>
      </c>
    </row>
    <row r="2089" spans="1:37">
      <c r="A2089" s="9">
        <v>28</v>
      </c>
      <c r="B2089" s="9">
        <v>2024</v>
      </c>
      <c r="C2089" s="9" t="s">
        <v>46</v>
      </c>
      <c r="D2089" s="9" t="s">
        <v>47</v>
      </c>
      <c r="E2089" s="9" t="s">
        <v>47</v>
      </c>
      <c r="F2089" s="10">
        <v>45484</v>
      </c>
      <c r="G2089" s="9" t="s">
        <v>156</v>
      </c>
      <c r="H2089" s="9" t="s">
        <v>51</v>
      </c>
      <c r="I2089" s="9">
        <v>1</v>
      </c>
      <c r="J2089" s="9">
        <v>9</v>
      </c>
      <c r="K2089" s="9">
        <v>360</v>
      </c>
      <c r="L2089" s="9">
        <v>0.42</v>
      </c>
      <c r="M2089" s="9">
        <v>151.19999999999999</v>
      </c>
      <c r="N2089" s="9" t="s">
        <v>49</v>
      </c>
      <c r="Q2089" s="9">
        <f>IF(Auction_Sales[[#This Row],[Payment Date]]=0,"",-1+WEEKNUM(Auction_Sales[[#This Row],[Payment Date]]))</f>
        <v>29</v>
      </c>
      <c r="R2089" s="9">
        <v>0</v>
      </c>
      <c r="S2089" s="9" t="s">
        <v>156</v>
      </c>
      <c r="T2089" s="9" t="s">
        <v>51</v>
      </c>
      <c r="U2089" s="9">
        <v>360</v>
      </c>
      <c r="V2089" s="13">
        <v>0.26444444444444443</v>
      </c>
      <c r="W2089" s="13">
        <v>95.199999999999989</v>
      </c>
      <c r="X2089" s="14">
        <v>-15.165762711864399</v>
      </c>
      <c r="Y2089" s="13">
        <v>80.034237288135586</v>
      </c>
      <c r="Z2089" s="10">
        <v>45497</v>
      </c>
      <c r="AA2089" s="9">
        <v>0</v>
      </c>
      <c r="AC2089" s="9">
        <v>446854</v>
      </c>
      <c r="AD2089" s="14">
        <v>31.251666666666665</v>
      </c>
      <c r="AF2089" s="14">
        <v>7.2</v>
      </c>
      <c r="AH2089" s="14">
        <v>38.451666666666668</v>
      </c>
      <c r="AI2089" s="13">
        <v>41.582570621468918</v>
      </c>
      <c r="AK2089" s="9">
        <v>360</v>
      </c>
    </row>
    <row r="2090" spans="1:37">
      <c r="A2090" s="9">
        <v>28</v>
      </c>
      <c r="B2090" s="9">
        <v>2024</v>
      </c>
      <c r="C2090" s="9" t="s">
        <v>46</v>
      </c>
      <c r="D2090" s="9" t="s">
        <v>47</v>
      </c>
      <c r="E2090" s="9" t="s">
        <v>47</v>
      </c>
      <c r="F2090" s="10">
        <v>45484</v>
      </c>
      <c r="G2090" s="9" t="s">
        <v>156</v>
      </c>
      <c r="H2090" s="9" t="s">
        <v>52</v>
      </c>
      <c r="J2090" s="9">
        <v>3</v>
      </c>
      <c r="K2090" s="9">
        <v>120</v>
      </c>
      <c r="L2090" s="9">
        <v>0.61</v>
      </c>
      <c r="M2090" s="9">
        <v>73.2</v>
      </c>
      <c r="N2090" s="9" t="s">
        <v>49</v>
      </c>
      <c r="Q2090" s="9">
        <f>IF(Auction_Sales[[#This Row],[Payment Date]]=0,"",-1+WEEKNUM(Auction_Sales[[#This Row],[Payment Date]]))</f>
        <v>29</v>
      </c>
      <c r="R2090" s="9">
        <v>0</v>
      </c>
      <c r="S2090" s="9" t="s">
        <v>156</v>
      </c>
      <c r="T2090" s="9" t="s">
        <v>52</v>
      </c>
      <c r="U2090" s="9">
        <v>120</v>
      </c>
      <c r="V2090" s="13">
        <v>0.52</v>
      </c>
      <c r="W2090" s="13">
        <v>62.400000000000006</v>
      </c>
      <c r="X2090" s="14">
        <v>-5.0552542372881328</v>
      </c>
      <c r="Y2090" s="13">
        <v>57.344745762711874</v>
      </c>
      <c r="Z2090" s="10">
        <v>45497</v>
      </c>
      <c r="AA2090" s="9">
        <v>0</v>
      </c>
      <c r="AC2090" s="9">
        <v>446854</v>
      </c>
      <c r="AD2090" s="14">
        <v>10.417222222222222</v>
      </c>
      <c r="AF2090" s="14">
        <v>2.4</v>
      </c>
      <c r="AH2090" s="14">
        <v>12.817222222222222</v>
      </c>
      <c r="AI2090" s="13">
        <v>44.527523540489653</v>
      </c>
      <c r="AK2090" s="9">
        <v>120</v>
      </c>
    </row>
    <row r="2091" spans="1:37">
      <c r="A2091" s="9">
        <v>28</v>
      </c>
      <c r="B2091" s="9">
        <v>2024</v>
      </c>
      <c r="C2091" s="9" t="s">
        <v>46</v>
      </c>
      <c r="D2091" s="9" t="s">
        <v>47</v>
      </c>
      <c r="E2091" s="9" t="s">
        <v>47</v>
      </c>
      <c r="F2091" s="10">
        <v>45484</v>
      </c>
      <c r="G2091" s="9" t="s">
        <v>156</v>
      </c>
      <c r="H2091" s="9" t="s">
        <v>54</v>
      </c>
      <c r="I2091" s="9">
        <v>1</v>
      </c>
      <c r="J2091" s="9">
        <v>6.8571428571428568</v>
      </c>
      <c r="K2091" s="9">
        <v>160</v>
      </c>
      <c r="L2091" s="9">
        <v>0.66</v>
      </c>
      <c r="M2091" s="9">
        <v>105.6</v>
      </c>
      <c r="N2091" s="9" t="s">
        <v>49</v>
      </c>
      <c r="Q2091" s="9">
        <f>IF(Auction_Sales[[#This Row],[Payment Date]]=0,"",-1+WEEKNUM(Auction_Sales[[#This Row],[Payment Date]]))</f>
        <v>29</v>
      </c>
      <c r="R2091" s="9">
        <v>0</v>
      </c>
      <c r="S2091" s="9" t="s">
        <v>156</v>
      </c>
      <c r="T2091" s="9" t="s">
        <v>54</v>
      </c>
      <c r="U2091" s="9">
        <v>160</v>
      </c>
      <c r="V2091" s="13">
        <v>0.64</v>
      </c>
      <c r="W2091" s="13">
        <v>102.4</v>
      </c>
      <c r="X2091" s="14">
        <v>-6.7403389830508447</v>
      </c>
      <c r="Y2091" s="13">
        <v>95.659661016949158</v>
      </c>
      <c r="Z2091" s="10">
        <v>45497</v>
      </c>
      <c r="AA2091" s="9">
        <v>0</v>
      </c>
      <c r="AC2091" s="9">
        <v>446854</v>
      </c>
      <c r="AD2091" s="14">
        <v>23.810793650793649</v>
      </c>
      <c r="AF2091" s="14">
        <v>3.2</v>
      </c>
      <c r="AH2091" s="14">
        <v>27.010793650793648</v>
      </c>
      <c r="AI2091" s="13">
        <v>68.648867366155514</v>
      </c>
      <c r="AK2091" s="9">
        <v>160</v>
      </c>
    </row>
    <row r="2092" spans="1:37">
      <c r="A2092" s="9">
        <v>28</v>
      </c>
      <c r="B2092" s="9">
        <v>2024</v>
      </c>
      <c r="C2092" s="9" t="s">
        <v>46</v>
      </c>
      <c r="D2092" s="9" t="s">
        <v>47</v>
      </c>
      <c r="E2092" s="9" t="s">
        <v>47</v>
      </c>
      <c r="F2092" s="10">
        <v>45484</v>
      </c>
      <c r="G2092" s="9" t="s">
        <v>156</v>
      </c>
      <c r="H2092" s="9" t="s">
        <v>56</v>
      </c>
      <c r="J2092" s="9">
        <v>5.1428571428571423</v>
      </c>
      <c r="K2092" s="9">
        <v>120</v>
      </c>
      <c r="L2092" s="9">
        <v>0.85</v>
      </c>
      <c r="M2092" s="9">
        <v>102</v>
      </c>
      <c r="N2092" s="9" t="s">
        <v>49</v>
      </c>
      <c r="Q2092" s="9">
        <f>IF(Auction_Sales[[#This Row],[Payment Date]]=0,"",-1+WEEKNUM(Auction_Sales[[#This Row],[Payment Date]]))</f>
        <v>29</v>
      </c>
      <c r="R2092" s="9">
        <v>0</v>
      </c>
      <c r="S2092" s="9" t="s">
        <v>156</v>
      </c>
      <c r="T2092" s="9" t="s">
        <v>56</v>
      </c>
      <c r="U2092" s="9">
        <v>120</v>
      </c>
      <c r="V2092" s="13">
        <v>0.69333333333333336</v>
      </c>
      <c r="W2092" s="13">
        <v>83.2</v>
      </c>
      <c r="X2092" s="14">
        <v>-5.0552542372881328</v>
      </c>
      <c r="Y2092" s="13">
        <v>78.144745762711864</v>
      </c>
      <c r="Z2092" s="10">
        <v>45497</v>
      </c>
      <c r="AA2092" s="9">
        <v>0</v>
      </c>
      <c r="AC2092" s="9">
        <v>446854</v>
      </c>
      <c r="AD2092" s="14">
        <v>17.858095238095235</v>
      </c>
      <c r="AF2092" s="14">
        <v>2.4</v>
      </c>
      <c r="AH2092" s="14">
        <v>20.258095238095233</v>
      </c>
      <c r="AI2092" s="13">
        <v>57.886650524616627</v>
      </c>
      <c r="AK2092" s="9">
        <v>120</v>
      </c>
    </row>
    <row r="2093" spans="1:37">
      <c r="A2093" s="9">
        <v>29</v>
      </c>
      <c r="B2093" s="9">
        <v>2024</v>
      </c>
      <c r="C2093" s="9" t="s">
        <v>46</v>
      </c>
      <c r="D2093" s="9" t="s">
        <v>47</v>
      </c>
      <c r="E2093" s="9" t="s">
        <v>47</v>
      </c>
      <c r="F2093" s="10">
        <v>45486</v>
      </c>
      <c r="G2093" s="9" t="s">
        <v>154</v>
      </c>
      <c r="H2093" s="9" t="s">
        <v>51</v>
      </c>
      <c r="I2093" s="9">
        <v>1</v>
      </c>
      <c r="J2093" s="9">
        <v>9.2307692307692317</v>
      </c>
      <c r="K2093" s="9">
        <v>400</v>
      </c>
      <c r="L2093" s="9">
        <v>0.38</v>
      </c>
      <c r="M2093" s="9">
        <v>152</v>
      </c>
      <c r="N2093" s="9" t="s">
        <v>49</v>
      </c>
      <c r="Q2093" s="9">
        <f>IF(Auction_Sales[[#This Row],[Payment Date]]=0,"",-1+WEEKNUM(Auction_Sales[[#This Row],[Payment Date]]))</f>
        <v>29</v>
      </c>
      <c r="R2093" s="9">
        <v>-240</v>
      </c>
      <c r="S2093" s="9" t="s">
        <v>154</v>
      </c>
      <c r="T2093" s="9" t="s">
        <v>51</v>
      </c>
      <c r="U2093" s="9">
        <v>640</v>
      </c>
      <c r="V2093" s="13">
        <v>0.42750000000000005</v>
      </c>
      <c r="W2093" s="13">
        <v>273.60000000000002</v>
      </c>
      <c r="X2093" s="14">
        <v>-34.449729729729761</v>
      </c>
      <c r="Y2093" s="13">
        <v>239.15027027027025</v>
      </c>
      <c r="Z2093" s="10">
        <v>45497</v>
      </c>
      <c r="AA2093" s="9">
        <v>240</v>
      </c>
      <c r="AC2093" s="9">
        <v>448019</v>
      </c>
      <c r="AD2093" s="14">
        <v>32.557142857142857</v>
      </c>
      <c r="AF2093" s="14">
        <v>12.8</v>
      </c>
      <c r="AH2093" s="14">
        <v>45.357142857142861</v>
      </c>
      <c r="AI2093" s="13">
        <v>193.79312741312739</v>
      </c>
      <c r="AK2093" s="9">
        <v>640</v>
      </c>
    </row>
    <row r="2094" spans="1:37">
      <c r="A2094" s="9">
        <v>29</v>
      </c>
      <c r="B2094" s="9">
        <v>2024</v>
      </c>
      <c r="C2094" s="9" t="s">
        <v>46</v>
      </c>
      <c r="D2094" s="9" t="s">
        <v>47</v>
      </c>
      <c r="E2094" s="9" t="s">
        <v>47</v>
      </c>
      <c r="F2094" s="10">
        <v>45486</v>
      </c>
      <c r="G2094" s="9" t="s">
        <v>154</v>
      </c>
      <c r="H2094" s="9" t="s">
        <v>48</v>
      </c>
      <c r="J2094" s="9">
        <v>2.7692307692307692</v>
      </c>
      <c r="K2094" s="9">
        <v>120</v>
      </c>
      <c r="L2094" s="9">
        <v>0.47</v>
      </c>
      <c r="M2094" s="9">
        <v>56.4</v>
      </c>
      <c r="N2094" s="9" t="s">
        <v>49</v>
      </c>
      <c r="Q2094" s="9">
        <f>IF(Auction_Sales[[#This Row],[Payment Date]]=0,"",-1+WEEKNUM(Auction_Sales[[#This Row],[Payment Date]]))</f>
        <v>29</v>
      </c>
      <c r="R2094" s="9">
        <v>-120</v>
      </c>
      <c r="S2094" s="9" t="s">
        <v>154</v>
      </c>
      <c r="T2094" s="9" t="s">
        <v>48</v>
      </c>
      <c r="U2094" s="9">
        <v>240</v>
      </c>
      <c r="V2094" s="13">
        <v>0.62</v>
      </c>
      <c r="W2094" s="13">
        <v>148.80000000000001</v>
      </c>
      <c r="X2094" s="14">
        <v>-12.918648648648663</v>
      </c>
      <c r="Y2094" s="13">
        <v>135.88135135135136</v>
      </c>
      <c r="Z2094" s="10">
        <v>45497</v>
      </c>
      <c r="AA2094" s="9">
        <v>120</v>
      </c>
      <c r="AC2094" s="9">
        <v>448019</v>
      </c>
      <c r="AD2094" s="14">
        <v>9.767142857142856</v>
      </c>
      <c r="AF2094" s="14">
        <v>4.8</v>
      </c>
      <c r="AH2094" s="14">
        <v>14.567142857142855</v>
      </c>
      <c r="AI2094" s="13">
        <v>121.3142084942085</v>
      </c>
      <c r="AK2094" s="9">
        <v>240</v>
      </c>
    </row>
    <row r="2095" spans="1:37">
      <c r="A2095" s="9">
        <v>29</v>
      </c>
      <c r="B2095" s="9">
        <v>2024</v>
      </c>
      <c r="C2095" s="9" t="s">
        <v>46</v>
      </c>
      <c r="D2095" s="9" t="s">
        <v>47</v>
      </c>
      <c r="E2095" s="9" t="s">
        <v>47</v>
      </c>
      <c r="F2095" s="10">
        <v>45486</v>
      </c>
      <c r="G2095" s="9" t="s">
        <v>153</v>
      </c>
      <c r="H2095" s="9" t="s">
        <v>48</v>
      </c>
      <c r="I2095" s="9">
        <v>1</v>
      </c>
      <c r="J2095" s="9">
        <v>7.384615384615385</v>
      </c>
      <c r="K2095" s="9">
        <v>320</v>
      </c>
      <c r="L2095" s="9">
        <v>0.24</v>
      </c>
      <c r="M2095" s="9">
        <v>76.8</v>
      </c>
      <c r="N2095" s="9" t="s">
        <v>49</v>
      </c>
      <c r="Q2095" s="9">
        <f>IF(Auction_Sales[[#This Row],[Payment Date]]=0,"",-1+WEEKNUM(Auction_Sales[[#This Row],[Payment Date]]))</f>
        <v>29</v>
      </c>
      <c r="R2095" s="9">
        <v>-240</v>
      </c>
      <c r="S2095" s="9" t="s">
        <v>153</v>
      </c>
      <c r="T2095" s="9" t="s">
        <v>48</v>
      </c>
      <c r="U2095" s="9">
        <v>560</v>
      </c>
      <c r="V2095" s="13">
        <v>0.36142857142857143</v>
      </c>
      <c r="W2095" s="13">
        <v>202.4</v>
      </c>
      <c r="X2095" s="14">
        <v>-30.143513513513543</v>
      </c>
      <c r="Y2095" s="13">
        <v>172.25648648648647</v>
      </c>
      <c r="Z2095" s="10">
        <v>45497</v>
      </c>
      <c r="AA2095" s="9">
        <v>240</v>
      </c>
      <c r="AC2095" s="9">
        <v>448019</v>
      </c>
      <c r="AD2095" s="14">
        <v>26.045714285714286</v>
      </c>
      <c r="AF2095" s="14">
        <v>11.200000000000001</v>
      </c>
      <c r="AH2095" s="14">
        <v>37.245714285714286</v>
      </c>
      <c r="AI2095" s="13">
        <v>135.01077220077218</v>
      </c>
      <c r="AK2095" s="9">
        <v>560</v>
      </c>
    </row>
    <row r="2096" spans="1:37">
      <c r="A2096" s="9">
        <v>29</v>
      </c>
      <c r="B2096" s="9">
        <v>2024</v>
      </c>
      <c r="C2096" s="9" t="s">
        <v>46</v>
      </c>
      <c r="D2096" s="9" t="s">
        <v>47</v>
      </c>
      <c r="E2096" s="9" t="s">
        <v>47</v>
      </c>
      <c r="F2096" s="10">
        <v>45486</v>
      </c>
      <c r="G2096" s="9" t="s">
        <v>153</v>
      </c>
      <c r="H2096" s="9" t="s">
        <v>56</v>
      </c>
      <c r="J2096" s="9">
        <v>0.92307692307692313</v>
      </c>
      <c r="K2096" s="9">
        <v>40</v>
      </c>
      <c r="L2096" s="9">
        <v>0.38</v>
      </c>
      <c r="M2096" s="9">
        <v>15.2</v>
      </c>
      <c r="N2096" s="9" t="s">
        <v>49</v>
      </c>
      <c r="Q2096" s="9">
        <f>IF(Auction_Sales[[#This Row],[Payment Date]]=0,"",-1+WEEKNUM(Auction_Sales[[#This Row],[Payment Date]]))</f>
        <v>29</v>
      </c>
      <c r="R2096" s="9">
        <v>40</v>
      </c>
      <c r="S2096" s="9" t="s">
        <v>153</v>
      </c>
      <c r="T2096" s="9" t="s">
        <v>56</v>
      </c>
      <c r="W2096" s="13">
        <v>0</v>
      </c>
      <c r="X2096" s="14">
        <v>0</v>
      </c>
      <c r="Y2096" s="13">
        <v>0</v>
      </c>
      <c r="Z2096" s="10">
        <v>45497</v>
      </c>
      <c r="AA2096" s="9">
        <v>-40</v>
      </c>
      <c r="AC2096" s="9">
        <v>448019</v>
      </c>
      <c r="AD2096" s="14">
        <v>3.2557142857142858</v>
      </c>
      <c r="AF2096" s="14">
        <v>0</v>
      </c>
      <c r="AH2096" s="14">
        <v>3.2557142857142858</v>
      </c>
      <c r="AI2096" s="13">
        <v>-3.2557142857142858</v>
      </c>
      <c r="AK2096" s="9">
        <v>0</v>
      </c>
    </row>
    <row r="2097" spans="1:37">
      <c r="A2097" s="9">
        <v>29</v>
      </c>
      <c r="B2097" s="9">
        <v>2024</v>
      </c>
      <c r="C2097" s="9" t="s">
        <v>46</v>
      </c>
      <c r="D2097" s="9" t="s">
        <v>47</v>
      </c>
      <c r="E2097" s="9" t="s">
        <v>47</v>
      </c>
      <c r="F2097" s="10">
        <v>45486</v>
      </c>
      <c r="G2097" s="9" t="s">
        <v>153</v>
      </c>
      <c r="H2097" s="9" t="s">
        <v>52</v>
      </c>
      <c r="J2097" s="9">
        <v>2.7692307692307692</v>
      </c>
      <c r="K2097" s="9">
        <v>120</v>
      </c>
      <c r="L2097" s="9">
        <v>0.28000000000000003</v>
      </c>
      <c r="M2097" s="9">
        <v>33.6</v>
      </c>
      <c r="N2097" s="9" t="s">
        <v>49</v>
      </c>
      <c r="Q2097" s="9">
        <f>IF(Auction_Sales[[#This Row],[Payment Date]]=0,"",-1+WEEKNUM(Auction_Sales[[#This Row],[Payment Date]]))</f>
        <v>29</v>
      </c>
      <c r="R2097" s="9">
        <v>120</v>
      </c>
      <c r="S2097" s="9" t="s">
        <v>153</v>
      </c>
      <c r="T2097" s="9" t="s">
        <v>52</v>
      </c>
      <c r="W2097" s="13">
        <v>0</v>
      </c>
      <c r="X2097" s="14">
        <v>0</v>
      </c>
      <c r="Y2097" s="13">
        <v>0</v>
      </c>
      <c r="Z2097" s="10">
        <v>45497</v>
      </c>
      <c r="AA2097" s="9">
        <v>-120</v>
      </c>
      <c r="AC2097" s="9">
        <v>448019</v>
      </c>
      <c r="AD2097" s="14">
        <v>9.767142857142856</v>
      </c>
      <c r="AF2097" s="14">
        <v>0</v>
      </c>
      <c r="AH2097" s="14">
        <v>9.767142857142856</v>
      </c>
      <c r="AI2097" s="13">
        <v>-9.767142857142856</v>
      </c>
      <c r="AK2097" s="9">
        <v>0</v>
      </c>
    </row>
    <row r="2098" spans="1:37">
      <c r="A2098" s="9">
        <v>29</v>
      </c>
      <c r="B2098" s="9">
        <v>2024</v>
      </c>
      <c r="C2098" s="9" t="s">
        <v>46</v>
      </c>
      <c r="D2098" s="9" t="s">
        <v>47</v>
      </c>
      <c r="E2098" s="9" t="s">
        <v>47</v>
      </c>
      <c r="F2098" s="10">
        <v>45486</v>
      </c>
      <c r="G2098" s="9" t="s">
        <v>153</v>
      </c>
      <c r="H2098" s="9" t="s">
        <v>54</v>
      </c>
      <c r="J2098" s="9">
        <v>0.92307692307692313</v>
      </c>
      <c r="K2098" s="9">
        <v>40</v>
      </c>
      <c r="L2098" s="9">
        <v>0.33</v>
      </c>
      <c r="M2098" s="9">
        <v>13.2</v>
      </c>
      <c r="N2098" s="9" t="s">
        <v>49</v>
      </c>
      <c r="Q2098" s="9">
        <f>IF(Auction_Sales[[#This Row],[Payment Date]]=0,"",-1+WEEKNUM(Auction_Sales[[#This Row],[Payment Date]]))</f>
        <v>29</v>
      </c>
      <c r="R2098" s="9">
        <v>40</v>
      </c>
      <c r="S2098" s="9" t="s">
        <v>153</v>
      </c>
      <c r="T2098" s="9" t="s">
        <v>54</v>
      </c>
      <c r="W2098" s="13">
        <v>0</v>
      </c>
      <c r="X2098" s="14">
        <v>0</v>
      </c>
      <c r="Y2098" s="13">
        <v>0</v>
      </c>
      <c r="Z2098" s="10">
        <v>45497</v>
      </c>
      <c r="AA2098" s="9">
        <v>-40</v>
      </c>
      <c r="AC2098" s="9">
        <v>448019</v>
      </c>
      <c r="AD2098" s="14">
        <v>3.2557142857142858</v>
      </c>
      <c r="AF2098" s="14">
        <v>0</v>
      </c>
      <c r="AH2098" s="14">
        <v>3.2557142857142858</v>
      </c>
      <c r="AI2098" s="13">
        <v>-3.2557142857142858</v>
      </c>
      <c r="AK2098" s="9">
        <v>0</v>
      </c>
    </row>
    <row r="2099" spans="1:37">
      <c r="A2099" s="9">
        <v>29</v>
      </c>
      <c r="B2099" s="9">
        <v>2024</v>
      </c>
      <c r="C2099" s="9" t="s">
        <v>46</v>
      </c>
      <c r="D2099" s="9" t="s">
        <v>47</v>
      </c>
      <c r="E2099" s="9" t="s">
        <v>47</v>
      </c>
      <c r="F2099" s="10">
        <v>45486</v>
      </c>
      <c r="G2099" s="9" t="s">
        <v>155</v>
      </c>
      <c r="H2099" s="9" t="s">
        <v>51</v>
      </c>
      <c r="I2099" s="9">
        <v>1</v>
      </c>
      <c r="J2099" s="9">
        <v>3.4285714285714284</v>
      </c>
      <c r="K2099" s="9">
        <v>160</v>
      </c>
      <c r="L2099" s="9">
        <v>0.38</v>
      </c>
      <c r="M2099" s="9">
        <v>60.8</v>
      </c>
      <c r="N2099" s="9" t="s">
        <v>49</v>
      </c>
      <c r="Q2099" s="9">
        <f>IF(Auction_Sales[[#This Row],[Payment Date]]=0,"",-1+WEEKNUM(Auction_Sales[[#This Row],[Payment Date]]))</f>
        <v>29</v>
      </c>
      <c r="R2099" s="9">
        <v>-80</v>
      </c>
      <c r="S2099" s="9" t="s">
        <v>155</v>
      </c>
      <c r="T2099" s="9" t="s">
        <v>51</v>
      </c>
      <c r="U2099" s="9">
        <v>240</v>
      </c>
      <c r="V2099" s="13">
        <v>0.78833333333333333</v>
      </c>
      <c r="W2099" s="13">
        <v>189.2</v>
      </c>
      <c r="X2099" s="14">
        <v>-12.918648648648663</v>
      </c>
      <c r="Y2099" s="13">
        <v>176.28135135135133</v>
      </c>
      <c r="Z2099" s="10">
        <v>45497</v>
      </c>
      <c r="AA2099" s="9">
        <v>80</v>
      </c>
      <c r="AC2099" s="9">
        <v>448019</v>
      </c>
      <c r="AD2099" s="14">
        <v>12.092653061224489</v>
      </c>
      <c r="AF2099" s="14">
        <v>4.8</v>
      </c>
      <c r="AH2099" s="14">
        <v>16.89265306122449</v>
      </c>
      <c r="AI2099" s="13">
        <v>159.38869829012685</v>
      </c>
      <c r="AK2099" s="9">
        <v>240</v>
      </c>
    </row>
    <row r="2100" spans="1:37">
      <c r="A2100" s="9">
        <v>29</v>
      </c>
      <c r="B2100" s="9">
        <v>2024</v>
      </c>
      <c r="C2100" s="9" t="s">
        <v>46</v>
      </c>
      <c r="D2100" s="9" t="s">
        <v>47</v>
      </c>
      <c r="E2100" s="9" t="s">
        <v>47</v>
      </c>
      <c r="F2100" s="10">
        <v>45486</v>
      </c>
      <c r="G2100" s="9" t="s">
        <v>155</v>
      </c>
      <c r="H2100" s="9" t="s">
        <v>48</v>
      </c>
      <c r="J2100" s="9">
        <v>5.1428571428571423</v>
      </c>
      <c r="K2100" s="9">
        <v>240</v>
      </c>
      <c r="L2100" s="9">
        <v>0.47</v>
      </c>
      <c r="M2100" s="9">
        <v>112.8</v>
      </c>
      <c r="N2100" s="9" t="s">
        <v>49</v>
      </c>
      <c r="Q2100" s="9">
        <f>IF(Auction_Sales[[#This Row],[Payment Date]]=0,"",-1+WEEKNUM(Auction_Sales[[#This Row],[Payment Date]]))</f>
        <v>29</v>
      </c>
      <c r="R2100" s="9">
        <v>-80</v>
      </c>
      <c r="S2100" s="9" t="s">
        <v>155</v>
      </c>
      <c r="T2100" s="9" t="s">
        <v>48</v>
      </c>
      <c r="U2100" s="9">
        <v>320</v>
      </c>
      <c r="V2100" s="13">
        <v>0.7</v>
      </c>
      <c r="W2100" s="13">
        <v>224</v>
      </c>
      <c r="X2100" s="14">
        <v>-17.22486486486488</v>
      </c>
      <c r="Y2100" s="13">
        <v>206.77513513513512</v>
      </c>
      <c r="Z2100" s="10">
        <v>45497</v>
      </c>
      <c r="AA2100" s="9">
        <v>80</v>
      </c>
      <c r="AC2100" s="9">
        <v>448019</v>
      </c>
      <c r="AD2100" s="14">
        <v>18.13897959183673</v>
      </c>
      <c r="AF2100" s="14">
        <v>6.4</v>
      </c>
      <c r="AH2100" s="14">
        <v>24.538979591836728</v>
      </c>
      <c r="AI2100" s="13">
        <v>182.23615554329839</v>
      </c>
      <c r="AK2100" s="9">
        <v>320</v>
      </c>
    </row>
    <row r="2101" spans="1:37">
      <c r="A2101" s="9">
        <v>29</v>
      </c>
      <c r="B2101" s="9">
        <v>2024</v>
      </c>
      <c r="C2101" s="9" t="s">
        <v>46</v>
      </c>
      <c r="D2101" s="9" t="s">
        <v>47</v>
      </c>
      <c r="E2101" s="9" t="s">
        <v>47</v>
      </c>
      <c r="F2101" s="10">
        <v>45486</v>
      </c>
      <c r="G2101" s="9" t="s">
        <v>155</v>
      </c>
      <c r="H2101" s="9" t="s">
        <v>52</v>
      </c>
      <c r="J2101" s="9">
        <v>0.8571428571428571</v>
      </c>
      <c r="K2101" s="9">
        <v>40</v>
      </c>
      <c r="L2101" s="9">
        <v>0.52</v>
      </c>
      <c r="M2101" s="9">
        <v>20.8</v>
      </c>
      <c r="N2101" s="9" t="s">
        <v>49</v>
      </c>
      <c r="Q2101" s="9">
        <f>IF(Auction_Sales[[#This Row],[Payment Date]]=0,"",-1+WEEKNUM(Auction_Sales[[#This Row],[Payment Date]]))</f>
        <v>29</v>
      </c>
      <c r="R2101" s="9">
        <v>0</v>
      </c>
      <c r="S2101" s="9" t="s">
        <v>155</v>
      </c>
      <c r="T2101" s="9" t="s">
        <v>52</v>
      </c>
      <c r="U2101" s="9">
        <v>40</v>
      </c>
      <c r="V2101" s="13">
        <v>1.03</v>
      </c>
      <c r="W2101" s="13">
        <v>41.2</v>
      </c>
      <c r="X2101" s="14">
        <v>-2.15310810810811</v>
      </c>
      <c r="Y2101" s="13">
        <v>39.046891891891896</v>
      </c>
      <c r="Z2101" s="10">
        <v>45497</v>
      </c>
      <c r="AA2101" s="9">
        <v>0</v>
      </c>
      <c r="AC2101" s="9">
        <v>448019</v>
      </c>
      <c r="AD2101" s="14">
        <v>3.0231632653061222</v>
      </c>
      <c r="AF2101" s="14">
        <v>0.8</v>
      </c>
      <c r="AH2101" s="14">
        <v>3.823163265306122</v>
      </c>
      <c r="AI2101" s="13">
        <v>35.223728626585775</v>
      </c>
      <c r="AK2101" s="9">
        <v>40</v>
      </c>
    </row>
    <row r="2102" spans="1:37">
      <c r="A2102" s="9">
        <v>29</v>
      </c>
      <c r="B2102" s="9">
        <v>2024</v>
      </c>
      <c r="C2102" s="9" t="s">
        <v>46</v>
      </c>
      <c r="D2102" s="9" t="s">
        <v>47</v>
      </c>
      <c r="E2102" s="9" t="s">
        <v>47</v>
      </c>
      <c r="F2102" s="10">
        <v>45486</v>
      </c>
      <c r="G2102" s="9" t="s">
        <v>155</v>
      </c>
      <c r="H2102" s="9" t="s">
        <v>54</v>
      </c>
      <c r="J2102" s="9">
        <v>0.8571428571428571</v>
      </c>
      <c r="K2102" s="9">
        <v>40</v>
      </c>
      <c r="L2102" s="9">
        <v>0.56999999999999995</v>
      </c>
      <c r="M2102" s="9">
        <v>22.8</v>
      </c>
      <c r="N2102" s="9" t="s">
        <v>49</v>
      </c>
      <c r="Q2102" s="9">
        <f>IF(Auction_Sales[[#This Row],[Payment Date]]=0,"",-1+WEEKNUM(Auction_Sales[[#This Row],[Payment Date]]))</f>
        <v>29</v>
      </c>
      <c r="R2102" s="9">
        <v>40</v>
      </c>
      <c r="S2102" s="9" t="s">
        <v>155</v>
      </c>
      <c r="T2102" s="9" t="s">
        <v>54</v>
      </c>
      <c r="W2102" s="13">
        <v>0</v>
      </c>
      <c r="X2102" s="14">
        <v>0</v>
      </c>
      <c r="Y2102" s="13">
        <v>0</v>
      </c>
      <c r="Z2102" s="10">
        <v>45497</v>
      </c>
      <c r="AA2102" s="9">
        <v>-40</v>
      </c>
      <c r="AC2102" s="9">
        <v>448019</v>
      </c>
      <c r="AD2102" s="14">
        <v>3.0231632653061222</v>
      </c>
      <c r="AF2102" s="14">
        <v>0</v>
      </c>
      <c r="AH2102" s="14">
        <v>3.0231632653061222</v>
      </c>
      <c r="AI2102" s="13">
        <v>-3.0231632653061222</v>
      </c>
      <c r="AK2102" s="9">
        <v>0</v>
      </c>
    </row>
    <row r="2103" spans="1:37">
      <c r="A2103" s="9">
        <v>29</v>
      </c>
      <c r="B2103" s="9">
        <v>2024</v>
      </c>
      <c r="C2103" s="9" t="s">
        <v>46</v>
      </c>
      <c r="D2103" s="9" t="s">
        <v>47</v>
      </c>
      <c r="E2103" s="9" t="s">
        <v>47</v>
      </c>
      <c r="F2103" s="10">
        <v>45486</v>
      </c>
      <c r="G2103" s="9" t="s">
        <v>155</v>
      </c>
      <c r="H2103" s="9" t="s">
        <v>56</v>
      </c>
      <c r="J2103" s="9">
        <v>0.8571428571428571</v>
      </c>
      <c r="K2103" s="9">
        <v>40</v>
      </c>
      <c r="L2103" s="9">
        <v>0.75</v>
      </c>
      <c r="M2103" s="9">
        <v>30</v>
      </c>
      <c r="N2103" s="9" t="s">
        <v>49</v>
      </c>
      <c r="Q2103" s="9">
        <f>IF(Auction_Sales[[#This Row],[Payment Date]]=0,"",-1+WEEKNUM(Auction_Sales[[#This Row],[Payment Date]]))</f>
        <v>29</v>
      </c>
      <c r="R2103" s="9">
        <v>40</v>
      </c>
      <c r="S2103" s="9" t="s">
        <v>155</v>
      </c>
      <c r="T2103" s="9" t="s">
        <v>56</v>
      </c>
      <c r="W2103" s="13">
        <v>0</v>
      </c>
      <c r="X2103" s="14">
        <v>0</v>
      </c>
      <c r="Y2103" s="13">
        <v>0</v>
      </c>
      <c r="Z2103" s="10">
        <v>45497</v>
      </c>
      <c r="AA2103" s="9">
        <v>-40</v>
      </c>
      <c r="AC2103" s="9">
        <v>448019</v>
      </c>
      <c r="AD2103" s="14">
        <v>3.0231632653061222</v>
      </c>
      <c r="AF2103" s="14">
        <v>0</v>
      </c>
      <c r="AH2103" s="14">
        <v>3.0231632653061222</v>
      </c>
      <c r="AI2103" s="13">
        <v>-3.0231632653061222</v>
      </c>
      <c r="AK2103" s="9">
        <v>0</v>
      </c>
    </row>
    <row r="2104" spans="1:37">
      <c r="A2104" s="9">
        <v>29</v>
      </c>
      <c r="B2104" s="9">
        <v>2024</v>
      </c>
      <c r="C2104" s="9" t="s">
        <v>46</v>
      </c>
      <c r="D2104" s="9" t="s">
        <v>47</v>
      </c>
      <c r="E2104" s="9" t="s">
        <v>47</v>
      </c>
      <c r="F2104" s="10">
        <v>45486</v>
      </c>
      <c r="G2104" s="9" t="s">
        <v>155</v>
      </c>
      <c r="H2104" s="9" t="s">
        <v>57</v>
      </c>
      <c r="J2104" s="9">
        <v>0.8571428571428571</v>
      </c>
      <c r="K2104" s="9">
        <v>40</v>
      </c>
      <c r="L2104" s="9">
        <v>0.94</v>
      </c>
      <c r="M2104" s="9">
        <v>37.6</v>
      </c>
      <c r="N2104" s="9" t="s">
        <v>49</v>
      </c>
      <c r="Q2104" s="9">
        <f>IF(Auction_Sales[[#This Row],[Payment Date]]=0,"",-1+WEEKNUM(Auction_Sales[[#This Row],[Payment Date]]))</f>
        <v>29</v>
      </c>
      <c r="R2104" s="9">
        <v>40</v>
      </c>
      <c r="S2104" s="9" t="s">
        <v>155</v>
      </c>
      <c r="T2104" s="9" t="s">
        <v>57</v>
      </c>
      <c r="W2104" s="13">
        <v>0</v>
      </c>
      <c r="X2104" s="14">
        <v>0</v>
      </c>
      <c r="Y2104" s="13">
        <v>0</v>
      </c>
      <c r="Z2104" s="10">
        <v>45497</v>
      </c>
      <c r="AA2104" s="9">
        <v>-40</v>
      </c>
      <c r="AC2104" s="9">
        <v>448019</v>
      </c>
      <c r="AD2104" s="14">
        <v>3.0231632653061222</v>
      </c>
      <c r="AF2104" s="14">
        <v>0</v>
      </c>
      <c r="AH2104" s="14">
        <v>3.0231632653061222</v>
      </c>
      <c r="AI2104" s="13">
        <v>-3.0231632653061222</v>
      </c>
      <c r="AK2104" s="9">
        <v>0</v>
      </c>
    </row>
    <row r="2105" spans="1:37">
      <c r="A2105" s="9">
        <v>29</v>
      </c>
      <c r="B2105" s="9">
        <v>2024</v>
      </c>
      <c r="C2105" s="9" t="s">
        <v>46</v>
      </c>
      <c r="D2105" s="9" t="s">
        <v>47</v>
      </c>
      <c r="E2105" s="9" t="s">
        <v>47</v>
      </c>
      <c r="F2105" s="10">
        <v>45486</v>
      </c>
      <c r="G2105" s="9" t="s">
        <v>154</v>
      </c>
      <c r="H2105" s="9" t="s">
        <v>52</v>
      </c>
      <c r="I2105" s="9">
        <v>1</v>
      </c>
      <c r="J2105" s="9">
        <v>2.4000000000000004</v>
      </c>
      <c r="K2105" s="9">
        <v>40</v>
      </c>
      <c r="L2105" s="9">
        <v>0.52</v>
      </c>
      <c r="M2105" s="9">
        <v>20.8</v>
      </c>
      <c r="N2105" s="9" t="s">
        <v>49</v>
      </c>
      <c r="Q2105" s="9">
        <f>IF(Auction_Sales[[#This Row],[Payment Date]]=0,"",-1+WEEKNUM(Auction_Sales[[#This Row],[Payment Date]]))</f>
        <v>29</v>
      </c>
      <c r="R2105" s="9">
        <v>0</v>
      </c>
      <c r="S2105" s="9" t="s">
        <v>154</v>
      </c>
      <c r="T2105" s="9" t="s">
        <v>52</v>
      </c>
      <c r="U2105" s="9">
        <v>40</v>
      </c>
      <c r="V2105" s="13">
        <v>0.95</v>
      </c>
      <c r="W2105" s="13">
        <v>38</v>
      </c>
      <c r="X2105" s="14">
        <v>-2.15310810810811</v>
      </c>
      <c r="Y2105" s="13">
        <v>35.846891891891893</v>
      </c>
      <c r="Z2105" s="10">
        <v>45497</v>
      </c>
      <c r="AA2105" s="9">
        <v>0</v>
      </c>
      <c r="AC2105" s="9">
        <v>448019</v>
      </c>
      <c r="AD2105" s="14">
        <v>8.4648571428571433</v>
      </c>
      <c r="AF2105" s="14">
        <v>0.8</v>
      </c>
      <c r="AH2105" s="14">
        <v>9.264857142857144</v>
      </c>
      <c r="AI2105" s="13">
        <v>26.582034749034747</v>
      </c>
      <c r="AK2105" s="9">
        <v>40</v>
      </c>
    </row>
    <row r="2106" spans="1:37">
      <c r="A2106" s="9">
        <v>29</v>
      </c>
      <c r="B2106" s="9">
        <v>2024</v>
      </c>
      <c r="C2106" s="9" t="s">
        <v>46</v>
      </c>
      <c r="D2106" s="9" t="s">
        <v>47</v>
      </c>
      <c r="E2106" s="9" t="s">
        <v>47</v>
      </c>
      <c r="F2106" s="10">
        <v>45486</v>
      </c>
      <c r="G2106" s="9" t="s">
        <v>154</v>
      </c>
      <c r="H2106" s="9" t="s">
        <v>54</v>
      </c>
      <c r="J2106" s="9">
        <v>4.8000000000000007</v>
      </c>
      <c r="K2106" s="9">
        <v>80</v>
      </c>
      <c r="L2106" s="9">
        <v>0.56999999999999995</v>
      </c>
      <c r="M2106" s="9">
        <v>45.6</v>
      </c>
      <c r="N2106" s="9" t="s">
        <v>49</v>
      </c>
      <c r="Q2106" s="9">
        <f>IF(Auction_Sales[[#This Row],[Payment Date]]=0,"",-1+WEEKNUM(Auction_Sales[[#This Row],[Payment Date]]))</f>
        <v>29</v>
      </c>
      <c r="R2106" s="9">
        <v>80</v>
      </c>
      <c r="S2106" s="9" t="s">
        <v>154</v>
      </c>
      <c r="T2106" s="9" t="s">
        <v>54</v>
      </c>
      <c r="W2106" s="13">
        <v>0</v>
      </c>
      <c r="X2106" s="14">
        <v>0</v>
      </c>
      <c r="Y2106" s="13">
        <v>0</v>
      </c>
      <c r="Z2106" s="10">
        <v>45497</v>
      </c>
      <c r="AA2106" s="9">
        <v>-80</v>
      </c>
      <c r="AC2106" s="9">
        <v>448019</v>
      </c>
      <c r="AD2106" s="14">
        <v>16.929714285714287</v>
      </c>
      <c r="AF2106" s="14">
        <v>0</v>
      </c>
      <c r="AH2106" s="14">
        <v>16.929714285714287</v>
      </c>
      <c r="AI2106" s="13">
        <v>-16.929714285714287</v>
      </c>
      <c r="AK2106" s="9">
        <v>0</v>
      </c>
    </row>
    <row r="2107" spans="1:37">
      <c r="A2107" s="9">
        <v>29</v>
      </c>
      <c r="B2107" s="9">
        <v>2024</v>
      </c>
      <c r="C2107" s="9" t="s">
        <v>46</v>
      </c>
      <c r="D2107" s="9" t="s">
        <v>47</v>
      </c>
      <c r="E2107" s="9" t="s">
        <v>47</v>
      </c>
      <c r="F2107" s="10">
        <v>45486</v>
      </c>
      <c r="G2107" s="9" t="s">
        <v>154</v>
      </c>
      <c r="H2107" s="9" t="s">
        <v>56</v>
      </c>
      <c r="J2107" s="9">
        <v>2.4000000000000004</v>
      </c>
      <c r="K2107" s="9">
        <v>40</v>
      </c>
      <c r="L2107" s="9">
        <v>0.75</v>
      </c>
      <c r="M2107" s="9">
        <v>30</v>
      </c>
      <c r="N2107" s="9" t="s">
        <v>49</v>
      </c>
      <c r="Q2107" s="9">
        <f>IF(Auction_Sales[[#This Row],[Payment Date]]=0,"",-1+WEEKNUM(Auction_Sales[[#This Row],[Payment Date]]))</f>
        <v>29</v>
      </c>
      <c r="R2107" s="9">
        <v>40</v>
      </c>
      <c r="S2107" s="9" t="s">
        <v>154</v>
      </c>
      <c r="T2107" s="9" t="s">
        <v>56</v>
      </c>
      <c r="W2107" s="13">
        <v>0</v>
      </c>
      <c r="X2107" s="14">
        <v>0</v>
      </c>
      <c r="Y2107" s="13">
        <v>0</v>
      </c>
      <c r="Z2107" s="10">
        <v>45497</v>
      </c>
      <c r="AA2107" s="9">
        <v>-40</v>
      </c>
      <c r="AC2107" s="9">
        <v>448019</v>
      </c>
      <c r="AD2107" s="14">
        <v>8.4648571428571433</v>
      </c>
      <c r="AF2107" s="14">
        <v>0</v>
      </c>
      <c r="AH2107" s="14">
        <v>8.4648571428571433</v>
      </c>
      <c r="AI2107" s="13">
        <v>-8.4648571428571433</v>
      </c>
      <c r="AK2107" s="9">
        <v>0</v>
      </c>
    </row>
    <row r="2108" spans="1:37">
      <c r="A2108" s="9">
        <v>29</v>
      </c>
      <c r="B2108" s="9">
        <v>2024</v>
      </c>
      <c r="C2108" s="9" t="s">
        <v>46</v>
      </c>
      <c r="D2108" s="9" t="s">
        <v>47</v>
      </c>
      <c r="E2108" s="9" t="s">
        <v>47</v>
      </c>
      <c r="F2108" s="10">
        <v>45486</v>
      </c>
      <c r="G2108" s="9" t="s">
        <v>154</v>
      </c>
      <c r="H2108" s="9" t="s">
        <v>57</v>
      </c>
      <c r="J2108" s="9">
        <v>2.4000000000000004</v>
      </c>
      <c r="K2108" s="9">
        <v>40</v>
      </c>
      <c r="L2108" s="9">
        <v>0.94</v>
      </c>
      <c r="M2108" s="9">
        <v>37.6</v>
      </c>
      <c r="N2108" s="9" t="s">
        <v>49</v>
      </c>
      <c r="Q2108" s="9">
        <f>IF(Auction_Sales[[#This Row],[Payment Date]]=0,"",-1+WEEKNUM(Auction_Sales[[#This Row],[Payment Date]]))</f>
        <v>29</v>
      </c>
      <c r="R2108" s="9">
        <v>40</v>
      </c>
      <c r="S2108" s="9" t="s">
        <v>154</v>
      </c>
      <c r="T2108" s="9" t="s">
        <v>57</v>
      </c>
      <c r="W2108" s="13">
        <v>0</v>
      </c>
      <c r="X2108" s="14">
        <v>0</v>
      </c>
      <c r="Y2108" s="13">
        <v>0</v>
      </c>
      <c r="Z2108" s="10">
        <v>45497</v>
      </c>
      <c r="AA2108" s="9">
        <v>-40</v>
      </c>
      <c r="AC2108" s="9">
        <v>448019</v>
      </c>
      <c r="AD2108" s="14">
        <v>8.4648571428571433</v>
      </c>
      <c r="AF2108" s="14">
        <v>0</v>
      </c>
      <c r="AH2108" s="14">
        <v>8.4648571428571433</v>
      </c>
      <c r="AI2108" s="13">
        <v>-8.4648571428571433</v>
      </c>
      <c r="AK2108" s="9">
        <v>0</v>
      </c>
    </row>
    <row r="2109" spans="1:37">
      <c r="A2109" s="9">
        <v>29</v>
      </c>
      <c r="B2109" s="9">
        <v>2024</v>
      </c>
      <c r="C2109" s="9" t="s">
        <v>46</v>
      </c>
      <c r="D2109" s="9" t="s">
        <v>47</v>
      </c>
      <c r="E2109" s="9" t="s">
        <v>47</v>
      </c>
      <c r="F2109" s="10">
        <v>45486</v>
      </c>
      <c r="G2109" s="9" t="s">
        <v>156</v>
      </c>
      <c r="H2109" s="9" t="s">
        <v>51</v>
      </c>
      <c r="I2109" s="9">
        <v>1</v>
      </c>
      <c r="J2109" s="9">
        <v>6</v>
      </c>
      <c r="K2109" s="9">
        <v>240</v>
      </c>
      <c r="L2109" s="9">
        <v>0.42</v>
      </c>
      <c r="M2109" s="9">
        <v>100.8</v>
      </c>
      <c r="N2109" s="9" t="s">
        <v>49</v>
      </c>
      <c r="Q2109" s="9">
        <f>IF(Auction_Sales[[#This Row],[Payment Date]]=0,"",-1+WEEKNUM(Auction_Sales[[#This Row],[Payment Date]]))</f>
        <v>29</v>
      </c>
      <c r="R2109" s="9">
        <v>-200</v>
      </c>
      <c r="S2109" s="9" t="s">
        <v>156</v>
      </c>
      <c r="T2109" s="9" t="s">
        <v>51</v>
      </c>
      <c r="U2109" s="9">
        <v>440</v>
      </c>
      <c r="V2109" s="13">
        <v>0.28000000000000003</v>
      </c>
      <c r="W2109" s="13">
        <v>123.20000000000002</v>
      </c>
      <c r="X2109" s="14">
        <v>-23.684189189189212</v>
      </c>
      <c r="Y2109" s="13">
        <v>99.515810810810805</v>
      </c>
      <c r="Z2109" s="10">
        <v>45497</v>
      </c>
      <c r="AA2109" s="9">
        <v>200</v>
      </c>
      <c r="AC2109" s="9">
        <v>448019</v>
      </c>
      <c r="AD2109" s="14">
        <v>21.162142857142854</v>
      </c>
      <c r="AF2109" s="14">
        <v>8.8000000000000007</v>
      </c>
      <c r="AH2109" s="14">
        <v>29.962142857142855</v>
      </c>
      <c r="AI2109" s="13">
        <v>69.553667953667954</v>
      </c>
      <c r="AK2109" s="9">
        <v>440</v>
      </c>
    </row>
    <row r="2110" spans="1:37">
      <c r="A2110" s="9">
        <v>29</v>
      </c>
      <c r="B2110" s="9">
        <v>2024</v>
      </c>
      <c r="C2110" s="9" t="s">
        <v>46</v>
      </c>
      <c r="D2110" s="9" t="s">
        <v>47</v>
      </c>
      <c r="E2110" s="9" t="s">
        <v>47</v>
      </c>
      <c r="F2110" s="10">
        <v>45486</v>
      </c>
      <c r="G2110" s="9" t="s">
        <v>156</v>
      </c>
      <c r="H2110" s="9" t="s">
        <v>48</v>
      </c>
      <c r="J2110" s="9">
        <v>6</v>
      </c>
      <c r="K2110" s="9">
        <v>240</v>
      </c>
      <c r="L2110" s="9">
        <v>0.52</v>
      </c>
      <c r="M2110" s="9">
        <v>124.8</v>
      </c>
      <c r="N2110" s="9" t="s">
        <v>49</v>
      </c>
      <c r="Q2110" s="9">
        <f>IF(Auction_Sales[[#This Row],[Payment Date]]=0,"",-1+WEEKNUM(Auction_Sales[[#This Row],[Payment Date]]))</f>
        <v>29</v>
      </c>
      <c r="R2110" s="9">
        <v>160</v>
      </c>
      <c r="S2110" s="9" t="s">
        <v>156</v>
      </c>
      <c r="T2110" s="9" t="s">
        <v>48</v>
      </c>
      <c r="U2110" s="9">
        <v>80</v>
      </c>
      <c r="V2110" s="13">
        <v>0.25</v>
      </c>
      <c r="W2110" s="13">
        <v>20</v>
      </c>
      <c r="X2110" s="14">
        <v>-4.3062162162162201</v>
      </c>
      <c r="Y2110" s="13">
        <v>15.693783783783779</v>
      </c>
      <c r="Z2110" s="10">
        <v>45497</v>
      </c>
      <c r="AA2110" s="9">
        <v>-160</v>
      </c>
      <c r="AC2110" s="9">
        <v>448019</v>
      </c>
      <c r="AD2110" s="14">
        <v>21.162142857142854</v>
      </c>
      <c r="AF2110" s="14">
        <v>1.6</v>
      </c>
      <c r="AH2110" s="14">
        <v>22.762142857142855</v>
      </c>
      <c r="AI2110" s="13">
        <v>-7.0683590733590762</v>
      </c>
      <c r="AK2110" s="9">
        <v>80</v>
      </c>
    </row>
    <row r="2111" spans="1:37">
      <c r="A2111" s="9">
        <v>29</v>
      </c>
      <c r="B2111" s="9">
        <v>2024</v>
      </c>
      <c r="C2111" s="9" t="s">
        <v>46</v>
      </c>
      <c r="D2111" s="9" t="s">
        <v>47</v>
      </c>
      <c r="E2111" s="9" t="s">
        <v>47</v>
      </c>
      <c r="F2111" s="10">
        <v>45486</v>
      </c>
      <c r="G2111" s="9" t="s">
        <v>156</v>
      </c>
      <c r="H2111" s="9" t="s">
        <v>54</v>
      </c>
      <c r="I2111" s="9">
        <v>1</v>
      </c>
      <c r="J2111" s="9">
        <v>6</v>
      </c>
      <c r="K2111" s="9">
        <v>200</v>
      </c>
      <c r="L2111" s="9">
        <v>0.66</v>
      </c>
      <c r="M2111" s="9">
        <v>132</v>
      </c>
      <c r="N2111" s="9" t="s">
        <v>49</v>
      </c>
      <c r="Q2111" s="9">
        <f>IF(Auction_Sales[[#This Row],[Payment Date]]=0,"",-1+WEEKNUM(Auction_Sales[[#This Row],[Payment Date]]))</f>
        <v>29</v>
      </c>
      <c r="R2111" s="9">
        <v>200</v>
      </c>
      <c r="S2111" s="9" t="s">
        <v>156</v>
      </c>
      <c r="T2111" s="9" t="s">
        <v>54</v>
      </c>
      <c r="W2111" s="13">
        <v>0</v>
      </c>
      <c r="X2111" s="14">
        <v>0</v>
      </c>
      <c r="Y2111" s="13">
        <v>0</v>
      </c>
      <c r="Z2111" s="10">
        <v>45497</v>
      </c>
      <c r="AA2111" s="9">
        <v>-200</v>
      </c>
      <c r="AC2111" s="9">
        <v>448019</v>
      </c>
      <c r="AD2111" s="14">
        <v>21.162142857142854</v>
      </c>
      <c r="AF2111" s="14">
        <v>0</v>
      </c>
      <c r="AH2111" s="14">
        <v>21.162142857142854</v>
      </c>
      <c r="AI2111" s="13">
        <v>-21.162142857142854</v>
      </c>
      <c r="AK2111" s="9">
        <v>0</v>
      </c>
    </row>
    <row r="2112" spans="1:37">
      <c r="A2112" s="9">
        <v>29</v>
      </c>
      <c r="B2112" s="9">
        <v>2024</v>
      </c>
      <c r="C2112" s="9" t="s">
        <v>46</v>
      </c>
      <c r="D2112" s="9" t="s">
        <v>47</v>
      </c>
      <c r="E2112" s="9" t="s">
        <v>47</v>
      </c>
      <c r="F2112" s="10">
        <v>45486</v>
      </c>
      <c r="G2112" s="9" t="s">
        <v>156</v>
      </c>
      <c r="H2112" s="9" t="s">
        <v>52</v>
      </c>
      <c r="J2112" s="9">
        <v>6</v>
      </c>
      <c r="K2112" s="9">
        <v>200</v>
      </c>
      <c r="L2112" s="9">
        <v>0.61</v>
      </c>
      <c r="M2112" s="9">
        <v>122</v>
      </c>
      <c r="N2112" s="9" t="s">
        <v>49</v>
      </c>
      <c r="Q2112" s="9">
        <f>IF(Auction_Sales[[#This Row],[Payment Date]]=0,"",-1+WEEKNUM(Auction_Sales[[#This Row],[Payment Date]]))</f>
        <v>29</v>
      </c>
      <c r="R2112" s="9">
        <v>200</v>
      </c>
      <c r="S2112" s="9" t="s">
        <v>156</v>
      </c>
      <c r="T2112" s="9" t="s">
        <v>52</v>
      </c>
      <c r="W2112" s="13">
        <v>0</v>
      </c>
      <c r="X2112" s="14">
        <v>0</v>
      </c>
      <c r="Y2112" s="13">
        <v>0</v>
      </c>
      <c r="Z2112" s="10">
        <v>45497</v>
      </c>
      <c r="AA2112" s="9">
        <v>-200</v>
      </c>
      <c r="AC2112" s="9">
        <v>448019</v>
      </c>
      <c r="AD2112" s="14">
        <v>21.162142857142854</v>
      </c>
      <c r="AF2112" s="14">
        <v>0</v>
      </c>
      <c r="AH2112" s="14">
        <v>21.162142857142854</v>
      </c>
      <c r="AI2112" s="13">
        <v>-21.162142857142854</v>
      </c>
      <c r="AK2112" s="9">
        <v>0</v>
      </c>
    </row>
    <row r="2113" spans="1:37">
      <c r="A2113" s="9">
        <v>29</v>
      </c>
      <c r="B2113" s="9">
        <v>2024</v>
      </c>
      <c r="C2113" s="9" t="s">
        <v>46</v>
      </c>
      <c r="D2113" s="9" t="s">
        <v>47</v>
      </c>
      <c r="E2113" s="9" t="s">
        <v>47</v>
      </c>
      <c r="F2113" s="10">
        <v>45486</v>
      </c>
      <c r="G2113" s="9" t="s">
        <v>156</v>
      </c>
      <c r="H2113" s="9" t="s">
        <v>56</v>
      </c>
      <c r="I2113" s="9">
        <v>1</v>
      </c>
      <c r="J2113" s="9">
        <v>7.1999999999999993</v>
      </c>
      <c r="K2113" s="9">
        <v>120</v>
      </c>
      <c r="L2113" s="9">
        <v>0.85</v>
      </c>
      <c r="M2113" s="9">
        <v>102</v>
      </c>
      <c r="N2113" s="9" t="s">
        <v>49</v>
      </c>
      <c r="Q2113" s="9">
        <f>IF(Auction_Sales[[#This Row],[Payment Date]]=0,"",-1+WEEKNUM(Auction_Sales[[#This Row],[Payment Date]]))</f>
        <v>29</v>
      </c>
      <c r="R2113" s="9">
        <v>120</v>
      </c>
      <c r="S2113" s="9" t="s">
        <v>156</v>
      </c>
      <c r="T2113" s="9" t="s">
        <v>56</v>
      </c>
      <c r="W2113" s="13">
        <v>0</v>
      </c>
      <c r="X2113" s="14">
        <v>0</v>
      </c>
      <c r="Y2113" s="13">
        <v>0</v>
      </c>
      <c r="Z2113" s="10">
        <v>45497</v>
      </c>
      <c r="AA2113" s="9">
        <v>-120</v>
      </c>
      <c r="AC2113" s="9">
        <v>448019</v>
      </c>
      <c r="AD2113" s="14">
        <v>25.394571428571425</v>
      </c>
      <c r="AF2113" s="14">
        <v>0</v>
      </c>
      <c r="AH2113" s="14">
        <v>25.394571428571425</v>
      </c>
      <c r="AI2113" s="13">
        <v>-25.394571428571425</v>
      </c>
      <c r="AK2113" s="9">
        <v>0</v>
      </c>
    </row>
    <row r="2114" spans="1:37">
      <c r="A2114" s="9">
        <v>29</v>
      </c>
      <c r="B2114" s="9">
        <v>2024</v>
      </c>
      <c r="C2114" s="9" t="s">
        <v>46</v>
      </c>
      <c r="D2114" s="9" t="s">
        <v>47</v>
      </c>
      <c r="E2114" s="9" t="s">
        <v>47</v>
      </c>
      <c r="F2114" s="10">
        <v>45486</v>
      </c>
      <c r="G2114" s="9" t="s">
        <v>156</v>
      </c>
      <c r="H2114" s="9" t="s">
        <v>57</v>
      </c>
      <c r="J2114" s="9">
        <v>4.8000000000000007</v>
      </c>
      <c r="K2114" s="9">
        <v>80</v>
      </c>
      <c r="L2114" s="9">
        <v>1.04</v>
      </c>
      <c r="M2114" s="9">
        <v>83.2</v>
      </c>
      <c r="N2114" s="9" t="s">
        <v>49</v>
      </c>
      <c r="Q2114" s="9">
        <f>IF(Auction_Sales[[#This Row],[Payment Date]]=0,"",-1+WEEKNUM(Auction_Sales[[#This Row],[Payment Date]]))</f>
        <v>29</v>
      </c>
      <c r="R2114" s="9">
        <v>80</v>
      </c>
      <c r="S2114" s="9" t="s">
        <v>156</v>
      </c>
      <c r="T2114" s="9" t="s">
        <v>57</v>
      </c>
      <c r="W2114" s="13">
        <v>0</v>
      </c>
      <c r="X2114" s="14">
        <v>0</v>
      </c>
      <c r="Y2114" s="13">
        <v>0</v>
      </c>
      <c r="Z2114" s="10">
        <v>45497</v>
      </c>
      <c r="AA2114" s="9">
        <v>-80</v>
      </c>
      <c r="AC2114" s="9">
        <v>448019</v>
      </c>
      <c r="AD2114" s="14">
        <v>16.929714285714287</v>
      </c>
      <c r="AF2114" s="14">
        <v>0</v>
      </c>
      <c r="AH2114" s="14">
        <v>16.929714285714287</v>
      </c>
      <c r="AI2114" s="13">
        <v>-16.929714285714287</v>
      </c>
      <c r="AK2114" s="9">
        <v>0</v>
      </c>
    </row>
    <row r="2115" spans="1:37">
      <c r="A2115" s="9">
        <v>29</v>
      </c>
      <c r="B2115" s="9">
        <v>2024</v>
      </c>
      <c r="C2115" s="9" t="s">
        <v>46</v>
      </c>
      <c r="D2115" s="9" t="s">
        <v>47</v>
      </c>
      <c r="E2115" s="9" t="s">
        <v>47</v>
      </c>
      <c r="F2115" s="10">
        <v>45486</v>
      </c>
      <c r="G2115" s="9" t="s">
        <v>159</v>
      </c>
      <c r="H2115" s="9" t="s">
        <v>54</v>
      </c>
      <c r="N2115" s="9" t="s">
        <v>49</v>
      </c>
      <c r="Q2115" s="9">
        <f>IF(Auction_Sales[[#This Row],[Payment Date]]=0,"",-1+WEEKNUM(Auction_Sales[[#This Row],[Payment Date]]))</f>
        <v>29</v>
      </c>
      <c r="R2115" s="9">
        <v>-80</v>
      </c>
      <c r="S2115" s="1" t="str">
        <f t="shared" ref="S2115:S2118" si="365">G2115</f>
        <v>Miniature Roses</v>
      </c>
      <c r="T2115" s="9" t="s">
        <v>54</v>
      </c>
      <c r="U2115" s="9">
        <v>80</v>
      </c>
      <c r="V2115" s="13">
        <v>0.86999999999999988</v>
      </c>
      <c r="W2115" s="13">
        <v>69.599999999999994</v>
      </c>
      <c r="X2115" s="14">
        <v>-4.3062162162162201</v>
      </c>
      <c r="Y2115" s="13">
        <v>65.29378378378378</v>
      </c>
      <c r="Z2115" s="10">
        <v>45497</v>
      </c>
      <c r="AA2115" s="9">
        <v>80</v>
      </c>
      <c r="AC2115" s="9">
        <v>448019</v>
      </c>
      <c r="AD2115" s="14">
        <v>0</v>
      </c>
      <c r="AF2115" s="14">
        <v>1.6</v>
      </c>
      <c r="AH2115" s="14">
        <v>1.6</v>
      </c>
      <c r="AI2115" s="13">
        <v>63.693783783783779</v>
      </c>
      <c r="AK2115" s="9">
        <v>80</v>
      </c>
    </row>
    <row r="2116" spans="1:37">
      <c r="A2116" s="9">
        <v>29</v>
      </c>
      <c r="B2116" s="9">
        <v>2024</v>
      </c>
      <c r="C2116" s="9" t="s">
        <v>46</v>
      </c>
      <c r="D2116" s="9" t="s">
        <v>47</v>
      </c>
      <c r="E2116" s="9" t="s">
        <v>47</v>
      </c>
      <c r="F2116" s="10">
        <v>45486</v>
      </c>
      <c r="G2116" s="9" t="s">
        <v>159</v>
      </c>
      <c r="H2116" s="9" t="s">
        <v>56</v>
      </c>
      <c r="N2116" s="9" t="s">
        <v>49</v>
      </c>
      <c r="Q2116" s="9">
        <f>IF(Auction_Sales[[#This Row],[Payment Date]]=0,"",-1+WEEKNUM(Auction_Sales[[#This Row],[Payment Date]]))</f>
        <v>29</v>
      </c>
      <c r="R2116" s="9">
        <v>-80</v>
      </c>
      <c r="S2116" s="1" t="str">
        <f t="shared" si="365"/>
        <v>Miniature Roses</v>
      </c>
      <c r="T2116" s="9" t="s">
        <v>56</v>
      </c>
      <c r="U2116" s="9">
        <v>80</v>
      </c>
      <c r="V2116" s="13">
        <v>0.92500000000000004</v>
      </c>
      <c r="W2116" s="13">
        <v>74</v>
      </c>
      <c r="X2116" s="14">
        <v>-4.3062162162162201</v>
      </c>
      <c r="Y2116" s="13">
        <v>69.693783783783786</v>
      </c>
      <c r="Z2116" s="10">
        <v>45497</v>
      </c>
      <c r="AA2116" s="9">
        <v>80</v>
      </c>
      <c r="AC2116" s="9">
        <v>448019</v>
      </c>
      <c r="AD2116" s="14">
        <v>0</v>
      </c>
      <c r="AF2116" s="14">
        <v>1.6</v>
      </c>
      <c r="AH2116" s="14">
        <v>1.6</v>
      </c>
      <c r="AI2116" s="13">
        <v>68.093783783783792</v>
      </c>
      <c r="AK2116" s="9">
        <v>80</v>
      </c>
    </row>
    <row r="2117" spans="1:37">
      <c r="A2117" s="9">
        <v>29</v>
      </c>
      <c r="B2117" s="9">
        <v>2024</v>
      </c>
      <c r="C2117" s="9" t="s">
        <v>46</v>
      </c>
      <c r="D2117" s="9" t="s">
        <v>47</v>
      </c>
      <c r="E2117" s="9" t="s">
        <v>47</v>
      </c>
      <c r="F2117" s="10">
        <v>45486</v>
      </c>
      <c r="G2117" s="9" t="s">
        <v>159</v>
      </c>
      <c r="H2117" s="9" t="s">
        <v>52</v>
      </c>
      <c r="N2117" s="9" t="s">
        <v>49</v>
      </c>
      <c r="Q2117" s="9">
        <f>IF(Auction_Sales[[#This Row],[Payment Date]]=0,"",-1+WEEKNUM(Auction_Sales[[#This Row],[Payment Date]]))</f>
        <v>29</v>
      </c>
      <c r="R2117" s="9">
        <v>-120</v>
      </c>
      <c r="S2117" s="1" t="str">
        <f t="shared" si="365"/>
        <v>Miniature Roses</v>
      </c>
      <c r="T2117" s="9" t="s">
        <v>52</v>
      </c>
      <c r="U2117" s="9">
        <v>120</v>
      </c>
      <c r="V2117" s="13">
        <v>0.91666666666666663</v>
      </c>
      <c r="W2117" s="13">
        <v>110</v>
      </c>
      <c r="X2117" s="14">
        <v>-6.4593243243243315</v>
      </c>
      <c r="Y2117" s="13">
        <v>103.54067567567567</v>
      </c>
      <c r="Z2117" s="10">
        <v>45497</v>
      </c>
      <c r="AA2117" s="9">
        <v>120</v>
      </c>
      <c r="AC2117" s="9">
        <v>448019</v>
      </c>
      <c r="AD2117" s="14">
        <v>0</v>
      </c>
      <c r="AF2117" s="14">
        <v>2.4</v>
      </c>
      <c r="AH2117" s="14">
        <v>2.4</v>
      </c>
      <c r="AI2117" s="13">
        <v>101.14067567567567</v>
      </c>
      <c r="AK2117" s="9">
        <v>120</v>
      </c>
    </row>
    <row r="2118" spans="1:37">
      <c r="A2118" s="9">
        <v>29</v>
      </c>
      <c r="B2118" s="9">
        <v>2024</v>
      </c>
      <c r="C2118" s="9" t="s">
        <v>46</v>
      </c>
      <c r="D2118" s="9" t="s">
        <v>47</v>
      </c>
      <c r="E2118" s="9" t="s">
        <v>47</v>
      </c>
      <c r="F2118" s="10">
        <v>45486</v>
      </c>
      <c r="G2118" s="9" t="s">
        <v>159</v>
      </c>
      <c r="H2118" s="9" t="s">
        <v>48</v>
      </c>
      <c r="N2118" s="9" t="s">
        <v>49</v>
      </c>
      <c r="Q2118" s="9">
        <f>IF(Auction_Sales[[#This Row],[Payment Date]]=0,"",-1+WEEKNUM(Auction_Sales[[#This Row],[Payment Date]]))</f>
        <v>29</v>
      </c>
      <c r="R2118" s="9">
        <v>0</v>
      </c>
      <c r="S2118" s="1" t="str">
        <f t="shared" si="365"/>
        <v>Miniature Roses</v>
      </c>
      <c r="T2118" s="9" t="s">
        <v>48</v>
      </c>
      <c r="W2118" s="13">
        <v>0</v>
      </c>
      <c r="X2118" s="14">
        <v>0</v>
      </c>
      <c r="Y2118" s="13">
        <v>0</v>
      </c>
      <c r="Z2118" s="10">
        <v>45497</v>
      </c>
      <c r="AA2118" s="9">
        <v>0</v>
      </c>
      <c r="AC2118" s="9">
        <v>448019</v>
      </c>
      <c r="AD2118" s="14">
        <v>0</v>
      </c>
      <c r="AF2118" s="14">
        <v>0</v>
      </c>
      <c r="AH2118" s="14">
        <v>0</v>
      </c>
      <c r="AI2118" s="13">
        <v>0</v>
      </c>
      <c r="AK2118" s="9">
        <v>0</v>
      </c>
    </row>
    <row r="2119" spans="1:37">
      <c r="A2119" s="9">
        <v>29</v>
      </c>
      <c r="B2119" s="9">
        <v>2024</v>
      </c>
      <c r="C2119" s="9" t="s">
        <v>46</v>
      </c>
      <c r="D2119" s="9" t="s">
        <v>47</v>
      </c>
      <c r="E2119" s="9" t="s">
        <v>47</v>
      </c>
      <c r="F2119" s="10">
        <v>45486</v>
      </c>
      <c r="G2119" s="9" t="s">
        <v>153</v>
      </c>
      <c r="H2119" s="9" t="s">
        <v>48</v>
      </c>
      <c r="N2119" s="9" t="s">
        <v>49</v>
      </c>
      <c r="Q2119" s="9">
        <f>IF(Auction_Sales[[#This Row],[Payment Date]]=0,"",-1+WEEKNUM(Auction_Sales[[#This Row],[Payment Date]]))</f>
        <v>29</v>
      </c>
      <c r="R2119" s="9">
        <v>240</v>
      </c>
      <c r="S2119" s="9" t="s">
        <v>153</v>
      </c>
      <c r="T2119" s="9" t="s">
        <v>48</v>
      </c>
      <c r="U2119" s="9">
        <v>-240</v>
      </c>
      <c r="V2119" s="13">
        <v>0.59</v>
      </c>
      <c r="W2119" s="13">
        <v>-141.6</v>
      </c>
      <c r="X2119" s="14">
        <v>12.918648648648663</v>
      </c>
      <c r="Y2119" s="13">
        <v>-128.68135135135134</v>
      </c>
      <c r="Z2119" s="10">
        <v>45497</v>
      </c>
      <c r="AA2119" s="9">
        <v>-240</v>
      </c>
      <c r="AC2119" s="9">
        <v>448019</v>
      </c>
      <c r="AD2119" s="14">
        <v>0</v>
      </c>
      <c r="AF2119" s="14">
        <v>-4.8</v>
      </c>
      <c r="AH2119" s="14">
        <v>-4.8</v>
      </c>
      <c r="AI2119" s="13">
        <v>-123.88135135135134</v>
      </c>
      <c r="AK2119" s="9">
        <v>-240</v>
      </c>
    </row>
    <row r="2120" spans="1:37">
      <c r="A2120" s="9">
        <v>29</v>
      </c>
      <c r="B2120" s="9">
        <v>2024</v>
      </c>
      <c r="C2120" s="9" t="s">
        <v>46</v>
      </c>
      <c r="D2120" s="9" t="s">
        <v>47</v>
      </c>
      <c r="E2120" s="9" t="s">
        <v>47</v>
      </c>
      <c r="F2120" s="10">
        <v>45486</v>
      </c>
      <c r="G2120" s="9" t="s">
        <v>153</v>
      </c>
      <c r="H2120" s="9" t="s">
        <v>51</v>
      </c>
      <c r="N2120" s="9" t="s">
        <v>49</v>
      </c>
      <c r="Q2120" s="9">
        <f>IF(Auction_Sales[[#This Row],[Payment Date]]=0,"",-1+WEEKNUM(Auction_Sales[[#This Row],[Payment Date]]))</f>
        <v>29</v>
      </c>
      <c r="R2120" s="9">
        <v>-320</v>
      </c>
      <c r="S2120" s="9" t="s">
        <v>153</v>
      </c>
      <c r="T2120" s="9" t="s">
        <v>51</v>
      </c>
      <c r="U2120" s="9">
        <v>320</v>
      </c>
      <c r="V2120" s="13">
        <v>0.49000000000000005</v>
      </c>
      <c r="W2120" s="13">
        <v>156.80000000000001</v>
      </c>
      <c r="X2120" s="14">
        <v>-17.22486486486488</v>
      </c>
      <c r="Y2120" s="13">
        <v>139.57513513513513</v>
      </c>
      <c r="Z2120" s="10">
        <v>45497</v>
      </c>
      <c r="AA2120" s="9">
        <v>320</v>
      </c>
      <c r="AC2120" s="9">
        <v>448019</v>
      </c>
      <c r="AD2120" s="14">
        <v>0</v>
      </c>
      <c r="AF2120" s="14">
        <v>6.4</v>
      </c>
      <c r="AH2120" s="14">
        <v>6.4</v>
      </c>
      <c r="AI2120" s="13">
        <v>133.17513513513512</v>
      </c>
      <c r="AK2120" s="9">
        <v>320</v>
      </c>
    </row>
    <row r="2121" spans="1:37">
      <c r="A2121" s="9">
        <v>29</v>
      </c>
      <c r="B2121" s="9">
        <v>2024</v>
      </c>
      <c r="C2121" s="9" t="s">
        <v>46</v>
      </c>
      <c r="D2121" s="9" t="s">
        <v>47</v>
      </c>
      <c r="E2121" s="9" t="s">
        <v>47</v>
      </c>
      <c r="F2121" s="10">
        <v>45488</v>
      </c>
      <c r="G2121" s="9" t="s">
        <v>154</v>
      </c>
      <c r="H2121" s="9" t="s">
        <v>51</v>
      </c>
      <c r="I2121" s="9">
        <v>1</v>
      </c>
      <c r="J2121" s="9">
        <v>12</v>
      </c>
      <c r="K2121" s="9">
        <v>480</v>
      </c>
      <c r="L2121" s="9">
        <v>0.38</v>
      </c>
      <c r="M2121" s="9">
        <v>182.4</v>
      </c>
      <c r="N2121" s="9" t="s">
        <v>49</v>
      </c>
      <c r="Q2121" s="9">
        <f>IF(Auction_Sales[[#This Row],[Payment Date]]=0,"",-1+WEEKNUM(Auction_Sales[[#This Row],[Payment Date]]))</f>
        <v>29</v>
      </c>
      <c r="R2121" s="9">
        <v>0</v>
      </c>
      <c r="S2121" s="9" t="s">
        <v>154</v>
      </c>
      <c r="T2121" s="9" t="s">
        <v>51</v>
      </c>
      <c r="U2121" s="9">
        <v>480</v>
      </c>
      <c r="V2121" s="13">
        <v>0.47</v>
      </c>
      <c r="W2121" s="13">
        <v>225.6</v>
      </c>
      <c r="X2121" s="14">
        <v>-22.554606741573032</v>
      </c>
      <c r="Y2121" s="13">
        <v>203.04539325842697</v>
      </c>
      <c r="Z2121" s="10">
        <v>45497</v>
      </c>
      <c r="AA2121" s="9">
        <v>0</v>
      </c>
      <c r="AC2121" s="9" t="s">
        <v>132</v>
      </c>
      <c r="AD2121" s="14">
        <v>38.469090909090916</v>
      </c>
      <c r="AF2121" s="14">
        <v>9.6</v>
      </c>
      <c r="AH2121" s="14">
        <v>48.069090909090917</v>
      </c>
      <c r="AI2121" s="13">
        <v>154.97630234933604</v>
      </c>
      <c r="AK2121" s="9">
        <v>480</v>
      </c>
    </row>
    <row r="2122" spans="1:37">
      <c r="A2122" s="9">
        <v>29</v>
      </c>
      <c r="B2122" s="9">
        <v>2024</v>
      </c>
      <c r="C2122" s="9" t="s">
        <v>46</v>
      </c>
      <c r="D2122" s="9" t="s">
        <v>47</v>
      </c>
      <c r="E2122" s="9" t="s">
        <v>47</v>
      </c>
      <c r="F2122" s="10">
        <v>45488</v>
      </c>
      <c r="G2122" s="9" t="s">
        <v>154</v>
      </c>
      <c r="H2122" s="9" t="s">
        <v>48</v>
      </c>
      <c r="I2122" s="9">
        <v>1</v>
      </c>
      <c r="J2122" s="9">
        <v>12</v>
      </c>
      <c r="K2122" s="9">
        <v>320</v>
      </c>
      <c r="L2122" s="9">
        <v>0.47</v>
      </c>
      <c r="M2122" s="9">
        <v>150.4</v>
      </c>
      <c r="N2122" s="9" t="s">
        <v>49</v>
      </c>
      <c r="Q2122" s="9">
        <f>IF(Auction_Sales[[#This Row],[Payment Date]]=0,"",-1+WEEKNUM(Auction_Sales[[#This Row],[Payment Date]]))</f>
        <v>29</v>
      </c>
      <c r="R2122" s="9">
        <v>-200</v>
      </c>
      <c r="S2122" s="9" t="s">
        <v>154</v>
      </c>
      <c r="T2122" s="9" t="s">
        <v>48</v>
      </c>
      <c r="U2122" s="9">
        <v>520</v>
      </c>
      <c r="V2122" s="13">
        <v>0.5607692307692308</v>
      </c>
      <c r="W2122" s="13">
        <v>291.60000000000002</v>
      </c>
      <c r="X2122" s="14">
        <v>-24.434157303370785</v>
      </c>
      <c r="Y2122" s="13">
        <v>267.16584269662923</v>
      </c>
      <c r="Z2122" s="10">
        <v>45497</v>
      </c>
      <c r="AA2122" s="9">
        <v>200</v>
      </c>
      <c r="AC2122" s="9" t="s">
        <v>132</v>
      </c>
      <c r="AD2122" s="14">
        <v>38.469090909090916</v>
      </c>
      <c r="AF2122" s="14">
        <v>10.4</v>
      </c>
      <c r="AH2122" s="14">
        <v>48.869090909090914</v>
      </c>
      <c r="AI2122" s="13">
        <v>218.29675178753831</v>
      </c>
      <c r="AK2122" s="9">
        <v>520</v>
      </c>
    </row>
    <row r="2123" spans="1:37">
      <c r="A2123" s="9">
        <v>29</v>
      </c>
      <c r="B2123" s="9">
        <v>2024</v>
      </c>
      <c r="C2123" s="9" t="s">
        <v>46</v>
      </c>
      <c r="D2123" s="9" t="s">
        <v>47</v>
      </c>
      <c r="E2123" s="9" t="s">
        <v>47</v>
      </c>
      <c r="F2123" s="10">
        <v>45488</v>
      </c>
      <c r="G2123" s="9" t="s">
        <v>155</v>
      </c>
      <c r="H2123" s="9" t="s">
        <v>51</v>
      </c>
      <c r="I2123" s="9">
        <v>1</v>
      </c>
      <c r="J2123" s="9">
        <v>12</v>
      </c>
      <c r="K2123" s="9">
        <v>520</v>
      </c>
      <c r="L2123" s="9">
        <v>0.38</v>
      </c>
      <c r="M2123" s="9">
        <v>197.6</v>
      </c>
      <c r="N2123" s="9" t="s">
        <v>49</v>
      </c>
      <c r="Q2123" s="9">
        <f>IF(Auction_Sales[[#This Row],[Payment Date]]=0,"",-1+WEEKNUM(Auction_Sales[[#This Row],[Payment Date]]))</f>
        <v>29</v>
      </c>
      <c r="R2123" s="9">
        <v>320</v>
      </c>
      <c r="S2123" s="9" t="s">
        <v>155</v>
      </c>
      <c r="T2123" s="9" t="s">
        <v>51</v>
      </c>
      <c r="U2123" s="9">
        <v>200</v>
      </c>
      <c r="V2123" s="13">
        <v>0.65400000000000003</v>
      </c>
      <c r="W2123" s="13">
        <v>130.80000000000001</v>
      </c>
      <c r="X2123" s="14">
        <v>-9.3977528089887628</v>
      </c>
      <c r="Y2123" s="13">
        <v>121.40224719101124</v>
      </c>
      <c r="Z2123" s="10">
        <v>45497</v>
      </c>
      <c r="AA2123" s="9">
        <v>-320</v>
      </c>
      <c r="AC2123" s="9" t="s">
        <v>132</v>
      </c>
      <c r="AD2123" s="14">
        <v>38.469090909090916</v>
      </c>
      <c r="AF2123" s="14">
        <v>4</v>
      </c>
      <c r="AH2123" s="14">
        <v>42.469090909090916</v>
      </c>
      <c r="AI2123" s="13">
        <v>78.933156281920333</v>
      </c>
      <c r="AK2123" s="9">
        <v>200</v>
      </c>
    </row>
    <row r="2124" spans="1:37">
      <c r="A2124" s="9">
        <v>29</v>
      </c>
      <c r="B2124" s="9">
        <v>2024</v>
      </c>
      <c r="C2124" s="9" t="s">
        <v>46</v>
      </c>
      <c r="D2124" s="9" t="s">
        <v>47</v>
      </c>
      <c r="E2124" s="9" t="s">
        <v>47</v>
      </c>
      <c r="F2124" s="10">
        <v>45488</v>
      </c>
      <c r="G2124" s="9" t="s">
        <v>156</v>
      </c>
      <c r="H2124" s="9" t="s">
        <v>51</v>
      </c>
      <c r="I2124" s="9">
        <v>1</v>
      </c>
      <c r="J2124" s="9">
        <v>12</v>
      </c>
      <c r="K2124" s="9">
        <v>440</v>
      </c>
      <c r="L2124" s="9">
        <v>0.42</v>
      </c>
      <c r="M2124" s="9">
        <v>184.8</v>
      </c>
      <c r="N2124" s="9" t="s">
        <v>49</v>
      </c>
      <c r="Q2124" s="9">
        <f>IF(Auction_Sales[[#This Row],[Payment Date]]=0,"",-1+WEEKNUM(Auction_Sales[[#This Row],[Payment Date]]))</f>
        <v>29</v>
      </c>
      <c r="R2124" s="9">
        <v>240</v>
      </c>
      <c r="S2124" s="9" t="s">
        <v>156</v>
      </c>
      <c r="T2124" s="9" t="s">
        <v>51</v>
      </c>
      <c r="U2124" s="9">
        <v>200</v>
      </c>
      <c r="V2124" s="13">
        <v>0.26</v>
      </c>
      <c r="W2124" s="13">
        <v>52</v>
      </c>
      <c r="X2124" s="14">
        <v>-9.3977528089887628</v>
      </c>
      <c r="Y2124" s="13">
        <v>42.602247191011237</v>
      </c>
      <c r="Z2124" s="10">
        <v>45497</v>
      </c>
      <c r="AA2124" s="9">
        <v>-240</v>
      </c>
      <c r="AC2124" s="9" t="s">
        <v>132</v>
      </c>
      <c r="AD2124" s="14">
        <v>38.469090909090916</v>
      </c>
      <c r="AF2124" s="14">
        <v>4</v>
      </c>
      <c r="AH2124" s="14">
        <v>42.469090909090916</v>
      </c>
      <c r="AI2124" s="13">
        <v>0.13315628192032136</v>
      </c>
      <c r="AK2124" s="9">
        <v>200</v>
      </c>
    </row>
    <row r="2125" spans="1:37">
      <c r="A2125" s="9">
        <v>29</v>
      </c>
      <c r="B2125" s="9">
        <v>2024</v>
      </c>
      <c r="C2125" s="9" t="s">
        <v>46</v>
      </c>
      <c r="D2125" s="9" t="s">
        <v>47</v>
      </c>
      <c r="E2125" s="9" t="s">
        <v>47</v>
      </c>
      <c r="F2125" s="10">
        <v>45488</v>
      </c>
      <c r="G2125" s="9" t="s">
        <v>156</v>
      </c>
      <c r="H2125" s="9" t="s">
        <v>48</v>
      </c>
      <c r="I2125" s="9">
        <v>1</v>
      </c>
      <c r="J2125" s="9">
        <v>12</v>
      </c>
      <c r="K2125" s="9">
        <v>400</v>
      </c>
      <c r="L2125" s="9">
        <v>0.52</v>
      </c>
      <c r="M2125" s="9">
        <v>208</v>
      </c>
      <c r="N2125" s="9" t="s">
        <v>49</v>
      </c>
      <c r="Q2125" s="9">
        <f>IF(Auction_Sales[[#This Row],[Payment Date]]=0,"",-1+WEEKNUM(Auction_Sales[[#This Row],[Payment Date]]))</f>
        <v>29</v>
      </c>
      <c r="R2125" s="9">
        <v>200</v>
      </c>
      <c r="S2125" s="9" t="s">
        <v>156</v>
      </c>
      <c r="T2125" s="9" t="s">
        <v>48</v>
      </c>
      <c r="U2125" s="9">
        <v>200</v>
      </c>
      <c r="V2125" s="13">
        <v>0.40799999999999997</v>
      </c>
      <c r="W2125" s="13">
        <v>81.599999999999994</v>
      </c>
      <c r="X2125" s="14">
        <v>-9.3977528089887628</v>
      </c>
      <c r="Y2125" s="13">
        <v>72.202247191011224</v>
      </c>
      <c r="Z2125" s="10">
        <v>45497</v>
      </c>
      <c r="AA2125" s="9">
        <v>-200</v>
      </c>
      <c r="AC2125" s="9" t="s">
        <v>132</v>
      </c>
      <c r="AD2125" s="14">
        <v>38.469090909090916</v>
      </c>
      <c r="AF2125" s="14">
        <v>4</v>
      </c>
      <c r="AH2125" s="14">
        <v>42.469090909090916</v>
      </c>
      <c r="AI2125" s="13">
        <v>29.733156281920309</v>
      </c>
      <c r="AK2125" s="9">
        <v>200</v>
      </c>
    </row>
    <row r="2126" spans="1:37">
      <c r="A2126" s="9">
        <v>29</v>
      </c>
      <c r="B2126" s="9">
        <v>2024</v>
      </c>
      <c r="C2126" s="9" t="s">
        <v>46</v>
      </c>
      <c r="D2126" s="9" t="s">
        <v>47</v>
      </c>
      <c r="E2126" s="9" t="s">
        <v>47</v>
      </c>
      <c r="F2126" s="10">
        <v>45488</v>
      </c>
      <c r="G2126" s="9" t="s">
        <v>153</v>
      </c>
      <c r="H2126" s="9" t="s">
        <v>48</v>
      </c>
      <c r="I2126" s="9">
        <v>1</v>
      </c>
      <c r="J2126" s="9">
        <v>12</v>
      </c>
      <c r="K2126" s="9">
        <v>480</v>
      </c>
      <c r="L2126" s="9">
        <v>0.24</v>
      </c>
      <c r="M2126" s="9">
        <v>115.2</v>
      </c>
      <c r="N2126" s="9" t="s">
        <v>49</v>
      </c>
      <c r="Q2126" s="9">
        <f>IF(Auction_Sales[[#This Row],[Payment Date]]=0,"",-1+WEEKNUM(Auction_Sales[[#This Row],[Payment Date]]))</f>
        <v>29</v>
      </c>
      <c r="R2126" s="9">
        <v>0</v>
      </c>
      <c r="S2126" s="9" t="s">
        <v>153</v>
      </c>
      <c r="T2126" s="9" t="s">
        <v>48</v>
      </c>
      <c r="U2126" s="9">
        <v>480</v>
      </c>
      <c r="V2126" s="13">
        <v>0.57000000000000006</v>
      </c>
      <c r="W2126" s="13">
        <v>273.60000000000002</v>
      </c>
      <c r="X2126" s="14">
        <v>-22.554606741573032</v>
      </c>
      <c r="Y2126" s="13">
        <v>251.045393258427</v>
      </c>
      <c r="Z2126" s="10">
        <v>45497</v>
      </c>
      <c r="AA2126" s="9">
        <v>0</v>
      </c>
      <c r="AC2126" s="9" t="s">
        <v>132</v>
      </c>
      <c r="AD2126" s="14">
        <v>38.469090909090916</v>
      </c>
      <c r="AF2126" s="14">
        <v>9.6</v>
      </c>
      <c r="AH2126" s="14">
        <v>48.069090909090917</v>
      </c>
      <c r="AI2126" s="13">
        <v>202.97630234933609</v>
      </c>
      <c r="AK2126" s="9">
        <v>480</v>
      </c>
    </row>
    <row r="2127" spans="1:37">
      <c r="A2127" s="9">
        <v>29</v>
      </c>
      <c r="B2127" s="9">
        <v>2024</v>
      </c>
      <c r="C2127" s="9" t="s">
        <v>46</v>
      </c>
      <c r="D2127" s="9" t="s">
        <v>47</v>
      </c>
      <c r="E2127" s="9" t="s">
        <v>47</v>
      </c>
      <c r="F2127" s="10">
        <v>45488</v>
      </c>
      <c r="G2127" s="9" t="s">
        <v>154</v>
      </c>
      <c r="H2127" s="9" t="s">
        <v>52</v>
      </c>
      <c r="I2127" s="9">
        <v>1</v>
      </c>
      <c r="J2127" s="9">
        <v>8.5714285714285712</v>
      </c>
      <c r="K2127" s="9">
        <v>200</v>
      </c>
      <c r="L2127" s="9">
        <v>0.52</v>
      </c>
      <c r="M2127" s="9">
        <v>104</v>
      </c>
      <c r="N2127" s="9" t="s">
        <v>49</v>
      </c>
      <c r="Q2127" s="9">
        <f>IF(Auction_Sales[[#This Row],[Payment Date]]=0,"",-1+WEEKNUM(Auction_Sales[[#This Row],[Payment Date]]))</f>
        <v>29</v>
      </c>
      <c r="R2127" s="9">
        <v>200</v>
      </c>
      <c r="S2127" s="9" t="s">
        <v>154</v>
      </c>
      <c r="T2127" s="9" t="s">
        <v>52</v>
      </c>
      <c r="W2127" s="13">
        <v>0</v>
      </c>
      <c r="X2127" s="14">
        <v>0</v>
      </c>
      <c r="Y2127" s="13">
        <v>0</v>
      </c>
      <c r="Z2127" s="10">
        <v>45497</v>
      </c>
      <c r="AA2127" s="9">
        <v>-200</v>
      </c>
      <c r="AC2127" s="9" t="s">
        <v>132</v>
      </c>
      <c r="AD2127" s="14">
        <v>27.477922077922077</v>
      </c>
      <c r="AF2127" s="14">
        <v>0</v>
      </c>
      <c r="AH2127" s="14">
        <v>27.477922077922077</v>
      </c>
      <c r="AI2127" s="13">
        <v>-27.477922077922077</v>
      </c>
      <c r="AK2127" s="9">
        <v>0</v>
      </c>
    </row>
    <row r="2128" spans="1:37">
      <c r="A2128" s="9">
        <v>29</v>
      </c>
      <c r="B2128" s="9">
        <v>2024</v>
      </c>
      <c r="C2128" s="9" t="s">
        <v>46</v>
      </c>
      <c r="D2128" s="9" t="s">
        <v>47</v>
      </c>
      <c r="E2128" s="9" t="s">
        <v>47</v>
      </c>
      <c r="F2128" s="10">
        <v>45488</v>
      </c>
      <c r="G2128" s="9" t="s">
        <v>154</v>
      </c>
      <c r="H2128" s="9" t="s">
        <v>54</v>
      </c>
      <c r="J2128" s="9">
        <v>1.7142857142857142</v>
      </c>
      <c r="K2128" s="9">
        <v>40</v>
      </c>
      <c r="L2128" s="9">
        <v>0.56999999999999995</v>
      </c>
      <c r="M2128" s="9">
        <v>22.8</v>
      </c>
      <c r="N2128" s="9" t="s">
        <v>49</v>
      </c>
      <c r="Q2128" s="9">
        <f>IF(Auction_Sales[[#This Row],[Payment Date]]=0,"",-1+WEEKNUM(Auction_Sales[[#This Row],[Payment Date]]))</f>
        <v>29</v>
      </c>
      <c r="R2128" s="9">
        <v>40</v>
      </c>
      <c r="S2128" s="9" t="s">
        <v>154</v>
      </c>
      <c r="T2128" s="9" t="s">
        <v>54</v>
      </c>
      <c r="W2128" s="13">
        <v>0</v>
      </c>
      <c r="X2128" s="14">
        <v>0</v>
      </c>
      <c r="Y2128" s="13">
        <v>0</v>
      </c>
      <c r="Z2128" s="10">
        <v>45497</v>
      </c>
      <c r="AA2128" s="9">
        <v>-40</v>
      </c>
      <c r="AC2128" s="9" t="s">
        <v>132</v>
      </c>
      <c r="AD2128" s="14">
        <v>5.4955844155844158</v>
      </c>
      <c r="AF2128" s="14">
        <v>0</v>
      </c>
      <c r="AH2128" s="14">
        <v>5.4955844155844158</v>
      </c>
      <c r="AI2128" s="13">
        <v>-5.4955844155844158</v>
      </c>
      <c r="AK2128" s="9">
        <v>0</v>
      </c>
    </row>
    <row r="2129" spans="1:37">
      <c r="A2129" s="9">
        <v>29</v>
      </c>
      <c r="B2129" s="9">
        <v>2024</v>
      </c>
      <c r="C2129" s="9" t="s">
        <v>46</v>
      </c>
      <c r="D2129" s="9" t="s">
        <v>47</v>
      </c>
      <c r="E2129" s="9" t="s">
        <v>47</v>
      </c>
      <c r="F2129" s="10">
        <v>45488</v>
      </c>
      <c r="G2129" s="9" t="s">
        <v>154</v>
      </c>
      <c r="H2129" s="9" t="s">
        <v>57</v>
      </c>
      <c r="J2129" s="9">
        <v>1.7142857142857142</v>
      </c>
      <c r="K2129" s="9">
        <v>40</v>
      </c>
      <c r="L2129" s="9">
        <v>0.94</v>
      </c>
      <c r="M2129" s="9">
        <v>37.6</v>
      </c>
      <c r="N2129" s="9" t="s">
        <v>49</v>
      </c>
      <c r="Q2129" s="9">
        <f>IF(Auction_Sales[[#This Row],[Payment Date]]=0,"",-1+WEEKNUM(Auction_Sales[[#This Row],[Payment Date]]))</f>
        <v>29</v>
      </c>
      <c r="R2129" s="9">
        <v>40</v>
      </c>
      <c r="S2129" s="9" t="s">
        <v>154</v>
      </c>
      <c r="T2129" s="9" t="s">
        <v>57</v>
      </c>
      <c r="W2129" s="13">
        <v>0</v>
      </c>
      <c r="X2129" s="14">
        <v>0</v>
      </c>
      <c r="Y2129" s="13">
        <v>0</v>
      </c>
      <c r="Z2129" s="10">
        <v>45497</v>
      </c>
      <c r="AA2129" s="9">
        <v>-40</v>
      </c>
      <c r="AC2129" s="9" t="s">
        <v>132</v>
      </c>
      <c r="AD2129" s="14">
        <v>5.4955844155844158</v>
      </c>
      <c r="AF2129" s="14">
        <v>0</v>
      </c>
      <c r="AH2129" s="14">
        <v>5.4955844155844158</v>
      </c>
      <c r="AI2129" s="13">
        <v>-5.4955844155844158</v>
      </c>
      <c r="AK2129" s="9">
        <v>0</v>
      </c>
    </row>
    <row r="2130" spans="1:37">
      <c r="A2130" s="9">
        <v>29</v>
      </c>
      <c r="B2130" s="9">
        <v>2024</v>
      </c>
      <c r="C2130" s="9" t="s">
        <v>46</v>
      </c>
      <c r="D2130" s="9" t="s">
        <v>47</v>
      </c>
      <c r="E2130" s="9" t="s">
        <v>47</v>
      </c>
      <c r="F2130" s="10">
        <v>45488</v>
      </c>
      <c r="G2130" s="9" t="s">
        <v>155</v>
      </c>
      <c r="H2130" s="9" t="s">
        <v>52</v>
      </c>
      <c r="I2130" s="9">
        <v>1</v>
      </c>
      <c r="J2130" s="9">
        <v>2.4000000000000004</v>
      </c>
      <c r="K2130" s="9">
        <v>80</v>
      </c>
      <c r="L2130" s="9">
        <v>0.52</v>
      </c>
      <c r="M2130" s="9">
        <v>41.6</v>
      </c>
      <c r="N2130" s="9" t="s">
        <v>49</v>
      </c>
      <c r="Q2130" s="9">
        <f>IF(Auction_Sales[[#This Row],[Payment Date]]=0,"",-1+WEEKNUM(Auction_Sales[[#This Row],[Payment Date]]))</f>
        <v>29</v>
      </c>
      <c r="R2130" s="9">
        <v>-160</v>
      </c>
      <c r="S2130" s="9" t="s">
        <v>155</v>
      </c>
      <c r="T2130" s="9" t="s">
        <v>52</v>
      </c>
      <c r="U2130" s="9">
        <v>240</v>
      </c>
      <c r="V2130" s="13">
        <v>0.44500000000000001</v>
      </c>
      <c r="W2130" s="13">
        <v>106.8</v>
      </c>
      <c r="X2130" s="14">
        <v>-11.277303370786516</v>
      </c>
      <c r="Y2130" s="13">
        <v>95.522696629213485</v>
      </c>
      <c r="Z2130" s="10">
        <v>45497</v>
      </c>
      <c r="AA2130" s="9">
        <v>160</v>
      </c>
      <c r="AC2130" s="9" t="s">
        <v>132</v>
      </c>
      <c r="AD2130" s="14">
        <v>7.693818181818183</v>
      </c>
      <c r="AF2130" s="14">
        <v>4.8</v>
      </c>
      <c r="AH2130" s="14">
        <v>12.493818181818183</v>
      </c>
      <c r="AI2130" s="13">
        <v>83.0288784473953</v>
      </c>
      <c r="AK2130" s="9">
        <v>240</v>
      </c>
    </row>
    <row r="2131" spans="1:37">
      <c r="A2131" s="9">
        <v>29</v>
      </c>
      <c r="B2131" s="9">
        <v>2024</v>
      </c>
      <c r="C2131" s="9" t="s">
        <v>46</v>
      </c>
      <c r="D2131" s="9" t="s">
        <v>47</v>
      </c>
      <c r="E2131" s="9" t="s">
        <v>47</v>
      </c>
      <c r="F2131" s="10">
        <v>45488</v>
      </c>
      <c r="G2131" s="9" t="s">
        <v>155</v>
      </c>
      <c r="H2131" s="9" t="s">
        <v>48</v>
      </c>
      <c r="J2131" s="9">
        <v>9.6000000000000014</v>
      </c>
      <c r="K2131" s="9">
        <v>320</v>
      </c>
      <c r="L2131" s="9">
        <v>0.47</v>
      </c>
      <c r="M2131" s="9">
        <v>150.4</v>
      </c>
      <c r="N2131" s="9" t="s">
        <v>49</v>
      </c>
      <c r="Q2131" s="9">
        <f>IF(Auction_Sales[[#This Row],[Payment Date]]=0,"",-1+WEEKNUM(Auction_Sales[[#This Row],[Payment Date]]))</f>
        <v>29</v>
      </c>
      <c r="R2131" s="9">
        <v>-320</v>
      </c>
      <c r="S2131" s="9" t="s">
        <v>155</v>
      </c>
      <c r="T2131" s="9" t="s">
        <v>48</v>
      </c>
      <c r="U2131" s="9">
        <v>640</v>
      </c>
      <c r="V2131" s="13">
        <v>0.63</v>
      </c>
      <c r="W2131" s="13">
        <v>403.2</v>
      </c>
      <c r="X2131" s="14">
        <v>-30.072808988764042</v>
      </c>
      <c r="Y2131" s="13">
        <v>373.12719101123594</v>
      </c>
      <c r="Z2131" s="10">
        <v>45497</v>
      </c>
      <c r="AA2131" s="9">
        <v>320</v>
      </c>
      <c r="AC2131" s="9" t="s">
        <v>132</v>
      </c>
      <c r="AD2131" s="14">
        <v>30.775272727272732</v>
      </c>
      <c r="AF2131" s="14">
        <v>12.8</v>
      </c>
      <c r="AH2131" s="14">
        <v>43.575272727272733</v>
      </c>
      <c r="AI2131" s="13">
        <v>329.55191828396323</v>
      </c>
      <c r="AK2131" s="9">
        <v>640</v>
      </c>
    </row>
    <row r="2132" spans="1:37">
      <c r="A2132" s="9">
        <v>29</v>
      </c>
      <c r="B2132" s="9">
        <v>2024</v>
      </c>
      <c r="C2132" s="9" t="s">
        <v>46</v>
      </c>
      <c r="D2132" s="9" t="s">
        <v>47</v>
      </c>
      <c r="E2132" s="9" t="s">
        <v>47</v>
      </c>
      <c r="F2132" s="10">
        <v>45488</v>
      </c>
      <c r="G2132" s="9" t="s">
        <v>153</v>
      </c>
      <c r="H2132" s="9" t="s">
        <v>56</v>
      </c>
      <c r="I2132" s="9">
        <v>1</v>
      </c>
      <c r="J2132" s="9">
        <v>1.5</v>
      </c>
      <c r="K2132" s="9">
        <v>40</v>
      </c>
      <c r="L2132" s="9">
        <v>0.38</v>
      </c>
      <c r="M2132" s="9">
        <v>15.2</v>
      </c>
      <c r="N2132" s="9" t="s">
        <v>49</v>
      </c>
      <c r="Q2132" s="9">
        <f>IF(Auction_Sales[[#This Row],[Payment Date]]=0,"",-1+WEEKNUM(Auction_Sales[[#This Row],[Payment Date]]))</f>
        <v>29</v>
      </c>
      <c r="R2132" s="9">
        <v>40</v>
      </c>
      <c r="S2132" s="9" t="s">
        <v>153</v>
      </c>
      <c r="T2132" s="9" t="s">
        <v>56</v>
      </c>
      <c r="W2132" s="13">
        <v>0</v>
      </c>
      <c r="X2132" s="14">
        <v>0</v>
      </c>
      <c r="Y2132" s="13">
        <v>0</v>
      </c>
      <c r="Z2132" s="10">
        <v>45497</v>
      </c>
      <c r="AA2132" s="9">
        <v>-40</v>
      </c>
      <c r="AC2132" s="9" t="s">
        <v>132</v>
      </c>
      <c r="AD2132" s="14">
        <v>4.8086363636363645</v>
      </c>
      <c r="AF2132" s="14">
        <v>0</v>
      </c>
      <c r="AH2132" s="14">
        <v>4.8086363636363645</v>
      </c>
      <c r="AI2132" s="13">
        <v>-4.8086363636363645</v>
      </c>
      <c r="AK2132" s="9">
        <v>0</v>
      </c>
    </row>
    <row r="2133" spans="1:37">
      <c r="A2133" s="9">
        <v>29</v>
      </c>
      <c r="B2133" s="9">
        <v>2024</v>
      </c>
      <c r="C2133" s="9" t="s">
        <v>46</v>
      </c>
      <c r="D2133" s="9" t="s">
        <v>47</v>
      </c>
      <c r="E2133" s="9" t="s">
        <v>47</v>
      </c>
      <c r="F2133" s="10">
        <v>45488</v>
      </c>
      <c r="G2133" s="9" t="s">
        <v>153</v>
      </c>
      <c r="H2133" s="9" t="s">
        <v>52</v>
      </c>
      <c r="J2133" s="9">
        <v>4.5</v>
      </c>
      <c r="K2133" s="9">
        <v>120</v>
      </c>
      <c r="L2133" s="9">
        <v>0.28000000000000003</v>
      </c>
      <c r="M2133" s="9">
        <v>33.6</v>
      </c>
      <c r="N2133" s="9" t="s">
        <v>49</v>
      </c>
      <c r="Q2133" s="9">
        <f>IF(Auction_Sales[[#This Row],[Payment Date]]=0,"",-1+WEEKNUM(Auction_Sales[[#This Row],[Payment Date]]))</f>
        <v>29</v>
      </c>
      <c r="R2133" s="9">
        <v>-120</v>
      </c>
      <c r="S2133" s="9" t="s">
        <v>153</v>
      </c>
      <c r="T2133" s="9" t="s">
        <v>52</v>
      </c>
      <c r="U2133" s="9">
        <v>240</v>
      </c>
      <c r="V2133" s="13">
        <v>0.6</v>
      </c>
      <c r="W2133" s="13">
        <v>144</v>
      </c>
      <c r="X2133" s="14">
        <v>-11.277303370786516</v>
      </c>
      <c r="Y2133" s="13">
        <v>132.72269662921349</v>
      </c>
      <c r="Z2133" s="10">
        <v>45497</v>
      </c>
      <c r="AA2133" s="9">
        <v>120</v>
      </c>
      <c r="AC2133" s="9" t="s">
        <v>132</v>
      </c>
      <c r="AD2133" s="14">
        <v>14.425909090909091</v>
      </c>
      <c r="AF2133" s="14">
        <v>4.8</v>
      </c>
      <c r="AH2133" s="14">
        <v>19.225909090909092</v>
      </c>
      <c r="AI2133" s="13">
        <v>113.4967875383044</v>
      </c>
      <c r="AK2133" s="9">
        <v>240</v>
      </c>
    </row>
    <row r="2134" spans="1:37">
      <c r="A2134" s="9">
        <v>29</v>
      </c>
      <c r="B2134" s="9">
        <v>2024</v>
      </c>
      <c r="C2134" s="9" t="s">
        <v>46</v>
      </c>
      <c r="D2134" s="9" t="s">
        <v>47</v>
      </c>
      <c r="E2134" s="9" t="s">
        <v>47</v>
      </c>
      <c r="F2134" s="10">
        <v>45488</v>
      </c>
      <c r="G2134" s="9" t="s">
        <v>153</v>
      </c>
      <c r="H2134" s="9" t="s">
        <v>54</v>
      </c>
      <c r="J2134" s="9">
        <v>6</v>
      </c>
      <c r="K2134" s="9">
        <v>160</v>
      </c>
      <c r="L2134" s="9">
        <v>0.33</v>
      </c>
      <c r="M2134" s="9">
        <v>52.8</v>
      </c>
      <c r="N2134" s="9" t="s">
        <v>49</v>
      </c>
      <c r="Q2134" s="9">
        <f>IF(Auction_Sales[[#This Row],[Payment Date]]=0,"",-1+WEEKNUM(Auction_Sales[[#This Row],[Payment Date]]))</f>
        <v>29</v>
      </c>
      <c r="R2134" s="9">
        <v>120</v>
      </c>
      <c r="S2134" s="9" t="s">
        <v>153</v>
      </c>
      <c r="T2134" s="9" t="s">
        <v>54</v>
      </c>
      <c r="U2134" s="9">
        <v>40</v>
      </c>
      <c r="V2134" s="13">
        <v>0.67999999999999994</v>
      </c>
      <c r="W2134" s="13">
        <v>27.199999999999996</v>
      </c>
      <c r="X2134" s="14">
        <v>-1.8795505617977526</v>
      </c>
      <c r="Y2134" s="13">
        <v>25.320449438202242</v>
      </c>
      <c r="Z2134" s="10">
        <v>45497</v>
      </c>
      <c r="AA2134" s="9">
        <v>-120</v>
      </c>
      <c r="AC2134" s="9" t="s">
        <v>132</v>
      </c>
      <c r="AD2134" s="14">
        <v>19.234545454545458</v>
      </c>
      <c r="AF2134" s="14">
        <v>0.8</v>
      </c>
      <c r="AH2134" s="14">
        <v>20.034545454545459</v>
      </c>
      <c r="AI2134" s="13">
        <v>5.2859039836567838</v>
      </c>
      <c r="AK2134" s="9">
        <v>40</v>
      </c>
    </row>
    <row r="2135" spans="1:37">
      <c r="A2135" s="9">
        <v>29</v>
      </c>
      <c r="B2135" s="9">
        <v>2024</v>
      </c>
      <c r="C2135" s="9" t="s">
        <v>46</v>
      </c>
      <c r="D2135" s="9" t="s">
        <v>47</v>
      </c>
      <c r="E2135" s="9" t="s">
        <v>47</v>
      </c>
      <c r="F2135" s="10">
        <v>45488</v>
      </c>
      <c r="G2135" s="9" t="s">
        <v>156</v>
      </c>
      <c r="H2135" s="9" t="s">
        <v>52</v>
      </c>
      <c r="I2135" s="9">
        <v>1</v>
      </c>
      <c r="J2135" s="9">
        <v>4</v>
      </c>
      <c r="K2135" s="9">
        <v>80</v>
      </c>
      <c r="L2135" s="9">
        <v>0.61</v>
      </c>
      <c r="M2135" s="9">
        <v>48.8</v>
      </c>
      <c r="N2135" s="9" t="s">
        <v>49</v>
      </c>
      <c r="Q2135" s="9">
        <f>IF(Auction_Sales[[#This Row],[Payment Date]]=0,"",-1+WEEKNUM(Auction_Sales[[#This Row],[Payment Date]]))</f>
        <v>29</v>
      </c>
      <c r="R2135" s="9">
        <v>0</v>
      </c>
      <c r="S2135" s="9" t="s">
        <v>156</v>
      </c>
      <c r="T2135" s="9" t="s">
        <v>52</v>
      </c>
      <c r="U2135" s="9">
        <v>80</v>
      </c>
      <c r="V2135" s="13">
        <v>0.47000000000000003</v>
      </c>
      <c r="W2135" s="13">
        <v>37.6</v>
      </c>
      <c r="X2135" s="14">
        <v>-3.7591011235955052</v>
      </c>
      <c r="Y2135" s="13">
        <v>33.840898876404495</v>
      </c>
      <c r="Z2135" s="10">
        <v>45497</v>
      </c>
      <c r="AA2135" s="9">
        <v>0</v>
      </c>
      <c r="AC2135" s="9" t="s">
        <v>132</v>
      </c>
      <c r="AD2135" s="14">
        <v>12.823030303030304</v>
      </c>
      <c r="AF2135" s="14">
        <v>1.6</v>
      </c>
      <c r="AH2135" s="14">
        <v>14.423030303030304</v>
      </c>
      <c r="AI2135" s="13">
        <v>19.417868573374193</v>
      </c>
      <c r="AK2135" s="9">
        <v>80</v>
      </c>
    </row>
    <row r="2136" spans="1:37">
      <c r="A2136" s="9">
        <v>29</v>
      </c>
      <c r="B2136" s="9">
        <v>2024</v>
      </c>
      <c r="C2136" s="9" t="s">
        <v>46</v>
      </c>
      <c r="D2136" s="9" t="s">
        <v>47</v>
      </c>
      <c r="E2136" s="9" t="s">
        <v>47</v>
      </c>
      <c r="F2136" s="10">
        <v>45488</v>
      </c>
      <c r="G2136" s="9" t="s">
        <v>156</v>
      </c>
      <c r="H2136" s="9" t="s">
        <v>56</v>
      </c>
      <c r="J2136" s="9">
        <v>8</v>
      </c>
      <c r="K2136" s="9">
        <v>160</v>
      </c>
      <c r="L2136" s="9">
        <v>0.85</v>
      </c>
      <c r="M2136" s="9">
        <v>136</v>
      </c>
      <c r="N2136" s="9" t="s">
        <v>49</v>
      </c>
      <c r="Q2136" s="9">
        <f>IF(Auction_Sales[[#This Row],[Payment Date]]=0,"",-1+WEEKNUM(Auction_Sales[[#This Row],[Payment Date]]))</f>
        <v>29</v>
      </c>
      <c r="R2136" s="9">
        <v>160</v>
      </c>
      <c r="S2136" s="9" t="s">
        <v>156</v>
      </c>
      <c r="T2136" s="9" t="s">
        <v>56</v>
      </c>
      <c r="W2136" s="13">
        <v>0</v>
      </c>
      <c r="X2136" s="14">
        <v>0</v>
      </c>
      <c r="Y2136" s="13">
        <v>0</v>
      </c>
      <c r="Z2136" s="10">
        <v>45497</v>
      </c>
      <c r="AA2136" s="9">
        <v>-160</v>
      </c>
      <c r="AC2136" s="9" t="s">
        <v>132</v>
      </c>
      <c r="AD2136" s="14">
        <v>25.646060606060608</v>
      </c>
      <c r="AF2136" s="14">
        <v>0</v>
      </c>
      <c r="AH2136" s="14">
        <v>25.646060606060608</v>
      </c>
      <c r="AI2136" s="13">
        <v>-25.646060606060608</v>
      </c>
      <c r="AK2136" s="9">
        <v>0</v>
      </c>
    </row>
    <row r="2137" spans="1:37">
      <c r="A2137" s="9">
        <v>29</v>
      </c>
      <c r="B2137" s="9">
        <v>2024</v>
      </c>
      <c r="C2137" s="9" t="s">
        <v>46</v>
      </c>
      <c r="D2137" s="9" t="s">
        <v>47</v>
      </c>
      <c r="E2137" s="9" t="s">
        <v>47</v>
      </c>
      <c r="F2137" s="10">
        <v>45488</v>
      </c>
      <c r="G2137" s="9" t="s">
        <v>156</v>
      </c>
      <c r="H2137" s="9" t="s">
        <v>57</v>
      </c>
      <c r="I2137" s="9">
        <v>1</v>
      </c>
      <c r="J2137" s="9">
        <v>4.8000000000000007</v>
      </c>
      <c r="K2137" s="9">
        <v>80</v>
      </c>
      <c r="L2137" s="9">
        <v>1.04</v>
      </c>
      <c r="M2137" s="9">
        <v>83.2</v>
      </c>
      <c r="N2137" s="9" t="s">
        <v>49</v>
      </c>
      <c r="Q2137" s="9">
        <f>IF(Auction_Sales[[#This Row],[Payment Date]]=0,"",-1+WEEKNUM(Auction_Sales[[#This Row],[Payment Date]]))</f>
        <v>29</v>
      </c>
      <c r="R2137" s="9">
        <v>80</v>
      </c>
      <c r="S2137" s="9" t="s">
        <v>156</v>
      </c>
      <c r="T2137" s="9" t="s">
        <v>57</v>
      </c>
      <c r="W2137" s="13">
        <v>0</v>
      </c>
      <c r="X2137" s="14">
        <v>0</v>
      </c>
      <c r="Y2137" s="13">
        <v>0</v>
      </c>
      <c r="Z2137" s="10">
        <v>45497</v>
      </c>
      <c r="AA2137" s="9">
        <v>-80</v>
      </c>
      <c r="AC2137" s="9" t="s">
        <v>132</v>
      </c>
      <c r="AD2137" s="14">
        <v>15.387636363636366</v>
      </c>
      <c r="AF2137" s="14">
        <v>0</v>
      </c>
      <c r="AH2137" s="14">
        <v>15.387636363636366</v>
      </c>
      <c r="AI2137" s="13">
        <v>-15.387636363636366</v>
      </c>
      <c r="AK2137" s="9">
        <v>0</v>
      </c>
    </row>
    <row r="2138" spans="1:37">
      <c r="A2138" s="9">
        <v>29</v>
      </c>
      <c r="B2138" s="9">
        <v>2024</v>
      </c>
      <c r="C2138" s="9" t="s">
        <v>46</v>
      </c>
      <c r="D2138" s="9" t="s">
        <v>47</v>
      </c>
      <c r="E2138" s="9" t="s">
        <v>47</v>
      </c>
      <c r="F2138" s="10">
        <v>45488</v>
      </c>
      <c r="G2138" s="9" t="s">
        <v>156</v>
      </c>
      <c r="H2138" s="9" t="s">
        <v>54</v>
      </c>
      <c r="J2138" s="9">
        <v>7.1999999999999993</v>
      </c>
      <c r="K2138" s="9">
        <v>120</v>
      </c>
      <c r="L2138" s="9">
        <v>0.66</v>
      </c>
      <c r="M2138" s="9">
        <v>79.2</v>
      </c>
      <c r="N2138" s="9" t="s">
        <v>49</v>
      </c>
      <c r="Q2138" s="9">
        <f>IF(Auction_Sales[[#This Row],[Payment Date]]=0,"",-1+WEEKNUM(Auction_Sales[[#This Row],[Payment Date]]))</f>
        <v>29</v>
      </c>
      <c r="R2138" s="9">
        <v>80</v>
      </c>
      <c r="S2138" s="9" t="s">
        <v>156</v>
      </c>
      <c r="T2138" s="9" t="s">
        <v>54</v>
      </c>
      <c r="U2138" s="9">
        <v>40</v>
      </c>
      <c r="V2138" s="13">
        <v>0.52</v>
      </c>
      <c r="W2138" s="13">
        <v>20.8</v>
      </c>
      <c r="X2138" s="14">
        <v>-1.8795505617977526</v>
      </c>
      <c r="Y2138" s="13">
        <v>18.920449438202247</v>
      </c>
      <c r="Z2138" s="10">
        <v>45497</v>
      </c>
      <c r="AA2138" s="9">
        <v>-80</v>
      </c>
      <c r="AC2138" s="9" t="s">
        <v>132</v>
      </c>
      <c r="AD2138" s="14">
        <v>23.081454545454545</v>
      </c>
      <c r="AF2138" s="14">
        <v>0.8</v>
      </c>
      <c r="AH2138" s="14">
        <v>23.881454545454545</v>
      </c>
      <c r="AI2138" s="13">
        <v>-4.9610051072522978</v>
      </c>
      <c r="AK2138" s="9">
        <v>40</v>
      </c>
    </row>
    <row r="2139" spans="1:37">
      <c r="A2139" s="9">
        <v>29</v>
      </c>
      <c r="B2139" s="9">
        <v>2024</v>
      </c>
      <c r="C2139" s="9" t="s">
        <v>46</v>
      </c>
      <c r="D2139" s="9" t="s">
        <v>47</v>
      </c>
      <c r="E2139" s="9" t="s">
        <v>47</v>
      </c>
      <c r="F2139" s="10">
        <v>45488</v>
      </c>
      <c r="G2139" s="9" t="s">
        <v>155</v>
      </c>
      <c r="H2139" s="9" t="s">
        <v>54</v>
      </c>
      <c r="N2139" s="9" t="s">
        <v>49</v>
      </c>
      <c r="Q2139" s="9">
        <f>IF(Auction_Sales[[#This Row],[Payment Date]]=0,"",-1+WEEKNUM(Auction_Sales[[#This Row],[Payment Date]]))</f>
        <v>29</v>
      </c>
      <c r="R2139" s="9">
        <v>-120</v>
      </c>
      <c r="S2139" s="9" t="s">
        <v>155</v>
      </c>
      <c r="T2139" s="9" t="s">
        <v>54</v>
      </c>
      <c r="U2139" s="9">
        <v>120</v>
      </c>
      <c r="V2139" s="13">
        <v>0.4</v>
      </c>
      <c r="W2139" s="13">
        <v>48</v>
      </c>
      <c r="X2139" s="14">
        <v>-5.638651685393258</v>
      </c>
      <c r="Y2139" s="13">
        <v>42.361348314606744</v>
      </c>
      <c r="Z2139" s="10">
        <v>45497</v>
      </c>
      <c r="AA2139" s="9">
        <v>120</v>
      </c>
      <c r="AC2139" s="9" t="s">
        <v>132</v>
      </c>
      <c r="AD2139" s="14">
        <v>0</v>
      </c>
      <c r="AF2139" s="14">
        <v>2.4</v>
      </c>
      <c r="AH2139" s="14">
        <v>2.4</v>
      </c>
      <c r="AI2139" s="13">
        <v>39.961348314606745</v>
      </c>
      <c r="AK2139" s="9">
        <v>120</v>
      </c>
    </row>
    <row r="2140" spans="1:37">
      <c r="A2140" s="9">
        <v>29</v>
      </c>
      <c r="B2140" s="9">
        <v>2024</v>
      </c>
      <c r="C2140" s="9" t="s">
        <v>46</v>
      </c>
      <c r="D2140" s="9" t="s">
        <v>47</v>
      </c>
      <c r="E2140" s="9" t="s">
        <v>47</v>
      </c>
      <c r="F2140" s="10">
        <v>45488</v>
      </c>
      <c r="G2140" s="9" t="s">
        <v>153</v>
      </c>
      <c r="H2140" s="9" t="s">
        <v>51</v>
      </c>
      <c r="N2140" s="9" t="s">
        <v>49</v>
      </c>
      <c r="Q2140" s="9">
        <f>IF(Auction_Sales[[#This Row],[Payment Date]]=0,"",-1+WEEKNUM(Auction_Sales[[#This Row],[Payment Date]]))</f>
        <v>29</v>
      </c>
      <c r="R2140" s="9">
        <v>-80</v>
      </c>
      <c r="S2140" s="9" t="s">
        <v>153</v>
      </c>
      <c r="T2140" s="9" t="s">
        <v>51</v>
      </c>
      <c r="U2140" s="9">
        <v>80</v>
      </c>
      <c r="V2140" s="13">
        <v>0.59000000000000008</v>
      </c>
      <c r="W2140" s="13">
        <v>47.2</v>
      </c>
      <c r="X2140" s="14">
        <v>-3.7591011235955052</v>
      </c>
      <c r="Y2140" s="13">
        <v>43.440898876404496</v>
      </c>
      <c r="Z2140" s="10">
        <v>45497</v>
      </c>
      <c r="AA2140" s="9">
        <v>80</v>
      </c>
      <c r="AC2140" s="9" t="s">
        <v>132</v>
      </c>
      <c r="AD2140" s="14">
        <v>0</v>
      </c>
      <c r="AF2140" s="14">
        <v>1.6</v>
      </c>
      <c r="AH2140" s="14">
        <v>1.6</v>
      </c>
      <c r="AI2140" s="13">
        <v>41.840898876404495</v>
      </c>
      <c r="AK2140" s="9">
        <v>80</v>
      </c>
    </row>
    <row r="2141" spans="1:37">
      <c r="A2141" s="9">
        <v>29</v>
      </c>
      <c r="B2141" s="9">
        <v>2024</v>
      </c>
      <c r="C2141" s="9" t="s">
        <v>46</v>
      </c>
      <c r="D2141" s="9" t="s">
        <v>47</v>
      </c>
      <c r="E2141" s="9" t="s">
        <v>47</v>
      </c>
      <c r="F2141" s="10">
        <v>45488</v>
      </c>
      <c r="G2141" s="9" t="s">
        <v>153</v>
      </c>
      <c r="H2141" s="9" t="s">
        <v>51</v>
      </c>
      <c r="N2141" s="9" t="s">
        <v>49</v>
      </c>
      <c r="Q2141" s="9">
        <f>IF(Auction_Sales[[#This Row],[Payment Date]]=0,"",-1+WEEKNUM(Auction_Sales[[#This Row],[Payment Date]]))</f>
        <v>29</v>
      </c>
      <c r="R2141" s="9">
        <v>-80</v>
      </c>
      <c r="S2141" s="9" t="s">
        <v>153</v>
      </c>
      <c r="T2141" s="9" t="s">
        <v>51</v>
      </c>
      <c r="U2141" s="9">
        <v>80</v>
      </c>
      <c r="V2141" s="13">
        <v>0.59000000000000008</v>
      </c>
      <c r="W2141" s="13">
        <v>-47.199999999999996</v>
      </c>
      <c r="X2141" s="14">
        <v>-0.52999999999999403</v>
      </c>
      <c r="Y2141" s="13">
        <v>-47.72999999999999</v>
      </c>
      <c r="Z2141" s="10">
        <v>45497</v>
      </c>
      <c r="AA2141" s="9">
        <v>80</v>
      </c>
      <c r="AC2141" s="9" t="s">
        <v>132</v>
      </c>
      <c r="AD2141" s="14">
        <v>0</v>
      </c>
      <c r="AF2141" s="14">
        <v>1.6</v>
      </c>
      <c r="AH2141" s="14">
        <v>1.6</v>
      </c>
      <c r="AI2141" s="13">
        <v>-49.329999999999991</v>
      </c>
      <c r="AK2141" s="9">
        <v>80</v>
      </c>
    </row>
    <row r="2142" spans="1:37">
      <c r="A2142" s="9">
        <v>29</v>
      </c>
      <c r="B2142" s="9">
        <v>2024</v>
      </c>
      <c r="C2142" s="9" t="s">
        <v>46</v>
      </c>
      <c r="D2142" s="9" t="s">
        <v>47</v>
      </c>
      <c r="E2142" s="9" t="s">
        <v>47</v>
      </c>
      <c r="F2142" s="10">
        <v>45491</v>
      </c>
      <c r="G2142" s="9" t="s">
        <v>156</v>
      </c>
      <c r="H2142" s="9" t="s">
        <v>48</v>
      </c>
      <c r="I2142" s="9">
        <v>1</v>
      </c>
      <c r="J2142" s="9">
        <v>12</v>
      </c>
      <c r="K2142" s="9">
        <v>400</v>
      </c>
      <c r="L2142" s="9">
        <v>0.52</v>
      </c>
      <c r="M2142" s="9">
        <v>208</v>
      </c>
      <c r="N2142" s="9" t="s">
        <v>49</v>
      </c>
      <c r="Q2142" s="9">
        <f>IF(Auction_Sales[[#This Row],[Payment Date]]=0,"",-1+WEEKNUM(Auction_Sales[[#This Row],[Payment Date]]))</f>
        <v>30</v>
      </c>
      <c r="R2142" s="9">
        <v>0</v>
      </c>
      <c r="S2142" s="9" t="s">
        <v>156</v>
      </c>
      <c r="T2142" s="9" t="s">
        <v>48</v>
      </c>
      <c r="U2142" s="9">
        <v>400</v>
      </c>
      <c r="V2142" s="13">
        <v>9.9000000000000005E-2</v>
      </c>
      <c r="W2142" s="13">
        <v>39.6</v>
      </c>
      <c r="X2142" s="14">
        <v>-14.834306569343065</v>
      </c>
      <c r="Y2142" s="13">
        <v>24.765693430656938</v>
      </c>
      <c r="Z2142" s="10">
        <v>45504</v>
      </c>
      <c r="AA2142" s="9">
        <v>0</v>
      </c>
      <c r="AC2142" s="9">
        <v>448673</v>
      </c>
      <c r="AD2142" s="14">
        <v>38.439090909090908</v>
      </c>
      <c r="AF2142" s="14">
        <v>8</v>
      </c>
      <c r="AH2142" s="14">
        <v>46.439090909090908</v>
      </c>
      <c r="AI2142" s="13">
        <v>-21.673397478433969</v>
      </c>
      <c r="AK2142" s="9">
        <v>400</v>
      </c>
    </row>
    <row r="2143" spans="1:37">
      <c r="A2143" s="9">
        <v>29</v>
      </c>
      <c r="B2143" s="9">
        <v>2024</v>
      </c>
      <c r="C2143" s="9" t="s">
        <v>46</v>
      </c>
      <c r="D2143" s="9" t="s">
        <v>47</v>
      </c>
      <c r="E2143" s="9" t="s">
        <v>47</v>
      </c>
      <c r="F2143" s="10">
        <v>45491</v>
      </c>
      <c r="G2143" s="9" t="s">
        <v>156</v>
      </c>
      <c r="H2143" s="9" t="s">
        <v>51</v>
      </c>
      <c r="I2143" s="9">
        <v>1</v>
      </c>
      <c r="J2143" s="9">
        <v>12</v>
      </c>
      <c r="K2143" s="9">
        <v>400</v>
      </c>
      <c r="L2143" s="9">
        <v>0.42</v>
      </c>
      <c r="M2143" s="9">
        <v>168</v>
      </c>
      <c r="N2143" s="9" t="s">
        <v>49</v>
      </c>
      <c r="Q2143" s="9">
        <f>IF(Auction_Sales[[#This Row],[Payment Date]]=0,"",-1+WEEKNUM(Auction_Sales[[#This Row],[Payment Date]]))</f>
        <v>30</v>
      </c>
      <c r="R2143" s="9">
        <v>0</v>
      </c>
      <c r="S2143" s="9" t="s">
        <v>156</v>
      </c>
      <c r="T2143" s="9" t="s">
        <v>51</v>
      </c>
      <c r="U2143" s="9">
        <v>400</v>
      </c>
      <c r="V2143" s="13">
        <v>0</v>
      </c>
      <c r="W2143" s="13">
        <v>0</v>
      </c>
      <c r="X2143" s="14">
        <v>-14.834306569343065</v>
      </c>
      <c r="Y2143" s="13">
        <v>-14.834306569343065</v>
      </c>
      <c r="Z2143" s="10">
        <v>45504</v>
      </c>
      <c r="AA2143" s="9">
        <v>0</v>
      </c>
      <c r="AC2143" s="9">
        <v>448673</v>
      </c>
      <c r="AD2143" s="14">
        <v>38.439090909090908</v>
      </c>
      <c r="AF2143" s="14">
        <v>8</v>
      </c>
      <c r="AH2143" s="14">
        <v>46.439090909090908</v>
      </c>
      <c r="AI2143" s="13">
        <v>-61.273397478433971</v>
      </c>
      <c r="AK2143" s="9">
        <v>400</v>
      </c>
    </row>
    <row r="2144" spans="1:37">
      <c r="A2144" s="9">
        <v>29</v>
      </c>
      <c r="B2144" s="9">
        <v>2024</v>
      </c>
      <c r="C2144" s="9" t="s">
        <v>46</v>
      </c>
      <c r="D2144" s="9" t="s">
        <v>47</v>
      </c>
      <c r="E2144" s="9" t="s">
        <v>47</v>
      </c>
      <c r="F2144" s="10">
        <v>45491</v>
      </c>
      <c r="G2144" s="9" t="s">
        <v>154</v>
      </c>
      <c r="H2144" s="9" t="s">
        <v>51</v>
      </c>
      <c r="I2144" s="9">
        <v>1</v>
      </c>
      <c r="J2144" s="9">
        <v>12</v>
      </c>
      <c r="K2144" s="9">
        <v>440</v>
      </c>
      <c r="L2144" s="9">
        <v>0.38</v>
      </c>
      <c r="M2144" s="9">
        <v>167.2</v>
      </c>
      <c r="N2144" s="9" t="s">
        <v>49</v>
      </c>
      <c r="Q2144" s="9">
        <f>IF(Auction_Sales[[#This Row],[Payment Date]]=0,"",-1+WEEKNUM(Auction_Sales[[#This Row],[Payment Date]]))</f>
        <v>30</v>
      </c>
      <c r="R2144" s="9">
        <v>0</v>
      </c>
      <c r="S2144" s="9" t="s">
        <v>154</v>
      </c>
      <c r="T2144" s="9" t="s">
        <v>51</v>
      </c>
      <c r="U2144" s="9">
        <v>440</v>
      </c>
      <c r="V2144" s="13">
        <v>0.47272727272727272</v>
      </c>
      <c r="W2144" s="13">
        <v>208</v>
      </c>
      <c r="X2144" s="14">
        <v>-16.317737226277373</v>
      </c>
      <c r="Y2144" s="13">
        <v>191.68226277372264</v>
      </c>
      <c r="Z2144" s="10">
        <v>45504</v>
      </c>
      <c r="AA2144" s="9">
        <v>0</v>
      </c>
      <c r="AC2144" s="9">
        <v>448673</v>
      </c>
      <c r="AD2144" s="14">
        <v>38.439090909090908</v>
      </c>
      <c r="AF2144" s="14">
        <v>8.8000000000000007</v>
      </c>
      <c r="AH2144" s="14">
        <v>47.239090909090905</v>
      </c>
      <c r="AI2144" s="13">
        <v>144.44317186463172</v>
      </c>
      <c r="AK2144" s="9">
        <v>440</v>
      </c>
    </row>
    <row r="2145" spans="1:37">
      <c r="A2145" s="9">
        <v>29</v>
      </c>
      <c r="B2145" s="9">
        <v>2024</v>
      </c>
      <c r="C2145" s="9" t="s">
        <v>46</v>
      </c>
      <c r="D2145" s="9" t="s">
        <v>47</v>
      </c>
      <c r="E2145" s="9" t="s">
        <v>47</v>
      </c>
      <c r="F2145" s="10">
        <v>45491</v>
      </c>
      <c r="G2145" s="9" t="s">
        <v>155</v>
      </c>
      <c r="H2145" s="9" t="s">
        <v>51</v>
      </c>
      <c r="I2145" s="9">
        <v>1</v>
      </c>
      <c r="J2145" s="9">
        <v>12</v>
      </c>
      <c r="K2145" s="9">
        <v>680</v>
      </c>
      <c r="L2145" s="9">
        <v>0.38</v>
      </c>
      <c r="M2145" s="9">
        <v>258.39999999999998</v>
      </c>
      <c r="N2145" s="9" t="s">
        <v>49</v>
      </c>
      <c r="Q2145" s="9">
        <f>IF(Auction_Sales[[#This Row],[Payment Date]]=0,"",-1+WEEKNUM(Auction_Sales[[#This Row],[Payment Date]]))</f>
        <v>30</v>
      </c>
      <c r="R2145" s="9">
        <v>-760</v>
      </c>
      <c r="S2145" s="9" t="s">
        <v>155</v>
      </c>
      <c r="T2145" s="9" t="s">
        <v>51</v>
      </c>
      <c r="U2145" s="9">
        <v>1440</v>
      </c>
      <c r="V2145" s="13">
        <v>0.29000000000000004</v>
      </c>
      <c r="W2145" s="13">
        <v>417.6</v>
      </c>
      <c r="X2145" s="14">
        <v>-53.403503649635041</v>
      </c>
      <c r="Y2145" s="13">
        <v>364.19649635036501</v>
      </c>
      <c r="Z2145" s="10">
        <v>45504</v>
      </c>
      <c r="AA2145" s="9">
        <v>760</v>
      </c>
      <c r="AC2145" s="9">
        <v>448673</v>
      </c>
      <c r="AD2145" s="14">
        <v>38.439090909090908</v>
      </c>
      <c r="AF2145" s="14">
        <v>28.8</v>
      </c>
      <c r="AH2145" s="14">
        <v>67.239090909090905</v>
      </c>
      <c r="AI2145" s="13">
        <v>296.95740544127409</v>
      </c>
      <c r="AK2145" s="9">
        <v>1440</v>
      </c>
    </row>
    <row r="2146" spans="1:37">
      <c r="A2146" s="9">
        <v>29</v>
      </c>
      <c r="B2146" s="9">
        <v>2024</v>
      </c>
      <c r="C2146" s="9" t="s">
        <v>46</v>
      </c>
      <c r="D2146" s="9" t="s">
        <v>47</v>
      </c>
      <c r="E2146" s="9" t="s">
        <v>47</v>
      </c>
      <c r="F2146" s="10">
        <v>45491</v>
      </c>
      <c r="G2146" s="9" t="s">
        <v>155</v>
      </c>
      <c r="H2146" s="9" t="s">
        <v>51</v>
      </c>
      <c r="I2146" s="9">
        <v>1</v>
      </c>
      <c r="J2146" s="9">
        <v>12</v>
      </c>
      <c r="K2146" s="9">
        <v>760</v>
      </c>
      <c r="L2146" s="9">
        <v>0.38</v>
      </c>
      <c r="M2146" s="9">
        <v>288.8</v>
      </c>
      <c r="N2146" s="9" t="s">
        <v>49</v>
      </c>
      <c r="Q2146" s="9">
        <f>IF(Auction_Sales[[#This Row],[Payment Date]]=0,"",-1+WEEKNUM(Auction_Sales[[#This Row],[Payment Date]]))</f>
        <v>30</v>
      </c>
      <c r="R2146" s="9">
        <v>760</v>
      </c>
      <c r="S2146" s="9" t="s">
        <v>155</v>
      </c>
      <c r="T2146" s="9" t="s">
        <v>51</v>
      </c>
      <c r="W2146" s="13">
        <v>0</v>
      </c>
      <c r="X2146" s="14">
        <v>0</v>
      </c>
      <c r="Y2146" s="13">
        <v>0</v>
      </c>
      <c r="Z2146" s="10">
        <v>45504</v>
      </c>
      <c r="AA2146" s="9">
        <v>-760</v>
      </c>
      <c r="AC2146" s="9">
        <v>448673</v>
      </c>
      <c r="AD2146" s="14">
        <v>38.439090909090908</v>
      </c>
      <c r="AF2146" s="14">
        <v>0</v>
      </c>
      <c r="AH2146" s="14">
        <v>38.439090909090908</v>
      </c>
      <c r="AI2146" s="13">
        <v>-38.439090909090908</v>
      </c>
      <c r="AK2146" s="9">
        <v>0</v>
      </c>
    </row>
    <row r="2147" spans="1:37">
      <c r="A2147" s="9">
        <v>29</v>
      </c>
      <c r="B2147" s="9">
        <v>2024</v>
      </c>
      <c r="C2147" s="9" t="s">
        <v>46</v>
      </c>
      <c r="D2147" s="9" t="s">
        <v>47</v>
      </c>
      <c r="E2147" s="9" t="s">
        <v>47</v>
      </c>
      <c r="F2147" s="10">
        <v>45491</v>
      </c>
      <c r="G2147" s="9" t="s">
        <v>155</v>
      </c>
      <c r="H2147" s="9" t="s">
        <v>48</v>
      </c>
      <c r="I2147" s="9">
        <v>1</v>
      </c>
      <c r="J2147" s="9">
        <v>12</v>
      </c>
      <c r="K2147" s="9">
        <v>400</v>
      </c>
      <c r="L2147" s="9">
        <v>0.47</v>
      </c>
      <c r="M2147" s="9">
        <v>188</v>
      </c>
      <c r="N2147" s="9" t="s">
        <v>49</v>
      </c>
      <c r="Q2147" s="9">
        <f>IF(Auction_Sales[[#This Row],[Payment Date]]=0,"",-1+WEEKNUM(Auction_Sales[[#This Row],[Payment Date]]))</f>
        <v>30</v>
      </c>
      <c r="R2147" s="9">
        <v>0</v>
      </c>
      <c r="S2147" s="9" t="s">
        <v>155</v>
      </c>
      <c r="T2147" s="9" t="s">
        <v>48</v>
      </c>
      <c r="U2147" s="9">
        <v>400</v>
      </c>
      <c r="V2147" s="13">
        <v>0.40399999999999997</v>
      </c>
      <c r="W2147" s="13">
        <v>161.6</v>
      </c>
      <c r="X2147" s="14">
        <v>-14.834306569343065</v>
      </c>
      <c r="Y2147" s="13">
        <v>146.76569343065694</v>
      </c>
      <c r="Z2147" s="10">
        <v>45504</v>
      </c>
      <c r="AA2147" s="9">
        <v>0</v>
      </c>
      <c r="AC2147" s="9">
        <v>448673</v>
      </c>
      <c r="AD2147" s="14">
        <v>38.439090909090908</v>
      </c>
      <c r="AF2147" s="14">
        <v>8</v>
      </c>
      <c r="AH2147" s="14">
        <v>46.439090909090908</v>
      </c>
      <c r="AI2147" s="13">
        <v>100.32660252156603</v>
      </c>
      <c r="AK2147" s="9">
        <v>400</v>
      </c>
    </row>
    <row r="2148" spans="1:37">
      <c r="A2148" s="9">
        <v>29</v>
      </c>
      <c r="B2148" s="9">
        <v>2024</v>
      </c>
      <c r="C2148" s="9" t="s">
        <v>46</v>
      </c>
      <c r="D2148" s="9" t="s">
        <v>47</v>
      </c>
      <c r="E2148" s="9" t="s">
        <v>47</v>
      </c>
      <c r="F2148" s="10">
        <v>45491</v>
      </c>
      <c r="G2148" s="9" t="s">
        <v>153</v>
      </c>
      <c r="H2148" s="9" t="s">
        <v>51</v>
      </c>
      <c r="I2148" s="9">
        <v>1</v>
      </c>
      <c r="J2148" s="9">
        <v>12</v>
      </c>
      <c r="K2148" s="9">
        <v>920</v>
      </c>
      <c r="L2148" s="9">
        <v>0.14000000000000001</v>
      </c>
      <c r="M2148" s="9">
        <v>128.80000000000001</v>
      </c>
      <c r="N2148" s="9" t="s">
        <v>49</v>
      </c>
      <c r="Q2148" s="9">
        <f>IF(Auction_Sales[[#This Row],[Payment Date]]=0,"",-1+WEEKNUM(Auction_Sales[[#This Row],[Payment Date]]))</f>
        <v>30</v>
      </c>
      <c r="R2148" s="9">
        <v>0</v>
      </c>
      <c r="S2148" s="9" t="s">
        <v>153</v>
      </c>
      <c r="T2148" s="9" t="s">
        <v>51</v>
      </c>
      <c r="U2148" s="9">
        <v>920</v>
      </c>
      <c r="V2148" s="13">
        <v>0.12565217391304348</v>
      </c>
      <c r="W2148" s="13">
        <v>115.60000000000001</v>
      </c>
      <c r="X2148" s="14">
        <v>-34.118905109489049</v>
      </c>
      <c r="Y2148" s="13">
        <v>81.48109489051096</v>
      </c>
      <c r="Z2148" s="10">
        <v>45504</v>
      </c>
      <c r="AA2148" s="9">
        <v>0</v>
      </c>
      <c r="AC2148" s="9">
        <v>448673</v>
      </c>
      <c r="AD2148" s="14">
        <v>38.439090909090908</v>
      </c>
      <c r="AF2148" s="14">
        <v>18.400000000000002</v>
      </c>
      <c r="AH2148" s="14">
        <v>56.839090909090913</v>
      </c>
      <c r="AI2148" s="13">
        <v>24.642003981420046</v>
      </c>
      <c r="AK2148" s="9">
        <v>920</v>
      </c>
    </row>
    <row r="2149" spans="1:37">
      <c r="A2149" s="9">
        <v>29</v>
      </c>
      <c r="B2149" s="9">
        <v>2024</v>
      </c>
      <c r="C2149" s="9" t="s">
        <v>46</v>
      </c>
      <c r="D2149" s="9" t="s">
        <v>47</v>
      </c>
      <c r="E2149" s="9" t="s">
        <v>47</v>
      </c>
      <c r="F2149" s="10">
        <v>45491</v>
      </c>
      <c r="G2149" s="9" t="s">
        <v>153</v>
      </c>
      <c r="H2149" s="9" t="s">
        <v>48</v>
      </c>
      <c r="I2149" s="9">
        <v>1</v>
      </c>
      <c r="J2149" s="9">
        <v>10.285714285714285</v>
      </c>
      <c r="K2149" s="9">
        <v>480</v>
      </c>
      <c r="L2149" s="9">
        <v>0.24</v>
      </c>
      <c r="M2149" s="9">
        <v>115.2</v>
      </c>
      <c r="N2149" s="9" t="s">
        <v>49</v>
      </c>
      <c r="Q2149" s="9">
        <f>IF(Auction_Sales[[#This Row],[Payment Date]]=0,"",-1+WEEKNUM(Auction_Sales[[#This Row],[Payment Date]]))</f>
        <v>30</v>
      </c>
      <c r="R2149" s="9">
        <v>0</v>
      </c>
      <c r="S2149" s="9" t="s">
        <v>153</v>
      </c>
      <c r="T2149" s="9" t="s">
        <v>48</v>
      </c>
      <c r="U2149" s="9">
        <v>480</v>
      </c>
      <c r="V2149" s="13">
        <v>0.30666666666666664</v>
      </c>
      <c r="W2149" s="13">
        <v>147.19999999999999</v>
      </c>
      <c r="X2149" s="14">
        <v>-17.801167883211679</v>
      </c>
      <c r="Y2149" s="13">
        <v>129.3988321167883</v>
      </c>
      <c r="Z2149" s="10">
        <v>45504</v>
      </c>
      <c r="AA2149" s="9">
        <v>0</v>
      </c>
      <c r="AC2149" s="9">
        <v>448673</v>
      </c>
      <c r="AD2149" s="14">
        <v>32.947792207792205</v>
      </c>
      <c r="AF2149" s="14">
        <v>9.6</v>
      </c>
      <c r="AH2149" s="14">
        <v>42.547792207792206</v>
      </c>
      <c r="AI2149" s="13">
        <v>86.851039908996086</v>
      </c>
      <c r="AK2149" s="9">
        <v>480</v>
      </c>
    </row>
    <row r="2150" spans="1:37">
      <c r="A2150" s="9">
        <v>29</v>
      </c>
      <c r="B2150" s="9">
        <v>2024</v>
      </c>
      <c r="C2150" s="9" t="s">
        <v>46</v>
      </c>
      <c r="D2150" s="9" t="s">
        <v>47</v>
      </c>
      <c r="E2150" s="9" t="s">
        <v>47</v>
      </c>
      <c r="F2150" s="10">
        <v>45491</v>
      </c>
      <c r="G2150" s="9" t="s">
        <v>153</v>
      </c>
      <c r="H2150" s="9" t="s">
        <v>52</v>
      </c>
      <c r="J2150" s="9">
        <v>1.7142857142857142</v>
      </c>
      <c r="K2150" s="9">
        <v>80</v>
      </c>
      <c r="L2150" s="9">
        <v>0.28000000000000003</v>
      </c>
      <c r="M2150" s="9">
        <v>22.4</v>
      </c>
      <c r="N2150" s="9" t="s">
        <v>49</v>
      </c>
      <c r="Q2150" s="9">
        <f>IF(Auction_Sales[[#This Row],[Payment Date]]=0,"",-1+WEEKNUM(Auction_Sales[[#This Row],[Payment Date]]))</f>
        <v>30</v>
      </c>
      <c r="R2150" s="9">
        <v>0</v>
      </c>
      <c r="S2150" s="9" t="s">
        <v>153</v>
      </c>
      <c r="T2150" s="9" t="s">
        <v>52</v>
      </c>
      <c r="U2150" s="9">
        <v>80</v>
      </c>
      <c r="V2150" s="13">
        <v>0.45</v>
      </c>
      <c r="W2150" s="13">
        <v>36</v>
      </c>
      <c r="X2150" s="14">
        <v>-2.9668613138686135</v>
      </c>
      <c r="Y2150" s="13">
        <v>33.033138686131387</v>
      </c>
      <c r="Z2150" s="10">
        <v>45504</v>
      </c>
      <c r="AA2150" s="9">
        <v>0</v>
      </c>
      <c r="AC2150" s="9">
        <v>448673</v>
      </c>
      <c r="AD2150" s="14">
        <v>5.4912987012987005</v>
      </c>
      <c r="AF2150" s="14">
        <v>1.6</v>
      </c>
      <c r="AH2150" s="14">
        <v>7.091298701298701</v>
      </c>
      <c r="AI2150" s="13">
        <v>25.941839984832686</v>
      </c>
      <c r="AK2150" s="9">
        <v>80</v>
      </c>
    </row>
    <row r="2151" spans="1:37">
      <c r="A2151" s="9">
        <v>29</v>
      </c>
      <c r="B2151" s="9">
        <v>2024</v>
      </c>
      <c r="C2151" s="9" t="s">
        <v>46</v>
      </c>
      <c r="D2151" s="9" t="s">
        <v>47</v>
      </c>
      <c r="E2151" s="9" t="s">
        <v>47</v>
      </c>
      <c r="F2151" s="10">
        <v>45491</v>
      </c>
      <c r="G2151" s="9" t="s">
        <v>154</v>
      </c>
      <c r="H2151" s="9" t="s">
        <v>56</v>
      </c>
      <c r="I2151" s="9">
        <v>1</v>
      </c>
      <c r="J2151" s="9">
        <v>3.4285714285714284</v>
      </c>
      <c r="K2151" s="9">
        <v>80</v>
      </c>
      <c r="L2151" s="9">
        <v>0.75</v>
      </c>
      <c r="M2151" s="9">
        <v>60</v>
      </c>
      <c r="N2151" s="9" t="s">
        <v>49</v>
      </c>
      <c r="Q2151" s="9">
        <f>IF(Auction_Sales[[#This Row],[Payment Date]]=0,"",-1+WEEKNUM(Auction_Sales[[#This Row],[Payment Date]]))</f>
        <v>30</v>
      </c>
      <c r="R2151" s="9">
        <v>0</v>
      </c>
      <c r="S2151" s="9" t="s">
        <v>154</v>
      </c>
      <c r="T2151" s="9" t="s">
        <v>56</v>
      </c>
      <c r="U2151" s="9">
        <v>80</v>
      </c>
      <c r="V2151" s="13">
        <v>6.9999999999999993E-2</v>
      </c>
      <c r="W2151" s="13">
        <v>5.6</v>
      </c>
      <c r="X2151" s="14">
        <v>-2.9668613138686135</v>
      </c>
      <c r="Y2151" s="13">
        <v>2.6331386861313861</v>
      </c>
      <c r="Z2151" s="10">
        <v>45504</v>
      </c>
      <c r="AA2151" s="9">
        <v>0</v>
      </c>
      <c r="AC2151" s="9">
        <v>448673</v>
      </c>
      <c r="AD2151" s="14">
        <v>10.982597402597401</v>
      </c>
      <c r="AF2151" s="14">
        <v>1.6</v>
      </c>
      <c r="AH2151" s="14">
        <v>12.582597402597401</v>
      </c>
      <c r="AI2151" s="13">
        <v>-9.9494587164660153</v>
      </c>
      <c r="AK2151" s="9">
        <v>80</v>
      </c>
    </row>
    <row r="2152" spans="1:37">
      <c r="A2152" s="9">
        <v>29</v>
      </c>
      <c r="B2152" s="9">
        <v>2024</v>
      </c>
      <c r="C2152" s="9" t="s">
        <v>46</v>
      </c>
      <c r="D2152" s="9" t="s">
        <v>47</v>
      </c>
      <c r="E2152" s="9" t="s">
        <v>47</v>
      </c>
      <c r="F2152" s="10">
        <v>45491</v>
      </c>
      <c r="G2152" s="9" t="s">
        <v>154</v>
      </c>
      <c r="H2152" s="9" t="s">
        <v>52</v>
      </c>
      <c r="J2152" s="9">
        <v>3.4285714285714284</v>
      </c>
      <c r="K2152" s="9">
        <v>80</v>
      </c>
      <c r="L2152" s="9">
        <v>0.52</v>
      </c>
      <c r="M2152" s="9">
        <v>41.6</v>
      </c>
      <c r="N2152" s="9" t="s">
        <v>49</v>
      </c>
      <c r="Q2152" s="9">
        <f>IF(Auction_Sales[[#This Row],[Payment Date]]=0,"",-1+WEEKNUM(Auction_Sales[[#This Row],[Payment Date]]))</f>
        <v>30</v>
      </c>
      <c r="R2152" s="9">
        <v>0</v>
      </c>
      <c r="S2152" s="9" t="s">
        <v>154</v>
      </c>
      <c r="T2152" s="9" t="s">
        <v>52</v>
      </c>
      <c r="U2152" s="9">
        <v>80</v>
      </c>
      <c r="V2152" s="13">
        <v>6.9999999999999993E-2</v>
      </c>
      <c r="W2152" s="13">
        <v>5.6</v>
      </c>
      <c r="X2152" s="14">
        <v>-2.9668613138686135</v>
      </c>
      <c r="Y2152" s="13">
        <v>2.6331386861313861</v>
      </c>
      <c r="Z2152" s="10">
        <v>45504</v>
      </c>
      <c r="AA2152" s="9">
        <v>0</v>
      </c>
      <c r="AC2152" s="9">
        <v>448673</v>
      </c>
      <c r="AD2152" s="14">
        <v>10.982597402597401</v>
      </c>
      <c r="AF2152" s="14">
        <v>1.6</v>
      </c>
      <c r="AH2152" s="14">
        <v>12.582597402597401</v>
      </c>
      <c r="AI2152" s="13">
        <v>-9.9494587164660153</v>
      </c>
      <c r="AK2152" s="9">
        <v>80</v>
      </c>
    </row>
    <row r="2153" spans="1:37">
      <c r="A2153" s="9">
        <v>29</v>
      </c>
      <c r="B2153" s="9">
        <v>2024</v>
      </c>
      <c r="C2153" s="9" t="s">
        <v>46</v>
      </c>
      <c r="D2153" s="9" t="s">
        <v>47</v>
      </c>
      <c r="E2153" s="9" t="s">
        <v>47</v>
      </c>
      <c r="F2153" s="10">
        <v>45491</v>
      </c>
      <c r="G2153" s="9" t="s">
        <v>154</v>
      </c>
      <c r="H2153" s="9" t="s">
        <v>48</v>
      </c>
      <c r="J2153" s="9">
        <v>5.1428571428571423</v>
      </c>
      <c r="K2153" s="9">
        <v>120</v>
      </c>
      <c r="L2153" s="9">
        <v>0.47</v>
      </c>
      <c r="M2153" s="9">
        <v>56.4</v>
      </c>
      <c r="N2153" s="9" t="s">
        <v>49</v>
      </c>
      <c r="Q2153" s="9">
        <f>IF(Auction_Sales[[#This Row],[Payment Date]]=0,"",-1+WEEKNUM(Auction_Sales[[#This Row],[Payment Date]]))</f>
        <v>30</v>
      </c>
      <c r="R2153" s="9">
        <v>0</v>
      </c>
      <c r="S2153" s="9" t="s">
        <v>154</v>
      </c>
      <c r="T2153" s="9" t="s">
        <v>48</v>
      </c>
      <c r="U2153" s="9">
        <v>120</v>
      </c>
      <c r="V2153" s="13">
        <v>0.11666666666666667</v>
      </c>
      <c r="W2153" s="13">
        <v>14</v>
      </c>
      <c r="X2153" s="14">
        <v>-4.4502919708029198</v>
      </c>
      <c r="Y2153" s="13">
        <v>9.5497080291970811</v>
      </c>
      <c r="Z2153" s="10">
        <v>45504</v>
      </c>
      <c r="AA2153" s="9">
        <v>0</v>
      </c>
      <c r="AC2153" s="9">
        <v>448673</v>
      </c>
      <c r="AD2153" s="14">
        <v>16.473896103896102</v>
      </c>
      <c r="AF2153" s="14">
        <v>2.4</v>
      </c>
      <c r="AH2153" s="14">
        <v>18.873896103896101</v>
      </c>
      <c r="AI2153" s="13">
        <v>-9.3241880746990198</v>
      </c>
      <c r="AK2153" s="9">
        <v>120</v>
      </c>
    </row>
    <row r="2154" spans="1:37">
      <c r="A2154" s="9">
        <v>29</v>
      </c>
      <c r="B2154" s="9">
        <v>2024</v>
      </c>
      <c r="C2154" s="9" t="s">
        <v>46</v>
      </c>
      <c r="D2154" s="9" t="s">
        <v>47</v>
      </c>
      <c r="E2154" s="9" t="s">
        <v>47</v>
      </c>
      <c r="F2154" s="10">
        <v>45491</v>
      </c>
      <c r="G2154" s="9" t="s">
        <v>156</v>
      </c>
      <c r="H2154" s="9" t="s">
        <v>52</v>
      </c>
      <c r="I2154" s="9">
        <v>1</v>
      </c>
      <c r="J2154" s="9">
        <v>8.3999999999999986</v>
      </c>
      <c r="K2154" s="9">
        <v>280</v>
      </c>
      <c r="L2154" s="9">
        <v>0.61</v>
      </c>
      <c r="M2154" s="9">
        <v>170.8</v>
      </c>
      <c r="N2154" s="9" t="s">
        <v>49</v>
      </c>
      <c r="Q2154" s="9">
        <f>IF(Auction_Sales[[#This Row],[Payment Date]]=0,"",-1+WEEKNUM(Auction_Sales[[#This Row],[Payment Date]]))</f>
        <v>30</v>
      </c>
      <c r="R2154" s="9">
        <v>0</v>
      </c>
      <c r="S2154" s="9" t="s">
        <v>156</v>
      </c>
      <c r="T2154" s="9" t="s">
        <v>52</v>
      </c>
      <c r="U2154" s="9">
        <v>280</v>
      </c>
      <c r="V2154" s="13">
        <v>0.30571428571428572</v>
      </c>
      <c r="W2154" s="13">
        <v>85.6</v>
      </c>
      <c r="X2154" s="14">
        <v>-10.384014598540148</v>
      </c>
      <c r="Y2154" s="13">
        <v>75.215985401459847</v>
      </c>
      <c r="Z2154" s="10">
        <v>45504</v>
      </c>
      <c r="AA2154" s="9">
        <v>0</v>
      </c>
      <c r="AC2154" s="9">
        <v>448673</v>
      </c>
      <c r="AD2154" s="14">
        <v>26.907363636363634</v>
      </c>
      <c r="AF2154" s="14">
        <v>5.6000000000000005</v>
      </c>
      <c r="AH2154" s="14">
        <v>32.507363636363635</v>
      </c>
      <c r="AI2154" s="13">
        <v>42.708621765096211</v>
      </c>
      <c r="AK2154" s="9">
        <v>280</v>
      </c>
    </row>
    <row r="2155" spans="1:37">
      <c r="A2155" s="9">
        <v>29</v>
      </c>
      <c r="B2155" s="9">
        <v>2024</v>
      </c>
      <c r="C2155" s="9" t="s">
        <v>46</v>
      </c>
      <c r="D2155" s="9" t="s">
        <v>47</v>
      </c>
      <c r="E2155" s="9" t="s">
        <v>47</v>
      </c>
      <c r="F2155" s="10">
        <v>45491</v>
      </c>
      <c r="G2155" s="9" t="s">
        <v>156</v>
      </c>
      <c r="H2155" s="9" t="s">
        <v>54</v>
      </c>
      <c r="J2155" s="9">
        <v>3.5999999999999996</v>
      </c>
      <c r="K2155" s="9">
        <v>120</v>
      </c>
      <c r="L2155" s="9">
        <v>0.66</v>
      </c>
      <c r="M2155" s="9">
        <v>79.2</v>
      </c>
      <c r="N2155" s="9" t="s">
        <v>49</v>
      </c>
      <c r="Q2155" s="9">
        <f>IF(Auction_Sales[[#This Row],[Payment Date]]=0,"",-1+WEEKNUM(Auction_Sales[[#This Row],[Payment Date]]))</f>
        <v>30</v>
      </c>
      <c r="R2155" s="9">
        <v>0</v>
      </c>
      <c r="S2155" s="9" t="s">
        <v>156</v>
      </c>
      <c r="T2155" s="9" t="s">
        <v>54</v>
      </c>
      <c r="U2155" s="9">
        <v>120</v>
      </c>
      <c r="V2155" s="13">
        <v>0.36000000000000004</v>
      </c>
      <c r="W2155" s="13">
        <v>43.2</v>
      </c>
      <c r="X2155" s="14">
        <v>-4.4502919708029198</v>
      </c>
      <c r="Y2155" s="13">
        <v>38.74970802919708</v>
      </c>
      <c r="Z2155" s="10">
        <v>45504</v>
      </c>
      <c r="AA2155" s="9">
        <v>0</v>
      </c>
      <c r="AC2155" s="9">
        <v>448673</v>
      </c>
      <c r="AD2155" s="14">
        <v>11.531727272727272</v>
      </c>
      <c r="AF2155" s="14">
        <v>2.4</v>
      </c>
      <c r="AH2155" s="14">
        <v>13.931727272727272</v>
      </c>
      <c r="AI2155" s="13">
        <v>24.817980756469808</v>
      </c>
      <c r="AK2155" s="9">
        <v>120</v>
      </c>
    </row>
    <row r="2156" spans="1:37">
      <c r="A2156" s="9">
        <v>29</v>
      </c>
      <c r="B2156" s="9">
        <v>2024</v>
      </c>
      <c r="C2156" s="9" t="s">
        <v>46</v>
      </c>
      <c r="D2156" s="9" t="s">
        <v>47</v>
      </c>
      <c r="E2156" s="9" t="s">
        <v>47</v>
      </c>
      <c r="F2156" s="10">
        <v>45491</v>
      </c>
      <c r="G2156" s="9" t="s">
        <v>156</v>
      </c>
      <c r="H2156" s="9" t="s">
        <v>57</v>
      </c>
      <c r="I2156" s="9">
        <v>1</v>
      </c>
      <c r="J2156" s="9">
        <v>6</v>
      </c>
      <c r="K2156" s="9">
        <v>120</v>
      </c>
      <c r="L2156" s="9">
        <v>1.04</v>
      </c>
      <c r="M2156" s="9">
        <v>124.8</v>
      </c>
      <c r="N2156" s="9" t="s">
        <v>49</v>
      </c>
      <c r="Q2156" s="9">
        <f>IF(Auction_Sales[[#This Row],[Payment Date]]=0,"",-1+WEEKNUM(Auction_Sales[[#This Row],[Payment Date]]))</f>
        <v>30</v>
      </c>
      <c r="R2156" s="9">
        <v>0</v>
      </c>
      <c r="S2156" s="9" t="s">
        <v>156</v>
      </c>
      <c r="T2156" s="9" t="s">
        <v>57</v>
      </c>
      <c r="U2156" s="9">
        <v>120</v>
      </c>
      <c r="V2156" s="13">
        <v>0.51666666666666672</v>
      </c>
      <c r="W2156" s="13">
        <v>62.000000000000007</v>
      </c>
      <c r="X2156" s="14">
        <v>-4.4502919708029198</v>
      </c>
      <c r="Y2156" s="13">
        <v>57.549708029197085</v>
      </c>
      <c r="Z2156" s="10">
        <v>45504</v>
      </c>
      <c r="AA2156" s="9">
        <v>0</v>
      </c>
      <c r="AC2156" s="9">
        <v>448673</v>
      </c>
      <c r="AD2156" s="14">
        <v>19.219545454545454</v>
      </c>
      <c r="AF2156" s="14">
        <v>2.4</v>
      </c>
      <c r="AH2156" s="14">
        <v>21.619545454545452</v>
      </c>
      <c r="AI2156" s="13">
        <v>35.930162574651632</v>
      </c>
      <c r="AK2156" s="9">
        <v>120</v>
      </c>
    </row>
    <row r="2157" spans="1:37">
      <c r="A2157" s="9">
        <v>29</v>
      </c>
      <c r="B2157" s="9">
        <v>2024</v>
      </c>
      <c r="C2157" s="9" t="s">
        <v>46</v>
      </c>
      <c r="D2157" s="9" t="s">
        <v>47</v>
      </c>
      <c r="E2157" s="9" t="s">
        <v>47</v>
      </c>
      <c r="F2157" s="10">
        <v>45491</v>
      </c>
      <c r="G2157" s="9" t="s">
        <v>156</v>
      </c>
      <c r="H2157" s="9" t="s">
        <v>56</v>
      </c>
      <c r="J2157" s="9">
        <v>6</v>
      </c>
      <c r="K2157" s="9">
        <v>120</v>
      </c>
      <c r="L2157" s="9">
        <v>0.85</v>
      </c>
      <c r="M2157" s="9">
        <v>102</v>
      </c>
      <c r="N2157" s="9" t="s">
        <v>49</v>
      </c>
      <c r="Q2157" s="9">
        <f>IF(Auction_Sales[[#This Row],[Payment Date]]=0,"",-1+WEEKNUM(Auction_Sales[[#This Row],[Payment Date]]))</f>
        <v>30</v>
      </c>
      <c r="R2157" s="9">
        <v>0</v>
      </c>
      <c r="S2157" s="9" t="s">
        <v>156</v>
      </c>
      <c r="T2157" s="9" t="s">
        <v>56</v>
      </c>
      <c r="U2157" s="9">
        <v>120</v>
      </c>
      <c r="V2157" s="13">
        <v>0.37666666666666671</v>
      </c>
      <c r="W2157" s="13">
        <v>45.2</v>
      </c>
      <c r="X2157" s="14">
        <v>-4.4502919708029198</v>
      </c>
      <c r="Y2157" s="13">
        <v>40.74970802919708</v>
      </c>
      <c r="Z2157" s="10">
        <v>45504</v>
      </c>
      <c r="AA2157" s="9">
        <v>0</v>
      </c>
      <c r="AC2157" s="9">
        <v>448673</v>
      </c>
      <c r="AD2157" s="14">
        <v>19.219545454545454</v>
      </c>
      <c r="AF2157" s="14">
        <v>2.4</v>
      </c>
      <c r="AH2157" s="14">
        <v>21.619545454545452</v>
      </c>
      <c r="AI2157" s="13">
        <v>19.130162574651628</v>
      </c>
      <c r="AK2157" s="9">
        <v>120</v>
      </c>
    </row>
    <row r="2158" spans="1:37">
      <c r="A2158" s="9">
        <v>30</v>
      </c>
      <c r="B2158" s="9">
        <v>2024</v>
      </c>
      <c r="C2158" s="9" t="s">
        <v>46</v>
      </c>
      <c r="D2158" s="9" t="s">
        <v>47</v>
      </c>
      <c r="E2158" s="9" t="s">
        <v>47</v>
      </c>
      <c r="F2158" s="10">
        <v>45493</v>
      </c>
      <c r="G2158" s="9" t="s">
        <v>156</v>
      </c>
      <c r="H2158" s="9" t="s">
        <v>57</v>
      </c>
      <c r="I2158" s="9">
        <v>1</v>
      </c>
      <c r="J2158" s="9">
        <v>200</v>
      </c>
      <c r="K2158" s="9">
        <v>1.04</v>
      </c>
      <c r="L2158" s="9">
        <v>208</v>
      </c>
      <c r="M2158" s="9">
        <v>12</v>
      </c>
      <c r="N2158" s="9" t="s">
        <v>49</v>
      </c>
      <c r="Q2158" s="9">
        <f>IF(Auction_Sales[[#This Row],[Payment Date]]=0,"",-1+WEEKNUM(Auction_Sales[[#This Row],[Payment Date]]))</f>
        <v>30</v>
      </c>
      <c r="R2158" s="9">
        <v>0</v>
      </c>
      <c r="S2158" s="9" t="s">
        <v>156</v>
      </c>
      <c r="T2158" s="9" t="s">
        <v>57</v>
      </c>
      <c r="U2158" s="9">
        <v>200</v>
      </c>
      <c r="V2158" s="13">
        <v>0.79400000000000004</v>
      </c>
      <c r="W2158" s="13">
        <v>158.80000000000001</v>
      </c>
      <c r="X2158" s="14">
        <v>-7.0844696969697054</v>
      </c>
      <c r="Y2158" s="13">
        <v>151.71553030303031</v>
      </c>
      <c r="Z2158" s="10">
        <v>45504</v>
      </c>
      <c r="AA2158" s="9">
        <v>0</v>
      </c>
      <c r="AC2158" s="9">
        <v>448794</v>
      </c>
      <c r="AD2158" s="14">
        <v>40.001666666666665</v>
      </c>
      <c r="AF2158" s="14">
        <v>4</v>
      </c>
      <c r="AH2158" s="14">
        <v>44.001666666666665</v>
      </c>
      <c r="AI2158" s="13">
        <v>107.71386363636364</v>
      </c>
      <c r="AK2158" s="9">
        <v>200</v>
      </c>
    </row>
    <row r="2159" spans="1:37">
      <c r="A2159" s="9">
        <v>30</v>
      </c>
      <c r="B2159" s="9">
        <v>2024</v>
      </c>
      <c r="C2159" s="9" t="s">
        <v>46</v>
      </c>
      <c r="D2159" s="9" t="s">
        <v>47</v>
      </c>
      <c r="E2159" s="9" t="s">
        <v>47</v>
      </c>
      <c r="F2159" s="10">
        <v>45493</v>
      </c>
      <c r="G2159" s="9" t="s">
        <v>156</v>
      </c>
      <c r="H2159" s="9" t="s">
        <v>52</v>
      </c>
      <c r="I2159" s="9">
        <v>1</v>
      </c>
      <c r="J2159" s="9">
        <v>320</v>
      </c>
      <c r="K2159" s="9">
        <v>0.61</v>
      </c>
      <c r="L2159" s="9">
        <v>195.2</v>
      </c>
      <c r="M2159" s="9">
        <v>12</v>
      </c>
      <c r="N2159" s="9" t="s">
        <v>49</v>
      </c>
      <c r="Q2159" s="9">
        <f>IF(Auction_Sales[[#This Row],[Payment Date]]=0,"",-1+WEEKNUM(Auction_Sales[[#This Row],[Payment Date]]))</f>
        <v>30</v>
      </c>
      <c r="R2159" s="9">
        <v>320</v>
      </c>
      <c r="S2159" s="9" t="s">
        <v>156</v>
      </c>
      <c r="T2159" s="9" t="s">
        <v>52</v>
      </c>
      <c r="W2159" s="13">
        <v>0</v>
      </c>
      <c r="X2159" s="14">
        <v>0</v>
      </c>
      <c r="Y2159" s="13">
        <v>0</v>
      </c>
      <c r="Z2159" s="10">
        <v>45504</v>
      </c>
      <c r="AA2159" s="9">
        <v>-320</v>
      </c>
      <c r="AC2159" s="9">
        <v>448794</v>
      </c>
      <c r="AD2159" s="14">
        <v>40.001666666666665</v>
      </c>
      <c r="AF2159" s="14">
        <v>0</v>
      </c>
      <c r="AH2159" s="14">
        <v>40.001666666666665</v>
      </c>
      <c r="AI2159" s="13">
        <v>-40.001666666666665</v>
      </c>
      <c r="AK2159" s="9">
        <v>0</v>
      </c>
    </row>
    <row r="2160" spans="1:37">
      <c r="A2160" s="9">
        <v>30</v>
      </c>
      <c r="B2160" s="9">
        <v>2024</v>
      </c>
      <c r="C2160" s="9" t="s">
        <v>46</v>
      </c>
      <c r="D2160" s="9" t="s">
        <v>47</v>
      </c>
      <c r="E2160" s="9" t="s">
        <v>47</v>
      </c>
      <c r="F2160" s="10">
        <v>45493</v>
      </c>
      <c r="G2160" s="9" t="s">
        <v>154</v>
      </c>
      <c r="H2160" s="9" t="s">
        <v>48</v>
      </c>
      <c r="I2160" s="9">
        <v>1</v>
      </c>
      <c r="J2160" s="9">
        <v>480</v>
      </c>
      <c r="K2160" s="9">
        <v>0.47</v>
      </c>
      <c r="L2160" s="9">
        <v>225.6</v>
      </c>
      <c r="M2160" s="9">
        <v>12</v>
      </c>
      <c r="N2160" s="9" t="s">
        <v>49</v>
      </c>
      <c r="Q2160" s="9">
        <f>IF(Auction_Sales[[#This Row],[Payment Date]]=0,"",-1+WEEKNUM(Auction_Sales[[#This Row],[Payment Date]]))</f>
        <v>30</v>
      </c>
      <c r="R2160" s="9">
        <v>-80</v>
      </c>
      <c r="S2160" s="9" t="s">
        <v>154</v>
      </c>
      <c r="T2160" s="9" t="s">
        <v>48</v>
      </c>
      <c r="U2160" s="9">
        <v>560</v>
      </c>
      <c r="V2160" s="13">
        <v>0.1842857142857143</v>
      </c>
      <c r="W2160" s="13">
        <v>103.2</v>
      </c>
      <c r="X2160" s="14">
        <v>-19.836515151515172</v>
      </c>
      <c r="Y2160" s="13">
        <v>83.363484848484831</v>
      </c>
      <c r="Z2160" s="10">
        <v>45504</v>
      </c>
      <c r="AA2160" s="9">
        <v>80</v>
      </c>
      <c r="AC2160" s="9">
        <v>448794</v>
      </c>
      <c r="AD2160" s="14">
        <v>40.001666666666665</v>
      </c>
      <c r="AF2160" s="14">
        <v>11.200000000000001</v>
      </c>
      <c r="AH2160" s="14">
        <v>51.201666666666668</v>
      </c>
      <c r="AI2160" s="13">
        <v>32.161818181818163</v>
      </c>
      <c r="AK2160" s="9">
        <v>560</v>
      </c>
    </row>
    <row r="2161" spans="1:37">
      <c r="A2161" s="9">
        <v>30</v>
      </c>
      <c r="B2161" s="9">
        <v>2024</v>
      </c>
      <c r="C2161" s="9" t="s">
        <v>46</v>
      </c>
      <c r="D2161" s="9" t="s">
        <v>47</v>
      </c>
      <c r="E2161" s="9" t="s">
        <v>47</v>
      </c>
      <c r="F2161" s="10">
        <v>45493</v>
      </c>
      <c r="G2161" s="9" t="s">
        <v>155</v>
      </c>
      <c r="H2161" s="9" t="s">
        <v>48</v>
      </c>
      <c r="I2161" s="9">
        <v>1</v>
      </c>
      <c r="J2161" s="9">
        <v>520</v>
      </c>
      <c r="K2161" s="9">
        <v>0.47</v>
      </c>
      <c r="L2161" s="9">
        <v>244.4</v>
      </c>
      <c r="M2161" s="9">
        <v>12</v>
      </c>
      <c r="N2161" s="9" t="s">
        <v>49</v>
      </c>
      <c r="Q2161" s="9">
        <f>IF(Auction_Sales[[#This Row],[Payment Date]]=0,"",-1+WEEKNUM(Auction_Sales[[#This Row],[Payment Date]]))</f>
        <v>30</v>
      </c>
      <c r="R2161" s="9">
        <v>0</v>
      </c>
      <c r="S2161" s="9" t="s">
        <v>155</v>
      </c>
      <c r="T2161" s="9" t="s">
        <v>48</v>
      </c>
      <c r="U2161" s="9">
        <v>520</v>
      </c>
      <c r="V2161" s="13">
        <v>0.31</v>
      </c>
      <c r="W2161" s="13">
        <v>161.19999999999999</v>
      </c>
      <c r="X2161" s="14">
        <v>-18.419621212121232</v>
      </c>
      <c r="Y2161" s="13">
        <v>142.78037878787876</v>
      </c>
      <c r="Z2161" s="10">
        <v>45504</v>
      </c>
      <c r="AA2161" s="9">
        <v>0</v>
      </c>
      <c r="AC2161" s="9">
        <v>448794</v>
      </c>
      <c r="AD2161" s="14">
        <v>40.001666666666665</v>
      </c>
      <c r="AF2161" s="14">
        <v>10.4</v>
      </c>
      <c r="AH2161" s="14">
        <v>50.401666666666664</v>
      </c>
      <c r="AI2161" s="13">
        <v>92.378712121212089</v>
      </c>
      <c r="AK2161" s="9">
        <v>520</v>
      </c>
    </row>
    <row r="2162" spans="1:37">
      <c r="A2162" s="9">
        <v>30</v>
      </c>
      <c r="B2162" s="9">
        <v>2024</v>
      </c>
      <c r="C2162" s="9" t="s">
        <v>46</v>
      </c>
      <c r="D2162" s="9" t="s">
        <v>47</v>
      </c>
      <c r="E2162" s="9" t="s">
        <v>47</v>
      </c>
      <c r="F2162" s="10">
        <v>45493</v>
      </c>
      <c r="G2162" s="9" t="s">
        <v>155</v>
      </c>
      <c r="H2162" s="9" t="s">
        <v>51</v>
      </c>
      <c r="I2162" s="9">
        <v>1</v>
      </c>
      <c r="J2162" s="9">
        <v>760</v>
      </c>
      <c r="K2162" s="9">
        <v>0.38</v>
      </c>
      <c r="L2162" s="9">
        <v>288.8</v>
      </c>
      <c r="M2162" s="9">
        <v>12</v>
      </c>
      <c r="N2162" s="9" t="s">
        <v>49</v>
      </c>
      <c r="Q2162" s="9">
        <f>IF(Auction_Sales[[#This Row],[Payment Date]]=0,"",-1+WEEKNUM(Auction_Sales[[#This Row],[Payment Date]]))</f>
        <v>30</v>
      </c>
      <c r="R2162" s="9">
        <v>0</v>
      </c>
      <c r="S2162" s="9" t="s">
        <v>155</v>
      </c>
      <c r="T2162" s="9" t="s">
        <v>51</v>
      </c>
      <c r="U2162" s="9">
        <v>760</v>
      </c>
      <c r="V2162" s="13">
        <v>0.11105263157894738</v>
      </c>
      <c r="W2162" s="13">
        <v>84.4</v>
      </c>
      <c r="X2162" s="14">
        <v>-26.920984848484878</v>
      </c>
      <c r="Y2162" s="13">
        <v>57.479015151515128</v>
      </c>
      <c r="Z2162" s="10">
        <v>45504</v>
      </c>
      <c r="AA2162" s="9">
        <v>0</v>
      </c>
      <c r="AC2162" s="9">
        <v>448794</v>
      </c>
      <c r="AD2162" s="14">
        <v>40.001666666666665</v>
      </c>
      <c r="AF2162" s="14">
        <v>15.200000000000001</v>
      </c>
      <c r="AH2162" s="14">
        <v>55.201666666666668</v>
      </c>
      <c r="AI2162" s="13">
        <v>2.27734848484846</v>
      </c>
      <c r="AK2162" s="9">
        <v>760</v>
      </c>
    </row>
    <row r="2163" spans="1:37">
      <c r="A2163" s="9">
        <v>30</v>
      </c>
      <c r="B2163" s="9">
        <v>2024</v>
      </c>
      <c r="C2163" s="9" t="s">
        <v>46</v>
      </c>
      <c r="D2163" s="9" t="s">
        <v>47</v>
      </c>
      <c r="E2163" s="9" t="s">
        <v>47</v>
      </c>
      <c r="F2163" s="10">
        <v>45493</v>
      </c>
      <c r="G2163" s="9" t="s">
        <v>153</v>
      </c>
      <c r="H2163" s="9" t="s">
        <v>56</v>
      </c>
      <c r="I2163" s="9">
        <v>1</v>
      </c>
      <c r="J2163" s="9">
        <v>40</v>
      </c>
      <c r="K2163" s="9">
        <v>0.38</v>
      </c>
      <c r="L2163" s="9">
        <v>15.2</v>
      </c>
      <c r="M2163" s="9">
        <v>1.3333333333333333</v>
      </c>
      <c r="N2163" s="9" t="s">
        <v>49</v>
      </c>
      <c r="Q2163" s="9">
        <f>IF(Auction_Sales[[#This Row],[Payment Date]]=0,"",-1+WEEKNUM(Auction_Sales[[#This Row],[Payment Date]]))</f>
        <v>30</v>
      </c>
      <c r="R2163" s="9">
        <v>0</v>
      </c>
      <c r="S2163" s="9" t="s">
        <v>153</v>
      </c>
      <c r="T2163" s="9" t="s">
        <v>56</v>
      </c>
      <c r="U2163" s="9">
        <v>40</v>
      </c>
      <c r="V2163" s="13">
        <v>0.69000000000000006</v>
      </c>
      <c r="W2163" s="13">
        <v>27.6</v>
      </c>
      <c r="X2163" s="14">
        <v>-1.4168939393939408</v>
      </c>
      <c r="Y2163" s="13">
        <v>26.183106060606061</v>
      </c>
      <c r="Z2163" s="10">
        <v>45504</v>
      </c>
      <c r="AA2163" s="9">
        <v>0</v>
      </c>
      <c r="AC2163" s="9">
        <v>448794</v>
      </c>
      <c r="AD2163" s="14">
        <v>4.4446296296296293</v>
      </c>
      <c r="AF2163" s="14">
        <v>0.8</v>
      </c>
      <c r="AH2163" s="14">
        <v>5.2446296296296291</v>
      </c>
      <c r="AI2163" s="13">
        <v>20.938476430976433</v>
      </c>
      <c r="AK2163" s="9">
        <v>40</v>
      </c>
    </row>
    <row r="2164" spans="1:37">
      <c r="A2164" s="9">
        <v>30</v>
      </c>
      <c r="B2164" s="9">
        <v>2024</v>
      </c>
      <c r="C2164" s="9" t="s">
        <v>46</v>
      </c>
      <c r="D2164" s="9" t="s">
        <v>47</v>
      </c>
      <c r="E2164" s="9" t="s">
        <v>47</v>
      </c>
      <c r="F2164" s="10">
        <v>45493</v>
      </c>
      <c r="G2164" s="9" t="s">
        <v>153</v>
      </c>
      <c r="H2164" s="9" t="s">
        <v>54</v>
      </c>
      <c r="J2164" s="9">
        <v>80</v>
      </c>
      <c r="K2164" s="9">
        <v>0.33</v>
      </c>
      <c r="L2164" s="9">
        <v>26.4</v>
      </c>
      <c r="M2164" s="9">
        <v>2.6666666666666665</v>
      </c>
      <c r="N2164" s="9" t="s">
        <v>49</v>
      </c>
      <c r="Q2164" s="9">
        <f>IF(Auction_Sales[[#This Row],[Payment Date]]=0,"",-1+WEEKNUM(Auction_Sales[[#This Row],[Payment Date]]))</f>
        <v>30</v>
      </c>
      <c r="R2164" s="9">
        <v>0</v>
      </c>
      <c r="S2164" s="9" t="s">
        <v>153</v>
      </c>
      <c r="T2164" s="9" t="s">
        <v>54</v>
      </c>
      <c r="U2164" s="9">
        <v>80</v>
      </c>
      <c r="V2164" s="13">
        <v>0.28999999999999998</v>
      </c>
      <c r="W2164" s="13">
        <v>23.2</v>
      </c>
      <c r="X2164" s="14">
        <v>-2.8337878787878816</v>
      </c>
      <c r="Y2164" s="13">
        <v>20.366212121212119</v>
      </c>
      <c r="Z2164" s="10">
        <v>45504</v>
      </c>
      <c r="AA2164" s="9">
        <v>0</v>
      </c>
      <c r="AC2164" s="9">
        <v>448794</v>
      </c>
      <c r="AD2164" s="14">
        <v>8.8892592592592585</v>
      </c>
      <c r="AF2164" s="14">
        <v>1.6</v>
      </c>
      <c r="AH2164" s="14">
        <v>10.489259259259258</v>
      </c>
      <c r="AI2164" s="13">
        <v>9.8769528619528604</v>
      </c>
      <c r="AK2164" s="9">
        <v>80</v>
      </c>
    </row>
    <row r="2165" spans="1:37">
      <c r="A2165" s="9">
        <v>30</v>
      </c>
      <c r="B2165" s="9">
        <v>2024</v>
      </c>
      <c r="C2165" s="9" t="s">
        <v>46</v>
      </c>
      <c r="D2165" s="9" t="s">
        <v>47</v>
      </c>
      <c r="E2165" s="9" t="s">
        <v>47</v>
      </c>
      <c r="F2165" s="10">
        <v>45493</v>
      </c>
      <c r="G2165" s="9" t="s">
        <v>153</v>
      </c>
      <c r="H2165" s="9" t="s">
        <v>52</v>
      </c>
      <c r="J2165" s="9">
        <v>240</v>
      </c>
      <c r="K2165" s="9">
        <v>0.28000000000000003</v>
      </c>
      <c r="L2165" s="9">
        <v>67.2</v>
      </c>
      <c r="M2165" s="9">
        <v>8</v>
      </c>
      <c r="N2165" s="9" t="s">
        <v>49</v>
      </c>
      <c r="Q2165" s="9">
        <f>IF(Auction_Sales[[#This Row],[Payment Date]]=0,"",-1+WEEKNUM(Auction_Sales[[#This Row],[Payment Date]]))</f>
        <v>30</v>
      </c>
      <c r="R2165" s="9">
        <v>0</v>
      </c>
      <c r="S2165" s="9" t="s">
        <v>153</v>
      </c>
      <c r="T2165" s="9" t="s">
        <v>52</v>
      </c>
      <c r="U2165" s="9">
        <v>240</v>
      </c>
      <c r="V2165" s="13">
        <v>0.10166666666666666</v>
      </c>
      <c r="W2165" s="13">
        <v>24.4</v>
      </c>
      <c r="X2165" s="14">
        <v>-8.5013636363636458</v>
      </c>
      <c r="Y2165" s="13">
        <v>15.898636363636353</v>
      </c>
      <c r="Z2165" s="10">
        <v>45504</v>
      </c>
      <c r="AA2165" s="9">
        <v>0</v>
      </c>
      <c r="AC2165" s="9">
        <v>448794</v>
      </c>
      <c r="AD2165" s="14">
        <v>26.667777777777776</v>
      </c>
      <c r="AF2165" s="14">
        <v>4.8</v>
      </c>
      <c r="AH2165" s="14">
        <v>31.467777777777776</v>
      </c>
      <c r="AI2165" s="13">
        <v>-15.569141414141423</v>
      </c>
      <c r="AK2165" s="9">
        <v>240</v>
      </c>
    </row>
    <row r="2166" spans="1:37">
      <c r="A2166" s="9">
        <v>30</v>
      </c>
      <c r="B2166" s="9">
        <v>2024</v>
      </c>
      <c r="C2166" s="9" t="s">
        <v>46</v>
      </c>
      <c r="D2166" s="9" t="s">
        <v>47</v>
      </c>
      <c r="E2166" s="9" t="s">
        <v>47</v>
      </c>
      <c r="F2166" s="10">
        <v>45493</v>
      </c>
      <c r="G2166" s="9" t="s">
        <v>155</v>
      </c>
      <c r="H2166" s="9" t="s">
        <v>54</v>
      </c>
      <c r="I2166" s="9">
        <v>1</v>
      </c>
      <c r="J2166" s="9">
        <v>160</v>
      </c>
      <c r="K2166" s="9">
        <v>0.56999999999999995</v>
      </c>
      <c r="L2166" s="9">
        <v>91.2</v>
      </c>
      <c r="M2166" s="9">
        <v>6.8571428571428568</v>
      </c>
      <c r="N2166" s="9" t="s">
        <v>49</v>
      </c>
      <c r="Q2166" s="9">
        <f>IF(Auction_Sales[[#This Row],[Payment Date]]=0,"",-1+WEEKNUM(Auction_Sales[[#This Row],[Payment Date]]))</f>
        <v>30</v>
      </c>
      <c r="R2166" s="9">
        <v>0</v>
      </c>
      <c r="S2166" s="9" t="s">
        <v>155</v>
      </c>
      <c r="T2166" s="9" t="s">
        <v>54</v>
      </c>
      <c r="U2166" s="9">
        <v>160</v>
      </c>
      <c r="V2166" s="13">
        <v>0.95250000000000001</v>
      </c>
      <c r="W2166" s="13">
        <v>152.4</v>
      </c>
      <c r="X2166" s="14">
        <v>-5.6675757575757633</v>
      </c>
      <c r="Y2166" s="13">
        <v>146.73242424242423</v>
      </c>
      <c r="Z2166" s="10">
        <v>45504</v>
      </c>
      <c r="AA2166" s="9">
        <v>0</v>
      </c>
      <c r="AC2166" s="9">
        <v>448794</v>
      </c>
      <c r="AD2166" s="14">
        <v>22.858095238095235</v>
      </c>
      <c r="AF2166" s="14">
        <v>3.2</v>
      </c>
      <c r="AH2166" s="14">
        <v>26.058095238095234</v>
      </c>
      <c r="AI2166" s="13">
        <v>120.674329004329</v>
      </c>
      <c r="AK2166" s="9">
        <v>160</v>
      </c>
    </row>
    <row r="2167" spans="1:37">
      <c r="A2167" s="9">
        <v>30</v>
      </c>
      <c r="B2167" s="9">
        <v>2024</v>
      </c>
      <c r="C2167" s="9" t="s">
        <v>46</v>
      </c>
      <c r="D2167" s="9" t="s">
        <v>47</v>
      </c>
      <c r="E2167" s="9" t="s">
        <v>47</v>
      </c>
      <c r="F2167" s="10">
        <v>45493</v>
      </c>
      <c r="G2167" s="9" t="s">
        <v>155</v>
      </c>
      <c r="H2167" s="9" t="s">
        <v>56</v>
      </c>
      <c r="J2167" s="9">
        <v>40</v>
      </c>
      <c r="K2167" s="9">
        <v>0.75</v>
      </c>
      <c r="L2167" s="9">
        <v>30</v>
      </c>
      <c r="M2167" s="9">
        <v>1.7142857142857142</v>
      </c>
      <c r="N2167" s="9" t="s">
        <v>49</v>
      </c>
      <c r="Q2167" s="9">
        <f>IF(Auction_Sales[[#This Row],[Payment Date]]=0,"",-1+WEEKNUM(Auction_Sales[[#This Row],[Payment Date]]))</f>
        <v>30</v>
      </c>
      <c r="R2167" s="9">
        <v>0</v>
      </c>
      <c r="S2167" s="9" t="s">
        <v>155</v>
      </c>
      <c r="T2167" s="9" t="s">
        <v>56</v>
      </c>
      <c r="U2167" s="9">
        <v>40</v>
      </c>
      <c r="V2167" s="13">
        <v>1.17</v>
      </c>
      <c r="W2167" s="13">
        <v>46.8</v>
      </c>
      <c r="X2167" s="14">
        <v>-1.4168939393939408</v>
      </c>
      <c r="Y2167" s="13">
        <v>45.383106060606053</v>
      </c>
      <c r="Z2167" s="10">
        <v>45504</v>
      </c>
      <c r="AA2167" s="9">
        <v>0</v>
      </c>
      <c r="AC2167" s="9">
        <v>448794</v>
      </c>
      <c r="AD2167" s="14">
        <v>5.7145238095238087</v>
      </c>
      <c r="AF2167" s="14">
        <v>0.8</v>
      </c>
      <c r="AH2167" s="14">
        <v>6.5145238095238085</v>
      </c>
      <c r="AI2167" s="13">
        <v>38.868582251082245</v>
      </c>
      <c r="AK2167" s="9">
        <v>40</v>
      </c>
    </row>
    <row r="2168" spans="1:37">
      <c r="A2168" s="9">
        <v>30</v>
      </c>
      <c r="B2168" s="9">
        <v>2024</v>
      </c>
      <c r="C2168" s="9" t="s">
        <v>46</v>
      </c>
      <c r="D2168" s="9" t="s">
        <v>47</v>
      </c>
      <c r="E2168" s="9" t="s">
        <v>47</v>
      </c>
      <c r="F2168" s="10">
        <v>45493</v>
      </c>
      <c r="G2168" s="9" t="s">
        <v>155</v>
      </c>
      <c r="H2168" s="9" t="s">
        <v>52</v>
      </c>
      <c r="J2168" s="9">
        <v>80</v>
      </c>
      <c r="K2168" s="9">
        <v>0.52</v>
      </c>
      <c r="L2168" s="9">
        <v>41.6</v>
      </c>
      <c r="M2168" s="9">
        <v>3.4285714285714284</v>
      </c>
      <c r="N2168" s="9" t="s">
        <v>49</v>
      </c>
      <c r="Q2168" s="9">
        <f>IF(Auction_Sales[[#This Row],[Payment Date]]=0,"",-1+WEEKNUM(Auction_Sales[[#This Row],[Payment Date]]))</f>
        <v>30</v>
      </c>
      <c r="R2168" s="9">
        <v>0</v>
      </c>
      <c r="S2168" s="9" t="s">
        <v>155</v>
      </c>
      <c r="T2168" s="9" t="s">
        <v>52</v>
      </c>
      <c r="U2168" s="9">
        <v>80</v>
      </c>
      <c r="V2168" s="13">
        <v>0.91500000000000004</v>
      </c>
      <c r="W2168" s="13">
        <v>73.2</v>
      </c>
      <c r="X2168" s="14">
        <v>-2.8337878787878816</v>
      </c>
      <c r="Y2168" s="13">
        <v>70.366212121212115</v>
      </c>
      <c r="Z2168" s="10">
        <v>45504</v>
      </c>
      <c r="AA2168" s="9">
        <v>0</v>
      </c>
      <c r="AC2168" s="9">
        <v>448794</v>
      </c>
      <c r="AD2168" s="14">
        <v>11.429047619047617</v>
      </c>
      <c r="AF2168" s="14">
        <v>1.6</v>
      </c>
      <c r="AH2168" s="14">
        <v>13.029047619047617</v>
      </c>
      <c r="AI2168" s="13">
        <v>57.337164502164498</v>
      </c>
      <c r="AK2168" s="9">
        <v>80</v>
      </c>
    </row>
    <row r="2169" spans="1:37">
      <c r="A2169" s="9">
        <v>30</v>
      </c>
      <c r="B2169" s="9">
        <v>2024</v>
      </c>
      <c r="C2169" s="9" t="s">
        <v>46</v>
      </c>
      <c r="D2169" s="9" t="s">
        <v>47</v>
      </c>
      <c r="E2169" s="9" t="s">
        <v>47</v>
      </c>
      <c r="F2169" s="10">
        <v>45493</v>
      </c>
      <c r="G2169" s="9" t="s">
        <v>154</v>
      </c>
      <c r="H2169" s="9" t="s">
        <v>54</v>
      </c>
      <c r="I2169" s="9">
        <v>1</v>
      </c>
      <c r="J2169" s="9">
        <v>160</v>
      </c>
      <c r="K2169" s="9">
        <v>0.56999999999999995</v>
      </c>
      <c r="L2169" s="9">
        <v>91.2</v>
      </c>
      <c r="M2169" s="9">
        <v>6.8571428571428568</v>
      </c>
      <c r="N2169" s="9" t="s">
        <v>49</v>
      </c>
      <c r="Q2169" s="9">
        <f>IF(Auction_Sales[[#This Row],[Payment Date]]=0,"",-1+WEEKNUM(Auction_Sales[[#This Row],[Payment Date]]))</f>
        <v>30</v>
      </c>
      <c r="R2169" s="9">
        <v>0</v>
      </c>
      <c r="S2169" s="9" t="s">
        <v>154</v>
      </c>
      <c r="T2169" s="9" t="s">
        <v>54</v>
      </c>
      <c r="U2169" s="9">
        <v>160</v>
      </c>
      <c r="V2169" s="13">
        <v>0.29500000000000004</v>
      </c>
      <c r="W2169" s="13">
        <v>47.2</v>
      </c>
      <c r="X2169" s="14">
        <v>-5.6675757575757633</v>
      </c>
      <c r="Y2169" s="13">
        <v>41.532424242424241</v>
      </c>
      <c r="Z2169" s="10">
        <v>45504</v>
      </c>
      <c r="AA2169" s="9">
        <v>0</v>
      </c>
      <c r="AC2169" s="9">
        <v>448794</v>
      </c>
      <c r="AD2169" s="14">
        <v>22.858095238095235</v>
      </c>
      <c r="AF2169" s="14">
        <v>3.2</v>
      </c>
      <c r="AH2169" s="14">
        <v>26.058095238095234</v>
      </c>
      <c r="AI2169" s="13">
        <v>15.474329004329007</v>
      </c>
      <c r="AK2169" s="9">
        <v>160</v>
      </c>
    </row>
    <row r="2170" spans="1:37">
      <c r="A2170" s="9">
        <v>30</v>
      </c>
      <c r="B2170" s="9">
        <v>2024</v>
      </c>
      <c r="C2170" s="9" t="s">
        <v>46</v>
      </c>
      <c r="D2170" s="9" t="s">
        <v>47</v>
      </c>
      <c r="E2170" s="9" t="s">
        <v>47</v>
      </c>
      <c r="F2170" s="10">
        <v>45493</v>
      </c>
      <c r="G2170" s="9" t="s">
        <v>154</v>
      </c>
      <c r="H2170" s="9" t="s">
        <v>56</v>
      </c>
      <c r="J2170" s="9">
        <v>80</v>
      </c>
      <c r="K2170" s="9">
        <v>0.75</v>
      </c>
      <c r="L2170" s="9">
        <v>60</v>
      </c>
      <c r="M2170" s="9">
        <v>3.4285714285714284</v>
      </c>
      <c r="N2170" s="9" t="s">
        <v>49</v>
      </c>
      <c r="Q2170" s="9">
        <f>IF(Auction_Sales[[#This Row],[Payment Date]]=0,"",-1+WEEKNUM(Auction_Sales[[#This Row],[Payment Date]]))</f>
        <v>30</v>
      </c>
      <c r="R2170" s="9">
        <v>0</v>
      </c>
      <c r="S2170" s="9" t="s">
        <v>154</v>
      </c>
      <c r="T2170" s="9" t="s">
        <v>56</v>
      </c>
      <c r="U2170" s="9">
        <v>80</v>
      </c>
      <c r="V2170" s="13">
        <v>0.2</v>
      </c>
      <c r="W2170" s="13">
        <v>16</v>
      </c>
      <c r="X2170" s="14">
        <v>-2.8337878787878816</v>
      </c>
      <c r="Y2170" s="13">
        <v>13.166212121212119</v>
      </c>
      <c r="Z2170" s="10">
        <v>45504</v>
      </c>
      <c r="AA2170" s="9">
        <v>0</v>
      </c>
      <c r="AC2170" s="9">
        <v>448794</v>
      </c>
      <c r="AD2170" s="14">
        <v>11.429047619047617</v>
      </c>
      <c r="AF2170" s="14">
        <v>1.6</v>
      </c>
      <c r="AH2170" s="14">
        <v>13.029047619047617</v>
      </c>
      <c r="AI2170" s="13">
        <v>0.13716450216450227</v>
      </c>
      <c r="AK2170" s="9">
        <v>80</v>
      </c>
    </row>
    <row r="2171" spans="1:37">
      <c r="A2171" s="9">
        <v>30</v>
      </c>
      <c r="B2171" s="9">
        <v>2024</v>
      </c>
      <c r="C2171" s="9" t="s">
        <v>46</v>
      </c>
      <c r="D2171" s="9" t="s">
        <v>47</v>
      </c>
      <c r="E2171" s="9" t="s">
        <v>47</v>
      </c>
      <c r="F2171" s="10">
        <v>45493</v>
      </c>
      <c r="G2171" s="9" t="s">
        <v>154</v>
      </c>
      <c r="H2171" s="9" t="s">
        <v>57</v>
      </c>
      <c r="J2171" s="9">
        <v>40</v>
      </c>
      <c r="K2171" s="9">
        <v>0.94</v>
      </c>
      <c r="L2171" s="9">
        <v>37.6</v>
      </c>
      <c r="M2171" s="9">
        <v>1.7142857142857142</v>
      </c>
      <c r="N2171" s="9" t="s">
        <v>49</v>
      </c>
      <c r="Q2171" s="9">
        <f>IF(Auction_Sales[[#This Row],[Payment Date]]=0,"",-1+WEEKNUM(Auction_Sales[[#This Row],[Payment Date]]))</f>
        <v>30</v>
      </c>
      <c r="R2171" s="9">
        <v>0</v>
      </c>
      <c r="S2171" s="9" t="s">
        <v>154</v>
      </c>
      <c r="T2171" s="9" t="s">
        <v>57</v>
      </c>
      <c r="U2171" s="9">
        <v>40</v>
      </c>
      <c r="V2171" s="13">
        <v>0.22000000000000003</v>
      </c>
      <c r="W2171" s="13">
        <v>8.8000000000000007</v>
      </c>
      <c r="X2171" s="14">
        <v>-1.4168939393939408</v>
      </c>
      <c r="Y2171" s="13">
        <v>7.3831060606060603</v>
      </c>
      <c r="Z2171" s="10">
        <v>45504</v>
      </c>
      <c r="AA2171" s="9">
        <v>0</v>
      </c>
      <c r="AC2171" s="9">
        <v>448794</v>
      </c>
      <c r="AD2171" s="14">
        <v>5.7145238095238087</v>
      </c>
      <c r="AF2171" s="14">
        <v>0.8</v>
      </c>
      <c r="AH2171" s="14">
        <v>6.5145238095238085</v>
      </c>
      <c r="AI2171" s="13">
        <v>0.86858225108225184</v>
      </c>
      <c r="AK2171" s="9">
        <v>40</v>
      </c>
    </row>
    <row r="2172" spans="1:37">
      <c r="A2172" s="9">
        <v>30</v>
      </c>
      <c r="B2172" s="9">
        <v>2024</v>
      </c>
      <c r="C2172" s="9" t="s">
        <v>46</v>
      </c>
      <c r="D2172" s="9" t="s">
        <v>47</v>
      </c>
      <c r="E2172" s="9" t="s">
        <v>47</v>
      </c>
      <c r="F2172" s="10">
        <v>45493</v>
      </c>
      <c r="G2172" s="9" t="s">
        <v>154</v>
      </c>
      <c r="H2172" s="9" t="s">
        <v>51</v>
      </c>
      <c r="I2172" s="9">
        <v>1</v>
      </c>
      <c r="J2172" s="9">
        <v>440</v>
      </c>
      <c r="K2172" s="9">
        <v>0.38</v>
      </c>
      <c r="L2172" s="9">
        <v>167.2</v>
      </c>
      <c r="M2172" s="9">
        <v>10.153846153846153</v>
      </c>
      <c r="N2172" s="9" t="s">
        <v>49</v>
      </c>
      <c r="Q2172" s="9">
        <f>IF(Auction_Sales[[#This Row],[Payment Date]]=0,"",-1+WEEKNUM(Auction_Sales[[#This Row],[Payment Date]]))</f>
        <v>30</v>
      </c>
      <c r="R2172" s="9">
        <v>-40</v>
      </c>
      <c r="S2172" s="9" t="s">
        <v>154</v>
      </c>
      <c r="T2172" s="9" t="s">
        <v>51</v>
      </c>
      <c r="U2172" s="9">
        <v>480</v>
      </c>
      <c r="V2172" s="13">
        <v>7.9166666666666663E-2</v>
      </c>
      <c r="W2172" s="13">
        <v>38</v>
      </c>
      <c r="X2172" s="14">
        <v>-17.002727272727292</v>
      </c>
      <c r="Y2172" s="13">
        <v>20.997272727272708</v>
      </c>
      <c r="Z2172" s="10">
        <v>45504</v>
      </c>
      <c r="AA2172" s="9">
        <v>40</v>
      </c>
      <c r="AC2172" s="9">
        <v>448794</v>
      </c>
      <c r="AD2172" s="14">
        <v>33.8475641025641</v>
      </c>
      <c r="AF2172" s="14">
        <v>9.6</v>
      </c>
      <c r="AH2172" s="14">
        <v>43.447564102564101</v>
      </c>
      <c r="AI2172" s="13">
        <v>-22.450291375291393</v>
      </c>
      <c r="AK2172" s="9">
        <v>480</v>
      </c>
    </row>
    <row r="2173" spans="1:37">
      <c r="A2173" s="9">
        <v>30</v>
      </c>
      <c r="B2173" s="9">
        <v>2024</v>
      </c>
      <c r="C2173" s="9" t="s">
        <v>46</v>
      </c>
      <c r="D2173" s="9" t="s">
        <v>47</v>
      </c>
      <c r="E2173" s="9" t="s">
        <v>47</v>
      </c>
      <c r="F2173" s="10">
        <v>45493</v>
      </c>
      <c r="G2173" s="9" t="s">
        <v>154</v>
      </c>
      <c r="H2173" s="9" t="s">
        <v>48</v>
      </c>
      <c r="J2173" s="9">
        <v>80</v>
      </c>
      <c r="K2173" s="9">
        <v>0.47</v>
      </c>
      <c r="L2173" s="9">
        <v>37.6</v>
      </c>
      <c r="M2173" s="9">
        <v>1.8461538461538463</v>
      </c>
      <c r="N2173" s="9" t="s">
        <v>49</v>
      </c>
      <c r="Q2173" s="9">
        <f>IF(Auction_Sales[[#This Row],[Payment Date]]=0,"",-1+WEEKNUM(Auction_Sales[[#This Row],[Payment Date]]))</f>
        <v>30</v>
      </c>
      <c r="R2173" s="9">
        <v>80</v>
      </c>
      <c r="S2173" s="9" t="s">
        <v>154</v>
      </c>
      <c r="T2173" s="9" t="s">
        <v>48</v>
      </c>
      <c r="W2173" s="13">
        <v>0</v>
      </c>
      <c r="X2173" s="14">
        <v>0</v>
      </c>
      <c r="Y2173" s="13">
        <v>0</v>
      </c>
      <c r="Z2173" s="10">
        <v>45504</v>
      </c>
      <c r="AA2173" s="9">
        <v>-80</v>
      </c>
      <c r="AC2173" s="9">
        <v>448794</v>
      </c>
      <c r="AD2173" s="14">
        <v>6.1541025641025646</v>
      </c>
      <c r="AF2173" s="14">
        <v>0</v>
      </c>
      <c r="AH2173" s="14">
        <v>6.1541025641025646</v>
      </c>
      <c r="AI2173" s="13">
        <v>-6.1541025641025646</v>
      </c>
      <c r="AK2173" s="9">
        <v>0</v>
      </c>
    </row>
    <row r="2174" spans="1:37">
      <c r="A2174" s="9">
        <v>30</v>
      </c>
      <c r="B2174" s="9">
        <v>2024</v>
      </c>
      <c r="C2174" s="9" t="s">
        <v>46</v>
      </c>
      <c r="D2174" s="9" t="s">
        <v>47</v>
      </c>
      <c r="E2174" s="9" t="s">
        <v>47</v>
      </c>
      <c r="F2174" s="10">
        <v>45493</v>
      </c>
      <c r="G2174" s="9" t="s">
        <v>153</v>
      </c>
      <c r="H2174" s="9" t="s">
        <v>51</v>
      </c>
      <c r="I2174" s="9">
        <v>1</v>
      </c>
      <c r="J2174" s="9">
        <v>360</v>
      </c>
      <c r="K2174" s="9">
        <v>0.14000000000000001</v>
      </c>
      <c r="L2174" s="9">
        <v>50.4</v>
      </c>
      <c r="M2174" s="9">
        <v>4.9090909090909092</v>
      </c>
      <c r="N2174" s="9" t="s">
        <v>49</v>
      </c>
      <c r="Q2174" s="9">
        <f>IF(Auction_Sales[[#This Row],[Payment Date]]=0,"",-1+WEEKNUM(Auction_Sales[[#This Row],[Payment Date]]))</f>
        <v>30</v>
      </c>
      <c r="R2174" s="9">
        <v>0</v>
      </c>
      <c r="S2174" s="9" t="s">
        <v>153</v>
      </c>
      <c r="T2174" s="9" t="s">
        <v>51</v>
      </c>
      <c r="U2174" s="9">
        <v>360</v>
      </c>
      <c r="V2174" s="13">
        <v>0.02</v>
      </c>
      <c r="W2174" s="13">
        <v>7.2</v>
      </c>
      <c r="X2174" s="14">
        <v>-12.752045454545469</v>
      </c>
      <c r="Y2174" s="13">
        <v>-5.5520454545454685</v>
      </c>
      <c r="Z2174" s="10">
        <v>45504</v>
      </c>
      <c r="AA2174" s="9">
        <v>0</v>
      </c>
      <c r="AC2174" s="9">
        <v>448794</v>
      </c>
      <c r="AD2174" s="14">
        <v>16.364318181818181</v>
      </c>
      <c r="AF2174" s="14">
        <v>7.2</v>
      </c>
      <c r="AH2174" s="14">
        <v>23.56431818181818</v>
      </c>
      <c r="AI2174" s="13">
        <v>-29.116363636363648</v>
      </c>
      <c r="AK2174" s="9">
        <v>360</v>
      </c>
    </row>
    <row r="2175" spans="1:37">
      <c r="A2175" s="9">
        <v>30</v>
      </c>
      <c r="B2175" s="9">
        <v>2024</v>
      </c>
      <c r="C2175" s="9" t="s">
        <v>46</v>
      </c>
      <c r="D2175" s="9" t="s">
        <v>47</v>
      </c>
      <c r="E2175" s="9" t="s">
        <v>47</v>
      </c>
      <c r="F2175" s="10">
        <v>45493</v>
      </c>
      <c r="G2175" s="9" t="s">
        <v>153</v>
      </c>
      <c r="H2175" s="9" t="s">
        <v>48</v>
      </c>
      <c r="J2175" s="9">
        <v>520</v>
      </c>
      <c r="K2175" s="9">
        <v>0.24</v>
      </c>
      <c r="L2175" s="9">
        <v>124.8</v>
      </c>
      <c r="M2175" s="9">
        <v>7.0909090909090917</v>
      </c>
      <c r="N2175" s="9" t="s">
        <v>49</v>
      </c>
      <c r="Q2175" s="9">
        <f>IF(Auction_Sales[[#This Row],[Payment Date]]=0,"",-1+WEEKNUM(Auction_Sales[[#This Row],[Payment Date]]))</f>
        <v>30</v>
      </c>
      <c r="R2175" s="9">
        <v>0</v>
      </c>
      <c r="S2175" s="9" t="s">
        <v>153</v>
      </c>
      <c r="T2175" s="9" t="s">
        <v>48</v>
      </c>
      <c r="U2175" s="9">
        <v>520</v>
      </c>
      <c r="V2175" s="13">
        <v>4.4615384615384612E-2</v>
      </c>
      <c r="W2175" s="13">
        <v>23.2</v>
      </c>
      <c r="X2175" s="14">
        <v>-18.419621212121232</v>
      </c>
      <c r="Y2175" s="13">
        <v>4.7803787878787674</v>
      </c>
      <c r="Z2175" s="10">
        <v>45504</v>
      </c>
      <c r="AA2175" s="9">
        <v>0</v>
      </c>
      <c r="AC2175" s="9">
        <v>448794</v>
      </c>
      <c r="AD2175" s="14">
        <v>23.637348484848488</v>
      </c>
      <c r="AF2175" s="14">
        <v>10.4</v>
      </c>
      <c r="AH2175" s="14">
        <v>34.037348484848486</v>
      </c>
      <c r="AI2175" s="13">
        <v>-29.256969696969719</v>
      </c>
      <c r="AK2175" s="9">
        <v>520</v>
      </c>
    </row>
    <row r="2176" spans="1:37">
      <c r="A2176" s="9">
        <v>30</v>
      </c>
      <c r="B2176" s="9">
        <v>2024</v>
      </c>
      <c r="C2176" s="9" t="s">
        <v>46</v>
      </c>
      <c r="D2176" s="9" t="s">
        <v>47</v>
      </c>
      <c r="E2176" s="9" t="s">
        <v>47</v>
      </c>
      <c r="F2176" s="10">
        <v>45493</v>
      </c>
      <c r="G2176" s="9" t="s">
        <v>156</v>
      </c>
      <c r="H2176" s="9" t="s">
        <v>54</v>
      </c>
      <c r="I2176" s="9">
        <v>1</v>
      </c>
      <c r="J2176" s="9">
        <v>160</v>
      </c>
      <c r="K2176" s="9">
        <v>0.66</v>
      </c>
      <c r="L2176" s="9">
        <v>105.6</v>
      </c>
      <c r="M2176" s="9">
        <v>4.8000000000000007</v>
      </c>
      <c r="N2176" s="9" t="s">
        <v>49</v>
      </c>
      <c r="Q2176" s="9">
        <f>IF(Auction_Sales[[#This Row],[Payment Date]]=0,"",-1+WEEKNUM(Auction_Sales[[#This Row],[Payment Date]]))</f>
        <v>30</v>
      </c>
      <c r="R2176" s="9">
        <v>0</v>
      </c>
      <c r="S2176" s="9" t="s">
        <v>156</v>
      </c>
      <c r="T2176" s="9" t="s">
        <v>54</v>
      </c>
      <c r="U2176" s="9">
        <v>160</v>
      </c>
      <c r="V2176" s="13">
        <v>0.375</v>
      </c>
      <c r="W2176" s="13">
        <v>60</v>
      </c>
      <c r="X2176" s="14">
        <v>-5.6675757575757633</v>
      </c>
      <c r="Y2176" s="13">
        <v>54.332424242424239</v>
      </c>
      <c r="Z2176" s="10">
        <v>45504</v>
      </c>
      <c r="AA2176" s="9">
        <v>0</v>
      </c>
      <c r="AC2176" s="9">
        <v>448794</v>
      </c>
      <c r="AD2176" s="14">
        <v>16.000666666666667</v>
      </c>
      <c r="AF2176" s="14">
        <v>3.2</v>
      </c>
      <c r="AH2176" s="14">
        <v>19.200666666666667</v>
      </c>
      <c r="AI2176" s="13">
        <v>35.131757575757575</v>
      </c>
      <c r="AK2176" s="9">
        <v>160</v>
      </c>
    </row>
    <row r="2177" spans="1:37">
      <c r="A2177" s="9">
        <v>30</v>
      </c>
      <c r="B2177" s="9">
        <v>2024</v>
      </c>
      <c r="C2177" s="9" t="s">
        <v>46</v>
      </c>
      <c r="D2177" s="9" t="s">
        <v>47</v>
      </c>
      <c r="E2177" s="9" t="s">
        <v>47</v>
      </c>
      <c r="F2177" s="10">
        <v>45493</v>
      </c>
      <c r="G2177" s="9" t="s">
        <v>156</v>
      </c>
      <c r="H2177" s="9" t="s">
        <v>51</v>
      </c>
      <c r="J2177" s="9">
        <v>240</v>
      </c>
      <c r="K2177" s="9">
        <v>0.42</v>
      </c>
      <c r="L2177" s="9">
        <v>100.8</v>
      </c>
      <c r="M2177" s="9">
        <v>7.1999999999999993</v>
      </c>
      <c r="N2177" s="9" t="s">
        <v>49</v>
      </c>
      <c r="Q2177" s="9">
        <f>IF(Auction_Sales[[#This Row],[Payment Date]]=0,"",-1+WEEKNUM(Auction_Sales[[#This Row],[Payment Date]]))</f>
        <v>30</v>
      </c>
      <c r="R2177" s="9">
        <v>0</v>
      </c>
      <c r="S2177" s="9" t="s">
        <v>156</v>
      </c>
      <c r="T2177" s="9" t="s">
        <v>51</v>
      </c>
      <c r="U2177" s="9">
        <v>240</v>
      </c>
      <c r="V2177" s="13">
        <v>0.21</v>
      </c>
      <c r="W2177" s="13">
        <v>50.4</v>
      </c>
      <c r="X2177" s="14">
        <v>-8.5013636363636458</v>
      </c>
      <c r="Y2177" s="13">
        <v>41.898636363636356</v>
      </c>
      <c r="Z2177" s="10">
        <v>45504</v>
      </c>
      <c r="AA2177" s="9">
        <v>0</v>
      </c>
      <c r="AC2177" s="9">
        <v>448794</v>
      </c>
      <c r="AD2177" s="14">
        <v>24.000999999999998</v>
      </c>
      <c r="AF2177" s="14">
        <v>4.8</v>
      </c>
      <c r="AH2177" s="14">
        <v>28.800999999999998</v>
      </c>
      <c r="AI2177" s="13">
        <v>13.097636363636358</v>
      </c>
      <c r="AK2177" s="9">
        <v>240</v>
      </c>
    </row>
    <row r="2178" spans="1:37">
      <c r="A2178" s="9">
        <v>30</v>
      </c>
      <c r="B2178" s="9">
        <v>2024</v>
      </c>
      <c r="C2178" s="9" t="s">
        <v>46</v>
      </c>
      <c r="D2178" s="9" t="s">
        <v>47</v>
      </c>
      <c r="E2178" s="9" t="s">
        <v>47</v>
      </c>
      <c r="F2178" s="10">
        <v>45493</v>
      </c>
      <c r="G2178" s="9" t="s">
        <v>156</v>
      </c>
      <c r="H2178" s="9" t="s">
        <v>56</v>
      </c>
      <c r="I2178" s="9">
        <v>1</v>
      </c>
      <c r="J2178" s="9">
        <v>160</v>
      </c>
      <c r="K2178" s="9">
        <v>0.85</v>
      </c>
      <c r="L2178" s="9">
        <v>136</v>
      </c>
      <c r="M2178" s="9">
        <v>8</v>
      </c>
      <c r="N2178" s="9" t="s">
        <v>49</v>
      </c>
      <c r="Q2178" s="9">
        <f>IF(Auction_Sales[[#This Row],[Payment Date]]=0,"",-1+WEEKNUM(Auction_Sales[[#This Row],[Payment Date]]))</f>
        <v>30</v>
      </c>
      <c r="R2178" s="9">
        <v>0</v>
      </c>
      <c r="S2178" s="9" t="s">
        <v>156</v>
      </c>
      <c r="T2178" s="9" t="s">
        <v>56</v>
      </c>
      <c r="U2178" s="9">
        <v>160</v>
      </c>
      <c r="V2178" s="13">
        <v>0.47000000000000003</v>
      </c>
      <c r="W2178" s="13">
        <v>75.2</v>
      </c>
      <c r="X2178" s="14">
        <v>-5.6675757575757633</v>
      </c>
      <c r="Y2178" s="13">
        <v>69.532424242424241</v>
      </c>
      <c r="Z2178" s="10">
        <v>45504</v>
      </c>
      <c r="AA2178" s="9">
        <v>0</v>
      </c>
      <c r="AC2178" s="9">
        <v>448794</v>
      </c>
      <c r="AD2178" s="14">
        <v>26.667777777777776</v>
      </c>
      <c r="AF2178" s="14">
        <v>3.2</v>
      </c>
      <c r="AH2178" s="14">
        <v>29.867777777777775</v>
      </c>
      <c r="AI2178" s="13">
        <v>39.664646464646466</v>
      </c>
      <c r="AK2178" s="9">
        <v>160</v>
      </c>
    </row>
    <row r="2179" spans="1:37">
      <c r="A2179" s="9">
        <v>30</v>
      </c>
      <c r="B2179" s="9">
        <v>2024</v>
      </c>
      <c r="C2179" s="9" t="s">
        <v>46</v>
      </c>
      <c r="D2179" s="9" t="s">
        <v>47</v>
      </c>
      <c r="E2179" s="9" t="s">
        <v>47</v>
      </c>
      <c r="F2179" s="10">
        <v>45493</v>
      </c>
      <c r="G2179" s="9" t="s">
        <v>156</v>
      </c>
      <c r="H2179" s="9" t="s">
        <v>52</v>
      </c>
      <c r="J2179" s="9">
        <v>80</v>
      </c>
      <c r="K2179" s="9">
        <v>0.61</v>
      </c>
      <c r="L2179" s="9">
        <v>48.8</v>
      </c>
      <c r="M2179" s="9">
        <v>4</v>
      </c>
      <c r="N2179" s="9" t="s">
        <v>49</v>
      </c>
      <c r="Q2179" s="9">
        <f>IF(Auction_Sales[[#This Row],[Payment Date]]=0,"",-1+WEEKNUM(Auction_Sales[[#This Row],[Payment Date]]))</f>
        <v>30</v>
      </c>
      <c r="R2179" s="9">
        <v>-320</v>
      </c>
      <c r="S2179" s="9" t="s">
        <v>156</v>
      </c>
      <c r="T2179" s="9" t="s">
        <v>52</v>
      </c>
      <c r="U2179" s="9">
        <v>400</v>
      </c>
      <c r="V2179" s="13">
        <v>0.22800000000000001</v>
      </c>
      <c r="W2179" s="13">
        <v>91.2</v>
      </c>
      <c r="X2179" s="14">
        <v>-14.168939393939411</v>
      </c>
      <c r="Y2179" s="13">
        <v>77.031060606060592</v>
      </c>
      <c r="Z2179" s="10">
        <v>45504</v>
      </c>
      <c r="AA2179" s="9">
        <v>320</v>
      </c>
      <c r="AC2179" s="9">
        <v>448794</v>
      </c>
      <c r="AD2179" s="14">
        <v>13.333888888888888</v>
      </c>
      <c r="AF2179" s="14">
        <v>8</v>
      </c>
      <c r="AH2179" s="14">
        <v>21.333888888888886</v>
      </c>
      <c r="AI2179" s="13">
        <v>55.697171717171706</v>
      </c>
      <c r="AK2179" s="9">
        <v>400</v>
      </c>
    </row>
    <row r="2180" spans="1:37">
      <c r="A2180" s="9">
        <v>30</v>
      </c>
      <c r="B2180" s="9">
        <v>2024</v>
      </c>
      <c r="C2180" s="9" t="s">
        <v>46</v>
      </c>
      <c r="D2180" s="9" t="s">
        <v>47</v>
      </c>
      <c r="E2180" s="9" t="s">
        <v>47</v>
      </c>
      <c r="F2180" s="10">
        <v>45495</v>
      </c>
      <c r="G2180" s="9" t="s">
        <v>154</v>
      </c>
      <c r="H2180" s="9" t="s">
        <v>51</v>
      </c>
      <c r="I2180" s="9">
        <v>1</v>
      </c>
      <c r="J2180" s="9">
        <v>520</v>
      </c>
      <c r="K2180" s="9">
        <v>0.38</v>
      </c>
      <c r="L2180" s="9">
        <v>197.6</v>
      </c>
      <c r="M2180" s="9">
        <v>12</v>
      </c>
      <c r="N2180" s="9" t="s">
        <v>49</v>
      </c>
      <c r="Q2180" s="9">
        <f>IF(Auction_Sales[[#This Row],[Payment Date]]=0,"",-1+WEEKNUM(Auction_Sales[[#This Row],[Payment Date]]))</f>
        <v>30</v>
      </c>
      <c r="R2180" s="9">
        <v>0</v>
      </c>
      <c r="S2180" s="9" t="s">
        <v>154</v>
      </c>
      <c r="T2180" s="9" t="s">
        <v>51</v>
      </c>
      <c r="U2180" s="9">
        <v>520</v>
      </c>
      <c r="V2180" s="13">
        <v>6.6153846153846146E-2</v>
      </c>
      <c r="W2180" s="13">
        <v>34.4</v>
      </c>
      <c r="X2180" s="14">
        <v>-18.427272727272712</v>
      </c>
      <c r="Y2180" s="13">
        <v>15.972727272727287</v>
      </c>
      <c r="Z2180" s="10">
        <v>45504</v>
      </c>
      <c r="AA2180" s="9">
        <v>0</v>
      </c>
      <c r="AC2180" s="9" t="s">
        <v>133</v>
      </c>
      <c r="AD2180" s="14">
        <v>44.717333333333329</v>
      </c>
      <c r="AF2180" s="14">
        <v>10.4</v>
      </c>
      <c r="AH2180" s="14">
        <v>55.117333333333328</v>
      </c>
      <c r="AI2180" s="13">
        <v>-39.144606060606037</v>
      </c>
      <c r="AK2180" s="9">
        <v>520</v>
      </c>
    </row>
    <row r="2181" spans="1:37">
      <c r="A2181" s="9">
        <v>30</v>
      </c>
      <c r="B2181" s="9">
        <v>2024</v>
      </c>
      <c r="C2181" s="9" t="s">
        <v>46</v>
      </c>
      <c r="D2181" s="9" t="s">
        <v>47</v>
      </c>
      <c r="E2181" s="9" t="s">
        <v>47</v>
      </c>
      <c r="F2181" s="10">
        <v>45495</v>
      </c>
      <c r="G2181" s="9" t="s">
        <v>154</v>
      </c>
      <c r="H2181" s="9" t="s">
        <v>54</v>
      </c>
      <c r="I2181" s="9">
        <v>1</v>
      </c>
      <c r="J2181" s="9">
        <v>240</v>
      </c>
      <c r="K2181" s="9">
        <v>0.56999999999999995</v>
      </c>
      <c r="L2181" s="9">
        <v>136.80000000000001</v>
      </c>
      <c r="M2181" s="9">
        <v>12</v>
      </c>
      <c r="N2181" s="9" t="s">
        <v>49</v>
      </c>
      <c r="Q2181" s="9">
        <f>IF(Auction_Sales[[#This Row],[Payment Date]]=0,"",-1+WEEKNUM(Auction_Sales[[#This Row],[Payment Date]]))</f>
        <v>30</v>
      </c>
      <c r="R2181" s="9">
        <v>0</v>
      </c>
      <c r="S2181" s="9" t="s">
        <v>154</v>
      </c>
      <c r="T2181" s="9" t="s">
        <v>54</v>
      </c>
      <c r="U2181" s="9">
        <v>240</v>
      </c>
      <c r="V2181" s="13">
        <v>0.24000000000000002</v>
      </c>
      <c r="W2181" s="13">
        <v>57.6</v>
      </c>
      <c r="X2181" s="14">
        <v>-8.5048951048950965</v>
      </c>
      <c r="Y2181" s="13">
        <v>49.095104895104903</v>
      </c>
      <c r="Z2181" s="10">
        <v>45504</v>
      </c>
      <c r="AA2181" s="9">
        <v>0</v>
      </c>
      <c r="AC2181" s="9" t="s">
        <v>133</v>
      </c>
      <c r="AD2181" s="14">
        <v>44.717333333333329</v>
      </c>
      <c r="AF2181" s="14">
        <v>4.8</v>
      </c>
      <c r="AH2181" s="14">
        <v>49.517333333333326</v>
      </c>
      <c r="AI2181" s="13">
        <v>-0.42222843822842293</v>
      </c>
      <c r="AK2181" s="9">
        <v>240</v>
      </c>
    </row>
    <row r="2182" spans="1:37">
      <c r="A2182" s="9">
        <v>30</v>
      </c>
      <c r="B2182" s="9">
        <v>2024</v>
      </c>
      <c r="C2182" s="9" t="s">
        <v>46</v>
      </c>
      <c r="D2182" s="9" t="s">
        <v>47</v>
      </c>
      <c r="E2182" s="9" t="s">
        <v>47</v>
      </c>
      <c r="F2182" s="10">
        <v>45495</v>
      </c>
      <c r="G2182" s="9" t="s">
        <v>155</v>
      </c>
      <c r="H2182" s="9" t="s">
        <v>51</v>
      </c>
      <c r="I2182" s="9">
        <v>1</v>
      </c>
      <c r="J2182" s="9">
        <v>560</v>
      </c>
      <c r="K2182" s="9">
        <v>0.38</v>
      </c>
      <c r="L2182" s="9">
        <v>212.8</v>
      </c>
      <c r="M2182" s="9">
        <v>12</v>
      </c>
      <c r="N2182" s="9" t="s">
        <v>49</v>
      </c>
      <c r="Q2182" s="9">
        <f>IF(Auction_Sales[[#This Row],[Payment Date]]=0,"",-1+WEEKNUM(Auction_Sales[[#This Row],[Payment Date]]))</f>
        <v>30</v>
      </c>
      <c r="R2182" s="9">
        <v>0</v>
      </c>
      <c r="S2182" s="9" t="s">
        <v>155</v>
      </c>
      <c r="T2182" s="9" t="s">
        <v>51</v>
      </c>
      <c r="U2182" s="9">
        <v>560</v>
      </c>
      <c r="V2182" s="13">
        <v>0.24714285714285716</v>
      </c>
      <c r="W2182" s="13">
        <v>138.4</v>
      </c>
      <c r="X2182" s="14">
        <v>-19.844755244755227</v>
      </c>
      <c r="Y2182" s="13">
        <v>118.55524475524479</v>
      </c>
      <c r="Z2182" s="10">
        <v>45504</v>
      </c>
      <c r="AA2182" s="9">
        <v>0</v>
      </c>
      <c r="AC2182" s="9" t="s">
        <v>133</v>
      </c>
      <c r="AD2182" s="14">
        <v>44.717333333333329</v>
      </c>
      <c r="AF2182" s="14">
        <v>11.200000000000001</v>
      </c>
      <c r="AH2182" s="14">
        <v>55.917333333333332</v>
      </c>
      <c r="AI2182" s="13">
        <v>62.637911421911454</v>
      </c>
      <c r="AK2182" s="9">
        <v>560</v>
      </c>
    </row>
    <row r="2183" spans="1:37">
      <c r="A2183" s="9">
        <v>30</v>
      </c>
      <c r="B2183" s="9">
        <v>2024</v>
      </c>
      <c r="C2183" s="9" t="s">
        <v>46</v>
      </c>
      <c r="D2183" s="9" t="s">
        <v>47</v>
      </c>
      <c r="E2183" s="9" t="s">
        <v>47</v>
      </c>
      <c r="F2183" s="10">
        <v>45495</v>
      </c>
      <c r="G2183" s="9" t="s">
        <v>156</v>
      </c>
      <c r="H2183" s="9" t="s">
        <v>51</v>
      </c>
      <c r="I2183" s="9">
        <v>1</v>
      </c>
      <c r="J2183" s="9">
        <v>520</v>
      </c>
      <c r="K2183" s="9">
        <v>0.42</v>
      </c>
      <c r="L2183" s="9">
        <v>218.4</v>
      </c>
      <c r="M2183" s="9">
        <v>12</v>
      </c>
      <c r="N2183" s="9" t="s">
        <v>49</v>
      </c>
      <c r="Q2183" s="9">
        <f>IF(Auction_Sales[[#This Row],[Payment Date]]=0,"",-1+WEEKNUM(Auction_Sales[[#This Row],[Payment Date]]))</f>
        <v>30</v>
      </c>
      <c r="R2183" s="9">
        <v>0</v>
      </c>
      <c r="S2183" s="9" t="s">
        <v>156</v>
      </c>
      <c r="T2183" s="9" t="s">
        <v>51</v>
      </c>
      <c r="U2183" s="9">
        <v>520</v>
      </c>
      <c r="V2183" s="13">
        <v>0.2153846153846154</v>
      </c>
      <c r="W2183" s="13">
        <v>112</v>
      </c>
      <c r="X2183" s="14">
        <v>-18.427272727272712</v>
      </c>
      <c r="Y2183" s="13">
        <v>93.572727272727292</v>
      </c>
      <c r="Z2183" s="10">
        <v>45504</v>
      </c>
      <c r="AA2183" s="9">
        <v>0</v>
      </c>
      <c r="AC2183" s="9" t="s">
        <v>133</v>
      </c>
      <c r="AD2183" s="14">
        <v>44.717333333333329</v>
      </c>
      <c r="AF2183" s="14">
        <v>10.4</v>
      </c>
      <c r="AH2183" s="14">
        <v>55.117333333333328</v>
      </c>
      <c r="AI2183" s="13">
        <v>38.455393939393964</v>
      </c>
      <c r="AK2183" s="9">
        <v>520</v>
      </c>
    </row>
    <row r="2184" spans="1:37">
      <c r="A2184" s="9">
        <v>30</v>
      </c>
      <c r="B2184" s="9">
        <v>2024</v>
      </c>
      <c r="C2184" s="9" t="s">
        <v>46</v>
      </c>
      <c r="D2184" s="9" t="s">
        <v>47</v>
      </c>
      <c r="E2184" s="9" t="s">
        <v>47</v>
      </c>
      <c r="F2184" s="10">
        <v>45495</v>
      </c>
      <c r="G2184" s="9" t="s">
        <v>156</v>
      </c>
      <c r="H2184" s="9" t="s">
        <v>48</v>
      </c>
      <c r="I2184" s="9">
        <v>2</v>
      </c>
      <c r="J2184" s="9">
        <v>960</v>
      </c>
      <c r="K2184" s="9">
        <v>0.52</v>
      </c>
      <c r="L2184" s="9">
        <v>499.2</v>
      </c>
      <c r="M2184" s="9">
        <v>24</v>
      </c>
      <c r="N2184" s="9" t="s">
        <v>49</v>
      </c>
      <c r="Q2184" s="9">
        <f>IF(Auction_Sales[[#This Row],[Payment Date]]=0,"",-1+WEEKNUM(Auction_Sales[[#This Row],[Payment Date]]))</f>
        <v>30</v>
      </c>
      <c r="R2184" s="9">
        <v>-200</v>
      </c>
      <c r="S2184" s="9" t="s">
        <v>156</v>
      </c>
      <c r="T2184" s="9" t="s">
        <v>48</v>
      </c>
      <c r="U2184" s="9">
        <v>1160</v>
      </c>
      <c r="V2184" s="13">
        <v>0.21</v>
      </c>
      <c r="W2184" s="13">
        <v>243.6</v>
      </c>
      <c r="X2184" s="14">
        <v>-41.106993006992973</v>
      </c>
      <c r="Y2184" s="13">
        <v>202.49300699300701</v>
      </c>
      <c r="Z2184" s="10">
        <v>45504</v>
      </c>
      <c r="AA2184" s="9">
        <v>200</v>
      </c>
      <c r="AC2184" s="9" t="s">
        <v>133</v>
      </c>
      <c r="AD2184" s="14">
        <v>89.434666666666658</v>
      </c>
      <c r="AF2184" s="14">
        <v>23.2</v>
      </c>
      <c r="AH2184" s="14">
        <v>112.63466666666666</v>
      </c>
      <c r="AI2184" s="13">
        <v>89.858340326340354</v>
      </c>
      <c r="AK2184" s="9">
        <v>1160</v>
      </c>
    </row>
    <row r="2185" spans="1:37">
      <c r="A2185" s="9">
        <v>30</v>
      </c>
      <c r="B2185" s="9">
        <v>2024</v>
      </c>
      <c r="C2185" s="9" t="s">
        <v>46</v>
      </c>
      <c r="D2185" s="9" t="s">
        <v>47</v>
      </c>
      <c r="E2185" s="9" t="s">
        <v>47</v>
      </c>
      <c r="F2185" s="10">
        <v>45495</v>
      </c>
      <c r="G2185" s="9" t="s">
        <v>156</v>
      </c>
      <c r="H2185" s="9" t="s">
        <v>52</v>
      </c>
      <c r="I2185" s="9">
        <v>1</v>
      </c>
      <c r="J2185" s="9">
        <v>400</v>
      </c>
      <c r="K2185" s="9">
        <v>0.61</v>
      </c>
      <c r="L2185" s="9">
        <v>244</v>
      </c>
      <c r="M2185" s="9">
        <v>12</v>
      </c>
      <c r="N2185" s="9" t="s">
        <v>49</v>
      </c>
      <c r="Q2185" s="9">
        <f>IF(Auction_Sales[[#This Row],[Payment Date]]=0,"",-1+WEEKNUM(Auction_Sales[[#This Row],[Payment Date]]))</f>
        <v>30</v>
      </c>
      <c r="R2185" s="9">
        <v>0</v>
      </c>
      <c r="S2185" s="9" t="s">
        <v>156</v>
      </c>
      <c r="T2185" s="9" t="s">
        <v>52</v>
      </c>
      <c r="U2185" s="9">
        <v>400</v>
      </c>
      <c r="V2185" s="13">
        <v>0.33</v>
      </c>
      <c r="W2185" s="13">
        <v>132</v>
      </c>
      <c r="X2185" s="14">
        <v>-14.174825174825163</v>
      </c>
      <c r="Y2185" s="13">
        <v>117.82517482517484</v>
      </c>
      <c r="Z2185" s="10">
        <v>45504</v>
      </c>
      <c r="AA2185" s="9">
        <v>0</v>
      </c>
      <c r="AC2185" s="9" t="s">
        <v>133</v>
      </c>
      <c r="AD2185" s="14">
        <v>44.717333333333329</v>
      </c>
      <c r="AF2185" s="14">
        <v>8</v>
      </c>
      <c r="AH2185" s="14">
        <v>52.717333333333329</v>
      </c>
      <c r="AI2185" s="13">
        <v>65.107841491841512</v>
      </c>
      <c r="AK2185" s="9">
        <v>400</v>
      </c>
    </row>
    <row r="2186" spans="1:37">
      <c r="A2186" s="9">
        <v>30</v>
      </c>
      <c r="B2186" s="9">
        <v>2024</v>
      </c>
      <c r="C2186" s="9" t="s">
        <v>46</v>
      </c>
      <c r="D2186" s="9" t="s">
        <v>47</v>
      </c>
      <c r="E2186" s="9" t="s">
        <v>47</v>
      </c>
      <c r="F2186" s="10">
        <v>45495</v>
      </c>
      <c r="G2186" s="9" t="s">
        <v>156</v>
      </c>
      <c r="H2186" s="9" t="s">
        <v>56</v>
      </c>
      <c r="I2186" s="9">
        <v>1</v>
      </c>
      <c r="J2186" s="9">
        <v>320</v>
      </c>
      <c r="K2186" s="9">
        <v>0.85</v>
      </c>
      <c r="L2186" s="9">
        <v>272</v>
      </c>
      <c r="M2186" s="9">
        <v>12</v>
      </c>
      <c r="N2186" s="9" t="s">
        <v>49</v>
      </c>
      <c r="Q2186" s="9">
        <f>IF(Auction_Sales[[#This Row],[Payment Date]]=0,"",-1+WEEKNUM(Auction_Sales[[#This Row],[Payment Date]]))</f>
        <v>30</v>
      </c>
      <c r="R2186" s="9">
        <v>0</v>
      </c>
      <c r="S2186" s="9" t="s">
        <v>156</v>
      </c>
      <c r="T2186" s="9" t="s">
        <v>56</v>
      </c>
      <c r="U2186" s="9">
        <v>320</v>
      </c>
      <c r="V2186" s="13">
        <v>0.39</v>
      </c>
      <c r="W2186" s="13">
        <v>124.80000000000001</v>
      </c>
      <c r="X2186" s="14">
        <v>-11.33986013986013</v>
      </c>
      <c r="Y2186" s="13">
        <v>113.46013986013988</v>
      </c>
      <c r="Z2186" s="10">
        <v>45504</v>
      </c>
      <c r="AA2186" s="9">
        <v>0</v>
      </c>
      <c r="AC2186" s="9" t="s">
        <v>133</v>
      </c>
      <c r="AD2186" s="14">
        <v>44.717333333333329</v>
      </c>
      <c r="AF2186" s="14">
        <v>6.4</v>
      </c>
      <c r="AH2186" s="14">
        <v>51.117333333333328</v>
      </c>
      <c r="AI2186" s="13">
        <v>62.342806526806548</v>
      </c>
      <c r="AK2186" s="9">
        <v>320</v>
      </c>
    </row>
    <row r="2187" spans="1:37">
      <c r="A2187" s="9">
        <v>30</v>
      </c>
      <c r="B2187" s="9">
        <v>2024</v>
      </c>
      <c r="C2187" s="9" t="s">
        <v>46</v>
      </c>
      <c r="D2187" s="9" t="s">
        <v>47</v>
      </c>
      <c r="E2187" s="9" t="s">
        <v>47</v>
      </c>
      <c r="F2187" s="10">
        <v>45495</v>
      </c>
      <c r="G2187" s="9" t="s">
        <v>156</v>
      </c>
      <c r="H2187" s="9" t="s">
        <v>57</v>
      </c>
      <c r="I2187" s="9">
        <v>1</v>
      </c>
      <c r="J2187" s="9">
        <v>240</v>
      </c>
      <c r="K2187" s="9">
        <v>1.04</v>
      </c>
      <c r="L2187" s="9">
        <v>249.6</v>
      </c>
      <c r="M2187" s="9">
        <v>12</v>
      </c>
      <c r="N2187" s="9" t="s">
        <v>49</v>
      </c>
      <c r="Q2187" s="9">
        <f>IF(Auction_Sales[[#This Row],[Payment Date]]=0,"",-1+WEEKNUM(Auction_Sales[[#This Row],[Payment Date]]))</f>
        <v>30</v>
      </c>
      <c r="R2187" s="9">
        <v>0</v>
      </c>
      <c r="S2187" s="9" t="s">
        <v>156</v>
      </c>
      <c r="T2187" s="9" t="s">
        <v>57</v>
      </c>
      <c r="U2187" s="9">
        <v>240</v>
      </c>
      <c r="V2187" s="13">
        <v>0.56000000000000005</v>
      </c>
      <c r="W2187" s="13">
        <v>134.4</v>
      </c>
      <c r="X2187" s="14">
        <v>-8.5048951048950965</v>
      </c>
      <c r="Y2187" s="13">
        <v>125.89510489510491</v>
      </c>
      <c r="Z2187" s="10">
        <v>45504</v>
      </c>
      <c r="AA2187" s="9">
        <v>0</v>
      </c>
      <c r="AC2187" s="9" t="s">
        <v>133</v>
      </c>
      <c r="AD2187" s="14">
        <v>44.717333333333329</v>
      </c>
      <c r="AF2187" s="14">
        <v>4.8</v>
      </c>
      <c r="AH2187" s="14">
        <v>49.517333333333326</v>
      </c>
      <c r="AI2187" s="13">
        <v>76.377771561771581</v>
      </c>
      <c r="AK2187" s="9">
        <v>240</v>
      </c>
    </row>
    <row r="2188" spans="1:37">
      <c r="A2188" s="9">
        <v>30</v>
      </c>
      <c r="B2188" s="9">
        <v>2024</v>
      </c>
      <c r="C2188" s="9" t="s">
        <v>46</v>
      </c>
      <c r="D2188" s="9" t="s">
        <v>47</v>
      </c>
      <c r="E2188" s="9" t="s">
        <v>47</v>
      </c>
      <c r="F2188" s="10">
        <v>45495</v>
      </c>
      <c r="G2188" s="9" t="s">
        <v>154</v>
      </c>
      <c r="H2188" s="9" t="s">
        <v>48</v>
      </c>
      <c r="I2188" s="9">
        <v>1</v>
      </c>
      <c r="J2188" s="9">
        <v>240</v>
      </c>
      <c r="K2188" s="9">
        <v>0.47</v>
      </c>
      <c r="L2188" s="9">
        <v>112.8</v>
      </c>
      <c r="M2188" s="9">
        <v>8</v>
      </c>
      <c r="N2188" s="9" t="s">
        <v>49</v>
      </c>
      <c r="Q2188" s="9">
        <f>IF(Auction_Sales[[#This Row],[Payment Date]]=0,"",-1+WEEKNUM(Auction_Sales[[#This Row],[Payment Date]]))</f>
        <v>30</v>
      </c>
      <c r="R2188" s="9">
        <v>0</v>
      </c>
      <c r="S2188" s="9" t="s">
        <v>154</v>
      </c>
      <c r="T2188" s="9" t="s">
        <v>48</v>
      </c>
      <c r="U2188" s="9">
        <v>240</v>
      </c>
      <c r="V2188" s="13">
        <v>0.10333333333333333</v>
      </c>
      <c r="W2188" s="13">
        <v>24.8</v>
      </c>
      <c r="X2188" s="14">
        <v>-11.665714285714298</v>
      </c>
      <c r="Y2188" s="13">
        <v>13.134285714285703</v>
      </c>
      <c r="Z2188" s="10">
        <v>45504</v>
      </c>
      <c r="AA2188" s="9">
        <v>0</v>
      </c>
      <c r="AC2188" s="9" t="s">
        <v>133</v>
      </c>
      <c r="AD2188" s="14">
        <v>29.811555555555557</v>
      </c>
      <c r="AF2188" s="14">
        <v>4.8</v>
      </c>
      <c r="AH2188" s="14">
        <v>34.611555555555555</v>
      </c>
      <c r="AI2188" s="13">
        <v>-21.477269841269852</v>
      </c>
      <c r="AK2188" s="9">
        <v>240</v>
      </c>
    </row>
    <row r="2189" spans="1:37">
      <c r="A2189" s="9">
        <v>30</v>
      </c>
      <c r="B2189" s="9">
        <v>2024</v>
      </c>
      <c r="C2189" s="9" t="s">
        <v>46</v>
      </c>
      <c r="D2189" s="9" t="s">
        <v>47</v>
      </c>
      <c r="E2189" s="9" t="s">
        <v>47</v>
      </c>
      <c r="F2189" s="10">
        <v>45495</v>
      </c>
      <c r="G2189" s="9" t="s">
        <v>154</v>
      </c>
      <c r="H2189" s="9" t="s">
        <v>56</v>
      </c>
      <c r="J2189" s="9">
        <v>120</v>
      </c>
      <c r="K2189" s="9">
        <v>0.75</v>
      </c>
      <c r="L2189" s="9">
        <v>90</v>
      </c>
      <c r="M2189" s="9">
        <v>4</v>
      </c>
      <c r="N2189" s="9" t="s">
        <v>49</v>
      </c>
      <c r="Q2189" s="9">
        <f>IF(Auction_Sales[[#This Row],[Payment Date]]=0,"",-1+WEEKNUM(Auction_Sales[[#This Row],[Payment Date]]))</f>
        <v>30</v>
      </c>
      <c r="R2189" s="9">
        <v>0</v>
      </c>
      <c r="S2189" s="9" t="s">
        <v>154</v>
      </c>
      <c r="T2189" s="9" t="s">
        <v>56</v>
      </c>
      <c r="U2189" s="9">
        <v>120</v>
      </c>
      <c r="V2189" s="13">
        <v>0.39666666666666667</v>
      </c>
      <c r="W2189" s="13">
        <v>47.6</v>
      </c>
      <c r="X2189" s="14">
        <v>-4.2524475524475482</v>
      </c>
      <c r="Y2189" s="13">
        <v>43.347552447552452</v>
      </c>
      <c r="Z2189" s="10">
        <v>45504</v>
      </c>
      <c r="AA2189" s="9">
        <v>0</v>
      </c>
      <c r="AC2189" s="9" t="s">
        <v>133</v>
      </c>
      <c r="AD2189" s="14">
        <v>14.905777777777779</v>
      </c>
      <c r="AF2189" s="14">
        <v>2.4</v>
      </c>
      <c r="AH2189" s="14">
        <v>17.305777777777777</v>
      </c>
      <c r="AI2189" s="13">
        <v>26.041774669774675</v>
      </c>
      <c r="AK2189" s="9">
        <v>120</v>
      </c>
    </row>
    <row r="2190" spans="1:37">
      <c r="A2190" s="9">
        <v>30</v>
      </c>
      <c r="B2190" s="9">
        <v>2024</v>
      </c>
      <c r="C2190" s="9" t="s">
        <v>46</v>
      </c>
      <c r="D2190" s="9" t="s">
        <v>47</v>
      </c>
      <c r="E2190" s="9" t="s">
        <v>47</v>
      </c>
      <c r="F2190" s="10">
        <v>45495</v>
      </c>
      <c r="G2190" s="9" t="s">
        <v>154</v>
      </c>
      <c r="H2190" s="9" t="s">
        <v>52</v>
      </c>
      <c r="I2190" s="9">
        <v>1</v>
      </c>
      <c r="J2190" s="9">
        <v>280</v>
      </c>
      <c r="K2190" s="9">
        <v>0.52</v>
      </c>
      <c r="L2190" s="9">
        <v>145.6</v>
      </c>
      <c r="M2190" s="9">
        <v>10.5</v>
      </c>
      <c r="N2190" s="9" t="s">
        <v>49</v>
      </c>
      <c r="Q2190" s="9">
        <f>IF(Auction_Sales[[#This Row],[Payment Date]]=0,"",-1+WEEKNUM(Auction_Sales[[#This Row],[Payment Date]]))</f>
        <v>30</v>
      </c>
      <c r="R2190" s="9">
        <v>0</v>
      </c>
      <c r="S2190" s="9" t="s">
        <v>154</v>
      </c>
      <c r="T2190" s="9" t="s">
        <v>52</v>
      </c>
      <c r="U2190" s="9">
        <v>280</v>
      </c>
      <c r="V2190" s="13">
        <v>0.2</v>
      </c>
      <c r="W2190" s="13">
        <v>56</v>
      </c>
      <c r="X2190" s="14">
        <v>-9.9223776223776134</v>
      </c>
      <c r="Y2190" s="13">
        <v>46.07762237762239</v>
      </c>
      <c r="Z2190" s="10">
        <v>45504</v>
      </c>
      <c r="AA2190" s="9">
        <v>0</v>
      </c>
      <c r="AC2190" s="9" t="s">
        <v>133</v>
      </c>
      <c r="AD2190" s="14">
        <v>39.12766666666667</v>
      </c>
      <c r="AF2190" s="14">
        <v>5.6000000000000005</v>
      </c>
      <c r="AH2190" s="14">
        <v>44.727666666666671</v>
      </c>
      <c r="AI2190" s="13">
        <v>1.3499557109557188</v>
      </c>
      <c r="AK2190" s="9">
        <v>280</v>
      </c>
    </row>
    <row r="2191" spans="1:37">
      <c r="A2191" s="9">
        <v>30</v>
      </c>
      <c r="B2191" s="9">
        <v>2024</v>
      </c>
      <c r="C2191" s="9" t="s">
        <v>46</v>
      </c>
      <c r="D2191" s="9" t="s">
        <v>47</v>
      </c>
      <c r="E2191" s="9" t="s">
        <v>47</v>
      </c>
      <c r="F2191" s="10">
        <v>45495</v>
      </c>
      <c r="G2191" s="9" t="s">
        <v>154</v>
      </c>
      <c r="H2191" s="9" t="s">
        <v>57</v>
      </c>
      <c r="J2191" s="9">
        <v>40</v>
      </c>
      <c r="K2191" s="9">
        <v>0.94</v>
      </c>
      <c r="L2191" s="9">
        <v>37.6</v>
      </c>
      <c r="M2191" s="9">
        <v>1.5</v>
      </c>
      <c r="N2191" s="9" t="s">
        <v>49</v>
      </c>
      <c r="Q2191" s="9">
        <f>IF(Auction_Sales[[#This Row],[Payment Date]]=0,"",-1+WEEKNUM(Auction_Sales[[#This Row],[Payment Date]]))</f>
        <v>30</v>
      </c>
      <c r="R2191" s="9">
        <v>0</v>
      </c>
      <c r="S2191" s="9" t="s">
        <v>154</v>
      </c>
      <c r="T2191" s="9" t="s">
        <v>57</v>
      </c>
      <c r="U2191" s="9">
        <v>40</v>
      </c>
      <c r="V2191" s="13">
        <v>0.38</v>
      </c>
      <c r="W2191" s="13">
        <v>15.2</v>
      </c>
      <c r="X2191" s="14">
        <v>-1.4174825174825163</v>
      </c>
      <c r="Y2191" s="13">
        <v>13.782517482517482</v>
      </c>
      <c r="Z2191" s="10">
        <v>45504</v>
      </c>
      <c r="AA2191" s="9">
        <v>0</v>
      </c>
      <c r="AC2191" s="9" t="s">
        <v>133</v>
      </c>
      <c r="AD2191" s="14">
        <v>5.5896666666666661</v>
      </c>
      <c r="AF2191" s="14">
        <v>0.8</v>
      </c>
      <c r="AH2191" s="14">
        <v>6.3896666666666659</v>
      </c>
      <c r="AI2191" s="13">
        <v>7.3928508158508164</v>
      </c>
      <c r="AK2191" s="9">
        <v>40</v>
      </c>
    </row>
    <row r="2192" spans="1:37">
      <c r="A2192" s="9">
        <v>30</v>
      </c>
      <c r="B2192" s="9">
        <v>2024</v>
      </c>
      <c r="C2192" s="9" t="s">
        <v>46</v>
      </c>
      <c r="D2192" s="9" t="s">
        <v>47</v>
      </c>
      <c r="E2192" s="9" t="s">
        <v>47</v>
      </c>
      <c r="F2192" s="10">
        <v>45495</v>
      </c>
      <c r="G2192" s="9" t="s">
        <v>155</v>
      </c>
      <c r="H2192" s="9" t="s">
        <v>56</v>
      </c>
      <c r="I2192" s="9">
        <v>1</v>
      </c>
      <c r="J2192" s="9">
        <v>40</v>
      </c>
      <c r="K2192" s="9">
        <v>0.75</v>
      </c>
      <c r="L2192" s="9">
        <v>30</v>
      </c>
      <c r="M2192" s="9">
        <v>1</v>
      </c>
      <c r="N2192" s="9" t="s">
        <v>49</v>
      </c>
      <c r="Q2192" s="9">
        <f>IF(Auction_Sales[[#This Row],[Payment Date]]=0,"",-1+WEEKNUM(Auction_Sales[[#This Row],[Payment Date]]))</f>
        <v>30</v>
      </c>
      <c r="R2192" s="9">
        <v>0</v>
      </c>
      <c r="S2192" s="9" t="s">
        <v>155</v>
      </c>
      <c r="T2192" s="9" t="s">
        <v>56</v>
      </c>
      <c r="U2192" s="9">
        <v>40</v>
      </c>
      <c r="V2192" s="13">
        <v>0.62</v>
      </c>
      <c r="W2192" s="13">
        <v>24.8</v>
      </c>
      <c r="X2192" s="14">
        <v>-1.4174825174825163</v>
      </c>
      <c r="Y2192" s="13">
        <v>23.382517482517486</v>
      </c>
      <c r="Z2192" s="10">
        <v>45504</v>
      </c>
      <c r="AA2192" s="9">
        <v>0</v>
      </c>
      <c r="AC2192" s="9" t="s">
        <v>133</v>
      </c>
      <c r="AD2192" s="14">
        <v>3.7264444444444447</v>
      </c>
      <c r="AF2192" s="14">
        <v>0.8</v>
      </c>
      <c r="AH2192" s="14">
        <v>4.5264444444444445</v>
      </c>
      <c r="AI2192" s="13">
        <v>18.856073038073042</v>
      </c>
      <c r="AK2192" s="9">
        <v>40</v>
      </c>
    </row>
    <row r="2193" spans="1:37">
      <c r="A2193" s="9">
        <v>30</v>
      </c>
      <c r="B2193" s="9">
        <v>2024</v>
      </c>
      <c r="C2193" s="9" t="s">
        <v>46</v>
      </c>
      <c r="D2193" s="9" t="s">
        <v>47</v>
      </c>
      <c r="E2193" s="9" t="s">
        <v>47</v>
      </c>
      <c r="F2193" s="10">
        <v>45495</v>
      </c>
      <c r="G2193" s="9" t="s">
        <v>155</v>
      </c>
      <c r="H2193" s="9" t="s">
        <v>48</v>
      </c>
      <c r="J2193" s="9">
        <v>440</v>
      </c>
      <c r="K2193" s="9">
        <v>0.47</v>
      </c>
      <c r="L2193" s="9">
        <v>206.8</v>
      </c>
      <c r="M2193" s="9">
        <v>11</v>
      </c>
      <c r="N2193" s="9" t="s">
        <v>49</v>
      </c>
      <c r="Q2193" s="9">
        <f>IF(Auction_Sales[[#This Row],[Payment Date]]=0,"",-1+WEEKNUM(Auction_Sales[[#This Row],[Payment Date]]))</f>
        <v>30</v>
      </c>
      <c r="R2193" s="9">
        <v>0</v>
      </c>
      <c r="S2193" s="9" t="s">
        <v>155</v>
      </c>
      <c r="T2193" s="9" t="s">
        <v>48</v>
      </c>
      <c r="U2193" s="9">
        <v>440</v>
      </c>
      <c r="V2193" s="13">
        <v>0.31818181818181818</v>
      </c>
      <c r="W2193" s="13">
        <v>140</v>
      </c>
      <c r="X2193" s="14">
        <v>-15.592307692307678</v>
      </c>
      <c r="Y2193" s="13">
        <v>124.40769230769232</v>
      </c>
      <c r="Z2193" s="10">
        <v>45504</v>
      </c>
      <c r="AA2193" s="9">
        <v>0</v>
      </c>
      <c r="AC2193" s="9" t="s">
        <v>133</v>
      </c>
      <c r="AD2193" s="14">
        <v>40.99088888888889</v>
      </c>
      <c r="AF2193" s="14">
        <v>8.8000000000000007</v>
      </c>
      <c r="AH2193" s="14">
        <v>49.790888888888887</v>
      </c>
      <c r="AI2193" s="13">
        <v>74.616803418803428</v>
      </c>
      <c r="AK2193" s="9">
        <v>440</v>
      </c>
    </row>
    <row r="2194" spans="1:37">
      <c r="A2194" s="9">
        <v>30</v>
      </c>
      <c r="B2194" s="9">
        <v>2024</v>
      </c>
      <c r="C2194" s="9" t="s">
        <v>46</v>
      </c>
      <c r="D2194" s="9" t="s">
        <v>47</v>
      </c>
      <c r="E2194" s="9" t="s">
        <v>47</v>
      </c>
      <c r="F2194" s="10">
        <v>45495</v>
      </c>
      <c r="G2194" s="9" t="s">
        <v>153</v>
      </c>
      <c r="H2194" s="9" t="s">
        <v>56</v>
      </c>
      <c r="I2194" s="9">
        <v>1</v>
      </c>
      <c r="J2194" s="9">
        <v>80</v>
      </c>
      <c r="K2194" s="9">
        <v>0.38</v>
      </c>
      <c r="L2194" s="9">
        <v>30.4</v>
      </c>
      <c r="M2194" s="9">
        <v>1.5</v>
      </c>
      <c r="N2194" s="9" t="s">
        <v>49</v>
      </c>
      <c r="Q2194" s="9">
        <f>IF(Auction_Sales[[#This Row],[Payment Date]]=0,"",-1+WEEKNUM(Auction_Sales[[#This Row],[Payment Date]]))</f>
        <v>30</v>
      </c>
      <c r="R2194" s="9">
        <v>0</v>
      </c>
      <c r="S2194" s="9" t="s">
        <v>153</v>
      </c>
      <c r="T2194" s="9" t="s">
        <v>56</v>
      </c>
      <c r="U2194" s="9">
        <v>80</v>
      </c>
      <c r="V2194" s="13">
        <v>0.38</v>
      </c>
      <c r="W2194" s="13">
        <v>30.4</v>
      </c>
      <c r="X2194" s="14">
        <v>-2.8349650349650326</v>
      </c>
      <c r="Y2194" s="13">
        <v>27.565034965034965</v>
      </c>
      <c r="Z2194" s="10">
        <v>45504</v>
      </c>
      <c r="AA2194" s="9">
        <v>0</v>
      </c>
      <c r="AC2194" s="9" t="s">
        <v>133</v>
      </c>
      <c r="AD2194" s="14">
        <v>5.5896666666666661</v>
      </c>
      <c r="AF2194" s="14">
        <v>1.6</v>
      </c>
      <c r="AH2194" s="14">
        <v>7.1896666666666658</v>
      </c>
      <c r="AI2194" s="13">
        <v>20.375368298368301</v>
      </c>
      <c r="AK2194" s="9">
        <v>80</v>
      </c>
    </row>
    <row r="2195" spans="1:37">
      <c r="A2195" s="9">
        <v>30</v>
      </c>
      <c r="B2195" s="9">
        <v>2024</v>
      </c>
      <c r="C2195" s="9" t="s">
        <v>46</v>
      </c>
      <c r="D2195" s="9" t="s">
        <v>47</v>
      </c>
      <c r="E2195" s="9" t="s">
        <v>47</v>
      </c>
      <c r="F2195" s="10">
        <v>45495</v>
      </c>
      <c r="G2195" s="9" t="s">
        <v>153</v>
      </c>
      <c r="H2195" s="9" t="s">
        <v>48</v>
      </c>
      <c r="J2195" s="9">
        <v>360</v>
      </c>
      <c r="K2195" s="9">
        <v>0.24</v>
      </c>
      <c r="L2195" s="9">
        <v>86.4</v>
      </c>
      <c r="M2195" s="9">
        <v>6.75</v>
      </c>
      <c r="N2195" s="9" t="s">
        <v>49</v>
      </c>
      <c r="Q2195" s="9">
        <f>IF(Auction_Sales[[#This Row],[Payment Date]]=0,"",-1+WEEKNUM(Auction_Sales[[#This Row],[Payment Date]]))</f>
        <v>30</v>
      </c>
      <c r="R2195" s="9">
        <v>0</v>
      </c>
      <c r="S2195" s="9" t="s">
        <v>153</v>
      </c>
      <c r="T2195" s="9" t="s">
        <v>48</v>
      </c>
      <c r="U2195" s="9">
        <v>360</v>
      </c>
      <c r="V2195" s="13">
        <v>0.37666666666666665</v>
      </c>
      <c r="W2195" s="13">
        <v>135.6</v>
      </c>
      <c r="X2195" s="14">
        <v>-17.498571428571445</v>
      </c>
      <c r="Y2195" s="13">
        <v>118.10142857142856</v>
      </c>
      <c r="Z2195" s="10">
        <v>45504</v>
      </c>
      <c r="AA2195" s="9">
        <v>0</v>
      </c>
      <c r="AC2195" s="9" t="s">
        <v>133</v>
      </c>
      <c r="AD2195" s="14">
        <v>25.153499999999998</v>
      </c>
      <c r="AF2195" s="14">
        <v>7.2</v>
      </c>
      <c r="AH2195" s="14">
        <v>32.353499999999997</v>
      </c>
      <c r="AI2195" s="13">
        <v>85.74792857142856</v>
      </c>
      <c r="AK2195" s="9">
        <v>360</v>
      </c>
    </row>
    <row r="2196" spans="1:37">
      <c r="A2196" s="9">
        <v>30</v>
      </c>
      <c r="B2196" s="9">
        <v>2024</v>
      </c>
      <c r="C2196" s="9" t="s">
        <v>46</v>
      </c>
      <c r="D2196" s="9" t="s">
        <v>47</v>
      </c>
      <c r="E2196" s="9" t="s">
        <v>47</v>
      </c>
      <c r="F2196" s="10">
        <v>45495</v>
      </c>
      <c r="G2196" s="9" t="s">
        <v>153</v>
      </c>
      <c r="H2196" s="9" t="s">
        <v>51</v>
      </c>
      <c r="J2196" s="9">
        <v>200</v>
      </c>
      <c r="K2196" s="9">
        <v>0.14000000000000001</v>
      </c>
      <c r="L2196" s="9">
        <v>28</v>
      </c>
      <c r="M2196" s="9">
        <v>3.75</v>
      </c>
      <c r="N2196" s="9" t="s">
        <v>49</v>
      </c>
      <c r="Q2196" s="9">
        <f>IF(Auction_Sales[[#This Row],[Payment Date]]=0,"",-1+WEEKNUM(Auction_Sales[[#This Row],[Payment Date]]))</f>
        <v>30</v>
      </c>
      <c r="R2196" s="9">
        <v>0</v>
      </c>
      <c r="S2196" s="9" t="s">
        <v>153</v>
      </c>
      <c r="T2196" s="9" t="s">
        <v>51</v>
      </c>
      <c r="U2196" s="9">
        <v>200</v>
      </c>
      <c r="V2196" s="13">
        <v>0.23</v>
      </c>
      <c r="W2196" s="13">
        <v>46</v>
      </c>
      <c r="X2196" s="14">
        <v>-7.0874125874125813</v>
      </c>
      <c r="Y2196" s="13">
        <v>38.91258741258742</v>
      </c>
      <c r="Z2196" s="10">
        <v>45504</v>
      </c>
      <c r="AA2196" s="9">
        <v>0</v>
      </c>
      <c r="AC2196" s="9" t="s">
        <v>133</v>
      </c>
      <c r="AD2196" s="14">
        <v>13.974166666666665</v>
      </c>
      <c r="AF2196" s="14">
        <v>4</v>
      </c>
      <c r="AH2196" s="14">
        <v>17.974166666666665</v>
      </c>
      <c r="AI2196" s="13">
        <v>20.938420745920755</v>
      </c>
      <c r="AK2196" s="9">
        <v>200</v>
      </c>
    </row>
    <row r="2197" spans="1:37">
      <c r="A2197" s="9">
        <v>30</v>
      </c>
      <c r="B2197" s="9">
        <v>2024</v>
      </c>
      <c r="C2197" s="9" t="s">
        <v>46</v>
      </c>
      <c r="D2197" s="9" t="s">
        <v>47</v>
      </c>
      <c r="E2197" s="9" t="s">
        <v>47</v>
      </c>
      <c r="F2197" s="10">
        <v>45495</v>
      </c>
      <c r="G2197" s="9" t="s">
        <v>153</v>
      </c>
      <c r="H2197" s="9" t="s">
        <v>52</v>
      </c>
      <c r="I2197" s="9">
        <v>1</v>
      </c>
      <c r="J2197" s="9">
        <v>280</v>
      </c>
      <c r="K2197" s="9">
        <v>0.28000000000000003</v>
      </c>
      <c r="L2197" s="9">
        <v>78.400000000000006</v>
      </c>
      <c r="M2197" s="9">
        <v>6</v>
      </c>
      <c r="N2197" s="9" t="s">
        <v>49</v>
      </c>
      <c r="Q2197" s="9">
        <f>IF(Auction_Sales[[#This Row],[Payment Date]]=0,"",-1+WEEKNUM(Auction_Sales[[#This Row],[Payment Date]]))</f>
        <v>30</v>
      </c>
      <c r="R2197" s="9">
        <v>0</v>
      </c>
      <c r="S2197" s="9" t="s">
        <v>153</v>
      </c>
      <c r="T2197" s="9" t="s">
        <v>52</v>
      </c>
      <c r="U2197" s="9">
        <v>280</v>
      </c>
      <c r="V2197" s="13">
        <v>0.34</v>
      </c>
      <c r="W2197" s="13">
        <v>95.2</v>
      </c>
      <c r="X2197" s="14">
        <v>-9.9223776223776134</v>
      </c>
      <c r="Y2197" s="13">
        <v>85.277622377622393</v>
      </c>
      <c r="Z2197" s="10">
        <v>45504</v>
      </c>
      <c r="AA2197" s="9">
        <v>0</v>
      </c>
      <c r="AC2197" s="9" t="s">
        <v>133</v>
      </c>
      <c r="AD2197" s="14">
        <v>22.358666666666664</v>
      </c>
      <c r="AF2197" s="14">
        <v>5.6000000000000005</v>
      </c>
      <c r="AH2197" s="14">
        <v>27.958666666666666</v>
      </c>
      <c r="AI2197" s="13">
        <v>57.318955710955727</v>
      </c>
      <c r="AK2197" s="9">
        <v>280</v>
      </c>
    </row>
    <row r="2198" spans="1:37">
      <c r="A2198" s="9">
        <v>30</v>
      </c>
      <c r="B2198" s="9">
        <v>2024</v>
      </c>
      <c r="C2198" s="9" t="s">
        <v>46</v>
      </c>
      <c r="D2198" s="9" t="s">
        <v>47</v>
      </c>
      <c r="E2198" s="9" t="s">
        <v>47</v>
      </c>
      <c r="F2198" s="10">
        <v>45495</v>
      </c>
      <c r="G2198" s="9" t="s">
        <v>153</v>
      </c>
      <c r="H2198" s="9" t="s">
        <v>54</v>
      </c>
      <c r="J2198" s="9">
        <v>280</v>
      </c>
      <c r="K2198" s="9">
        <v>0.33</v>
      </c>
      <c r="L2198" s="9">
        <v>92.4</v>
      </c>
      <c r="M2198" s="9">
        <v>6</v>
      </c>
      <c r="N2198" s="9" t="s">
        <v>49</v>
      </c>
      <c r="Q2198" s="9">
        <f>IF(Auction_Sales[[#This Row],[Payment Date]]=0,"",-1+WEEKNUM(Auction_Sales[[#This Row],[Payment Date]]))</f>
        <v>30</v>
      </c>
      <c r="R2198" s="9">
        <v>0</v>
      </c>
      <c r="S2198" s="9" t="s">
        <v>153</v>
      </c>
      <c r="T2198" s="9" t="s">
        <v>54</v>
      </c>
      <c r="U2198" s="9">
        <v>280</v>
      </c>
      <c r="V2198" s="13">
        <v>0.36</v>
      </c>
      <c r="W2198" s="13">
        <v>100.8</v>
      </c>
      <c r="X2198" s="14">
        <v>-9.9223776223776134</v>
      </c>
      <c r="Y2198" s="13">
        <v>90.877622377622387</v>
      </c>
      <c r="Z2198" s="10">
        <v>45504</v>
      </c>
      <c r="AA2198" s="9">
        <v>0</v>
      </c>
      <c r="AC2198" s="9" t="s">
        <v>133</v>
      </c>
      <c r="AD2198" s="14">
        <v>22.358666666666664</v>
      </c>
      <c r="AF2198" s="14">
        <v>5.6000000000000005</v>
      </c>
      <c r="AH2198" s="14">
        <v>27.958666666666666</v>
      </c>
      <c r="AI2198" s="13">
        <v>62.918955710955721</v>
      </c>
      <c r="AK2198" s="9">
        <v>280</v>
      </c>
    </row>
    <row r="2199" spans="1:37">
      <c r="A2199" s="9">
        <v>30</v>
      </c>
      <c r="B2199" s="9">
        <v>2024</v>
      </c>
      <c r="C2199" s="9" t="s">
        <v>46</v>
      </c>
      <c r="D2199" s="9" t="s">
        <v>47</v>
      </c>
      <c r="E2199" s="9" t="s">
        <v>47</v>
      </c>
      <c r="F2199" s="10">
        <v>45495</v>
      </c>
      <c r="G2199" s="9" t="s">
        <v>156</v>
      </c>
      <c r="H2199" s="9" t="s">
        <v>48</v>
      </c>
      <c r="I2199" s="9">
        <v>1</v>
      </c>
      <c r="J2199" s="9">
        <v>200</v>
      </c>
      <c r="K2199" s="9">
        <v>0.52</v>
      </c>
      <c r="L2199" s="9">
        <v>104</v>
      </c>
      <c r="M2199" s="9">
        <v>5.4545454545454541</v>
      </c>
      <c r="N2199" s="9" t="s">
        <v>49</v>
      </c>
      <c r="Q2199" s="9">
        <f>IF(Auction_Sales[[#This Row],[Payment Date]]=0,"",-1+WEEKNUM(Auction_Sales[[#This Row],[Payment Date]]))</f>
        <v>30</v>
      </c>
      <c r="R2199" s="9">
        <v>200</v>
      </c>
      <c r="S2199" s="9" t="s">
        <v>156</v>
      </c>
      <c r="T2199" s="9" t="s">
        <v>48</v>
      </c>
      <c r="W2199" s="13">
        <v>0</v>
      </c>
      <c r="X2199" s="14">
        <v>0</v>
      </c>
      <c r="Y2199" s="13">
        <v>0</v>
      </c>
      <c r="Z2199" s="10">
        <v>45504</v>
      </c>
      <c r="AA2199" s="9">
        <v>-200</v>
      </c>
      <c r="AC2199" s="9" t="s">
        <v>133</v>
      </c>
      <c r="AD2199" s="14">
        <v>20.326060606060604</v>
      </c>
      <c r="AF2199" s="14">
        <v>0</v>
      </c>
      <c r="AH2199" s="14">
        <v>20.326060606060604</v>
      </c>
      <c r="AI2199" s="13">
        <v>-20.326060606060604</v>
      </c>
      <c r="AK2199" s="9">
        <v>0</v>
      </c>
    </row>
    <row r="2200" spans="1:37">
      <c r="A2200" s="9">
        <v>30</v>
      </c>
      <c r="B2200" s="9">
        <v>2024</v>
      </c>
      <c r="C2200" s="9" t="s">
        <v>46</v>
      </c>
      <c r="D2200" s="9" t="s">
        <v>47</v>
      </c>
      <c r="E2200" s="9" t="s">
        <v>47</v>
      </c>
      <c r="F2200" s="10">
        <v>45495</v>
      </c>
      <c r="G2200" s="9" t="s">
        <v>156</v>
      </c>
      <c r="H2200" s="9" t="s">
        <v>54</v>
      </c>
      <c r="J2200" s="9">
        <v>240</v>
      </c>
      <c r="K2200" s="9">
        <v>0.66</v>
      </c>
      <c r="L2200" s="9">
        <v>158.4</v>
      </c>
      <c r="M2200" s="9">
        <v>6.545454545454545</v>
      </c>
      <c r="N2200" s="9" t="s">
        <v>49</v>
      </c>
      <c r="Q2200" s="9">
        <f>IF(Auction_Sales[[#This Row],[Payment Date]]=0,"",-1+WEEKNUM(Auction_Sales[[#This Row],[Payment Date]]))</f>
        <v>30</v>
      </c>
      <c r="R2200" s="9">
        <v>0</v>
      </c>
      <c r="S2200" s="9" t="s">
        <v>156</v>
      </c>
      <c r="T2200" s="9" t="s">
        <v>54</v>
      </c>
      <c r="U2200" s="9">
        <v>240</v>
      </c>
      <c r="V2200" s="13">
        <v>0.55666666666666664</v>
      </c>
      <c r="W2200" s="13">
        <v>133.6</v>
      </c>
      <c r="X2200" s="14">
        <v>-11.665714285714298</v>
      </c>
      <c r="Y2200" s="13">
        <v>121.93428571428569</v>
      </c>
      <c r="Z2200" s="10">
        <v>45504</v>
      </c>
      <c r="AA2200" s="9">
        <v>0</v>
      </c>
      <c r="AC2200" s="9" t="s">
        <v>133</v>
      </c>
      <c r="AD2200" s="14">
        <v>24.391272727272725</v>
      </c>
      <c r="AF2200" s="14">
        <v>4.8</v>
      </c>
      <c r="AH2200" s="14">
        <v>29.191272727272725</v>
      </c>
      <c r="AI2200" s="13">
        <v>92.743012987012975</v>
      </c>
      <c r="AK2200" s="9">
        <v>240</v>
      </c>
    </row>
    <row r="2201" spans="1:37">
      <c r="A2201" s="9">
        <v>30</v>
      </c>
      <c r="B2201" s="9">
        <v>2024</v>
      </c>
      <c r="C2201" s="9" t="s">
        <v>46</v>
      </c>
      <c r="D2201" s="9" t="s">
        <v>47</v>
      </c>
      <c r="E2201" s="9" t="s">
        <v>47</v>
      </c>
      <c r="F2201" s="10">
        <v>45498</v>
      </c>
      <c r="G2201" s="9" t="s">
        <v>156</v>
      </c>
      <c r="H2201" s="9" t="s">
        <v>54</v>
      </c>
      <c r="I2201" s="9">
        <v>1</v>
      </c>
      <c r="J2201" s="9">
        <v>320</v>
      </c>
      <c r="K2201" s="9">
        <v>0.66</v>
      </c>
      <c r="L2201" s="9">
        <v>211.2</v>
      </c>
      <c r="M2201" s="9">
        <v>12</v>
      </c>
      <c r="N2201" s="9" t="s">
        <v>49</v>
      </c>
      <c r="Q2201" s="9">
        <f>IF(Auction_Sales[[#This Row],[Payment Date]]=0,"",-1+WEEKNUM(Auction_Sales[[#This Row],[Payment Date]]))</f>
        <v>31</v>
      </c>
      <c r="R2201" s="9">
        <v>0</v>
      </c>
      <c r="S2201" s="9" t="s">
        <v>156</v>
      </c>
      <c r="T2201" s="9" t="s">
        <v>54</v>
      </c>
      <c r="U2201" s="9">
        <v>320</v>
      </c>
      <c r="V2201" s="13">
        <v>0.43</v>
      </c>
      <c r="W2201" s="13">
        <v>137.6</v>
      </c>
      <c r="X2201" s="14">
        <v>-14.268631578947373</v>
      </c>
      <c r="Y2201" s="13">
        <v>123.33136842105262</v>
      </c>
      <c r="Z2201" s="10">
        <v>45511</v>
      </c>
      <c r="AA2201" s="9">
        <v>0</v>
      </c>
      <c r="AC2201" s="9">
        <v>449103</v>
      </c>
      <c r="AD2201" s="14">
        <v>44.875</v>
      </c>
      <c r="AF2201" s="14">
        <v>6.4</v>
      </c>
      <c r="AH2201" s="14">
        <v>51.274999999999999</v>
      </c>
      <c r="AI2201" s="13">
        <v>72.056368421052611</v>
      </c>
      <c r="AK2201" s="9">
        <v>320</v>
      </c>
    </row>
    <row r="2202" spans="1:37">
      <c r="A2202" s="9">
        <v>30</v>
      </c>
      <c r="B2202" s="9">
        <v>2024</v>
      </c>
      <c r="C2202" s="9" t="s">
        <v>46</v>
      </c>
      <c r="D2202" s="9" t="s">
        <v>47</v>
      </c>
      <c r="E2202" s="9" t="s">
        <v>47</v>
      </c>
      <c r="F2202" s="10">
        <v>45498</v>
      </c>
      <c r="G2202" s="9" t="s">
        <v>154</v>
      </c>
      <c r="H2202" s="9" t="s">
        <v>52</v>
      </c>
      <c r="I2202" s="9">
        <v>1</v>
      </c>
      <c r="J2202" s="9">
        <v>320</v>
      </c>
      <c r="K2202" s="9">
        <v>0.52</v>
      </c>
      <c r="L2202" s="9">
        <v>166.4</v>
      </c>
      <c r="M2202" s="9">
        <v>12</v>
      </c>
      <c r="N2202" s="9" t="s">
        <v>49</v>
      </c>
      <c r="Q2202" s="9">
        <f>IF(Auction_Sales[[#This Row],[Payment Date]]=0,"",-1+WEEKNUM(Auction_Sales[[#This Row],[Payment Date]]))</f>
        <v>31</v>
      </c>
      <c r="R2202" s="9">
        <v>0</v>
      </c>
      <c r="S2202" s="9" t="s">
        <v>154</v>
      </c>
      <c r="T2202" s="9" t="s">
        <v>52</v>
      </c>
      <c r="U2202" s="9">
        <v>320</v>
      </c>
      <c r="V2202" s="13">
        <v>0.29625000000000001</v>
      </c>
      <c r="W2202" s="13">
        <v>94.800000000000011</v>
      </c>
      <c r="X2202" s="14">
        <v>-14.268631578947373</v>
      </c>
      <c r="Y2202" s="13">
        <v>80.531368421052633</v>
      </c>
      <c r="Z2202" s="10">
        <v>45511</v>
      </c>
      <c r="AA2202" s="9">
        <v>0</v>
      </c>
      <c r="AC2202" s="9">
        <v>449103</v>
      </c>
      <c r="AD2202" s="14">
        <v>44.875</v>
      </c>
      <c r="AF2202" s="14">
        <v>6.4</v>
      </c>
      <c r="AH2202" s="14">
        <v>51.274999999999999</v>
      </c>
      <c r="AI2202" s="13">
        <v>29.256368421052635</v>
      </c>
      <c r="AK2202" s="9">
        <v>320</v>
      </c>
    </row>
    <row r="2203" spans="1:37">
      <c r="A2203" s="9">
        <v>30</v>
      </c>
      <c r="B2203" s="9">
        <v>2024</v>
      </c>
      <c r="C2203" s="9" t="s">
        <v>46</v>
      </c>
      <c r="D2203" s="9" t="s">
        <v>47</v>
      </c>
      <c r="E2203" s="9" t="s">
        <v>47</v>
      </c>
      <c r="F2203" s="10">
        <v>45498</v>
      </c>
      <c r="G2203" s="9" t="s">
        <v>154</v>
      </c>
      <c r="H2203" s="9" t="s">
        <v>54</v>
      </c>
      <c r="I2203" s="9">
        <v>1</v>
      </c>
      <c r="J2203" s="9">
        <v>320</v>
      </c>
      <c r="K2203" s="9">
        <v>0.56999999999999995</v>
      </c>
      <c r="L2203" s="9">
        <v>182.4</v>
      </c>
      <c r="M2203" s="9">
        <v>12</v>
      </c>
      <c r="N2203" s="9" t="s">
        <v>49</v>
      </c>
      <c r="Q2203" s="9">
        <f>IF(Auction_Sales[[#This Row],[Payment Date]]=0,"",-1+WEEKNUM(Auction_Sales[[#This Row],[Payment Date]]))</f>
        <v>31</v>
      </c>
      <c r="R2203" s="9">
        <v>0</v>
      </c>
      <c r="S2203" s="9" t="s">
        <v>154</v>
      </c>
      <c r="T2203" s="9" t="s">
        <v>54</v>
      </c>
      <c r="U2203" s="9">
        <v>320</v>
      </c>
      <c r="V2203" s="13">
        <v>0.42249999999999999</v>
      </c>
      <c r="W2203" s="13">
        <v>135.19999999999999</v>
      </c>
      <c r="X2203" s="14">
        <v>-14.268631578947373</v>
      </c>
      <c r="Y2203" s="13">
        <v>120.93136842105261</v>
      </c>
      <c r="Z2203" s="10">
        <v>45511</v>
      </c>
      <c r="AA2203" s="9">
        <v>0</v>
      </c>
      <c r="AC2203" s="9">
        <v>449103</v>
      </c>
      <c r="AD2203" s="14">
        <v>44.875</v>
      </c>
      <c r="AF2203" s="14">
        <v>6.4</v>
      </c>
      <c r="AH2203" s="14">
        <v>51.274999999999999</v>
      </c>
      <c r="AI2203" s="13">
        <v>69.656368421052605</v>
      </c>
      <c r="AK2203" s="9">
        <v>320</v>
      </c>
    </row>
    <row r="2204" spans="1:37">
      <c r="A2204" s="9">
        <v>30</v>
      </c>
      <c r="B2204" s="9">
        <v>2024</v>
      </c>
      <c r="C2204" s="9" t="s">
        <v>46</v>
      </c>
      <c r="D2204" s="9" t="s">
        <v>47</v>
      </c>
      <c r="E2204" s="9" t="s">
        <v>47</v>
      </c>
      <c r="F2204" s="10">
        <v>45498</v>
      </c>
      <c r="G2204" s="9" t="s">
        <v>154</v>
      </c>
      <c r="H2204" s="9" t="s">
        <v>48</v>
      </c>
      <c r="I2204" s="9">
        <v>1</v>
      </c>
      <c r="J2204" s="9">
        <v>400</v>
      </c>
      <c r="K2204" s="9">
        <v>0.47</v>
      </c>
      <c r="L2204" s="9">
        <v>188</v>
      </c>
      <c r="M2204" s="9">
        <v>12</v>
      </c>
      <c r="N2204" s="9" t="s">
        <v>49</v>
      </c>
      <c r="Q2204" s="9">
        <f>IF(Auction_Sales[[#This Row],[Payment Date]]=0,"",-1+WEEKNUM(Auction_Sales[[#This Row],[Payment Date]]))</f>
        <v>31</v>
      </c>
      <c r="R2204" s="9">
        <v>0</v>
      </c>
      <c r="S2204" s="9" t="s">
        <v>154</v>
      </c>
      <c r="T2204" s="9" t="s">
        <v>48</v>
      </c>
      <c r="U2204" s="9">
        <v>400</v>
      </c>
      <c r="V2204" s="13">
        <v>0.67</v>
      </c>
      <c r="W2204" s="13">
        <v>268</v>
      </c>
      <c r="X2204" s="14">
        <v>-17.835789473684219</v>
      </c>
      <c r="Y2204" s="13">
        <v>250.16421052631577</v>
      </c>
      <c r="Z2204" s="10">
        <v>45511</v>
      </c>
      <c r="AA2204" s="9">
        <v>0</v>
      </c>
      <c r="AC2204" s="9">
        <v>449103</v>
      </c>
      <c r="AD2204" s="14">
        <v>44.875</v>
      </c>
      <c r="AF2204" s="14">
        <v>8</v>
      </c>
      <c r="AH2204" s="14">
        <v>52.875</v>
      </c>
      <c r="AI2204" s="13">
        <v>197.28921052631577</v>
      </c>
      <c r="AK2204" s="9">
        <v>400</v>
      </c>
    </row>
    <row r="2205" spans="1:37">
      <c r="A2205" s="9">
        <v>30</v>
      </c>
      <c r="B2205" s="9">
        <v>2024</v>
      </c>
      <c r="C2205" s="9" t="s">
        <v>46</v>
      </c>
      <c r="D2205" s="9" t="s">
        <v>47</v>
      </c>
      <c r="E2205" s="9" t="s">
        <v>47</v>
      </c>
      <c r="F2205" s="10">
        <v>45498</v>
      </c>
      <c r="G2205" s="9" t="s">
        <v>153</v>
      </c>
      <c r="H2205" s="9" t="s">
        <v>48</v>
      </c>
      <c r="I2205" s="9">
        <v>1</v>
      </c>
      <c r="J2205" s="9">
        <v>880</v>
      </c>
      <c r="K2205" s="9">
        <v>0.24</v>
      </c>
      <c r="L2205" s="9">
        <v>211.2</v>
      </c>
      <c r="M2205" s="9">
        <v>12</v>
      </c>
      <c r="N2205" s="9" t="s">
        <v>49</v>
      </c>
      <c r="Q2205" s="9">
        <f>IF(Auction_Sales[[#This Row],[Payment Date]]=0,"",-1+WEEKNUM(Auction_Sales[[#This Row],[Payment Date]]))</f>
        <v>31</v>
      </c>
      <c r="R2205" s="9">
        <v>80</v>
      </c>
      <c r="S2205" s="9" t="s">
        <v>153</v>
      </c>
      <c r="T2205" s="9" t="s">
        <v>48</v>
      </c>
      <c r="U2205" s="9">
        <v>800</v>
      </c>
      <c r="V2205" s="13">
        <v>0.19550000000000001</v>
      </c>
      <c r="W2205" s="13">
        <v>156.4</v>
      </c>
      <c r="X2205" s="14">
        <v>-35.671578947368438</v>
      </c>
      <c r="Y2205" s="13">
        <v>120.72842105263157</v>
      </c>
      <c r="Z2205" s="10">
        <v>45511</v>
      </c>
      <c r="AA2205" s="9">
        <v>-80</v>
      </c>
      <c r="AC2205" s="9">
        <v>449103</v>
      </c>
      <c r="AD2205" s="14">
        <v>44.875</v>
      </c>
      <c r="AF2205" s="14">
        <v>16</v>
      </c>
      <c r="AH2205" s="14">
        <v>60.875</v>
      </c>
      <c r="AI2205" s="13">
        <v>59.853421052631575</v>
      </c>
      <c r="AK2205" s="9">
        <v>800</v>
      </c>
    </row>
    <row r="2206" spans="1:37">
      <c r="A2206" s="9">
        <v>30</v>
      </c>
      <c r="B2206" s="9">
        <v>2024</v>
      </c>
      <c r="C2206" s="9" t="s">
        <v>46</v>
      </c>
      <c r="D2206" s="9" t="s">
        <v>47</v>
      </c>
      <c r="E2206" s="9" t="s">
        <v>47</v>
      </c>
      <c r="F2206" s="10">
        <v>45498</v>
      </c>
      <c r="G2206" s="9" t="s">
        <v>153</v>
      </c>
      <c r="H2206" s="9" t="s">
        <v>56</v>
      </c>
      <c r="I2206" s="9">
        <v>1</v>
      </c>
      <c r="J2206" s="9">
        <v>40</v>
      </c>
      <c r="K2206" s="9">
        <v>0.38</v>
      </c>
      <c r="L2206" s="9">
        <v>15.2</v>
      </c>
      <c r="M2206" s="9">
        <v>0.8</v>
      </c>
      <c r="N2206" s="9" t="s">
        <v>49</v>
      </c>
      <c r="Q2206" s="9">
        <f>IF(Auction_Sales[[#This Row],[Payment Date]]=0,"",-1+WEEKNUM(Auction_Sales[[#This Row],[Payment Date]]))</f>
        <v>31</v>
      </c>
      <c r="R2206" s="9">
        <v>0</v>
      </c>
      <c r="S2206" s="9" t="s">
        <v>153</v>
      </c>
      <c r="T2206" s="9" t="s">
        <v>56</v>
      </c>
      <c r="U2206" s="9">
        <v>40</v>
      </c>
      <c r="V2206" s="13">
        <v>0.7</v>
      </c>
      <c r="W2206" s="13">
        <v>28</v>
      </c>
      <c r="X2206" s="14">
        <v>-1.7835789473684216</v>
      </c>
      <c r="Y2206" s="13">
        <v>26.216421052631578</v>
      </c>
      <c r="Z2206" s="10">
        <v>45511</v>
      </c>
      <c r="AA2206" s="9">
        <v>0</v>
      </c>
      <c r="AC2206" s="9">
        <v>449103</v>
      </c>
      <c r="AD2206" s="14">
        <v>2.9916666666666667</v>
      </c>
      <c r="AF2206" s="14">
        <v>0.8</v>
      </c>
      <c r="AH2206" s="14">
        <v>3.791666666666667</v>
      </c>
      <c r="AI2206" s="13">
        <v>22.42475438596491</v>
      </c>
      <c r="AK2206" s="9">
        <v>40</v>
      </c>
    </row>
    <row r="2207" spans="1:37">
      <c r="A2207" s="9">
        <v>30</v>
      </c>
      <c r="B2207" s="9">
        <v>2024</v>
      </c>
      <c r="C2207" s="9" t="s">
        <v>46</v>
      </c>
      <c r="D2207" s="9" t="s">
        <v>47</v>
      </c>
      <c r="E2207" s="9" t="s">
        <v>47</v>
      </c>
      <c r="F2207" s="10">
        <v>45498</v>
      </c>
      <c r="G2207" s="9" t="s">
        <v>153</v>
      </c>
      <c r="H2207" s="9" t="s">
        <v>54</v>
      </c>
      <c r="J2207" s="9">
        <v>240</v>
      </c>
      <c r="K2207" s="9">
        <v>0.33</v>
      </c>
      <c r="L2207" s="9">
        <v>79.2</v>
      </c>
      <c r="M2207" s="9">
        <v>4.8000000000000007</v>
      </c>
      <c r="N2207" s="9" t="s">
        <v>49</v>
      </c>
      <c r="Q2207" s="9">
        <f>IF(Auction_Sales[[#This Row],[Payment Date]]=0,"",-1+WEEKNUM(Auction_Sales[[#This Row],[Payment Date]]))</f>
        <v>31</v>
      </c>
      <c r="R2207" s="9">
        <v>0</v>
      </c>
      <c r="S2207" s="9" t="s">
        <v>153</v>
      </c>
      <c r="T2207" s="9" t="s">
        <v>54</v>
      </c>
      <c r="U2207" s="9">
        <v>240</v>
      </c>
      <c r="V2207" s="13">
        <v>0.45833333333333331</v>
      </c>
      <c r="W2207" s="13">
        <v>110</v>
      </c>
      <c r="X2207" s="14">
        <v>-10.70147368421053</v>
      </c>
      <c r="Y2207" s="13">
        <v>99.298526315789474</v>
      </c>
      <c r="Z2207" s="10">
        <v>45511</v>
      </c>
      <c r="AA2207" s="9">
        <v>0</v>
      </c>
      <c r="AC2207" s="9">
        <v>449103</v>
      </c>
      <c r="AD2207" s="14">
        <v>17.950000000000003</v>
      </c>
      <c r="AF2207" s="14">
        <v>4.8</v>
      </c>
      <c r="AH2207" s="14">
        <v>22.750000000000004</v>
      </c>
      <c r="AI2207" s="13">
        <v>76.548526315789474</v>
      </c>
      <c r="AK2207" s="9">
        <v>240</v>
      </c>
    </row>
    <row r="2208" spans="1:37">
      <c r="A2208" s="9">
        <v>30</v>
      </c>
      <c r="B2208" s="9">
        <v>2024</v>
      </c>
      <c r="C2208" s="9" t="s">
        <v>46</v>
      </c>
      <c r="D2208" s="9" t="s">
        <v>47</v>
      </c>
      <c r="E2208" s="9" t="s">
        <v>47</v>
      </c>
      <c r="F2208" s="10">
        <v>45498</v>
      </c>
      <c r="G2208" s="9" t="s">
        <v>153</v>
      </c>
      <c r="H2208" s="9" t="s">
        <v>52</v>
      </c>
      <c r="J2208" s="9">
        <v>320</v>
      </c>
      <c r="K2208" s="9">
        <v>0.28000000000000003</v>
      </c>
      <c r="L2208" s="9">
        <v>89.6</v>
      </c>
      <c r="M2208" s="9">
        <v>6.4</v>
      </c>
      <c r="N2208" s="9" t="s">
        <v>49</v>
      </c>
      <c r="Q2208" s="9">
        <f>IF(Auction_Sales[[#This Row],[Payment Date]]=0,"",-1+WEEKNUM(Auction_Sales[[#This Row],[Payment Date]]))</f>
        <v>31</v>
      </c>
      <c r="R2208" s="9">
        <v>0</v>
      </c>
      <c r="S2208" s="9" t="s">
        <v>153</v>
      </c>
      <c r="T2208" s="9" t="s">
        <v>52</v>
      </c>
      <c r="U2208" s="9">
        <v>320</v>
      </c>
      <c r="V2208" s="13">
        <v>0.35249999999999998</v>
      </c>
      <c r="W2208" s="13">
        <v>112.8</v>
      </c>
      <c r="X2208" s="14">
        <v>-14.268631578947373</v>
      </c>
      <c r="Y2208" s="13">
        <v>98.531368421052619</v>
      </c>
      <c r="Z2208" s="10">
        <v>45511</v>
      </c>
      <c r="AA2208" s="9">
        <v>0</v>
      </c>
      <c r="AC2208" s="9">
        <v>449103</v>
      </c>
      <c r="AD2208" s="14">
        <v>23.933333333333334</v>
      </c>
      <c r="AF2208" s="14">
        <v>6.4</v>
      </c>
      <c r="AH2208" s="14">
        <v>30.333333333333336</v>
      </c>
      <c r="AI2208" s="13">
        <v>68.19803508771929</v>
      </c>
      <c r="AK2208" s="9">
        <v>320</v>
      </c>
    </row>
    <row r="2209" spans="1:37">
      <c r="A2209" s="9">
        <v>30</v>
      </c>
      <c r="B2209" s="9">
        <v>2024</v>
      </c>
      <c r="C2209" s="9" t="s">
        <v>46</v>
      </c>
      <c r="D2209" s="9" t="s">
        <v>47</v>
      </c>
      <c r="E2209" s="9" t="s">
        <v>47</v>
      </c>
      <c r="F2209" s="10">
        <v>45498</v>
      </c>
      <c r="G2209" s="9" t="s">
        <v>155</v>
      </c>
      <c r="H2209" s="9" t="s">
        <v>52</v>
      </c>
      <c r="I2209" s="9">
        <v>1</v>
      </c>
      <c r="J2209" s="9">
        <v>160</v>
      </c>
      <c r="K2209" s="9">
        <v>0.52</v>
      </c>
      <c r="L2209" s="9">
        <v>83.2</v>
      </c>
      <c r="M2209" s="9">
        <v>4</v>
      </c>
      <c r="N2209" s="9" t="s">
        <v>49</v>
      </c>
      <c r="Q2209" s="9">
        <f>IF(Auction_Sales[[#This Row],[Payment Date]]=0,"",-1+WEEKNUM(Auction_Sales[[#This Row],[Payment Date]]))</f>
        <v>31</v>
      </c>
      <c r="R2209" s="9">
        <v>0</v>
      </c>
      <c r="S2209" s="9" t="s">
        <v>155</v>
      </c>
      <c r="T2209" s="9" t="s">
        <v>52</v>
      </c>
      <c r="U2209" s="9">
        <v>160</v>
      </c>
      <c r="V2209" s="13">
        <v>0.71500000000000008</v>
      </c>
      <c r="W2209" s="13">
        <v>114.4</v>
      </c>
      <c r="X2209" s="14">
        <v>-7.1343157894736864</v>
      </c>
      <c r="Y2209" s="13">
        <v>107.26568421052632</v>
      </c>
      <c r="Z2209" s="10">
        <v>45511</v>
      </c>
      <c r="AA2209" s="9">
        <v>0</v>
      </c>
      <c r="AC2209" s="9">
        <v>449103</v>
      </c>
      <c r="AD2209" s="14">
        <v>14.958333333333332</v>
      </c>
      <c r="AF2209" s="14">
        <v>3.2</v>
      </c>
      <c r="AH2209" s="14">
        <v>18.158333333333331</v>
      </c>
      <c r="AI2209" s="13">
        <v>89.107350877192985</v>
      </c>
      <c r="AK2209" s="9">
        <v>160</v>
      </c>
    </row>
    <row r="2210" spans="1:37">
      <c r="A2210" s="9">
        <v>30</v>
      </c>
      <c r="B2210" s="9">
        <v>2024</v>
      </c>
      <c r="C2210" s="9" t="s">
        <v>46</v>
      </c>
      <c r="D2210" s="9" t="s">
        <v>47</v>
      </c>
      <c r="E2210" s="9" t="s">
        <v>47</v>
      </c>
      <c r="F2210" s="10">
        <v>45498</v>
      </c>
      <c r="G2210" s="9" t="s">
        <v>155</v>
      </c>
      <c r="H2210" s="9" t="s">
        <v>48</v>
      </c>
      <c r="J2210" s="9">
        <v>320</v>
      </c>
      <c r="K2210" s="9">
        <v>0.47</v>
      </c>
      <c r="L2210" s="9">
        <v>150.4</v>
      </c>
      <c r="M2210" s="9">
        <v>8</v>
      </c>
      <c r="N2210" s="9" t="s">
        <v>49</v>
      </c>
      <c r="Q2210" s="9">
        <f>IF(Auction_Sales[[#This Row],[Payment Date]]=0,"",-1+WEEKNUM(Auction_Sales[[#This Row],[Payment Date]]))</f>
        <v>31</v>
      </c>
      <c r="R2210" s="9">
        <v>0</v>
      </c>
      <c r="S2210" s="9" t="s">
        <v>155</v>
      </c>
      <c r="T2210" s="9" t="s">
        <v>48</v>
      </c>
      <c r="U2210" s="9">
        <v>320</v>
      </c>
      <c r="V2210" s="13">
        <v>0.71875</v>
      </c>
      <c r="W2210" s="13">
        <v>230</v>
      </c>
      <c r="X2210" s="14">
        <v>-14.268631578947373</v>
      </c>
      <c r="Y2210" s="13">
        <v>215.73136842105262</v>
      </c>
      <c r="Z2210" s="10">
        <v>45511</v>
      </c>
      <c r="AA2210" s="9">
        <v>0</v>
      </c>
      <c r="AC2210" s="9">
        <v>449103</v>
      </c>
      <c r="AD2210" s="14">
        <v>29.916666666666664</v>
      </c>
      <c r="AF2210" s="14">
        <v>6.4</v>
      </c>
      <c r="AH2210" s="14">
        <v>36.316666666666663</v>
      </c>
      <c r="AI2210" s="13">
        <v>179.41470175438596</v>
      </c>
      <c r="AK2210" s="9">
        <v>320</v>
      </c>
    </row>
    <row r="2211" spans="1:37">
      <c r="A2211" s="9">
        <v>30</v>
      </c>
      <c r="B2211" s="9">
        <v>2024</v>
      </c>
      <c r="C2211" s="9" t="s">
        <v>46</v>
      </c>
      <c r="D2211" s="9" t="s">
        <v>47</v>
      </c>
      <c r="E2211" s="9" t="s">
        <v>47</v>
      </c>
      <c r="F2211" s="10">
        <v>45498</v>
      </c>
      <c r="G2211" s="9" t="s">
        <v>156</v>
      </c>
      <c r="H2211" s="9" t="s">
        <v>48</v>
      </c>
      <c r="I2211" s="9">
        <v>1</v>
      </c>
      <c r="J2211" s="9">
        <v>360</v>
      </c>
      <c r="K2211" s="9">
        <v>0.52</v>
      </c>
      <c r="L2211" s="9">
        <v>187.2</v>
      </c>
      <c r="M2211" s="9">
        <v>7.7142857142857153</v>
      </c>
      <c r="N2211" s="9" t="s">
        <v>49</v>
      </c>
      <c r="Q2211" s="9">
        <f>IF(Auction_Sales[[#This Row],[Payment Date]]=0,"",-1+WEEKNUM(Auction_Sales[[#This Row],[Payment Date]]))</f>
        <v>31</v>
      </c>
      <c r="R2211" s="9">
        <v>0</v>
      </c>
      <c r="S2211" s="9" t="s">
        <v>156</v>
      </c>
      <c r="T2211" s="9" t="s">
        <v>48</v>
      </c>
      <c r="U2211" s="9">
        <v>360</v>
      </c>
      <c r="V2211" s="13">
        <v>0.58777777777777773</v>
      </c>
      <c r="W2211" s="13">
        <v>211.6</v>
      </c>
      <c r="X2211" s="14">
        <v>-16.052210526315797</v>
      </c>
      <c r="Y2211" s="13">
        <v>195.54778947368419</v>
      </c>
      <c r="Z2211" s="10">
        <v>45511</v>
      </c>
      <c r="AA2211" s="9">
        <v>0</v>
      </c>
      <c r="AC2211" s="9">
        <v>449103</v>
      </c>
      <c r="AD2211" s="14">
        <v>28.848214285714288</v>
      </c>
      <c r="AF2211" s="14">
        <v>7.2</v>
      </c>
      <c r="AH2211" s="14">
        <v>36.048214285714288</v>
      </c>
      <c r="AI2211" s="13">
        <v>159.4995751879699</v>
      </c>
      <c r="AK2211" s="9">
        <v>360</v>
      </c>
    </row>
    <row r="2212" spans="1:37">
      <c r="A2212" s="9">
        <v>30</v>
      </c>
      <c r="B2212" s="9">
        <v>2024</v>
      </c>
      <c r="C2212" s="9" t="s">
        <v>46</v>
      </c>
      <c r="D2212" s="9" t="s">
        <v>47</v>
      </c>
      <c r="E2212" s="9" t="s">
        <v>47</v>
      </c>
      <c r="F2212" s="10">
        <v>45498</v>
      </c>
      <c r="G2212" s="9" t="s">
        <v>156</v>
      </c>
      <c r="H2212" s="9" t="s">
        <v>52</v>
      </c>
      <c r="J2212" s="9">
        <v>200</v>
      </c>
      <c r="K2212" s="9">
        <v>0.61</v>
      </c>
      <c r="L2212" s="9">
        <v>122</v>
      </c>
      <c r="M2212" s="9">
        <v>4.2857142857142856</v>
      </c>
      <c r="N2212" s="9" t="s">
        <v>49</v>
      </c>
      <c r="Q2212" s="9">
        <f>IF(Auction_Sales[[#This Row],[Payment Date]]=0,"",-1+WEEKNUM(Auction_Sales[[#This Row],[Payment Date]]))</f>
        <v>31</v>
      </c>
      <c r="R2212" s="9">
        <v>0</v>
      </c>
      <c r="S2212" s="9" t="s">
        <v>156</v>
      </c>
      <c r="T2212" s="9" t="s">
        <v>52</v>
      </c>
      <c r="U2212" s="9">
        <v>200</v>
      </c>
      <c r="V2212" s="13">
        <v>0.46</v>
      </c>
      <c r="W2212" s="13">
        <v>92</v>
      </c>
      <c r="X2212" s="14">
        <v>-8.9178947368421095</v>
      </c>
      <c r="Y2212" s="13">
        <v>83.082105263157885</v>
      </c>
      <c r="Z2212" s="10">
        <v>45511</v>
      </c>
      <c r="AA2212" s="9">
        <v>0</v>
      </c>
      <c r="AC2212" s="9">
        <v>449103</v>
      </c>
      <c r="AD2212" s="14">
        <v>16.026785714285715</v>
      </c>
      <c r="AF2212" s="14">
        <v>4</v>
      </c>
      <c r="AH2212" s="14">
        <v>20.026785714285715</v>
      </c>
      <c r="AI2212" s="13">
        <v>63.05531954887217</v>
      </c>
      <c r="AK2212" s="9">
        <v>200</v>
      </c>
    </row>
    <row r="2213" spans="1:37">
      <c r="A2213" s="9">
        <v>31</v>
      </c>
      <c r="B2213" s="9">
        <v>2024</v>
      </c>
      <c r="C2213" s="9" t="s">
        <v>46</v>
      </c>
      <c r="D2213" s="9" t="s">
        <v>47</v>
      </c>
      <c r="E2213" s="9" t="s">
        <v>47</v>
      </c>
      <c r="F2213" s="10">
        <v>45500</v>
      </c>
      <c r="G2213" s="9" t="s">
        <v>156</v>
      </c>
      <c r="H2213" s="9" t="s">
        <v>56</v>
      </c>
      <c r="I2213" s="9">
        <v>1</v>
      </c>
      <c r="J2213" s="9">
        <v>200</v>
      </c>
      <c r="K2213" s="9">
        <v>0.85</v>
      </c>
      <c r="L2213" s="9">
        <v>170</v>
      </c>
      <c r="M2213" s="9">
        <v>12</v>
      </c>
      <c r="N2213" s="9" t="s">
        <v>49</v>
      </c>
      <c r="Q2213" s="9">
        <f>IF(Auction_Sales[[#This Row],[Payment Date]]=0,"",-1+WEEKNUM(Auction_Sales[[#This Row],[Payment Date]]))</f>
        <v>31</v>
      </c>
      <c r="R2213" s="9">
        <v>-40</v>
      </c>
      <c r="S2213" s="9" t="s">
        <v>156</v>
      </c>
      <c r="T2213" s="9" t="s">
        <v>56</v>
      </c>
      <c r="U2213" s="9">
        <v>240</v>
      </c>
      <c r="V2213" s="13">
        <v>0.54666666666666663</v>
      </c>
      <c r="W2213" s="13">
        <v>131.19999999999999</v>
      </c>
      <c r="X2213" s="14">
        <v>-10.956279069767456</v>
      </c>
      <c r="Y2213" s="13">
        <v>120.24372093023253</v>
      </c>
      <c r="Z2213" s="10">
        <v>45511</v>
      </c>
      <c r="AA2213" s="9">
        <v>40</v>
      </c>
      <c r="AC2213" s="9">
        <v>449612</v>
      </c>
      <c r="AD2213" s="14">
        <v>43.698000000000008</v>
      </c>
      <c r="AF2213" s="14">
        <v>4.8</v>
      </c>
      <c r="AH2213" s="14">
        <v>48.498000000000005</v>
      </c>
      <c r="AI2213" s="13">
        <v>71.745720930232523</v>
      </c>
      <c r="AK2213" s="9">
        <v>240</v>
      </c>
    </row>
    <row r="2214" spans="1:37">
      <c r="A2214" s="9">
        <v>31</v>
      </c>
      <c r="B2214" s="9">
        <v>2024</v>
      </c>
      <c r="C2214" s="9" t="s">
        <v>46</v>
      </c>
      <c r="D2214" s="9" t="s">
        <v>47</v>
      </c>
      <c r="E2214" s="9" t="s">
        <v>47</v>
      </c>
      <c r="F2214" s="10">
        <v>45500</v>
      </c>
      <c r="G2214" s="9" t="s">
        <v>156</v>
      </c>
      <c r="H2214" s="9" t="s">
        <v>52</v>
      </c>
      <c r="I2214" s="9">
        <v>1</v>
      </c>
      <c r="J2214" s="9">
        <v>400</v>
      </c>
      <c r="K2214" s="9">
        <v>0.61</v>
      </c>
      <c r="L2214" s="9">
        <v>244</v>
      </c>
      <c r="M2214" s="9">
        <v>12</v>
      </c>
      <c r="N2214" s="9" t="s">
        <v>49</v>
      </c>
      <c r="Q2214" s="9">
        <f>IF(Auction_Sales[[#This Row],[Payment Date]]=0,"",-1+WEEKNUM(Auction_Sales[[#This Row],[Payment Date]]))</f>
        <v>31</v>
      </c>
      <c r="R2214" s="9">
        <v>400</v>
      </c>
      <c r="S2214" s="9" t="s">
        <v>156</v>
      </c>
      <c r="T2214" s="9" t="s">
        <v>52</v>
      </c>
      <c r="W2214" s="13">
        <v>0</v>
      </c>
      <c r="X2214" s="14">
        <v>0</v>
      </c>
      <c r="Y2214" s="13">
        <v>0</v>
      </c>
      <c r="Z2214" s="10">
        <v>45511</v>
      </c>
      <c r="AA2214" s="9">
        <v>-400</v>
      </c>
      <c r="AC2214" s="9">
        <v>449612</v>
      </c>
      <c r="AD2214" s="14">
        <v>43.698000000000008</v>
      </c>
      <c r="AF2214" s="14">
        <v>0</v>
      </c>
      <c r="AH2214" s="14">
        <v>43.698000000000008</v>
      </c>
      <c r="AI2214" s="13">
        <v>-43.698000000000008</v>
      </c>
      <c r="AK2214" s="9">
        <v>0</v>
      </c>
    </row>
    <row r="2215" spans="1:37">
      <c r="A2215" s="9">
        <v>31</v>
      </c>
      <c r="B2215" s="9">
        <v>2024</v>
      </c>
      <c r="C2215" s="9" t="s">
        <v>46</v>
      </c>
      <c r="D2215" s="9" t="s">
        <v>47</v>
      </c>
      <c r="E2215" s="9" t="s">
        <v>47</v>
      </c>
      <c r="F2215" s="10">
        <v>45500</v>
      </c>
      <c r="G2215" s="9" t="s">
        <v>156</v>
      </c>
      <c r="H2215" s="9" t="s">
        <v>57</v>
      </c>
      <c r="I2215" s="9">
        <v>1</v>
      </c>
      <c r="J2215" s="9">
        <v>160</v>
      </c>
      <c r="K2215" s="9">
        <v>1.04</v>
      </c>
      <c r="L2215" s="9">
        <v>166.4</v>
      </c>
      <c r="M2215" s="9">
        <v>12</v>
      </c>
      <c r="N2215" s="9" t="s">
        <v>49</v>
      </c>
      <c r="Q2215" s="9">
        <f>IF(Auction_Sales[[#This Row],[Payment Date]]=0,"",-1+WEEKNUM(Auction_Sales[[#This Row],[Payment Date]]))</f>
        <v>31</v>
      </c>
      <c r="R2215" s="9">
        <v>0</v>
      </c>
      <c r="S2215" s="9" t="s">
        <v>156</v>
      </c>
      <c r="T2215" s="9" t="s">
        <v>57</v>
      </c>
      <c r="U2215" s="9">
        <v>160</v>
      </c>
      <c r="V2215" s="13">
        <v>0.45</v>
      </c>
      <c r="W2215" s="13">
        <v>72</v>
      </c>
      <c r="X2215" s="14">
        <v>-7.3041860465116368</v>
      </c>
      <c r="Y2215" s="13">
        <v>64.695813953488368</v>
      </c>
      <c r="Z2215" s="10">
        <v>45511</v>
      </c>
      <c r="AA2215" s="9">
        <v>0</v>
      </c>
      <c r="AC2215" s="9">
        <v>449612</v>
      </c>
      <c r="AD2215" s="14">
        <v>43.698000000000008</v>
      </c>
      <c r="AF2215" s="14">
        <v>3.2</v>
      </c>
      <c r="AH2215" s="14">
        <v>46.89800000000001</v>
      </c>
      <c r="AI2215" s="13">
        <v>17.797813953488358</v>
      </c>
      <c r="AK2215" s="9">
        <v>160</v>
      </c>
    </row>
    <row r="2216" spans="1:37">
      <c r="A2216" s="9">
        <v>31</v>
      </c>
      <c r="B2216" s="9">
        <v>2024</v>
      </c>
      <c r="C2216" s="9" t="s">
        <v>46</v>
      </c>
      <c r="D2216" s="9" t="s">
        <v>47</v>
      </c>
      <c r="E2216" s="9" t="s">
        <v>47</v>
      </c>
      <c r="F2216" s="10">
        <v>45500</v>
      </c>
      <c r="G2216" s="9" t="s">
        <v>153</v>
      </c>
      <c r="H2216" s="9" t="s">
        <v>48</v>
      </c>
      <c r="I2216" s="9">
        <v>1</v>
      </c>
      <c r="J2216" s="9">
        <v>520</v>
      </c>
      <c r="K2216" s="9">
        <v>0.24</v>
      </c>
      <c r="L2216" s="9">
        <v>124.8</v>
      </c>
      <c r="M2216" s="9">
        <v>9.1764705882352935</v>
      </c>
      <c r="N2216" s="9" t="s">
        <v>49</v>
      </c>
      <c r="Q2216" s="9">
        <f>IF(Auction_Sales[[#This Row],[Payment Date]]=0,"",-1+WEEKNUM(Auction_Sales[[#This Row],[Payment Date]]))</f>
        <v>31</v>
      </c>
      <c r="R2216" s="9">
        <v>40</v>
      </c>
      <c r="S2216" s="9" t="s">
        <v>153</v>
      </c>
      <c r="T2216" s="9" t="s">
        <v>48</v>
      </c>
      <c r="U2216" s="9">
        <v>480</v>
      </c>
      <c r="V2216" s="13">
        <v>0.28416666666666668</v>
      </c>
      <c r="W2216" s="13">
        <v>136.4</v>
      </c>
      <c r="X2216" s="14">
        <v>-21.912558139534912</v>
      </c>
      <c r="Y2216" s="13">
        <v>114.4874418604651</v>
      </c>
      <c r="Z2216" s="10">
        <v>45511</v>
      </c>
      <c r="AA2216" s="9">
        <v>-40</v>
      </c>
      <c r="AC2216" s="9">
        <v>449612</v>
      </c>
      <c r="AD2216" s="14">
        <v>33.416117647058819</v>
      </c>
      <c r="AF2216" s="14">
        <v>9.6</v>
      </c>
      <c r="AH2216" s="14">
        <v>43.01611764705882</v>
      </c>
      <c r="AI2216" s="13">
        <v>71.471324213406277</v>
      </c>
      <c r="AK2216" s="9">
        <v>480</v>
      </c>
    </row>
    <row r="2217" spans="1:37">
      <c r="A2217" s="9">
        <v>31</v>
      </c>
      <c r="B2217" s="9">
        <v>2024</v>
      </c>
      <c r="C2217" s="9" t="s">
        <v>46</v>
      </c>
      <c r="D2217" s="9" t="s">
        <v>47</v>
      </c>
      <c r="E2217" s="9" t="s">
        <v>47</v>
      </c>
      <c r="F2217" s="10">
        <v>45500</v>
      </c>
      <c r="G2217" s="9" t="s">
        <v>153</v>
      </c>
      <c r="H2217" s="9" t="s">
        <v>54</v>
      </c>
      <c r="J2217" s="9">
        <v>40</v>
      </c>
      <c r="K2217" s="9">
        <v>0.33</v>
      </c>
      <c r="L2217" s="9">
        <v>13.2</v>
      </c>
      <c r="M2217" s="9">
        <v>0.70588235294117641</v>
      </c>
      <c r="N2217" s="9" t="s">
        <v>49</v>
      </c>
      <c r="Q2217" s="9">
        <f>IF(Auction_Sales[[#This Row],[Payment Date]]=0,"",-1+WEEKNUM(Auction_Sales[[#This Row],[Payment Date]]))</f>
        <v>31</v>
      </c>
      <c r="R2217" s="9">
        <v>0</v>
      </c>
      <c r="S2217" s="9" t="s">
        <v>153</v>
      </c>
      <c r="T2217" s="9" t="s">
        <v>54</v>
      </c>
      <c r="U2217" s="9">
        <v>40</v>
      </c>
      <c r="V2217" s="13">
        <v>0.27</v>
      </c>
      <c r="W2217" s="13">
        <v>10.8</v>
      </c>
      <c r="X2217" s="14">
        <v>-1.8260465116279092</v>
      </c>
      <c r="Y2217" s="13">
        <v>8.9739534883720911</v>
      </c>
      <c r="Z2217" s="10">
        <v>45511</v>
      </c>
      <c r="AA2217" s="9">
        <v>0</v>
      </c>
      <c r="AC2217" s="9">
        <v>449612</v>
      </c>
      <c r="AD2217" s="14">
        <v>2.5704705882352936</v>
      </c>
      <c r="AF2217" s="14">
        <v>0.8</v>
      </c>
      <c r="AH2217" s="14">
        <v>3.3704705882352934</v>
      </c>
      <c r="AI2217" s="13">
        <v>5.6034829001367976</v>
      </c>
      <c r="AK2217" s="9">
        <v>40</v>
      </c>
    </row>
    <row r="2218" spans="1:37">
      <c r="A2218" s="9">
        <v>31</v>
      </c>
      <c r="B2218" s="9">
        <v>2024</v>
      </c>
      <c r="C2218" s="9" t="s">
        <v>46</v>
      </c>
      <c r="D2218" s="9" t="s">
        <v>47</v>
      </c>
      <c r="E2218" s="9" t="s">
        <v>47</v>
      </c>
      <c r="F2218" s="10">
        <v>45500</v>
      </c>
      <c r="G2218" s="9" t="s">
        <v>153</v>
      </c>
      <c r="H2218" s="9" t="s">
        <v>52</v>
      </c>
      <c r="J2218" s="9">
        <v>120</v>
      </c>
      <c r="K2218" s="9">
        <v>0.28000000000000003</v>
      </c>
      <c r="L2218" s="9">
        <v>33.6</v>
      </c>
      <c r="M2218" s="9">
        <v>2.1176470588235294</v>
      </c>
      <c r="N2218" s="9" t="s">
        <v>49</v>
      </c>
      <c r="Q2218" s="9">
        <f>IF(Auction_Sales[[#This Row],[Payment Date]]=0,"",-1+WEEKNUM(Auction_Sales[[#This Row],[Payment Date]]))</f>
        <v>31</v>
      </c>
      <c r="R2218" s="9">
        <v>0</v>
      </c>
      <c r="S2218" s="9" t="s">
        <v>153</v>
      </c>
      <c r="T2218" s="9" t="s">
        <v>52</v>
      </c>
      <c r="U2218" s="9">
        <v>120</v>
      </c>
      <c r="V2218" s="13">
        <v>0.25</v>
      </c>
      <c r="W2218" s="13">
        <v>30</v>
      </c>
      <c r="X2218" s="14">
        <v>-5.4781395348837281</v>
      </c>
      <c r="Y2218" s="13">
        <v>24.521860465116273</v>
      </c>
      <c r="Z2218" s="10">
        <v>45511</v>
      </c>
      <c r="AA2218" s="9">
        <v>0</v>
      </c>
      <c r="AC2218" s="9">
        <v>449612</v>
      </c>
      <c r="AD2218" s="14">
        <v>7.7114117647058826</v>
      </c>
      <c r="AF2218" s="14">
        <v>2.4</v>
      </c>
      <c r="AH2218" s="14">
        <v>10.111411764705883</v>
      </c>
      <c r="AI2218" s="13">
        <v>14.41044870041039</v>
      </c>
      <c r="AK2218" s="9">
        <v>120</v>
      </c>
    </row>
    <row r="2219" spans="1:37">
      <c r="A2219" s="9">
        <v>31</v>
      </c>
      <c r="B2219" s="9">
        <v>2024</v>
      </c>
      <c r="C2219" s="9" t="s">
        <v>46</v>
      </c>
      <c r="D2219" s="9" t="s">
        <v>47</v>
      </c>
      <c r="E2219" s="9" t="s">
        <v>47</v>
      </c>
      <c r="F2219" s="10">
        <v>45500</v>
      </c>
      <c r="G2219" s="9" t="s">
        <v>156</v>
      </c>
      <c r="H2219" s="9" t="s">
        <v>48</v>
      </c>
      <c r="I2219" s="9">
        <v>1</v>
      </c>
      <c r="J2219" s="9">
        <v>80</v>
      </c>
      <c r="K2219" s="9">
        <v>0.52</v>
      </c>
      <c r="L2219" s="9">
        <v>41.6</v>
      </c>
      <c r="M2219" s="9">
        <v>3</v>
      </c>
      <c r="N2219" s="9" t="s">
        <v>49</v>
      </c>
      <c r="Q2219" s="9">
        <f>IF(Auction_Sales[[#This Row],[Payment Date]]=0,"",-1+WEEKNUM(Auction_Sales[[#This Row],[Payment Date]]))</f>
        <v>31</v>
      </c>
      <c r="R2219" s="9">
        <v>0</v>
      </c>
      <c r="S2219" s="9" t="s">
        <v>156</v>
      </c>
      <c r="T2219" s="9" t="s">
        <v>48</v>
      </c>
      <c r="U2219" s="9">
        <v>80</v>
      </c>
      <c r="V2219" s="13">
        <v>0.505</v>
      </c>
      <c r="W2219" s="13">
        <v>40.4</v>
      </c>
      <c r="X2219" s="14">
        <v>-3.6520930232558184</v>
      </c>
      <c r="Y2219" s="13">
        <v>36.747906976744183</v>
      </c>
      <c r="Z2219" s="10">
        <v>45511</v>
      </c>
      <c r="AA2219" s="9">
        <v>0</v>
      </c>
      <c r="AC2219" s="9">
        <v>449612</v>
      </c>
      <c r="AD2219" s="14">
        <v>10.924500000000002</v>
      </c>
      <c r="AF2219" s="14">
        <v>1.6</v>
      </c>
      <c r="AH2219" s="14">
        <v>12.524500000000002</v>
      </c>
      <c r="AI2219" s="13">
        <v>24.22340697674418</v>
      </c>
      <c r="AK2219" s="9">
        <v>80</v>
      </c>
    </row>
    <row r="2220" spans="1:37">
      <c r="A2220" s="9">
        <v>31</v>
      </c>
      <c r="B2220" s="9">
        <v>2024</v>
      </c>
      <c r="C2220" s="9" t="s">
        <v>46</v>
      </c>
      <c r="D2220" s="9" t="s">
        <v>47</v>
      </c>
      <c r="E2220" s="9" t="s">
        <v>47</v>
      </c>
      <c r="F2220" s="10">
        <v>45500</v>
      </c>
      <c r="G2220" s="9" t="s">
        <v>156</v>
      </c>
      <c r="H2220" s="9" t="s">
        <v>52</v>
      </c>
      <c r="J2220" s="9">
        <v>40</v>
      </c>
      <c r="K2220" s="9">
        <v>0.61</v>
      </c>
      <c r="L2220" s="9">
        <v>24.4</v>
      </c>
      <c r="M2220" s="9">
        <v>1.5</v>
      </c>
      <c r="N2220" s="9" t="s">
        <v>49</v>
      </c>
      <c r="Q2220" s="9">
        <f>IF(Auction_Sales[[#This Row],[Payment Date]]=0,"",-1+WEEKNUM(Auction_Sales[[#This Row],[Payment Date]]))</f>
        <v>31</v>
      </c>
      <c r="R2220" s="9">
        <v>-400</v>
      </c>
      <c r="S2220" s="9" t="s">
        <v>156</v>
      </c>
      <c r="T2220" s="9" t="s">
        <v>52</v>
      </c>
      <c r="U2220" s="9">
        <v>440</v>
      </c>
      <c r="V2220" s="13">
        <v>0.30727272727272725</v>
      </c>
      <c r="W2220" s="13">
        <v>135.19999999999999</v>
      </c>
      <c r="X2220" s="14">
        <v>-20.086511627907001</v>
      </c>
      <c r="Y2220" s="13">
        <v>115.11348837209299</v>
      </c>
      <c r="Z2220" s="10">
        <v>45511</v>
      </c>
      <c r="AA2220" s="9">
        <v>400</v>
      </c>
      <c r="AC2220" s="9">
        <v>449612</v>
      </c>
      <c r="AD2220" s="14">
        <v>5.4622500000000009</v>
      </c>
      <c r="AF2220" s="14">
        <v>8.8000000000000007</v>
      </c>
      <c r="AH2220" s="14">
        <v>14.262250000000002</v>
      </c>
      <c r="AI2220" s="13">
        <v>100.85123837209298</v>
      </c>
      <c r="AK2220" s="9">
        <v>440</v>
      </c>
    </row>
    <row r="2221" spans="1:37">
      <c r="A2221" s="9">
        <v>31</v>
      </c>
      <c r="B2221" s="9">
        <v>2024</v>
      </c>
      <c r="C2221" s="9" t="s">
        <v>46</v>
      </c>
      <c r="D2221" s="9" t="s">
        <v>47</v>
      </c>
      <c r="E2221" s="9" t="s">
        <v>47</v>
      </c>
      <c r="F2221" s="10">
        <v>45500</v>
      </c>
      <c r="G2221" s="9" t="s">
        <v>156</v>
      </c>
      <c r="H2221" s="9" t="s">
        <v>54</v>
      </c>
      <c r="J2221" s="9">
        <v>160</v>
      </c>
      <c r="K2221" s="9">
        <v>0.66</v>
      </c>
      <c r="L2221" s="9">
        <v>105.6</v>
      </c>
      <c r="M2221" s="9">
        <v>6</v>
      </c>
      <c r="N2221" s="9" t="s">
        <v>49</v>
      </c>
      <c r="Q2221" s="9">
        <f>IF(Auction_Sales[[#This Row],[Payment Date]]=0,"",-1+WEEKNUM(Auction_Sales[[#This Row],[Payment Date]]))</f>
        <v>31</v>
      </c>
      <c r="R2221" s="9">
        <v>0</v>
      </c>
      <c r="S2221" s="9" t="s">
        <v>156</v>
      </c>
      <c r="T2221" s="9" t="s">
        <v>54</v>
      </c>
      <c r="U2221" s="9">
        <v>160</v>
      </c>
      <c r="V2221" s="13">
        <v>0.50750000000000006</v>
      </c>
      <c r="W2221" s="13">
        <v>81.200000000000017</v>
      </c>
      <c r="X2221" s="14">
        <v>-7.3041860465116368</v>
      </c>
      <c r="Y2221" s="13">
        <v>73.895813953488386</v>
      </c>
      <c r="Z2221" s="10">
        <v>45511</v>
      </c>
      <c r="AA2221" s="9">
        <v>0</v>
      </c>
      <c r="AC2221" s="9">
        <v>449612</v>
      </c>
      <c r="AD2221" s="14">
        <v>21.849000000000004</v>
      </c>
      <c r="AF2221" s="14">
        <v>3.2</v>
      </c>
      <c r="AH2221" s="14">
        <v>25.049000000000003</v>
      </c>
      <c r="AI2221" s="13">
        <v>48.846813953488379</v>
      </c>
      <c r="AK2221" s="9">
        <v>160</v>
      </c>
    </row>
    <row r="2222" spans="1:37">
      <c r="A2222" s="9">
        <v>31</v>
      </c>
      <c r="B2222" s="9">
        <v>2024</v>
      </c>
      <c r="C2222" s="9" t="s">
        <v>46</v>
      </c>
      <c r="D2222" s="9" t="s">
        <v>47</v>
      </c>
      <c r="E2222" s="9" t="s">
        <v>47</v>
      </c>
      <c r="F2222" s="10">
        <v>45500</v>
      </c>
      <c r="G2222" s="9" t="s">
        <v>156</v>
      </c>
      <c r="H2222" s="9" t="s">
        <v>56</v>
      </c>
      <c r="J2222" s="9">
        <v>40</v>
      </c>
      <c r="K2222" s="9">
        <v>0.85</v>
      </c>
      <c r="L2222" s="9">
        <v>34</v>
      </c>
      <c r="M2222" s="9">
        <v>1.5</v>
      </c>
      <c r="N2222" s="9" t="s">
        <v>49</v>
      </c>
      <c r="Q2222" s="9">
        <f>IF(Auction_Sales[[#This Row],[Payment Date]]=0,"",-1+WEEKNUM(Auction_Sales[[#This Row],[Payment Date]]))</f>
        <v>31</v>
      </c>
      <c r="R2222" s="9">
        <v>40</v>
      </c>
      <c r="S2222" s="9" t="s">
        <v>156</v>
      </c>
      <c r="T2222" s="9" t="s">
        <v>56</v>
      </c>
      <c r="W2222" s="13">
        <v>0</v>
      </c>
      <c r="X2222" s="14">
        <v>0</v>
      </c>
      <c r="Y2222" s="13">
        <v>0</v>
      </c>
      <c r="Z2222" s="10">
        <v>45511</v>
      </c>
      <c r="AA2222" s="9">
        <v>-40</v>
      </c>
      <c r="AC2222" s="9">
        <v>449612</v>
      </c>
      <c r="AD2222" s="14">
        <v>5.4622500000000009</v>
      </c>
      <c r="AF2222" s="14">
        <v>0</v>
      </c>
      <c r="AH2222" s="14">
        <v>5.4622500000000009</v>
      </c>
      <c r="AI2222" s="13">
        <v>-5.4622500000000009</v>
      </c>
      <c r="AK2222" s="9">
        <v>0</v>
      </c>
    </row>
    <row r="2223" spans="1:37">
      <c r="A2223" s="9">
        <v>31</v>
      </c>
      <c r="B2223" s="9">
        <v>2024</v>
      </c>
      <c r="C2223" s="9" t="s">
        <v>46</v>
      </c>
      <c r="D2223" s="9" t="s">
        <v>47</v>
      </c>
      <c r="E2223" s="9" t="s">
        <v>47</v>
      </c>
      <c r="F2223" s="10">
        <v>45502</v>
      </c>
      <c r="G2223" s="9" t="s">
        <v>154</v>
      </c>
      <c r="H2223" s="9" t="s">
        <v>48</v>
      </c>
      <c r="I2223" s="9">
        <v>1</v>
      </c>
      <c r="J2223" s="9">
        <v>400</v>
      </c>
      <c r="K2223" s="9">
        <v>0.47</v>
      </c>
      <c r="L2223" s="9">
        <v>188</v>
      </c>
      <c r="M2223" s="9">
        <v>12</v>
      </c>
      <c r="N2223" s="9" t="s">
        <v>49</v>
      </c>
      <c r="Q2223" s="9">
        <f>IF(Auction_Sales[[#This Row],[Payment Date]]=0,"",-1+WEEKNUM(Auction_Sales[[#This Row],[Payment Date]]))</f>
        <v>31</v>
      </c>
      <c r="R2223" s="9">
        <v>-160</v>
      </c>
      <c r="S2223" s="9" t="s">
        <v>154</v>
      </c>
      <c r="T2223" s="9" t="s">
        <v>48</v>
      </c>
      <c r="U2223" s="9">
        <v>560</v>
      </c>
      <c r="V2223" s="13">
        <v>0.32714285714285712</v>
      </c>
      <c r="W2223" s="13">
        <v>183.2</v>
      </c>
      <c r="X2223" s="14">
        <v>-20.293203883495156</v>
      </c>
      <c r="Y2223" s="13">
        <v>162.90679611650484</v>
      </c>
      <c r="Z2223" s="10">
        <v>45511</v>
      </c>
      <c r="AA2223" s="9">
        <v>160</v>
      </c>
      <c r="AC2223" s="9" t="s">
        <v>135</v>
      </c>
      <c r="AD2223" s="14">
        <v>42.882727272727273</v>
      </c>
      <c r="AF2223" s="14">
        <v>11.200000000000001</v>
      </c>
      <c r="AH2223" s="14">
        <v>54.082727272727276</v>
      </c>
      <c r="AI2223" s="13">
        <v>108.82406884377755</v>
      </c>
      <c r="AK2223" s="9">
        <v>560</v>
      </c>
    </row>
    <row r="2224" spans="1:37">
      <c r="A2224" s="9">
        <v>31</v>
      </c>
      <c r="B2224" s="9">
        <v>2024</v>
      </c>
      <c r="C2224" s="9" t="s">
        <v>46</v>
      </c>
      <c r="D2224" s="9" t="s">
        <v>47</v>
      </c>
      <c r="E2224" s="9" t="s">
        <v>47</v>
      </c>
      <c r="F2224" s="10">
        <v>45502</v>
      </c>
      <c r="G2224" s="9" t="s">
        <v>154</v>
      </c>
      <c r="H2224" s="9" t="s">
        <v>57</v>
      </c>
      <c r="I2224" s="9">
        <v>1</v>
      </c>
      <c r="J2224" s="9">
        <v>200</v>
      </c>
      <c r="K2224" s="9">
        <v>0.94</v>
      </c>
      <c r="L2224" s="9">
        <v>188</v>
      </c>
      <c r="M2224" s="9">
        <v>12</v>
      </c>
      <c r="N2224" s="9" t="s">
        <v>49</v>
      </c>
      <c r="Q2224" s="9">
        <f>IF(Auction_Sales[[#This Row],[Payment Date]]=0,"",-1+WEEKNUM(Auction_Sales[[#This Row],[Payment Date]]))</f>
        <v>31</v>
      </c>
      <c r="R2224" s="9">
        <v>0</v>
      </c>
      <c r="S2224" s="9" t="s">
        <v>154</v>
      </c>
      <c r="T2224" s="9" t="s">
        <v>57</v>
      </c>
      <c r="U2224" s="9">
        <v>200</v>
      </c>
      <c r="V2224" s="13">
        <v>0.26600000000000001</v>
      </c>
      <c r="W2224" s="13">
        <v>53.2</v>
      </c>
      <c r="X2224" s="14">
        <v>-7.2475728155339842</v>
      </c>
      <c r="Y2224" s="13">
        <v>45.952427184466018</v>
      </c>
      <c r="Z2224" s="10">
        <v>45511</v>
      </c>
      <c r="AA2224" s="9">
        <v>0</v>
      </c>
      <c r="AC2224" s="9" t="s">
        <v>135</v>
      </c>
      <c r="AD2224" s="14">
        <v>42.882727272727273</v>
      </c>
      <c r="AF2224" s="14">
        <v>4</v>
      </c>
      <c r="AH2224" s="14">
        <v>46.882727272727273</v>
      </c>
      <c r="AI2224" s="13">
        <v>-0.9303000882612551</v>
      </c>
      <c r="AK2224" s="9">
        <v>200</v>
      </c>
    </row>
    <row r="2225" spans="1:37">
      <c r="A2225" s="9">
        <v>31</v>
      </c>
      <c r="B2225" s="9">
        <v>2024</v>
      </c>
      <c r="C2225" s="9" t="s">
        <v>46</v>
      </c>
      <c r="D2225" s="9" t="s">
        <v>47</v>
      </c>
      <c r="E2225" s="9" t="s">
        <v>47</v>
      </c>
      <c r="F2225" s="10">
        <v>45502</v>
      </c>
      <c r="G2225" s="9" t="s">
        <v>155</v>
      </c>
      <c r="H2225" s="9" t="s">
        <v>48</v>
      </c>
      <c r="I2225" s="9">
        <v>1</v>
      </c>
      <c r="J2225" s="9">
        <v>520</v>
      </c>
      <c r="K2225" s="9">
        <v>0.47</v>
      </c>
      <c r="L2225" s="9">
        <v>244.4</v>
      </c>
      <c r="M2225" s="9">
        <v>12</v>
      </c>
      <c r="N2225" s="9" t="s">
        <v>49</v>
      </c>
      <c r="Q2225" s="9">
        <f>IF(Auction_Sales[[#This Row],[Payment Date]]=0,"",-1+WEEKNUM(Auction_Sales[[#This Row],[Payment Date]]))</f>
        <v>31</v>
      </c>
      <c r="R2225" s="9">
        <v>520</v>
      </c>
      <c r="S2225" s="9" t="s">
        <v>155</v>
      </c>
      <c r="T2225" s="9" t="s">
        <v>48</v>
      </c>
      <c r="W2225" s="13">
        <v>0</v>
      </c>
      <c r="X2225" s="14">
        <v>0</v>
      </c>
      <c r="Y2225" s="13">
        <v>0</v>
      </c>
      <c r="Z2225" s="10">
        <v>45511</v>
      </c>
      <c r="AA2225" s="9">
        <v>-520</v>
      </c>
      <c r="AC2225" s="9" t="s">
        <v>135</v>
      </c>
      <c r="AD2225" s="14">
        <v>42.882727272727273</v>
      </c>
      <c r="AF2225" s="14">
        <v>0</v>
      </c>
      <c r="AH2225" s="14">
        <v>42.882727272727273</v>
      </c>
      <c r="AI2225" s="13">
        <v>-42.882727272727273</v>
      </c>
      <c r="AK2225" s="9">
        <v>0</v>
      </c>
    </row>
    <row r="2226" spans="1:37">
      <c r="A2226" s="9">
        <v>31</v>
      </c>
      <c r="B2226" s="9">
        <v>2024</v>
      </c>
      <c r="C2226" s="9" t="s">
        <v>46</v>
      </c>
      <c r="D2226" s="9" t="s">
        <v>47</v>
      </c>
      <c r="E2226" s="9" t="s">
        <v>47</v>
      </c>
      <c r="F2226" s="10">
        <v>45502</v>
      </c>
      <c r="G2226" s="9" t="s">
        <v>156</v>
      </c>
      <c r="H2226" s="9" t="s">
        <v>48</v>
      </c>
      <c r="I2226" s="9">
        <v>1</v>
      </c>
      <c r="J2226" s="9">
        <v>480</v>
      </c>
      <c r="K2226" s="9">
        <v>0.52</v>
      </c>
      <c r="L2226" s="9">
        <v>249.6</v>
      </c>
      <c r="M2226" s="9">
        <v>12</v>
      </c>
      <c r="N2226" s="9" t="s">
        <v>49</v>
      </c>
      <c r="Q2226" s="9">
        <f>IF(Auction_Sales[[#This Row],[Payment Date]]=0,"",-1+WEEKNUM(Auction_Sales[[#This Row],[Payment Date]]))</f>
        <v>31</v>
      </c>
      <c r="R2226" s="9">
        <v>480</v>
      </c>
      <c r="S2226" s="9" t="s">
        <v>156</v>
      </c>
      <c r="T2226" s="9" t="s">
        <v>48</v>
      </c>
      <c r="W2226" s="13">
        <v>0</v>
      </c>
      <c r="X2226" s="14">
        <v>0</v>
      </c>
      <c r="Y2226" s="13">
        <v>0</v>
      </c>
      <c r="Z2226" s="10">
        <v>45511</v>
      </c>
      <c r="AA2226" s="9">
        <v>-480</v>
      </c>
      <c r="AC2226" s="9" t="s">
        <v>135</v>
      </c>
      <c r="AD2226" s="14">
        <v>42.882727272727273</v>
      </c>
      <c r="AF2226" s="14">
        <v>0</v>
      </c>
      <c r="AH2226" s="14">
        <v>42.882727272727273</v>
      </c>
      <c r="AI2226" s="13">
        <v>-42.882727272727273</v>
      </c>
      <c r="AK2226" s="9">
        <v>0</v>
      </c>
    </row>
    <row r="2227" spans="1:37">
      <c r="A2227" s="9">
        <v>31</v>
      </c>
      <c r="B2227" s="9">
        <v>2024</v>
      </c>
      <c r="C2227" s="9" t="s">
        <v>46</v>
      </c>
      <c r="D2227" s="9" t="s">
        <v>47</v>
      </c>
      <c r="E2227" s="9" t="s">
        <v>47</v>
      </c>
      <c r="F2227" s="10">
        <v>45502</v>
      </c>
      <c r="G2227" s="9" t="s">
        <v>156</v>
      </c>
      <c r="H2227" s="9" t="s">
        <v>52</v>
      </c>
      <c r="I2227" s="9">
        <v>1</v>
      </c>
      <c r="J2227" s="9">
        <v>360</v>
      </c>
      <c r="K2227" s="9">
        <v>0.61</v>
      </c>
      <c r="L2227" s="9">
        <v>219.6</v>
      </c>
      <c r="M2227" s="9">
        <v>12</v>
      </c>
      <c r="N2227" s="9" t="s">
        <v>49</v>
      </c>
      <c r="Q2227" s="9">
        <f>IF(Auction_Sales[[#This Row],[Payment Date]]=0,"",-1+WEEKNUM(Auction_Sales[[#This Row],[Payment Date]]))</f>
        <v>31</v>
      </c>
      <c r="R2227" s="9">
        <v>0</v>
      </c>
      <c r="S2227" s="9" t="s">
        <v>156</v>
      </c>
      <c r="T2227" s="9" t="s">
        <v>52</v>
      </c>
      <c r="U2227" s="9">
        <v>360</v>
      </c>
      <c r="V2227" s="13">
        <v>0.11222222222222222</v>
      </c>
      <c r="W2227" s="13">
        <v>40.4</v>
      </c>
      <c r="X2227" s="14">
        <v>-13.045631067961171</v>
      </c>
      <c r="Y2227" s="13">
        <v>27.354368932038827</v>
      </c>
      <c r="Z2227" s="10">
        <v>45511</v>
      </c>
      <c r="AA2227" s="9">
        <v>0</v>
      </c>
      <c r="AC2227" s="9" t="s">
        <v>135</v>
      </c>
      <c r="AD2227" s="14">
        <v>42.882727272727273</v>
      </c>
      <c r="AF2227" s="14">
        <v>7.2</v>
      </c>
      <c r="AH2227" s="14">
        <v>50.082727272727276</v>
      </c>
      <c r="AI2227" s="13">
        <v>-22.728358340688448</v>
      </c>
      <c r="AK2227" s="9">
        <v>360</v>
      </c>
    </row>
    <row r="2228" spans="1:37">
      <c r="A2228" s="9">
        <v>31</v>
      </c>
      <c r="B2228" s="9">
        <v>2024</v>
      </c>
      <c r="C2228" s="9" t="s">
        <v>46</v>
      </c>
      <c r="D2228" s="9" t="s">
        <v>47</v>
      </c>
      <c r="E2228" s="9" t="s">
        <v>47</v>
      </c>
      <c r="F2228" s="10">
        <v>45502</v>
      </c>
      <c r="G2228" s="9" t="s">
        <v>154</v>
      </c>
      <c r="H2228" s="9" t="s">
        <v>48</v>
      </c>
      <c r="I2228" s="9">
        <v>1</v>
      </c>
      <c r="J2228" s="9">
        <v>160</v>
      </c>
      <c r="K2228" s="9">
        <v>0.47</v>
      </c>
      <c r="L2228" s="9">
        <v>75.2</v>
      </c>
      <c r="M2228" s="9">
        <v>6</v>
      </c>
      <c r="N2228" s="9" t="s">
        <v>49</v>
      </c>
      <c r="Q2228" s="9">
        <f>IF(Auction_Sales[[#This Row],[Payment Date]]=0,"",-1+WEEKNUM(Auction_Sales[[#This Row],[Payment Date]]))</f>
        <v>31</v>
      </c>
      <c r="R2228" s="9">
        <v>-480</v>
      </c>
      <c r="S2228" s="9" t="s">
        <v>154</v>
      </c>
      <c r="T2228" s="9" t="s">
        <v>48</v>
      </c>
      <c r="U2228" s="9">
        <v>640</v>
      </c>
      <c r="V2228" s="13">
        <v>0.19562499999999999</v>
      </c>
      <c r="W2228" s="13">
        <v>125.19999999999999</v>
      </c>
      <c r="X2228" s="14">
        <v>-23.192233009708747</v>
      </c>
      <c r="Y2228" s="13">
        <v>102.00776699029124</v>
      </c>
      <c r="Z2228" s="10">
        <v>45511</v>
      </c>
      <c r="AA2228" s="9">
        <v>480</v>
      </c>
      <c r="AC2228" s="9" t="s">
        <v>135</v>
      </c>
      <c r="AD2228" s="14">
        <v>21.441363636363636</v>
      </c>
      <c r="AF2228" s="14">
        <v>12.8</v>
      </c>
      <c r="AH2228" s="14">
        <v>34.241363636363637</v>
      </c>
      <c r="AI2228" s="13">
        <v>67.766403353927615</v>
      </c>
      <c r="AK2228" s="9">
        <v>640</v>
      </c>
    </row>
    <row r="2229" spans="1:37">
      <c r="A2229" s="9">
        <v>31</v>
      </c>
      <c r="B2229" s="9">
        <v>2024</v>
      </c>
      <c r="C2229" s="9" t="s">
        <v>46</v>
      </c>
      <c r="D2229" s="9" t="s">
        <v>47</v>
      </c>
      <c r="E2229" s="9" t="s">
        <v>47</v>
      </c>
      <c r="F2229" s="10">
        <v>45502</v>
      </c>
      <c r="G2229" s="9" t="s">
        <v>154</v>
      </c>
      <c r="H2229" s="9" t="s">
        <v>52</v>
      </c>
      <c r="J2229" s="9">
        <v>160</v>
      </c>
      <c r="K2229" s="9">
        <v>0.52</v>
      </c>
      <c r="L2229" s="9">
        <v>83.2</v>
      </c>
      <c r="M2229" s="9">
        <v>6</v>
      </c>
      <c r="N2229" s="9" t="s">
        <v>49</v>
      </c>
      <c r="Q2229" s="9">
        <f>IF(Auction_Sales[[#This Row],[Payment Date]]=0,"",-1+WEEKNUM(Auction_Sales[[#This Row],[Payment Date]]))</f>
        <v>31</v>
      </c>
      <c r="R2229" s="9">
        <v>0</v>
      </c>
      <c r="S2229" s="9" t="s">
        <v>154</v>
      </c>
      <c r="T2229" s="9" t="s">
        <v>52</v>
      </c>
      <c r="U2229" s="9">
        <v>160</v>
      </c>
      <c r="V2229" s="13">
        <v>0.13999999999999999</v>
      </c>
      <c r="W2229" s="13">
        <v>22.4</v>
      </c>
      <c r="X2229" s="14">
        <v>-5.7980582524271869</v>
      </c>
      <c r="Y2229" s="13">
        <v>16.601941747572813</v>
      </c>
      <c r="Z2229" s="10">
        <v>45511</v>
      </c>
      <c r="AA2229" s="9">
        <v>0</v>
      </c>
      <c r="AC2229" s="9" t="s">
        <v>135</v>
      </c>
      <c r="AD2229" s="14">
        <v>21.441363636363636</v>
      </c>
      <c r="AF2229" s="14">
        <v>3.2</v>
      </c>
      <c r="AH2229" s="14">
        <v>24.641363636363636</v>
      </c>
      <c r="AI2229" s="13">
        <v>-8.0394218887908231</v>
      </c>
      <c r="AK2229" s="9">
        <v>160</v>
      </c>
    </row>
    <row r="2230" spans="1:37">
      <c r="A2230" s="9">
        <v>31</v>
      </c>
      <c r="B2230" s="9">
        <v>2024</v>
      </c>
      <c r="C2230" s="9" t="s">
        <v>46</v>
      </c>
      <c r="D2230" s="9" t="s">
        <v>47</v>
      </c>
      <c r="E2230" s="9" t="s">
        <v>47</v>
      </c>
      <c r="F2230" s="10">
        <v>45502</v>
      </c>
      <c r="G2230" s="9" t="s">
        <v>155</v>
      </c>
      <c r="H2230" s="9" t="s">
        <v>48</v>
      </c>
      <c r="I2230" s="9">
        <v>1</v>
      </c>
      <c r="J2230" s="9">
        <v>240</v>
      </c>
      <c r="K2230" s="9">
        <v>0.47</v>
      </c>
      <c r="L2230" s="9">
        <v>112.8</v>
      </c>
      <c r="M2230" s="9">
        <v>8</v>
      </c>
      <c r="N2230" s="9" t="s">
        <v>49</v>
      </c>
      <c r="Q2230" s="9">
        <f>IF(Auction_Sales[[#This Row],[Payment Date]]=0,"",-1+WEEKNUM(Auction_Sales[[#This Row],[Payment Date]]))</f>
        <v>31</v>
      </c>
      <c r="R2230" s="9">
        <v>-520</v>
      </c>
      <c r="S2230" s="9" t="s">
        <v>155</v>
      </c>
      <c r="T2230" s="9" t="s">
        <v>48</v>
      </c>
      <c r="U2230" s="9">
        <v>760</v>
      </c>
      <c r="V2230" s="13">
        <v>0.28789473684210526</v>
      </c>
      <c r="W2230" s="13">
        <v>218.79999999999998</v>
      </c>
      <c r="X2230" s="14">
        <v>-27.540776699029141</v>
      </c>
      <c r="Y2230" s="13">
        <v>191.25922330097083</v>
      </c>
      <c r="Z2230" s="10">
        <v>45511</v>
      </c>
      <c r="AA2230" s="9">
        <v>520</v>
      </c>
      <c r="AC2230" s="9" t="s">
        <v>135</v>
      </c>
      <c r="AD2230" s="14">
        <v>28.58848484848485</v>
      </c>
      <c r="AF2230" s="14">
        <v>15.200000000000001</v>
      </c>
      <c r="AH2230" s="14">
        <v>43.788484848484849</v>
      </c>
      <c r="AI2230" s="13">
        <v>147.47073845248599</v>
      </c>
      <c r="AK2230" s="9">
        <v>760</v>
      </c>
    </row>
    <row r="2231" spans="1:37">
      <c r="A2231" s="9">
        <v>31</v>
      </c>
      <c r="B2231" s="9">
        <v>2024</v>
      </c>
      <c r="C2231" s="9" t="s">
        <v>46</v>
      </c>
      <c r="D2231" s="9" t="s">
        <v>47</v>
      </c>
      <c r="E2231" s="9" t="s">
        <v>47</v>
      </c>
      <c r="F2231" s="10">
        <v>45502</v>
      </c>
      <c r="G2231" s="9" t="s">
        <v>155</v>
      </c>
      <c r="H2231" s="9" t="s">
        <v>52</v>
      </c>
      <c r="J2231" s="9">
        <v>120</v>
      </c>
      <c r="K2231" s="9">
        <v>0.52</v>
      </c>
      <c r="L2231" s="9">
        <v>62.4</v>
      </c>
      <c r="M2231" s="9">
        <v>4</v>
      </c>
      <c r="N2231" s="9" t="s">
        <v>49</v>
      </c>
      <c r="Q2231" s="9">
        <f>IF(Auction_Sales[[#This Row],[Payment Date]]=0,"",-1+WEEKNUM(Auction_Sales[[#This Row],[Payment Date]]))</f>
        <v>31</v>
      </c>
      <c r="R2231" s="9">
        <v>0</v>
      </c>
      <c r="S2231" s="9" t="s">
        <v>155</v>
      </c>
      <c r="T2231" s="9" t="s">
        <v>52</v>
      </c>
      <c r="U2231" s="9">
        <v>120</v>
      </c>
      <c r="V2231" s="13">
        <v>0.53333333333333333</v>
      </c>
      <c r="W2231" s="13">
        <v>64</v>
      </c>
      <c r="X2231" s="14">
        <v>-4.3485436893203904</v>
      </c>
      <c r="Y2231" s="13">
        <v>59.651456310679606</v>
      </c>
      <c r="Z2231" s="10">
        <v>45511</v>
      </c>
      <c r="AA2231" s="9">
        <v>0</v>
      </c>
      <c r="AC2231" s="9" t="s">
        <v>135</v>
      </c>
      <c r="AD2231" s="14">
        <v>14.294242424242425</v>
      </c>
      <c r="AF2231" s="14">
        <v>2.4</v>
      </c>
      <c r="AH2231" s="14">
        <v>16.694242424242425</v>
      </c>
      <c r="AI2231" s="13">
        <v>42.957213886437181</v>
      </c>
      <c r="AK2231" s="9">
        <v>120</v>
      </c>
    </row>
    <row r="2232" spans="1:37">
      <c r="A2232" s="9">
        <v>31</v>
      </c>
      <c r="B2232" s="9">
        <v>2024</v>
      </c>
      <c r="C2232" s="9" t="s">
        <v>46</v>
      </c>
      <c r="D2232" s="9" t="s">
        <v>47</v>
      </c>
      <c r="E2232" s="9" t="s">
        <v>47</v>
      </c>
      <c r="F2232" s="10">
        <v>45502</v>
      </c>
      <c r="G2232" s="9" t="s">
        <v>156</v>
      </c>
      <c r="H2232" s="9" t="s">
        <v>48</v>
      </c>
      <c r="I2232" s="9">
        <v>1</v>
      </c>
      <c r="J2232" s="9">
        <v>160</v>
      </c>
      <c r="K2232" s="9">
        <v>0.52</v>
      </c>
      <c r="L2232" s="9">
        <v>83.2</v>
      </c>
      <c r="M2232" s="9">
        <v>5.333333333333333</v>
      </c>
      <c r="N2232" s="9" t="s">
        <v>49</v>
      </c>
      <c r="Q2232" s="9">
        <f>IF(Auction_Sales[[#This Row],[Payment Date]]=0,"",-1+WEEKNUM(Auction_Sales[[#This Row],[Payment Date]]))</f>
        <v>31</v>
      </c>
      <c r="R2232" s="9">
        <v>160</v>
      </c>
      <c r="S2232" s="9" t="s">
        <v>156</v>
      </c>
      <c r="T2232" s="9" t="s">
        <v>48</v>
      </c>
      <c r="W2232" s="13">
        <v>0</v>
      </c>
      <c r="X2232" s="14">
        <v>0</v>
      </c>
      <c r="Y2232" s="13">
        <v>0</v>
      </c>
      <c r="Z2232" s="10">
        <v>45511</v>
      </c>
      <c r="AA2232" s="9">
        <v>-160</v>
      </c>
      <c r="AC2232" s="9" t="s">
        <v>135</v>
      </c>
      <c r="AD2232" s="14">
        <v>19.058989898989896</v>
      </c>
      <c r="AF2232" s="14">
        <v>0</v>
      </c>
      <c r="AH2232" s="14">
        <v>19.058989898989896</v>
      </c>
      <c r="AI2232" s="13">
        <v>-19.058989898989896</v>
      </c>
      <c r="AK2232" s="9">
        <v>0</v>
      </c>
    </row>
    <row r="2233" spans="1:37">
      <c r="A2233" s="9">
        <v>31</v>
      </c>
      <c r="B2233" s="9">
        <v>2024</v>
      </c>
      <c r="C2233" s="9" t="s">
        <v>46</v>
      </c>
      <c r="D2233" s="9" t="s">
        <v>47</v>
      </c>
      <c r="E2233" s="9" t="s">
        <v>47</v>
      </c>
      <c r="F2233" s="10">
        <v>45502</v>
      </c>
      <c r="G2233" s="9" t="s">
        <v>156</v>
      </c>
      <c r="H2233" s="9" t="s">
        <v>54</v>
      </c>
      <c r="J2233" s="9">
        <v>200</v>
      </c>
      <c r="K2233" s="9">
        <v>0.66</v>
      </c>
      <c r="L2233" s="9">
        <v>132</v>
      </c>
      <c r="M2233" s="9">
        <v>6.666666666666667</v>
      </c>
      <c r="N2233" s="9" t="s">
        <v>49</v>
      </c>
      <c r="Q2233" s="9">
        <f>IF(Auction_Sales[[#This Row],[Payment Date]]=0,"",-1+WEEKNUM(Auction_Sales[[#This Row],[Payment Date]]))</f>
        <v>31</v>
      </c>
      <c r="R2233" s="9">
        <v>0</v>
      </c>
      <c r="S2233" s="9" t="s">
        <v>156</v>
      </c>
      <c r="T2233" s="9" t="s">
        <v>54</v>
      </c>
      <c r="U2233" s="9">
        <v>200</v>
      </c>
      <c r="V2233" s="13">
        <v>7.2000000000000008E-2</v>
      </c>
      <c r="W2233" s="13">
        <v>14.400000000000002</v>
      </c>
      <c r="X2233" s="14">
        <v>-7.2475728155339842</v>
      </c>
      <c r="Y2233" s="13">
        <v>7.1524271844660179</v>
      </c>
      <c r="Z2233" s="10">
        <v>45511</v>
      </c>
      <c r="AA2233" s="9">
        <v>0</v>
      </c>
      <c r="AC2233" s="9" t="s">
        <v>135</v>
      </c>
      <c r="AD2233" s="14">
        <v>23.823737373737373</v>
      </c>
      <c r="AF2233" s="14">
        <v>4</v>
      </c>
      <c r="AH2233" s="14">
        <v>27.823737373737373</v>
      </c>
      <c r="AI2233" s="13">
        <v>-20.671310189271356</v>
      </c>
      <c r="AK2233" s="9">
        <v>200</v>
      </c>
    </row>
    <row r="2234" spans="1:37">
      <c r="A2234" s="9">
        <v>31</v>
      </c>
      <c r="B2234" s="9">
        <v>2024</v>
      </c>
      <c r="C2234" s="9" t="s">
        <v>46</v>
      </c>
      <c r="D2234" s="9" t="s">
        <v>47</v>
      </c>
      <c r="E2234" s="9" t="s">
        <v>47</v>
      </c>
      <c r="F2234" s="10">
        <v>45502</v>
      </c>
      <c r="G2234" s="9" t="s">
        <v>156</v>
      </c>
      <c r="H2234" s="9" t="s">
        <v>56</v>
      </c>
      <c r="I2234" s="9">
        <v>1</v>
      </c>
      <c r="J2234" s="9">
        <v>160</v>
      </c>
      <c r="K2234" s="9">
        <v>0.85</v>
      </c>
      <c r="L2234" s="9">
        <v>136</v>
      </c>
      <c r="M2234" s="9">
        <v>6.8571428571428568</v>
      </c>
      <c r="N2234" s="9" t="s">
        <v>49</v>
      </c>
      <c r="Q2234" s="9">
        <f>IF(Auction_Sales[[#This Row],[Payment Date]]=0,"",-1+WEEKNUM(Auction_Sales[[#This Row],[Payment Date]]))</f>
        <v>31</v>
      </c>
      <c r="R2234" s="9">
        <v>0</v>
      </c>
      <c r="S2234" s="9" t="s">
        <v>156</v>
      </c>
      <c r="T2234" s="9" t="s">
        <v>56</v>
      </c>
      <c r="U2234" s="9">
        <v>160</v>
      </c>
      <c r="V2234" s="13">
        <v>0.03</v>
      </c>
      <c r="W2234" s="13">
        <v>4.8</v>
      </c>
      <c r="X2234" s="14">
        <v>-5.7980582524271869</v>
      </c>
      <c r="Y2234" s="13">
        <v>-0.99805825242718704</v>
      </c>
      <c r="Z2234" s="10">
        <v>45511</v>
      </c>
      <c r="AA2234" s="9">
        <v>0</v>
      </c>
      <c r="AC2234" s="9" t="s">
        <v>135</v>
      </c>
      <c r="AD2234" s="14">
        <v>24.504415584415582</v>
      </c>
      <c r="AF2234" s="14">
        <v>3.2</v>
      </c>
      <c r="AH2234" s="14">
        <v>27.704415584415582</v>
      </c>
      <c r="AI2234" s="13">
        <v>-28.702473836842771</v>
      </c>
      <c r="AK2234" s="9">
        <v>160</v>
      </c>
    </row>
    <row r="2235" spans="1:37">
      <c r="A2235" s="9">
        <v>31</v>
      </c>
      <c r="B2235" s="9">
        <v>2024</v>
      </c>
      <c r="C2235" s="9" t="s">
        <v>46</v>
      </c>
      <c r="D2235" s="9" t="s">
        <v>47</v>
      </c>
      <c r="E2235" s="9" t="s">
        <v>47</v>
      </c>
      <c r="F2235" s="10">
        <v>45502</v>
      </c>
      <c r="G2235" s="9" t="s">
        <v>156</v>
      </c>
      <c r="H2235" s="9" t="s">
        <v>57</v>
      </c>
      <c r="J2235" s="9">
        <v>120</v>
      </c>
      <c r="K2235" s="9">
        <v>1.04</v>
      </c>
      <c r="L2235" s="9">
        <v>124.8</v>
      </c>
      <c r="M2235" s="9">
        <v>5.1428571428571423</v>
      </c>
      <c r="N2235" s="9" t="s">
        <v>49</v>
      </c>
      <c r="Q2235" s="9">
        <f>IF(Auction_Sales[[#This Row],[Payment Date]]=0,"",-1+WEEKNUM(Auction_Sales[[#This Row],[Payment Date]]))</f>
        <v>31</v>
      </c>
      <c r="R2235" s="9">
        <v>0</v>
      </c>
      <c r="S2235" s="9" t="s">
        <v>156</v>
      </c>
      <c r="T2235" s="9" t="s">
        <v>57</v>
      </c>
      <c r="U2235" s="9">
        <v>120</v>
      </c>
      <c r="V2235" s="13">
        <v>0.53</v>
      </c>
      <c r="W2235" s="13">
        <v>63.6</v>
      </c>
      <c r="X2235" s="14">
        <v>-4.3485436893203904</v>
      </c>
      <c r="Y2235" s="13">
        <v>59.251456310679615</v>
      </c>
      <c r="Z2235" s="10">
        <v>45511</v>
      </c>
      <c r="AA2235" s="9">
        <v>0</v>
      </c>
      <c r="AC2235" s="9" t="s">
        <v>135</v>
      </c>
      <c r="AD2235" s="14">
        <v>18.378311688311687</v>
      </c>
      <c r="AF2235" s="14">
        <v>2.4</v>
      </c>
      <c r="AH2235" s="14">
        <v>20.778311688311685</v>
      </c>
      <c r="AI2235" s="13">
        <v>38.473144622367926</v>
      </c>
      <c r="AK2235" s="9">
        <v>120</v>
      </c>
    </row>
    <row r="2236" spans="1:37">
      <c r="A2236" s="9">
        <v>31</v>
      </c>
      <c r="B2236" s="9">
        <v>2024</v>
      </c>
      <c r="C2236" s="9" t="s">
        <v>46</v>
      </c>
      <c r="D2236" s="9" t="s">
        <v>47</v>
      </c>
      <c r="E2236" s="9" t="s">
        <v>47</v>
      </c>
      <c r="F2236" s="10">
        <v>45502</v>
      </c>
      <c r="G2236" s="9" t="s">
        <v>153</v>
      </c>
      <c r="H2236" s="9" t="s">
        <v>54</v>
      </c>
      <c r="I2236" s="9">
        <v>1</v>
      </c>
      <c r="J2236" s="9">
        <v>160</v>
      </c>
      <c r="K2236" s="9">
        <v>0.33</v>
      </c>
      <c r="L2236" s="9">
        <v>52.8</v>
      </c>
      <c r="M2236" s="9">
        <v>6.8571428571428568</v>
      </c>
      <c r="N2236" s="9" t="s">
        <v>49</v>
      </c>
      <c r="Q2236" s="9">
        <f>IF(Auction_Sales[[#This Row],[Payment Date]]=0,"",-1+WEEKNUM(Auction_Sales[[#This Row],[Payment Date]]))</f>
        <v>31</v>
      </c>
      <c r="R2236" s="9">
        <v>0</v>
      </c>
      <c r="S2236" s="9" t="s">
        <v>153</v>
      </c>
      <c r="T2236" s="9" t="s">
        <v>54</v>
      </c>
      <c r="U2236" s="9">
        <v>160</v>
      </c>
      <c r="V2236" s="13">
        <v>0.26</v>
      </c>
      <c r="W2236" s="13">
        <v>41.6</v>
      </c>
      <c r="X2236" s="14">
        <v>-5.7980582524271869</v>
      </c>
      <c r="Y2236" s="13">
        <v>35.801941747572812</v>
      </c>
      <c r="Z2236" s="10">
        <v>45511</v>
      </c>
      <c r="AA2236" s="9">
        <v>0</v>
      </c>
      <c r="AC2236" s="9" t="s">
        <v>135</v>
      </c>
      <c r="AD2236" s="14">
        <v>24.504415584415582</v>
      </c>
      <c r="AF2236" s="14">
        <v>3.2</v>
      </c>
      <c r="AH2236" s="14">
        <v>27.704415584415582</v>
      </c>
      <c r="AI2236" s="13">
        <v>8.0975261631572302</v>
      </c>
      <c r="AK2236" s="9">
        <v>160</v>
      </c>
    </row>
    <row r="2237" spans="1:37">
      <c r="A2237" s="9">
        <v>31</v>
      </c>
      <c r="B2237" s="9">
        <v>2024</v>
      </c>
      <c r="C2237" s="9" t="s">
        <v>46</v>
      </c>
      <c r="D2237" s="9" t="s">
        <v>47</v>
      </c>
      <c r="E2237" s="9" t="s">
        <v>47</v>
      </c>
      <c r="F2237" s="10">
        <v>45502</v>
      </c>
      <c r="G2237" s="9" t="s">
        <v>153</v>
      </c>
      <c r="H2237" s="9" t="s">
        <v>56</v>
      </c>
      <c r="J2237" s="9">
        <v>80</v>
      </c>
      <c r="K2237" s="9">
        <v>0.38</v>
      </c>
      <c r="L2237" s="9">
        <v>30.4</v>
      </c>
      <c r="M2237" s="9">
        <v>3.4285714285714284</v>
      </c>
      <c r="N2237" s="9" t="s">
        <v>49</v>
      </c>
      <c r="Q2237" s="9">
        <f>IF(Auction_Sales[[#This Row],[Payment Date]]=0,"",-1+WEEKNUM(Auction_Sales[[#This Row],[Payment Date]]))</f>
        <v>31</v>
      </c>
      <c r="R2237" s="9">
        <v>0</v>
      </c>
      <c r="S2237" s="9" t="s">
        <v>153</v>
      </c>
      <c r="T2237" s="9" t="s">
        <v>56</v>
      </c>
      <c r="U2237" s="9">
        <v>80</v>
      </c>
      <c r="V2237" s="13">
        <v>0.27999999999999997</v>
      </c>
      <c r="W2237" s="13">
        <v>22.4</v>
      </c>
      <c r="X2237" s="14">
        <v>-2.8990291262135934</v>
      </c>
      <c r="Y2237" s="13">
        <v>19.500970873786404</v>
      </c>
      <c r="Z2237" s="10">
        <v>45511</v>
      </c>
      <c r="AA2237" s="9">
        <v>0</v>
      </c>
      <c r="AC2237" s="9" t="s">
        <v>135</v>
      </c>
      <c r="AD2237" s="14">
        <v>12.252207792207791</v>
      </c>
      <c r="AF2237" s="14">
        <v>1.6</v>
      </c>
      <c r="AH2237" s="14">
        <v>13.852207792207791</v>
      </c>
      <c r="AI2237" s="13">
        <v>5.648763081578613</v>
      </c>
      <c r="AK2237" s="9">
        <v>80</v>
      </c>
    </row>
    <row r="2238" spans="1:37">
      <c r="A2238" s="9">
        <v>31</v>
      </c>
      <c r="B2238" s="9">
        <v>2024</v>
      </c>
      <c r="C2238" s="9" t="s">
        <v>46</v>
      </c>
      <c r="D2238" s="9" t="s">
        <v>47</v>
      </c>
      <c r="E2238" s="9" t="s">
        <v>47</v>
      </c>
      <c r="F2238" s="10">
        <v>45502</v>
      </c>
      <c r="G2238" s="9" t="s">
        <v>153</v>
      </c>
      <c r="H2238" s="9" t="s">
        <v>57</v>
      </c>
      <c r="J2238" s="9">
        <v>40</v>
      </c>
      <c r="K2238" s="9">
        <v>0.47</v>
      </c>
      <c r="L2238" s="9">
        <v>18.8</v>
      </c>
      <c r="M2238" s="9">
        <v>1.7142857142857142</v>
      </c>
      <c r="N2238" s="9" t="s">
        <v>49</v>
      </c>
      <c r="Q2238" s="9">
        <f>IF(Auction_Sales[[#This Row],[Payment Date]]=0,"",-1+WEEKNUM(Auction_Sales[[#This Row],[Payment Date]]))</f>
        <v>31</v>
      </c>
      <c r="R2238" s="9">
        <v>0</v>
      </c>
      <c r="S2238" s="9" t="s">
        <v>153</v>
      </c>
      <c r="T2238" s="9" t="s">
        <v>57</v>
      </c>
      <c r="U2238" s="9">
        <v>40</v>
      </c>
      <c r="V2238" s="13">
        <v>0.38</v>
      </c>
      <c r="W2238" s="13">
        <v>15.2</v>
      </c>
      <c r="X2238" s="14">
        <v>-1.4495145631067967</v>
      </c>
      <c r="Y2238" s="13">
        <v>13.750485436893202</v>
      </c>
      <c r="Z2238" s="10">
        <v>45511</v>
      </c>
      <c r="AA2238" s="9">
        <v>0</v>
      </c>
      <c r="AC2238" s="9" t="s">
        <v>135</v>
      </c>
      <c r="AD2238" s="14">
        <v>6.1261038961038956</v>
      </c>
      <c r="AF2238" s="14">
        <v>0.8</v>
      </c>
      <c r="AH2238" s="14">
        <v>6.9261038961038954</v>
      </c>
      <c r="AI2238" s="13">
        <v>6.8243815407893065</v>
      </c>
      <c r="AK2238" s="9">
        <v>40</v>
      </c>
    </row>
    <row r="2239" spans="1:37">
      <c r="A2239" s="9">
        <v>31</v>
      </c>
      <c r="B2239" s="9">
        <v>2024</v>
      </c>
      <c r="C2239" s="9" t="s">
        <v>46</v>
      </c>
      <c r="D2239" s="9" t="s">
        <v>47</v>
      </c>
      <c r="E2239" s="9" t="s">
        <v>47</v>
      </c>
      <c r="F2239" s="10">
        <v>45502</v>
      </c>
      <c r="G2239" s="9" t="s">
        <v>153</v>
      </c>
      <c r="H2239" s="9" t="s">
        <v>52</v>
      </c>
      <c r="I2239" s="9">
        <v>1</v>
      </c>
      <c r="J2239" s="9">
        <v>280</v>
      </c>
      <c r="K2239" s="9">
        <v>0.28000000000000003</v>
      </c>
      <c r="L2239" s="9">
        <v>78.400000000000006</v>
      </c>
      <c r="M2239" s="9">
        <v>6</v>
      </c>
      <c r="N2239" s="9" t="s">
        <v>49</v>
      </c>
      <c r="Q2239" s="9">
        <f>IF(Auction_Sales[[#This Row],[Payment Date]]=0,"",-1+WEEKNUM(Auction_Sales[[#This Row],[Payment Date]]))</f>
        <v>31</v>
      </c>
      <c r="R2239" s="9">
        <v>40</v>
      </c>
      <c r="S2239" s="9" t="s">
        <v>153</v>
      </c>
      <c r="T2239" s="9" t="s">
        <v>52</v>
      </c>
      <c r="U2239" s="9">
        <v>240</v>
      </c>
      <c r="V2239" s="13">
        <v>0.33999999999999997</v>
      </c>
      <c r="W2239" s="13">
        <v>81.599999999999994</v>
      </c>
      <c r="X2239" s="14">
        <v>-8.6970873786407807</v>
      </c>
      <c r="Y2239" s="13">
        <v>72.902912621359206</v>
      </c>
      <c r="Z2239" s="10">
        <v>45511</v>
      </c>
      <c r="AA2239" s="9">
        <v>-40</v>
      </c>
      <c r="AC2239" s="9" t="s">
        <v>135</v>
      </c>
      <c r="AD2239" s="14">
        <v>21.441363636363636</v>
      </c>
      <c r="AF2239" s="14">
        <v>4.8</v>
      </c>
      <c r="AH2239" s="14">
        <v>26.241363636363637</v>
      </c>
      <c r="AI2239" s="13">
        <v>46.661548984995569</v>
      </c>
      <c r="AK2239" s="9">
        <v>240</v>
      </c>
    </row>
    <row r="2240" spans="1:37">
      <c r="A2240" s="9">
        <v>31</v>
      </c>
      <c r="B2240" s="9">
        <v>2024</v>
      </c>
      <c r="C2240" s="9" t="s">
        <v>46</v>
      </c>
      <c r="D2240" s="9" t="s">
        <v>47</v>
      </c>
      <c r="E2240" s="9" t="s">
        <v>47</v>
      </c>
      <c r="F2240" s="10">
        <v>45502</v>
      </c>
      <c r="G2240" s="9" t="s">
        <v>153</v>
      </c>
      <c r="H2240" s="9" t="s">
        <v>48</v>
      </c>
      <c r="J2240" s="9">
        <v>280</v>
      </c>
      <c r="K2240" s="9">
        <v>0.24</v>
      </c>
      <c r="L2240" s="9">
        <v>67.2</v>
      </c>
      <c r="M2240" s="9">
        <v>6</v>
      </c>
      <c r="N2240" s="9" t="s">
        <v>49</v>
      </c>
      <c r="Q2240" s="9">
        <f>IF(Auction_Sales[[#This Row],[Payment Date]]=0,"",-1+WEEKNUM(Auction_Sales[[#This Row],[Payment Date]]))</f>
        <v>31</v>
      </c>
      <c r="R2240" s="9">
        <v>-40</v>
      </c>
      <c r="S2240" s="9" t="s">
        <v>153</v>
      </c>
      <c r="T2240" s="9" t="s">
        <v>48</v>
      </c>
      <c r="U2240" s="9">
        <v>320</v>
      </c>
      <c r="V2240" s="13">
        <v>0.27</v>
      </c>
      <c r="W2240" s="13">
        <v>86.4</v>
      </c>
      <c r="X2240" s="14">
        <v>-11.596116504854374</v>
      </c>
      <c r="Y2240" s="13">
        <v>74.803883495145627</v>
      </c>
      <c r="Z2240" s="10">
        <v>45511</v>
      </c>
      <c r="AA2240" s="9">
        <v>40</v>
      </c>
      <c r="AC2240" s="9" t="s">
        <v>135</v>
      </c>
      <c r="AD2240" s="14">
        <v>21.441363636363636</v>
      </c>
      <c r="AF2240" s="14">
        <v>6.4</v>
      </c>
      <c r="AH2240" s="14">
        <v>27.841363636363639</v>
      </c>
      <c r="AI2240" s="13">
        <v>46.962519858781988</v>
      </c>
      <c r="AK2240" s="9">
        <v>320</v>
      </c>
    </row>
    <row r="2241" spans="1:37">
      <c r="A2241" s="9">
        <v>31</v>
      </c>
      <c r="B2241" s="9">
        <v>2024</v>
      </c>
      <c r="C2241" s="9" t="s">
        <v>46</v>
      </c>
      <c r="D2241" s="9" t="s">
        <v>47</v>
      </c>
      <c r="E2241" s="9" t="s">
        <v>47</v>
      </c>
      <c r="F2241" s="10">
        <v>45505</v>
      </c>
      <c r="G2241" s="9" t="s">
        <v>156</v>
      </c>
      <c r="H2241" s="9" t="s">
        <v>57</v>
      </c>
      <c r="I2241" s="9">
        <v>1</v>
      </c>
      <c r="J2241" s="9">
        <v>200</v>
      </c>
      <c r="K2241" s="9">
        <v>1.04</v>
      </c>
      <c r="L2241" s="9">
        <v>208</v>
      </c>
      <c r="M2241" s="9">
        <v>12</v>
      </c>
      <c r="N2241" s="9" t="s">
        <v>49</v>
      </c>
      <c r="Q2241" s="9">
        <f>IF(Auction_Sales[[#This Row],[Payment Date]]=0,"",-1+WEEKNUM(Auction_Sales[[#This Row],[Payment Date]]))</f>
        <v>32</v>
      </c>
      <c r="R2241" s="9">
        <v>200</v>
      </c>
      <c r="S2241" s="9" t="s">
        <v>156</v>
      </c>
      <c r="T2241" s="9" t="s">
        <v>57</v>
      </c>
      <c r="W2241" s="13">
        <v>0</v>
      </c>
      <c r="X2241" s="14">
        <v>0</v>
      </c>
      <c r="Y2241" s="13">
        <v>0</v>
      </c>
      <c r="Z2241" s="10">
        <v>45518</v>
      </c>
      <c r="AA2241" s="9">
        <v>-200</v>
      </c>
      <c r="AC2241" s="9">
        <v>450172</v>
      </c>
      <c r="AD2241" s="14">
        <v>41.995714285714286</v>
      </c>
      <c r="AF2241" s="14">
        <v>0</v>
      </c>
      <c r="AH2241" s="14">
        <v>41.995714285714286</v>
      </c>
      <c r="AI2241" s="13">
        <v>-41.995714285714286</v>
      </c>
      <c r="AK2241" s="9">
        <v>0</v>
      </c>
    </row>
    <row r="2242" spans="1:37">
      <c r="A2242" s="9">
        <v>31</v>
      </c>
      <c r="B2242" s="9">
        <v>2024</v>
      </c>
      <c r="C2242" s="9" t="s">
        <v>46</v>
      </c>
      <c r="D2242" s="9" t="s">
        <v>47</v>
      </c>
      <c r="E2242" s="9" t="s">
        <v>47</v>
      </c>
      <c r="F2242" s="10">
        <v>45505</v>
      </c>
      <c r="G2242" s="9" t="s">
        <v>154</v>
      </c>
      <c r="H2242" s="9" t="s">
        <v>48</v>
      </c>
      <c r="I2242" s="9">
        <v>1</v>
      </c>
      <c r="J2242" s="9">
        <v>480</v>
      </c>
      <c r="K2242" s="9">
        <v>0.47</v>
      </c>
      <c r="L2242" s="9">
        <v>225.6</v>
      </c>
      <c r="M2242" s="9">
        <v>12</v>
      </c>
      <c r="N2242" s="9" t="s">
        <v>49</v>
      </c>
      <c r="Q2242" s="9">
        <f>IF(Auction_Sales[[#This Row],[Payment Date]]=0,"",-1+WEEKNUM(Auction_Sales[[#This Row],[Payment Date]]))</f>
        <v>32</v>
      </c>
      <c r="R2242" s="9">
        <v>0</v>
      </c>
      <c r="S2242" s="9" t="s">
        <v>154</v>
      </c>
      <c r="T2242" s="9" t="s">
        <v>48</v>
      </c>
      <c r="U2242" s="9">
        <v>480</v>
      </c>
      <c r="V2242" s="13">
        <v>0.75083333333333324</v>
      </c>
      <c r="W2242" s="13">
        <v>360.4</v>
      </c>
      <c r="X2242" s="14">
        <v>-32.33523809523809</v>
      </c>
      <c r="Y2242" s="13">
        <v>328.06476190476189</v>
      </c>
      <c r="Z2242" s="10">
        <v>45518</v>
      </c>
      <c r="AA2242" s="9">
        <v>0</v>
      </c>
      <c r="AC2242" s="9">
        <v>450172</v>
      </c>
      <c r="AD2242" s="14">
        <v>41.995714285714286</v>
      </c>
      <c r="AF2242" s="14">
        <v>9.6</v>
      </c>
      <c r="AH2242" s="14">
        <v>51.595714285714287</v>
      </c>
      <c r="AI2242" s="13">
        <v>276.46904761904761</v>
      </c>
      <c r="AK2242" s="9">
        <v>480</v>
      </c>
    </row>
    <row r="2243" spans="1:37">
      <c r="A2243" s="9">
        <v>31</v>
      </c>
      <c r="B2243" s="9">
        <v>2024</v>
      </c>
      <c r="C2243" s="9" t="s">
        <v>46</v>
      </c>
      <c r="D2243" s="9" t="s">
        <v>47</v>
      </c>
      <c r="E2243" s="9" t="s">
        <v>47</v>
      </c>
      <c r="F2243" s="10">
        <v>45505</v>
      </c>
      <c r="G2243" s="9" t="s">
        <v>156</v>
      </c>
      <c r="H2243" s="9" t="s">
        <v>56</v>
      </c>
      <c r="I2243" s="9">
        <v>1</v>
      </c>
      <c r="J2243" s="9">
        <v>200</v>
      </c>
      <c r="K2243" s="9">
        <v>0.85</v>
      </c>
      <c r="L2243" s="9">
        <v>170</v>
      </c>
      <c r="M2243" s="9">
        <v>10</v>
      </c>
      <c r="N2243" s="9" t="s">
        <v>49</v>
      </c>
      <c r="Q2243" s="9">
        <f>IF(Auction_Sales[[#This Row],[Payment Date]]=0,"",-1+WEEKNUM(Auction_Sales[[#This Row],[Payment Date]]))</f>
        <v>32</v>
      </c>
      <c r="R2243" s="9">
        <v>0</v>
      </c>
      <c r="S2243" s="9" t="s">
        <v>156</v>
      </c>
      <c r="T2243" s="9" t="s">
        <v>56</v>
      </c>
      <c r="U2243" s="9">
        <v>200</v>
      </c>
      <c r="V2243" s="13">
        <v>0.56399999999999995</v>
      </c>
      <c r="W2243" s="13">
        <v>112.8</v>
      </c>
      <c r="X2243" s="14">
        <v>-13.473015873015873</v>
      </c>
      <c r="Y2243" s="13">
        <v>99.326984126984115</v>
      </c>
      <c r="Z2243" s="10">
        <v>45518</v>
      </c>
      <c r="AA2243" s="9">
        <v>0</v>
      </c>
      <c r="AC2243" s="9">
        <v>450172</v>
      </c>
      <c r="AD2243" s="14">
        <v>34.996428571428574</v>
      </c>
      <c r="AF2243" s="14">
        <v>4</v>
      </c>
      <c r="AH2243" s="14">
        <v>38.996428571428574</v>
      </c>
      <c r="AI2243" s="13">
        <v>60.330555555555542</v>
      </c>
      <c r="AK2243" s="9">
        <v>200</v>
      </c>
    </row>
    <row r="2244" spans="1:37">
      <c r="A2244" s="9">
        <v>31</v>
      </c>
      <c r="B2244" s="9">
        <v>2024</v>
      </c>
      <c r="C2244" s="9" t="s">
        <v>46</v>
      </c>
      <c r="D2244" s="9" t="s">
        <v>47</v>
      </c>
      <c r="E2244" s="9" t="s">
        <v>47</v>
      </c>
      <c r="F2244" s="10">
        <v>45505</v>
      </c>
      <c r="G2244" s="9" t="s">
        <v>156</v>
      </c>
      <c r="H2244" s="9" t="s">
        <v>57</v>
      </c>
      <c r="J2244" s="9">
        <v>40</v>
      </c>
      <c r="K2244" s="9">
        <v>1.04</v>
      </c>
      <c r="L2244" s="9">
        <v>41.6</v>
      </c>
      <c r="M2244" s="9">
        <v>2</v>
      </c>
      <c r="N2244" s="9" t="s">
        <v>49</v>
      </c>
      <c r="Q2244" s="9">
        <f>IF(Auction_Sales[[#This Row],[Payment Date]]=0,"",-1+WEEKNUM(Auction_Sales[[#This Row],[Payment Date]]))</f>
        <v>32</v>
      </c>
      <c r="R2244" s="9">
        <v>-200</v>
      </c>
      <c r="S2244" s="9" t="s">
        <v>156</v>
      </c>
      <c r="T2244" s="9" t="s">
        <v>57</v>
      </c>
      <c r="U2244" s="9">
        <v>240</v>
      </c>
      <c r="V2244" s="13">
        <v>0.45500000000000002</v>
      </c>
      <c r="W2244" s="13">
        <v>109.2</v>
      </c>
      <c r="X2244" s="14">
        <v>-16.167619047619045</v>
      </c>
      <c r="Y2244" s="13">
        <v>93.032380952380962</v>
      </c>
      <c r="Z2244" s="10">
        <v>45518</v>
      </c>
      <c r="AA2244" s="9">
        <v>200</v>
      </c>
      <c r="AC2244" s="9">
        <v>450172</v>
      </c>
      <c r="AD2244" s="14">
        <v>6.9992857142857146</v>
      </c>
      <c r="AF2244" s="14">
        <v>4.8</v>
      </c>
      <c r="AH2244" s="14">
        <v>11.799285714285714</v>
      </c>
      <c r="AI2244" s="13">
        <v>81.233095238095245</v>
      </c>
      <c r="AK2244" s="9">
        <v>240</v>
      </c>
    </row>
    <row r="2245" spans="1:37">
      <c r="A2245" s="9">
        <v>31</v>
      </c>
      <c r="B2245" s="9">
        <v>2024</v>
      </c>
      <c r="C2245" s="9" t="s">
        <v>46</v>
      </c>
      <c r="D2245" s="9" t="s">
        <v>47</v>
      </c>
      <c r="E2245" s="9" t="s">
        <v>47</v>
      </c>
      <c r="F2245" s="10">
        <v>45505</v>
      </c>
      <c r="G2245" s="9" t="s">
        <v>154</v>
      </c>
      <c r="H2245" s="9" t="s">
        <v>52</v>
      </c>
      <c r="I2245" s="9">
        <v>1</v>
      </c>
      <c r="J2245" s="9">
        <v>80</v>
      </c>
      <c r="K2245" s="9">
        <v>0.52</v>
      </c>
      <c r="L2245" s="9">
        <v>41.6</v>
      </c>
      <c r="M2245" s="9">
        <v>4</v>
      </c>
      <c r="N2245" s="9" t="s">
        <v>49</v>
      </c>
      <c r="Q2245" s="9">
        <f>IF(Auction_Sales[[#This Row],[Payment Date]]=0,"",-1+WEEKNUM(Auction_Sales[[#This Row],[Payment Date]]))</f>
        <v>32</v>
      </c>
      <c r="R2245" s="9">
        <v>0</v>
      </c>
      <c r="S2245" s="9" t="s">
        <v>154</v>
      </c>
      <c r="T2245" s="9" t="s">
        <v>52</v>
      </c>
      <c r="U2245" s="9">
        <v>80</v>
      </c>
      <c r="V2245" s="13">
        <v>0.89</v>
      </c>
      <c r="W2245" s="13">
        <v>71.2</v>
      </c>
      <c r="X2245" s="14">
        <v>-5.3892063492063489</v>
      </c>
      <c r="Y2245" s="13">
        <v>65.810793650793656</v>
      </c>
      <c r="Z2245" s="10">
        <v>45518</v>
      </c>
      <c r="AA2245" s="9">
        <v>0</v>
      </c>
      <c r="AC2245" s="9">
        <v>450172</v>
      </c>
      <c r="AD2245" s="14">
        <v>13.998571428571429</v>
      </c>
      <c r="AF2245" s="14">
        <v>1.6</v>
      </c>
      <c r="AH2245" s="14">
        <v>15.598571428571429</v>
      </c>
      <c r="AI2245" s="13">
        <v>50.212222222222223</v>
      </c>
      <c r="AK2245" s="9">
        <v>80</v>
      </c>
    </row>
    <row r="2246" spans="1:37">
      <c r="A2246" s="9">
        <v>31</v>
      </c>
      <c r="B2246" s="9">
        <v>2024</v>
      </c>
      <c r="C2246" s="9" t="s">
        <v>46</v>
      </c>
      <c r="D2246" s="9" t="s">
        <v>47</v>
      </c>
      <c r="E2246" s="9" t="s">
        <v>47</v>
      </c>
      <c r="F2246" s="10">
        <v>45505</v>
      </c>
      <c r="G2246" s="9" t="s">
        <v>154</v>
      </c>
      <c r="H2246" s="9" t="s">
        <v>56</v>
      </c>
      <c r="J2246" s="9">
        <v>120</v>
      </c>
      <c r="K2246" s="9">
        <v>0.75</v>
      </c>
      <c r="L2246" s="9">
        <v>90</v>
      </c>
      <c r="M2246" s="9">
        <v>6</v>
      </c>
      <c r="N2246" s="9" t="s">
        <v>49</v>
      </c>
      <c r="Q2246" s="9">
        <f>IF(Auction_Sales[[#This Row],[Payment Date]]=0,"",-1+WEEKNUM(Auction_Sales[[#This Row],[Payment Date]]))</f>
        <v>32</v>
      </c>
      <c r="R2246" s="9">
        <v>0</v>
      </c>
      <c r="S2246" s="9" t="s">
        <v>154</v>
      </c>
      <c r="T2246" s="9" t="s">
        <v>56</v>
      </c>
      <c r="U2246" s="9">
        <v>120</v>
      </c>
      <c r="V2246" s="13">
        <v>0.89333333333333331</v>
      </c>
      <c r="W2246" s="13">
        <v>107.2</v>
      </c>
      <c r="X2246" s="14">
        <v>-8.0838095238095224</v>
      </c>
      <c r="Y2246" s="13">
        <v>99.116190476190482</v>
      </c>
      <c r="Z2246" s="10">
        <v>45518</v>
      </c>
      <c r="AA2246" s="9">
        <v>0</v>
      </c>
      <c r="AC2246" s="9">
        <v>450172</v>
      </c>
      <c r="AD2246" s="14">
        <v>20.997857142857143</v>
      </c>
      <c r="AF2246" s="14">
        <v>2.4</v>
      </c>
      <c r="AH2246" s="14">
        <v>23.397857142857141</v>
      </c>
      <c r="AI2246" s="13">
        <v>75.718333333333334</v>
      </c>
      <c r="AK2246" s="9">
        <v>120</v>
      </c>
    </row>
    <row r="2247" spans="1:37">
      <c r="A2247" s="9">
        <v>31</v>
      </c>
      <c r="B2247" s="9">
        <v>2024</v>
      </c>
      <c r="C2247" s="9" t="s">
        <v>46</v>
      </c>
      <c r="D2247" s="9" t="s">
        <v>47</v>
      </c>
      <c r="E2247" s="9" t="s">
        <v>47</v>
      </c>
      <c r="F2247" s="10">
        <v>45505</v>
      </c>
      <c r="G2247" s="9" t="s">
        <v>154</v>
      </c>
      <c r="H2247" s="9" t="s">
        <v>57</v>
      </c>
      <c r="J2247" s="9">
        <v>40</v>
      </c>
      <c r="K2247" s="9">
        <v>0.94</v>
      </c>
      <c r="L2247" s="9">
        <v>37.6</v>
      </c>
      <c r="M2247" s="9">
        <v>2</v>
      </c>
      <c r="N2247" s="9" t="s">
        <v>49</v>
      </c>
      <c r="Q2247" s="9">
        <f>IF(Auction_Sales[[#This Row],[Payment Date]]=0,"",-1+WEEKNUM(Auction_Sales[[#This Row],[Payment Date]]))</f>
        <v>32</v>
      </c>
      <c r="R2247" s="9">
        <v>0</v>
      </c>
      <c r="S2247" s="9" t="s">
        <v>154</v>
      </c>
      <c r="T2247" s="9" t="s">
        <v>57</v>
      </c>
      <c r="U2247" s="9">
        <v>40</v>
      </c>
      <c r="V2247" s="13">
        <v>0.91999999999999993</v>
      </c>
      <c r="W2247" s="13">
        <v>36.799999999999997</v>
      </c>
      <c r="X2247" s="14">
        <v>-2.6946031746031744</v>
      </c>
      <c r="Y2247" s="13">
        <v>34.105396825396824</v>
      </c>
      <c r="Z2247" s="10">
        <v>45518</v>
      </c>
      <c r="AA2247" s="9">
        <v>0</v>
      </c>
      <c r="AC2247" s="9">
        <v>450172</v>
      </c>
      <c r="AD2247" s="14">
        <v>6.9992857142857146</v>
      </c>
      <c r="AF2247" s="14">
        <v>0.8</v>
      </c>
      <c r="AH2247" s="14">
        <v>7.7992857142857144</v>
      </c>
      <c r="AI2247" s="13">
        <v>26.306111111111107</v>
      </c>
      <c r="AK2247" s="9">
        <v>40</v>
      </c>
    </row>
    <row r="2248" spans="1:37">
      <c r="A2248" s="9">
        <v>31</v>
      </c>
      <c r="B2248" s="9">
        <v>2024</v>
      </c>
      <c r="C2248" s="9" t="s">
        <v>46</v>
      </c>
      <c r="D2248" s="9" t="s">
        <v>47</v>
      </c>
      <c r="E2248" s="9" t="s">
        <v>47</v>
      </c>
      <c r="F2248" s="10">
        <v>45505</v>
      </c>
      <c r="G2248" s="9" t="s">
        <v>153</v>
      </c>
      <c r="H2248" s="9" t="s">
        <v>48</v>
      </c>
      <c r="I2248" s="9">
        <v>1</v>
      </c>
      <c r="J2248" s="9">
        <v>160</v>
      </c>
      <c r="K2248" s="9">
        <v>0.24</v>
      </c>
      <c r="L2248" s="9">
        <v>38.4</v>
      </c>
      <c r="M2248" s="9">
        <v>3.4285714285714284</v>
      </c>
      <c r="N2248" s="9" t="s">
        <v>49</v>
      </c>
      <c r="Q2248" s="9">
        <f>IF(Auction_Sales[[#This Row],[Payment Date]]=0,"",-1+WEEKNUM(Auction_Sales[[#This Row],[Payment Date]]))</f>
        <v>32</v>
      </c>
      <c r="R2248" s="9">
        <v>0</v>
      </c>
      <c r="S2248" s="9" t="s">
        <v>153</v>
      </c>
      <c r="T2248" s="9" t="s">
        <v>48</v>
      </c>
      <c r="U2248" s="9">
        <v>160</v>
      </c>
      <c r="V2248" s="13">
        <v>0.25</v>
      </c>
      <c r="W2248" s="13">
        <v>40</v>
      </c>
      <c r="X2248" s="14">
        <v>-10.778412698412698</v>
      </c>
      <c r="Y2248" s="13">
        <v>29.221587301587302</v>
      </c>
      <c r="Z2248" s="10">
        <v>45518</v>
      </c>
      <c r="AA2248" s="9">
        <v>0</v>
      </c>
      <c r="AC2248" s="9">
        <v>450172</v>
      </c>
      <c r="AD2248" s="14">
        <v>11.998775510204082</v>
      </c>
      <c r="AF2248" s="14">
        <v>3.2</v>
      </c>
      <c r="AH2248" s="14">
        <v>15.198775510204083</v>
      </c>
      <c r="AI2248" s="13">
        <v>14.022811791383219</v>
      </c>
      <c r="AK2248" s="9">
        <v>160</v>
      </c>
    </row>
    <row r="2249" spans="1:37">
      <c r="A2249" s="9">
        <v>31</v>
      </c>
      <c r="B2249" s="9">
        <v>2024</v>
      </c>
      <c r="C2249" s="9" t="s">
        <v>46</v>
      </c>
      <c r="D2249" s="9" t="s">
        <v>47</v>
      </c>
      <c r="E2249" s="9" t="s">
        <v>47</v>
      </c>
      <c r="F2249" s="10">
        <v>45505</v>
      </c>
      <c r="G2249" s="9" t="s">
        <v>153</v>
      </c>
      <c r="H2249" s="9" t="s">
        <v>52</v>
      </c>
      <c r="J2249" s="9">
        <v>40</v>
      </c>
      <c r="K2249" s="9">
        <v>0.28000000000000003</v>
      </c>
      <c r="L2249" s="9">
        <v>11.2</v>
      </c>
      <c r="M2249" s="9">
        <v>0.8571428571428571</v>
      </c>
      <c r="N2249" s="9" t="s">
        <v>49</v>
      </c>
      <c r="Q2249" s="9">
        <f>IF(Auction_Sales[[#This Row],[Payment Date]]=0,"",-1+WEEKNUM(Auction_Sales[[#This Row],[Payment Date]]))</f>
        <v>32</v>
      </c>
      <c r="R2249" s="9">
        <v>0</v>
      </c>
      <c r="S2249" s="9" t="s">
        <v>153</v>
      </c>
      <c r="T2249" s="9" t="s">
        <v>52</v>
      </c>
      <c r="U2249" s="9">
        <v>40</v>
      </c>
      <c r="V2249" s="13">
        <v>0.27999999999999997</v>
      </c>
      <c r="W2249" s="13">
        <v>11.2</v>
      </c>
      <c r="X2249" s="14">
        <v>-2.6946031746031744</v>
      </c>
      <c r="Y2249" s="13">
        <v>8.5053968253968257</v>
      </c>
      <c r="Z2249" s="10">
        <v>45518</v>
      </c>
      <c r="AA2249" s="9">
        <v>0</v>
      </c>
      <c r="AC2249" s="9">
        <v>450172</v>
      </c>
      <c r="AD2249" s="14">
        <v>2.9996938775510205</v>
      </c>
      <c r="AF2249" s="14">
        <v>0.8</v>
      </c>
      <c r="AH2249" s="14">
        <v>3.7996938775510207</v>
      </c>
      <c r="AI2249" s="13">
        <v>4.705702947845805</v>
      </c>
      <c r="AK2249" s="9">
        <v>40</v>
      </c>
    </row>
    <row r="2250" spans="1:37">
      <c r="A2250" s="9">
        <v>31</v>
      </c>
      <c r="B2250" s="9">
        <v>2024</v>
      </c>
      <c r="C2250" s="9" t="s">
        <v>46</v>
      </c>
      <c r="D2250" s="9" t="s">
        <v>47</v>
      </c>
      <c r="E2250" s="9" t="s">
        <v>47</v>
      </c>
      <c r="F2250" s="10">
        <v>45505</v>
      </c>
      <c r="G2250" s="9" t="s">
        <v>153</v>
      </c>
      <c r="H2250" s="9" t="s">
        <v>54</v>
      </c>
      <c r="J2250" s="9">
        <v>80</v>
      </c>
      <c r="K2250" s="9">
        <v>0.33</v>
      </c>
      <c r="L2250" s="9">
        <v>26.4</v>
      </c>
      <c r="M2250" s="9">
        <v>1.7142857142857142</v>
      </c>
      <c r="N2250" s="9" t="s">
        <v>49</v>
      </c>
      <c r="Q2250" s="9">
        <f>IF(Auction_Sales[[#This Row],[Payment Date]]=0,"",-1+WEEKNUM(Auction_Sales[[#This Row],[Payment Date]]))</f>
        <v>32</v>
      </c>
      <c r="R2250" s="9">
        <v>0</v>
      </c>
      <c r="S2250" s="9" t="s">
        <v>153</v>
      </c>
      <c r="T2250" s="9" t="s">
        <v>54</v>
      </c>
      <c r="U2250" s="9">
        <v>80</v>
      </c>
      <c r="V2250" s="13">
        <v>0.22000000000000003</v>
      </c>
      <c r="W2250" s="13">
        <v>17.600000000000001</v>
      </c>
      <c r="X2250" s="14">
        <v>-5.3892063492063489</v>
      </c>
      <c r="Y2250" s="13">
        <v>12.210793650793653</v>
      </c>
      <c r="Z2250" s="10">
        <v>45518</v>
      </c>
      <c r="AA2250" s="9">
        <v>0</v>
      </c>
      <c r="AC2250" s="9">
        <v>450172</v>
      </c>
      <c r="AD2250" s="14">
        <v>5.9993877551020409</v>
      </c>
      <c r="AF2250" s="14">
        <v>1.6</v>
      </c>
      <c r="AH2250" s="14">
        <v>7.5993877551020415</v>
      </c>
      <c r="AI2250" s="13">
        <v>4.6114058956916111</v>
      </c>
      <c r="AK2250" s="9">
        <v>80</v>
      </c>
    </row>
    <row r="2251" spans="1:37">
      <c r="A2251" s="9">
        <v>31</v>
      </c>
      <c r="B2251" s="9">
        <v>2024</v>
      </c>
      <c r="C2251" s="9" t="s">
        <v>46</v>
      </c>
      <c r="D2251" s="9" t="s">
        <v>47</v>
      </c>
      <c r="E2251" s="9" t="s">
        <v>47</v>
      </c>
      <c r="F2251" s="10">
        <v>45505</v>
      </c>
      <c r="G2251" s="9" t="s">
        <v>153</v>
      </c>
      <c r="H2251" s="9" t="s">
        <v>56</v>
      </c>
      <c r="J2251" s="9">
        <v>80</v>
      </c>
      <c r="K2251" s="9">
        <v>0.38</v>
      </c>
      <c r="L2251" s="9">
        <v>30.4</v>
      </c>
      <c r="M2251" s="9">
        <v>1.7142857142857142</v>
      </c>
      <c r="N2251" s="9" t="s">
        <v>49</v>
      </c>
      <c r="Q2251" s="9">
        <f>IF(Auction_Sales[[#This Row],[Payment Date]]=0,"",-1+WEEKNUM(Auction_Sales[[#This Row],[Payment Date]]))</f>
        <v>32</v>
      </c>
      <c r="R2251" s="9">
        <v>0</v>
      </c>
      <c r="S2251" s="9" t="s">
        <v>153</v>
      </c>
      <c r="T2251" s="9" t="s">
        <v>56</v>
      </c>
      <c r="U2251" s="9">
        <v>80</v>
      </c>
      <c r="V2251" s="13">
        <v>0.36</v>
      </c>
      <c r="W2251" s="13">
        <v>28.799999999999997</v>
      </c>
      <c r="X2251" s="14">
        <v>-5.3892063492063489</v>
      </c>
      <c r="Y2251" s="13">
        <v>23.41079365079365</v>
      </c>
      <c r="Z2251" s="10">
        <v>45518</v>
      </c>
      <c r="AA2251" s="9">
        <v>0</v>
      </c>
      <c r="AC2251" s="9">
        <v>450172</v>
      </c>
      <c r="AD2251" s="14">
        <v>5.9993877551020409</v>
      </c>
      <c r="AF2251" s="14">
        <v>1.6</v>
      </c>
      <c r="AH2251" s="14">
        <v>7.5993877551020415</v>
      </c>
      <c r="AI2251" s="13">
        <v>15.811405895691609</v>
      </c>
      <c r="AK2251" s="9">
        <v>80</v>
      </c>
    </row>
    <row r="2252" spans="1:37">
      <c r="A2252" s="9">
        <v>31</v>
      </c>
      <c r="B2252" s="9">
        <v>2024</v>
      </c>
      <c r="C2252" s="9" t="s">
        <v>46</v>
      </c>
      <c r="D2252" s="9" t="s">
        <v>47</v>
      </c>
      <c r="E2252" s="9" t="s">
        <v>47</v>
      </c>
      <c r="F2252" s="10">
        <v>45505</v>
      </c>
      <c r="G2252" s="9" t="s">
        <v>157</v>
      </c>
      <c r="H2252" s="9" t="s">
        <v>52</v>
      </c>
      <c r="J2252" s="9">
        <v>160</v>
      </c>
      <c r="K2252" s="9">
        <v>0.28000000000000003</v>
      </c>
      <c r="L2252" s="9">
        <v>44.8</v>
      </c>
      <c r="M2252" s="9">
        <v>3.4285714285714284</v>
      </c>
      <c r="N2252" s="9" t="s">
        <v>49</v>
      </c>
      <c r="Q2252" s="9">
        <f>IF(Auction_Sales[[#This Row],[Payment Date]]=0,"",-1+WEEKNUM(Auction_Sales[[#This Row],[Payment Date]]))</f>
        <v>32</v>
      </c>
      <c r="R2252" s="9">
        <v>0</v>
      </c>
      <c r="S2252" s="9" t="s">
        <v>157</v>
      </c>
      <c r="T2252" s="9" t="s">
        <v>52</v>
      </c>
      <c r="U2252" s="9">
        <v>160</v>
      </c>
      <c r="V2252" s="13">
        <v>1.2949999999999999</v>
      </c>
      <c r="W2252" s="13">
        <v>207.2</v>
      </c>
      <c r="X2252" s="14">
        <v>-10.778412698412698</v>
      </c>
      <c r="Y2252" s="13">
        <v>196.42158730158729</v>
      </c>
      <c r="Z2252" s="10">
        <v>45518</v>
      </c>
      <c r="AA2252" s="9">
        <v>0</v>
      </c>
      <c r="AC2252" s="9">
        <v>450172</v>
      </c>
      <c r="AD2252" s="14">
        <v>11.998775510204082</v>
      </c>
      <c r="AF2252" s="14">
        <v>3.2</v>
      </c>
      <c r="AH2252" s="14">
        <v>15.198775510204083</v>
      </c>
      <c r="AI2252" s="13">
        <v>181.22281179138321</v>
      </c>
      <c r="AK2252" s="9">
        <v>160</v>
      </c>
    </row>
    <row r="2253" spans="1:37">
      <c r="A2253" s="9">
        <v>31</v>
      </c>
      <c r="B2253" s="9">
        <v>2024</v>
      </c>
      <c r="C2253" s="9" t="s">
        <v>46</v>
      </c>
      <c r="D2253" s="9" t="s">
        <v>47</v>
      </c>
      <c r="E2253" s="9" t="s">
        <v>47</v>
      </c>
      <c r="F2253" s="10">
        <v>45505</v>
      </c>
      <c r="G2253" s="9" t="s">
        <v>157</v>
      </c>
      <c r="H2253" s="9" t="s">
        <v>54</v>
      </c>
      <c r="J2253" s="9">
        <v>40</v>
      </c>
      <c r="K2253" s="9">
        <v>0.33</v>
      </c>
      <c r="L2253" s="9">
        <v>13.2</v>
      </c>
      <c r="M2253" s="9">
        <v>0.8571428571428571</v>
      </c>
      <c r="N2253" s="9" t="s">
        <v>49</v>
      </c>
      <c r="Q2253" s="9">
        <f>IF(Auction_Sales[[#This Row],[Payment Date]]=0,"",-1+WEEKNUM(Auction_Sales[[#This Row],[Payment Date]]))</f>
        <v>32</v>
      </c>
      <c r="R2253" s="9">
        <v>0</v>
      </c>
      <c r="S2253" s="9" t="s">
        <v>157</v>
      </c>
      <c r="T2253" s="9" t="s">
        <v>54</v>
      </c>
      <c r="U2253" s="9">
        <v>40</v>
      </c>
      <c r="V2253" s="13">
        <v>1.22</v>
      </c>
      <c r="W2253" s="13">
        <v>48.8</v>
      </c>
      <c r="X2253" s="14">
        <v>-2.6946031746031744</v>
      </c>
      <c r="Y2253" s="13">
        <v>46.105396825396824</v>
      </c>
      <c r="Z2253" s="10">
        <v>45518</v>
      </c>
      <c r="AA2253" s="9">
        <v>0</v>
      </c>
      <c r="AC2253" s="9">
        <v>450172</v>
      </c>
      <c r="AD2253" s="14">
        <v>2.9996938775510205</v>
      </c>
      <c r="AF2253" s="14">
        <v>0.8</v>
      </c>
      <c r="AH2253" s="14">
        <v>3.7996938775510207</v>
      </c>
      <c r="AI2253" s="13">
        <v>42.305702947845802</v>
      </c>
      <c r="AK2253" s="9">
        <v>40</v>
      </c>
    </row>
    <row r="2254" spans="1:37">
      <c r="A2254" s="9">
        <v>31</v>
      </c>
      <c r="B2254" s="9">
        <v>2024</v>
      </c>
      <c r="C2254" s="9" t="s">
        <v>46</v>
      </c>
      <c r="D2254" s="9" t="s">
        <v>47</v>
      </c>
      <c r="E2254" s="9" t="s">
        <v>47</v>
      </c>
      <c r="F2254" s="10">
        <v>45505</v>
      </c>
      <c r="G2254" s="9" t="s">
        <v>155</v>
      </c>
      <c r="H2254" s="9" t="s">
        <v>56</v>
      </c>
      <c r="I2254" s="9">
        <v>1</v>
      </c>
      <c r="J2254" s="9">
        <v>40</v>
      </c>
      <c r="K2254" s="9">
        <v>0.75</v>
      </c>
      <c r="L2254" s="9">
        <v>30</v>
      </c>
      <c r="M2254" s="9">
        <v>1</v>
      </c>
      <c r="N2254" s="9" t="s">
        <v>49</v>
      </c>
      <c r="Q2254" s="9">
        <f>IF(Auction_Sales[[#This Row],[Payment Date]]=0,"",-1+WEEKNUM(Auction_Sales[[#This Row],[Payment Date]]))</f>
        <v>32</v>
      </c>
      <c r="R2254" s="9">
        <v>0</v>
      </c>
      <c r="S2254" s="9" t="s">
        <v>155</v>
      </c>
      <c r="T2254" s="9" t="s">
        <v>56</v>
      </c>
      <c r="U2254" s="9">
        <v>40</v>
      </c>
      <c r="V2254" s="13">
        <v>0.97</v>
      </c>
      <c r="W2254" s="13">
        <v>38.799999999999997</v>
      </c>
      <c r="X2254" s="14">
        <v>-2.6946031746031744</v>
      </c>
      <c r="Y2254" s="13">
        <v>36.105396825396824</v>
      </c>
      <c r="Z2254" s="10">
        <v>45518</v>
      </c>
      <c r="AA2254" s="9">
        <v>0</v>
      </c>
      <c r="AC2254" s="9">
        <v>450172</v>
      </c>
      <c r="AD2254" s="14">
        <v>3.4996428571428573</v>
      </c>
      <c r="AF2254" s="14">
        <v>0.8</v>
      </c>
      <c r="AH2254" s="14">
        <v>4.2996428571428575</v>
      </c>
      <c r="AI2254" s="13">
        <v>31.805753968253967</v>
      </c>
      <c r="AK2254" s="9">
        <v>40</v>
      </c>
    </row>
    <row r="2255" spans="1:37">
      <c r="A2255" s="9">
        <v>31</v>
      </c>
      <c r="B2255" s="9">
        <v>2024</v>
      </c>
      <c r="C2255" s="9" t="s">
        <v>46</v>
      </c>
      <c r="D2255" s="9" t="s">
        <v>47</v>
      </c>
      <c r="E2255" s="9" t="s">
        <v>47</v>
      </c>
      <c r="F2255" s="10">
        <v>45505</v>
      </c>
      <c r="G2255" s="9" t="s">
        <v>155</v>
      </c>
      <c r="H2255" s="9" t="s">
        <v>48</v>
      </c>
      <c r="J2255" s="9">
        <v>440</v>
      </c>
      <c r="K2255" s="9">
        <v>0.47</v>
      </c>
      <c r="L2255" s="9">
        <v>206.8</v>
      </c>
      <c r="M2255" s="9">
        <v>11</v>
      </c>
      <c r="N2255" s="9" t="s">
        <v>49</v>
      </c>
      <c r="Q2255" s="9">
        <f>IF(Auction_Sales[[#This Row],[Payment Date]]=0,"",-1+WEEKNUM(Auction_Sales[[#This Row],[Payment Date]]))</f>
        <v>32</v>
      </c>
      <c r="R2255" s="9">
        <v>0</v>
      </c>
      <c r="S2255" s="9" t="s">
        <v>155</v>
      </c>
      <c r="T2255" s="9" t="s">
        <v>48</v>
      </c>
      <c r="U2255" s="9">
        <v>440</v>
      </c>
      <c r="V2255" s="13">
        <v>0.80909090909090908</v>
      </c>
      <c r="W2255" s="13">
        <v>356</v>
      </c>
      <c r="X2255" s="14">
        <v>-29.64063492063492</v>
      </c>
      <c r="Y2255" s="13">
        <v>326.35936507936509</v>
      </c>
      <c r="Z2255" s="10">
        <v>45518</v>
      </c>
      <c r="AA2255" s="9">
        <v>0</v>
      </c>
      <c r="AC2255" s="9">
        <v>450172</v>
      </c>
      <c r="AD2255" s="14">
        <v>38.496071428571433</v>
      </c>
      <c r="AF2255" s="14">
        <v>8.8000000000000007</v>
      </c>
      <c r="AH2255" s="14">
        <v>47.296071428571437</v>
      </c>
      <c r="AI2255" s="13">
        <v>279.06329365079364</v>
      </c>
      <c r="AK2255" s="9">
        <v>440</v>
      </c>
    </row>
    <row r="2256" spans="1:37">
      <c r="A2256" s="9">
        <v>31</v>
      </c>
      <c r="B2256" s="9">
        <v>2024</v>
      </c>
      <c r="C2256" s="9" t="s">
        <v>46</v>
      </c>
      <c r="D2256" s="9" t="s">
        <v>47</v>
      </c>
      <c r="E2256" s="9" t="s">
        <v>47</v>
      </c>
      <c r="F2256" s="10">
        <v>45505</v>
      </c>
      <c r="G2256" s="9" t="s">
        <v>156</v>
      </c>
      <c r="H2256" s="9" t="s">
        <v>48</v>
      </c>
      <c r="I2256" s="9">
        <v>1</v>
      </c>
      <c r="J2256" s="9">
        <v>200</v>
      </c>
      <c r="K2256" s="9">
        <v>0.52</v>
      </c>
      <c r="L2256" s="9">
        <v>104</v>
      </c>
      <c r="M2256" s="9">
        <v>7.5</v>
      </c>
      <c r="N2256" s="9" t="s">
        <v>49</v>
      </c>
      <c r="Q2256" s="9">
        <f>IF(Auction_Sales[[#This Row],[Payment Date]]=0,"",-1+WEEKNUM(Auction_Sales[[#This Row],[Payment Date]]))</f>
        <v>32</v>
      </c>
      <c r="R2256" s="9">
        <v>0</v>
      </c>
      <c r="S2256" s="9" t="s">
        <v>156</v>
      </c>
      <c r="T2256" s="9" t="s">
        <v>48</v>
      </c>
      <c r="U2256" s="9">
        <v>200</v>
      </c>
      <c r="V2256" s="13">
        <v>0.37</v>
      </c>
      <c r="W2256" s="13">
        <v>74</v>
      </c>
      <c r="X2256" s="14">
        <v>-13.473015873015873</v>
      </c>
      <c r="Y2256" s="13">
        <v>60.526984126984125</v>
      </c>
      <c r="Z2256" s="10">
        <v>45518</v>
      </c>
      <c r="AA2256" s="9">
        <v>0</v>
      </c>
      <c r="AC2256" s="9">
        <v>450172</v>
      </c>
      <c r="AD2256" s="14">
        <v>26.247321428571432</v>
      </c>
      <c r="AF2256" s="14">
        <v>4</v>
      </c>
      <c r="AH2256" s="14">
        <v>30.247321428571432</v>
      </c>
      <c r="AI2256" s="13">
        <v>30.279662698412693</v>
      </c>
      <c r="AK2256" s="9">
        <v>200</v>
      </c>
    </row>
    <row r="2257" spans="1:37">
      <c r="A2257" s="9">
        <v>31</v>
      </c>
      <c r="B2257" s="9">
        <v>2024</v>
      </c>
      <c r="C2257" s="9" t="s">
        <v>46</v>
      </c>
      <c r="D2257" s="9" t="s">
        <v>47</v>
      </c>
      <c r="E2257" s="9" t="s">
        <v>47</v>
      </c>
      <c r="F2257" s="10">
        <v>45505</v>
      </c>
      <c r="G2257" s="9" t="s">
        <v>156</v>
      </c>
      <c r="H2257" s="9" t="s">
        <v>54</v>
      </c>
      <c r="J2257" s="9">
        <v>40</v>
      </c>
      <c r="K2257" s="9">
        <v>0.66</v>
      </c>
      <c r="L2257" s="9">
        <v>26.4</v>
      </c>
      <c r="M2257" s="9">
        <v>1.5</v>
      </c>
      <c r="N2257" s="9" t="s">
        <v>49</v>
      </c>
      <c r="Q2257" s="9">
        <f>IF(Auction_Sales[[#This Row],[Payment Date]]=0,"",-1+WEEKNUM(Auction_Sales[[#This Row],[Payment Date]]))</f>
        <v>32</v>
      </c>
      <c r="R2257" s="9">
        <v>0</v>
      </c>
      <c r="S2257" s="9" t="s">
        <v>156</v>
      </c>
      <c r="T2257" s="9" t="s">
        <v>54</v>
      </c>
      <c r="U2257" s="9">
        <v>40</v>
      </c>
      <c r="V2257" s="13">
        <v>0.37</v>
      </c>
      <c r="W2257" s="13">
        <v>14.8</v>
      </c>
      <c r="X2257" s="14">
        <v>-2.6946031746031744</v>
      </c>
      <c r="Y2257" s="13">
        <v>12.105396825396827</v>
      </c>
      <c r="Z2257" s="10">
        <v>45518</v>
      </c>
      <c r="AA2257" s="9">
        <v>0</v>
      </c>
      <c r="AC2257" s="9">
        <v>450172</v>
      </c>
      <c r="AD2257" s="14">
        <v>5.2494642857142857</v>
      </c>
      <c r="AF2257" s="14">
        <v>0.8</v>
      </c>
      <c r="AH2257" s="14">
        <v>6.0494642857142855</v>
      </c>
      <c r="AI2257" s="13">
        <v>6.0559325396825416</v>
      </c>
      <c r="AK2257" s="9">
        <v>40</v>
      </c>
    </row>
    <row r="2258" spans="1:37">
      <c r="A2258" s="9">
        <v>31</v>
      </c>
      <c r="B2258" s="9">
        <v>2024</v>
      </c>
      <c r="C2258" s="9" t="s">
        <v>46</v>
      </c>
      <c r="D2258" s="9" t="s">
        <v>47</v>
      </c>
      <c r="E2258" s="9" t="s">
        <v>47</v>
      </c>
      <c r="F2258" s="10">
        <v>45505</v>
      </c>
      <c r="G2258" s="9" t="s">
        <v>156</v>
      </c>
      <c r="H2258" s="9" t="s">
        <v>52</v>
      </c>
      <c r="J2258" s="9">
        <v>80</v>
      </c>
      <c r="K2258" s="9">
        <v>0.61</v>
      </c>
      <c r="L2258" s="9">
        <v>48.8</v>
      </c>
      <c r="M2258" s="9">
        <v>3</v>
      </c>
      <c r="N2258" s="9" t="s">
        <v>49</v>
      </c>
      <c r="Q2258" s="9">
        <f>IF(Auction_Sales[[#This Row],[Payment Date]]=0,"",-1+WEEKNUM(Auction_Sales[[#This Row],[Payment Date]]))</f>
        <v>32</v>
      </c>
      <c r="R2258" s="9">
        <v>0</v>
      </c>
      <c r="S2258" s="9" t="s">
        <v>156</v>
      </c>
      <c r="T2258" s="9" t="s">
        <v>52</v>
      </c>
      <c r="U2258" s="9">
        <v>80</v>
      </c>
      <c r="V2258" s="13">
        <v>0.36</v>
      </c>
      <c r="W2258" s="13">
        <v>28.799999999999997</v>
      </c>
      <c r="X2258" s="14">
        <v>-5.3892063492063489</v>
      </c>
      <c r="Y2258" s="13">
        <v>23.41079365079365</v>
      </c>
      <c r="Z2258" s="10">
        <v>45518</v>
      </c>
      <c r="AA2258" s="9">
        <v>0</v>
      </c>
      <c r="AC2258" s="9">
        <v>450172</v>
      </c>
      <c r="AD2258" s="14">
        <v>10.498928571428571</v>
      </c>
      <c r="AF2258" s="14">
        <v>1.6</v>
      </c>
      <c r="AH2258" s="14">
        <v>12.098928571428571</v>
      </c>
      <c r="AI2258" s="13">
        <v>11.311865079365079</v>
      </c>
      <c r="AK2258" s="9">
        <v>80</v>
      </c>
    </row>
    <row r="2259" spans="1:37">
      <c r="A2259" s="9">
        <v>32</v>
      </c>
      <c r="B2259" s="9">
        <v>2024</v>
      </c>
      <c r="C2259" s="9" t="s">
        <v>46</v>
      </c>
      <c r="D2259" s="9" t="s">
        <v>47</v>
      </c>
      <c r="E2259" s="9" t="s">
        <v>47</v>
      </c>
      <c r="F2259" s="10">
        <v>45507</v>
      </c>
      <c r="G2259" s="9" t="s">
        <v>156</v>
      </c>
      <c r="H2259" s="9" t="s">
        <v>48</v>
      </c>
      <c r="I2259" s="9">
        <v>1</v>
      </c>
      <c r="J2259" s="9">
        <v>440</v>
      </c>
      <c r="K2259" s="9">
        <v>0.52</v>
      </c>
      <c r="L2259" s="9">
        <v>228.8</v>
      </c>
      <c r="M2259" s="9">
        <v>12</v>
      </c>
      <c r="N2259" s="9" t="s">
        <v>49</v>
      </c>
      <c r="Q2259" s="9">
        <f>IF(Auction_Sales[[#This Row],[Payment Date]]=0,"",-1+WEEKNUM(Auction_Sales[[#This Row],[Payment Date]]))</f>
        <v>32</v>
      </c>
      <c r="R2259" s="9">
        <v>440</v>
      </c>
      <c r="S2259" s="9" t="s">
        <v>156</v>
      </c>
      <c r="T2259" s="9" t="s">
        <v>48</v>
      </c>
      <c r="W2259" s="13">
        <v>0</v>
      </c>
      <c r="X2259" s="14">
        <v>0</v>
      </c>
      <c r="Y2259" s="13">
        <v>0</v>
      </c>
      <c r="Z2259" s="10">
        <v>45518</v>
      </c>
      <c r="AA2259" s="9">
        <v>-440</v>
      </c>
      <c r="AC2259" s="9">
        <v>450309</v>
      </c>
      <c r="AD2259" s="14">
        <v>45.626000000000005</v>
      </c>
      <c r="AF2259" s="14">
        <v>0</v>
      </c>
      <c r="AH2259" s="14">
        <v>45.626000000000005</v>
      </c>
      <c r="AI2259" s="13">
        <v>-45.626000000000005</v>
      </c>
      <c r="AK2259" s="9">
        <v>0</v>
      </c>
    </row>
    <row r="2260" spans="1:37">
      <c r="A2260" s="9">
        <v>32</v>
      </c>
      <c r="B2260" s="9">
        <v>2024</v>
      </c>
      <c r="C2260" s="9" t="s">
        <v>46</v>
      </c>
      <c r="D2260" s="9" t="s">
        <v>47</v>
      </c>
      <c r="E2260" s="9" t="s">
        <v>47</v>
      </c>
      <c r="F2260" s="10">
        <v>45507</v>
      </c>
      <c r="G2260" s="9" t="s">
        <v>154</v>
      </c>
      <c r="H2260" s="9" t="s">
        <v>48</v>
      </c>
      <c r="I2260" s="9">
        <v>1</v>
      </c>
      <c r="J2260" s="9">
        <v>480</v>
      </c>
      <c r="K2260" s="9">
        <v>0.47</v>
      </c>
      <c r="L2260" s="9">
        <v>225.6</v>
      </c>
      <c r="M2260" s="9">
        <v>12</v>
      </c>
      <c r="N2260" s="9" t="s">
        <v>49</v>
      </c>
      <c r="Q2260" s="9">
        <f>IF(Auction_Sales[[#This Row],[Payment Date]]=0,"",-1+WEEKNUM(Auction_Sales[[#This Row],[Payment Date]]))</f>
        <v>32</v>
      </c>
      <c r="R2260" s="9">
        <v>0</v>
      </c>
      <c r="S2260" s="9" t="s">
        <v>154</v>
      </c>
      <c r="T2260" s="9" t="s">
        <v>48</v>
      </c>
      <c r="U2260" s="9">
        <v>480</v>
      </c>
      <c r="V2260" s="13">
        <v>0.32583333333333336</v>
      </c>
      <c r="W2260" s="13">
        <v>156.4</v>
      </c>
      <c r="X2260" s="14">
        <v>-20.873333333333349</v>
      </c>
      <c r="Y2260" s="13">
        <v>135.52666666666664</v>
      </c>
      <c r="Z2260" s="10">
        <v>45518</v>
      </c>
      <c r="AA2260" s="9">
        <v>0</v>
      </c>
      <c r="AC2260" s="9">
        <v>450309</v>
      </c>
      <c r="AD2260" s="14">
        <v>45.626000000000005</v>
      </c>
      <c r="AF2260" s="14">
        <v>9.6</v>
      </c>
      <c r="AH2260" s="14">
        <v>55.226000000000006</v>
      </c>
      <c r="AI2260" s="13">
        <v>80.300666666666643</v>
      </c>
      <c r="AK2260" s="9">
        <v>480</v>
      </c>
    </row>
    <row r="2261" spans="1:37">
      <c r="A2261" s="9">
        <v>32</v>
      </c>
      <c r="B2261" s="9">
        <v>2024</v>
      </c>
      <c r="C2261" s="9" t="s">
        <v>46</v>
      </c>
      <c r="D2261" s="9" t="s">
        <v>47</v>
      </c>
      <c r="E2261" s="9" t="s">
        <v>47</v>
      </c>
      <c r="F2261" s="10">
        <v>45507</v>
      </c>
      <c r="G2261" s="9" t="s">
        <v>155</v>
      </c>
      <c r="H2261" s="9" t="s">
        <v>48</v>
      </c>
      <c r="I2261" s="9">
        <v>1</v>
      </c>
      <c r="J2261" s="9">
        <v>520</v>
      </c>
      <c r="K2261" s="9">
        <v>0.47</v>
      </c>
      <c r="L2261" s="9">
        <v>244.4</v>
      </c>
      <c r="M2261" s="9">
        <v>12</v>
      </c>
      <c r="N2261" s="9" t="s">
        <v>49</v>
      </c>
      <c r="Q2261" s="9">
        <f>IF(Auction_Sales[[#This Row],[Payment Date]]=0,"",-1+WEEKNUM(Auction_Sales[[#This Row],[Payment Date]]))</f>
        <v>32</v>
      </c>
      <c r="R2261" s="9">
        <v>40</v>
      </c>
      <c r="S2261" s="9" t="s">
        <v>155</v>
      </c>
      <c r="T2261" s="9" t="s">
        <v>48</v>
      </c>
      <c r="U2261" s="9">
        <v>480</v>
      </c>
      <c r="V2261" s="13">
        <v>0.54500000000000004</v>
      </c>
      <c r="W2261" s="13">
        <v>261.60000000000002</v>
      </c>
      <c r="X2261" s="14">
        <v>-20.873333333333349</v>
      </c>
      <c r="Y2261" s="13">
        <v>240.72666666666669</v>
      </c>
      <c r="Z2261" s="10">
        <v>45518</v>
      </c>
      <c r="AA2261" s="9">
        <v>-40</v>
      </c>
      <c r="AC2261" s="9">
        <v>450309</v>
      </c>
      <c r="AD2261" s="14">
        <v>45.626000000000005</v>
      </c>
      <c r="AF2261" s="14">
        <v>9.6</v>
      </c>
      <c r="AH2261" s="14">
        <v>55.226000000000006</v>
      </c>
      <c r="AI2261" s="13">
        <v>185.50066666666669</v>
      </c>
      <c r="AK2261" s="9">
        <v>480</v>
      </c>
    </row>
    <row r="2262" spans="1:37">
      <c r="A2262" s="9">
        <v>32</v>
      </c>
      <c r="B2262" s="9">
        <v>2024</v>
      </c>
      <c r="C2262" s="9" t="s">
        <v>46</v>
      </c>
      <c r="D2262" s="9" t="s">
        <v>47</v>
      </c>
      <c r="E2262" s="9" t="s">
        <v>47</v>
      </c>
      <c r="F2262" s="10">
        <v>45507</v>
      </c>
      <c r="G2262" s="9" t="s">
        <v>156</v>
      </c>
      <c r="H2262" s="9" t="s">
        <v>56</v>
      </c>
      <c r="I2262" s="9">
        <v>1</v>
      </c>
      <c r="J2262" s="9">
        <v>160</v>
      </c>
      <c r="K2262" s="9">
        <v>0.85</v>
      </c>
      <c r="L2262" s="9">
        <v>136</v>
      </c>
      <c r="M2262" s="9">
        <v>9.6000000000000014</v>
      </c>
      <c r="N2262" s="9" t="s">
        <v>49</v>
      </c>
      <c r="Q2262" s="9">
        <f>IF(Auction_Sales[[#This Row],[Payment Date]]=0,"",-1+WEEKNUM(Auction_Sales[[#This Row],[Payment Date]]))</f>
        <v>32</v>
      </c>
      <c r="R2262" s="9">
        <v>0</v>
      </c>
      <c r="S2262" s="9" t="s">
        <v>156</v>
      </c>
      <c r="T2262" s="9" t="s">
        <v>56</v>
      </c>
      <c r="U2262" s="9">
        <v>160</v>
      </c>
      <c r="V2262" s="13">
        <v>0.40499999999999997</v>
      </c>
      <c r="W2262" s="13">
        <v>64.8</v>
      </c>
      <c r="X2262" s="14">
        <v>-6.9577777777777827</v>
      </c>
      <c r="Y2262" s="13">
        <v>57.842222222222212</v>
      </c>
      <c r="Z2262" s="10">
        <v>45518</v>
      </c>
      <c r="AA2262" s="9">
        <v>0</v>
      </c>
      <c r="AC2262" s="9">
        <v>450309</v>
      </c>
      <c r="AD2262" s="14">
        <v>36.500800000000005</v>
      </c>
      <c r="AF2262" s="14">
        <v>3.2</v>
      </c>
      <c r="AH2262" s="14">
        <v>39.700800000000008</v>
      </c>
      <c r="AI2262" s="13">
        <v>18.141422222222204</v>
      </c>
      <c r="AK2262" s="9">
        <v>160</v>
      </c>
    </row>
    <row r="2263" spans="1:37">
      <c r="A2263" s="9">
        <v>32</v>
      </c>
      <c r="B2263" s="9">
        <v>2024</v>
      </c>
      <c r="C2263" s="9" t="s">
        <v>46</v>
      </c>
      <c r="D2263" s="9" t="s">
        <v>47</v>
      </c>
      <c r="E2263" s="9" t="s">
        <v>47</v>
      </c>
      <c r="F2263" s="10">
        <v>45507</v>
      </c>
      <c r="G2263" s="9" t="s">
        <v>156</v>
      </c>
      <c r="H2263" s="9" t="s">
        <v>57</v>
      </c>
      <c r="J2263" s="9">
        <v>40</v>
      </c>
      <c r="K2263" s="9">
        <v>1.04</v>
      </c>
      <c r="L2263" s="9">
        <v>41.6</v>
      </c>
      <c r="M2263" s="9">
        <v>2.4000000000000004</v>
      </c>
      <c r="N2263" s="9" t="s">
        <v>49</v>
      </c>
      <c r="Q2263" s="9">
        <f>IF(Auction_Sales[[#This Row],[Payment Date]]=0,"",-1+WEEKNUM(Auction_Sales[[#This Row],[Payment Date]]))</f>
        <v>32</v>
      </c>
      <c r="R2263" s="9">
        <v>0</v>
      </c>
      <c r="S2263" s="9" t="s">
        <v>156</v>
      </c>
      <c r="T2263" s="9" t="s">
        <v>57</v>
      </c>
      <c r="U2263" s="9">
        <v>40</v>
      </c>
      <c r="V2263" s="13">
        <v>0.77</v>
      </c>
      <c r="W2263" s="13">
        <v>30.8</v>
      </c>
      <c r="X2263" s="14">
        <v>-1.7394444444444457</v>
      </c>
      <c r="Y2263" s="13">
        <v>29.060555555555556</v>
      </c>
      <c r="Z2263" s="10">
        <v>45518</v>
      </c>
      <c r="AA2263" s="9">
        <v>0</v>
      </c>
      <c r="AC2263" s="9">
        <v>450309</v>
      </c>
      <c r="AD2263" s="14">
        <v>9.1252000000000013</v>
      </c>
      <c r="AF2263" s="14">
        <v>0.8</v>
      </c>
      <c r="AH2263" s="14">
        <v>9.925200000000002</v>
      </c>
      <c r="AI2263" s="13">
        <v>19.135355555555556</v>
      </c>
      <c r="AK2263" s="9">
        <v>40</v>
      </c>
    </row>
    <row r="2264" spans="1:37">
      <c r="A2264" s="9">
        <v>32</v>
      </c>
      <c r="B2264" s="9">
        <v>2024</v>
      </c>
      <c r="C2264" s="9" t="s">
        <v>46</v>
      </c>
      <c r="D2264" s="9" t="s">
        <v>47</v>
      </c>
      <c r="E2264" s="9" t="s">
        <v>47</v>
      </c>
      <c r="F2264" s="10">
        <v>45507</v>
      </c>
      <c r="G2264" s="9" t="s">
        <v>153</v>
      </c>
      <c r="H2264" s="9" t="s">
        <v>48</v>
      </c>
      <c r="I2264" s="9">
        <v>1</v>
      </c>
      <c r="J2264" s="9">
        <v>160</v>
      </c>
      <c r="K2264" s="9">
        <v>0.24</v>
      </c>
      <c r="L2264" s="9">
        <v>38.4</v>
      </c>
      <c r="M2264" s="9">
        <v>3.4285714285714284</v>
      </c>
      <c r="N2264" s="9" t="s">
        <v>49</v>
      </c>
      <c r="Q2264" s="9">
        <f>IF(Auction_Sales[[#This Row],[Payment Date]]=0,"",-1+WEEKNUM(Auction_Sales[[#This Row],[Payment Date]]))</f>
        <v>32</v>
      </c>
      <c r="R2264" s="9">
        <v>0</v>
      </c>
      <c r="S2264" s="9" t="s">
        <v>153</v>
      </c>
      <c r="T2264" s="9" t="s">
        <v>48</v>
      </c>
      <c r="U2264" s="9">
        <v>160</v>
      </c>
      <c r="V2264" s="13">
        <v>0.1525</v>
      </c>
      <c r="W2264" s="13">
        <v>24.4</v>
      </c>
      <c r="X2264" s="14">
        <v>-6.9577777777777827</v>
      </c>
      <c r="Y2264" s="13">
        <v>17.442222222222217</v>
      </c>
      <c r="Z2264" s="10">
        <v>45518</v>
      </c>
      <c r="AA2264" s="9">
        <v>0</v>
      </c>
      <c r="AC2264" s="9">
        <v>450309</v>
      </c>
      <c r="AD2264" s="14">
        <v>13.036</v>
      </c>
      <c r="AF2264" s="14">
        <v>3.2</v>
      </c>
      <c r="AH2264" s="14">
        <v>16.236000000000001</v>
      </c>
      <c r="AI2264" s="13">
        <v>1.2062222222222161</v>
      </c>
      <c r="AK2264" s="9">
        <v>160</v>
      </c>
    </row>
    <row r="2265" spans="1:37">
      <c r="A2265" s="9">
        <v>32</v>
      </c>
      <c r="B2265" s="9">
        <v>2024</v>
      </c>
      <c r="C2265" s="9" t="s">
        <v>46</v>
      </c>
      <c r="D2265" s="9" t="s">
        <v>47</v>
      </c>
      <c r="E2265" s="9" t="s">
        <v>47</v>
      </c>
      <c r="F2265" s="10">
        <v>45507</v>
      </c>
      <c r="G2265" s="9" t="s">
        <v>153</v>
      </c>
      <c r="H2265" s="9" t="s">
        <v>52</v>
      </c>
      <c r="J2265" s="9">
        <v>160</v>
      </c>
      <c r="K2265" s="9">
        <v>0.28000000000000003</v>
      </c>
      <c r="L2265" s="9">
        <v>44.8</v>
      </c>
      <c r="M2265" s="9">
        <v>3.4285714285714284</v>
      </c>
      <c r="N2265" s="9" t="s">
        <v>49</v>
      </c>
      <c r="Q2265" s="9">
        <f>IF(Auction_Sales[[#This Row],[Payment Date]]=0,"",-1+WEEKNUM(Auction_Sales[[#This Row],[Payment Date]]))</f>
        <v>32</v>
      </c>
      <c r="R2265" s="9">
        <v>0</v>
      </c>
      <c r="S2265" s="9" t="s">
        <v>153</v>
      </c>
      <c r="T2265" s="9" t="s">
        <v>52</v>
      </c>
      <c r="U2265" s="9">
        <v>160</v>
      </c>
      <c r="V2265" s="13">
        <v>0.44500000000000001</v>
      </c>
      <c r="W2265" s="13">
        <v>71.2</v>
      </c>
      <c r="X2265" s="14">
        <v>-6.9577777777777827</v>
      </c>
      <c r="Y2265" s="13">
        <v>64.242222222222225</v>
      </c>
      <c r="Z2265" s="10">
        <v>45518</v>
      </c>
      <c r="AA2265" s="9">
        <v>0</v>
      </c>
      <c r="AC2265" s="9">
        <v>450309</v>
      </c>
      <c r="AD2265" s="14">
        <v>13.036</v>
      </c>
      <c r="AF2265" s="14">
        <v>3.2</v>
      </c>
      <c r="AH2265" s="14">
        <v>16.236000000000001</v>
      </c>
      <c r="AI2265" s="13">
        <v>48.00622222222222</v>
      </c>
      <c r="AK2265" s="9">
        <v>160</v>
      </c>
    </row>
    <row r="2266" spans="1:37">
      <c r="A2266" s="9">
        <v>32</v>
      </c>
      <c r="B2266" s="9">
        <v>2024</v>
      </c>
      <c r="C2266" s="9" t="s">
        <v>46</v>
      </c>
      <c r="D2266" s="9" t="s">
        <v>47</v>
      </c>
      <c r="E2266" s="9" t="s">
        <v>47</v>
      </c>
      <c r="F2266" s="10">
        <v>45507</v>
      </c>
      <c r="G2266" s="9" t="s">
        <v>153</v>
      </c>
      <c r="H2266" s="9" t="s">
        <v>54</v>
      </c>
      <c r="J2266" s="9">
        <v>160</v>
      </c>
      <c r="K2266" s="9">
        <v>0.33</v>
      </c>
      <c r="L2266" s="9">
        <v>52.8</v>
      </c>
      <c r="M2266" s="9">
        <v>3.4285714285714284</v>
      </c>
      <c r="N2266" s="9" t="s">
        <v>49</v>
      </c>
      <c r="Q2266" s="9">
        <f>IF(Auction_Sales[[#This Row],[Payment Date]]=0,"",-1+WEEKNUM(Auction_Sales[[#This Row],[Payment Date]]))</f>
        <v>32</v>
      </c>
      <c r="R2266" s="9">
        <v>0</v>
      </c>
      <c r="S2266" s="9" t="s">
        <v>153</v>
      </c>
      <c r="T2266" s="9" t="s">
        <v>54</v>
      </c>
      <c r="U2266" s="9">
        <v>160</v>
      </c>
      <c r="V2266" s="13">
        <v>0.21749999999999997</v>
      </c>
      <c r="W2266" s="13">
        <v>34.799999999999997</v>
      </c>
      <c r="X2266" s="14">
        <v>-6.9577777777777827</v>
      </c>
      <c r="Y2266" s="13">
        <v>27.842222222222215</v>
      </c>
      <c r="Z2266" s="10">
        <v>45518</v>
      </c>
      <c r="AA2266" s="9">
        <v>0</v>
      </c>
      <c r="AC2266" s="9">
        <v>450309</v>
      </c>
      <c r="AD2266" s="14">
        <v>13.036</v>
      </c>
      <c r="AF2266" s="14">
        <v>3.2</v>
      </c>
      <c r="AH2266" s="14">
        <v>16.236000000000001</v>
      </c>
      <c r="AI2266" s="13">
        <v>11.606222222222215</v>
      </c>
      <c r="AK2266" s="9">
        <v>160</v>
      </c>
    </row>
    <row r="2267" spans="1:37">
      <c r="A2267" s="9">
        <v>32</v>
      </c>
      <c r="B2267" s="9">
        <v>2024</v>
      </c>
      <c r="C2267" s="9" t="s">
        <v>46</v>
      </c>
      <c r="D2267" s="9" t="s">
        <v>47</v>
      </c>
      <c r="E2267" s="9" t="s">
        <v>47</v>
      </c>
      <c r="F2267" s="10">
        <v>45507</v>
      </c>
      <c r="G2267" s="9" t="s">
        <v>153</v>
      </c>
      <c r="H2267" s="9" t="s">
        <v>56</v>
      </c>
      <c r="J2267" s="9">
        <v>40</v>
      </c>
      <c r="K2267" s="9">
        <v>0.38</v>
      </c>
      <c r="L2267" s="9">
        <v>15.2</v>
      </c>
      <c r="M2267" s="9">
        <v>0.8571428571428571</v>
      </c>
      <c r="N2267" s="9" t="s">
        <v>49</v>
      </c>
      <c r="Q2267" s="9">
        <f>IF(Auction_Sales[[#This Row],[Payment Date]]=0,"",-1+WEEKNUM(Auction_Sales[[#This Row],[Payment Date]]))</f>
        <v>32</v>
      </c>
      <c r="R2267" s="9">
        <v>0</v>
      </c>
      <c r="S2267" s="9" t="s">
        <v>153</v>
      </c>
      <c r="T2267" s="9" t="s">
        <v>56</v>
      </c>
      <c r="U2267" s="9">
        <v>40</v>
      </c>
      <c r="V2267" s="13">
        <v>0.26</v>
      </c>
      <c r="W2267" s="13">
        <v>10.4</v>
      </c>
      <c r="X2267" s="14">
        <v>-1.7394444444444457</v>
      </c>
      <c r="Y2267" s="13">
        <v>8.660555555555554</v>
      </c>
      <c r="Z2267" s="10">
        <v>45518</v>
      </c>
      <c r="AA2267" s="9">
        <v>0</v>
      </c>
      <c r="AC2267" s="9">
        <v>450309</v>
      </c>
      <c r="AD2267" s="14">
        <v>3.2589999999999999</v>
      </c>
      <c r="AF2267" s="14">
        <v>0.8</v>
      </c>
      <c r="AH2267" s="14">
        <v>4.0590000000000002</v>
      </c>
      <c r="AI2267" s="13">
        <v>4.6015555555555538</v>
      </c>
      <c r="AK2267" s="9">
        <v>40</v>
      </c>
    </row>
    <row r="2268" spans="1:37">
      <c r="A2268" s="9">
        <v>32</v>
      </c>
      <c r="B2268" s="9">
        <v>2024</v>
      </c>
      <c r="C2268" s="9" t="s">
        <v>46</v>
      </c>
      <c r="D2268" s="9" t="s">
        <v>47</v>
      </c>
      <c r="E2268" s="9" t="s">
        <v>47</v>
      </c>
      <c r="F2268" s="10">
        <v>45507</v>
      </c>
      <c r="G2268" s="9" t="s">
        <v>153</v>
      </c>
      <c r="H2268" s="9" t="s">
        <v>57</v>
      </c>
      <c r="J2268" s="9">
        <v>40</v>
      </c>
      <c r="K2268" s="9">
        <v>0.47</v>
      </c>
      <c r="L2268" s="9">
        <v>18.8</v>
      </c>
      <c r="M2268" s="9">
        <v>0.8571428571428571</v>
      </c>
      <c r="N2268" s="9" t="s">
        <v>49</v>
      </c>
      <c r="Q2268" s="9">
        <f>IF(Auction_Sales[[#This Row],[Payment Date]]=0,"",-1+WEEKNUM(Auction_Sales[[#This Row],[Payment Date]]))</f>
        <v>32</v>
      </c>
      <c r="R2268" s="9">
        <v>0</v>
      </c>
      <c r="S2268" s="9" t="s">
        <v>153</v>
      </c>
      <c r="T2268" s="9" t="s">
        <v>57</v>
      </c>
      <c r="U2268" s="9">
        <v>40</v>
      </c>
      <c r="V2268" s="13">
        <v>0.78</v>
      </c>
      <c r="W2268" s="13">
        <v>31.200000000000003</v>
      </c>
      <c r="X2268" s="14">
        <v>-1.7394444444444457</v>
      </c>
      <c r="Y2268" s="13">
        <v>29.460555555555558</v>
      </c>
      <c r="Z2268" s="10">
        <v>45518</v>
      </c>
      <c r="AA2268" s="9">
        <v>0</v>
      </c>
      <c r="AC2268" s="9">
        <v>450309</v>
      </c>
      <c r="AD2268" s="14">
        <v>3.2589999999999999</v>
      </c>
      <c r="AF2268" s="14">
        <v>0.8</v>
      </c>
      <c r="AH2268" s="14">
        <v>4.0590000000000002</v>
      </c>
      <c r="AI2268" s="13">
        <v>25.401555555555557</v>
      </c>
      <c r="AK2268" s="9">
        <v>40</v>
      </c>
    </row>
    <row r="2269" spans="1:37">
      <c r="A2269" s="9">
        <v>32</v>
      </c>
      <c r="B2269" s="9">
        <v>2024</v>
      </c>
      <c r="C2269" s="9" t="s">
        <v>46</v>
      </c>
      <c r="D2269" s="9" t="s">
        <v>47</v>
      </c>
      <c r="E2269" s="9" t="s">
        <v>47</v>
      </c>
      <c r="F2269" s="10">
        <v>45507</v>
      </c>
      <c r="G2269" s="9" t="s">
        <v>156</v>
      </c>
      <c r="H2269" s="9" t="s">
        <v>54</v>
      </c>
      <c r="N2269" s="9" t="s">
        <v>49</v>
      </c>
      <c r="Q2269" s="9">
        <f>IF(Auction_Sales[[#This Row],[Payment Date]]=0,"",-1+WEEKNUM(Auction_Sales[[#This Row],[Payment Date]]))</f>
        <v>32</v>
      </c>
      <c r="R2269" s="9">
        <v>-440</v>
      </c>
      <c r="S2269" s="9" t="s">
        <v>156</v>
      </c>
      <c r="T2269" s="9" t="s">
        <v>54</v>
      </c>
      <c r="U2269" s="9">
        <v>440</v>
      </c>
      <c r="V2269" s="13">
        <v>0.34545454545454546</v>
      </c>
      <c r="W2269" s="13">
        <v>152</v>
      </c>
      <c r="X2269" s="14">
        <v>-19.133888888888901</v>
      </c>
      <c r="Y2269" s="13">
        <v>132.86611111111111</v>
      </c>
      <c r="Z2269" s="10">
        <v>45518</v>
      </c>
      <c r="AA2269" s="9">
        <v>440</v>
      </c>
      <c r="AC2269" s="9">
        <v>450309</v>
      </c>
      <c r="AD2269" s="14">
        <v>0</v>
      </c>
      <c r="AF2269" s="14">
        <v>8.8000000000000007</v>
      </c>
      <c r="AH2269" s="14">
        <v>8.8000000000000007</v>
      </c>
      <c r="AI2269" s="13">
        <v>124.06611111111111</v>
      </c>
      <c r="AK2269" s="9">
        <v>440</v>
      </c>
    </row>
    <row r="2270" spans="1:37">
      <c r="A2270" s="9">
        <v>32</v>
      </c>
      <c r="B2270" s="9">
        <v>2024</v>
      </c>
      <c r="C2270" s="9" t="s">
        <v>46</v>
      </c>
      <c r="D2270" s="9" t="s">
        <v>47</v>
      </c>
      <c r="E2270" s="9" t="s">
        <v>47</v>
      </c>
      <c r="F2270" s="10">
        <v>45507</v>
      </c>
      <c r="G2270" s="9" t="s">
        <v>153</v>
      </c>
      <c r="H2270" s="9" t="s">
        <v>54</v>
      </c>
      <c r="N2270" s="9" t="s">
        <v>49</v>
      </c>
      <c r="Q2270" s="9">
        <f>IF(Auction_Sales[[#This Row],[Payment Date]]=0,"",-1+WEEKNUM(Auction_Sales[[#This Row],[Payment Date]]))</f>
        <v>32</v>
      </c>
      <c r="R2270" s="9">
        <v>-120</v>
      </c>
      <c r="S2270" s="9" t="s">
        <v>153</v>
      </c>
      <c r="T2270" s="9" t="s">
        <v>54</v>
      </c>
      <c r="U2270" s="9">
        <v>120</v>
      </c>
      <c r="V2270" s="13">
        <v>0.31</v>
      </c>
      <c r="W2270" s="13">
        <v>37.200000000000003</v>
      </c>
      <c r="X2270" s="14">
        <v>-8.5259999999999998</v>
      </c>
      <c r="Y2270" s="13">
        <v>28.674000000000003</v>
      </c>
      <c r="Z2270" s="10">
        <v>45518</v>
      </c>
      <c r="AA2270" s="9">
        <v>120</v>
      </c>
      <c r="AC2270" s="9">
        <v>450309</v>
      </c>
      <c r="AD2270" s="14">
        <v>0</v>
      </c>
      <c r="AF2270" s="14">
        <v>2.4</v>
      </c>
      <c r="AH2270" s="14">
        <v>2.4</v>
      </c>
      <c r="AI2270" s="13">
        <v>26.274000000000004</v>
      </c>
      <c r="AK2270" s="9">
        <v>120</v>
      </c>
    </row>
    <row r="2271" spans="1:37">
      <c r="A2271" s="9">
        <v>32</v>
      </c>
      <c r="B2271" s="9">
        <v>2024</v>
      </c>
      <c r="C2271" s="9" t="s">
        <v>46</v>
      </c>
      <c r="D2271" s="9" t="s">
        <v>47</v>
      </c>
      <c r="E2271" s="9" t="s">
        <v>47</v>
      </c>
      <c r="F2271" s="10">
        <v>45507</v>
      </c>
      <c r="G2271" s="9" t="s">
        <v>153</v>
      </c>
      <c r="H2271" s="9" t="s">
        <v>54</v>
      </c>
      <c r="N2271" s="9" t="s">
        <v>49</v>
      </c>
      <c r="Q2271" s="9">
        <f>IF(Auction_Sales[[#This Row],[Payment Date]]=0,"",-1+WEEKNUM(Auction_Sales[[#This Row],[Payment Date]]))</f>
        <v>32</v>
      </c>
      <c r="R2271" s="9">
        <v>120</v>
      </c>
      <c r="S2271" s="9" t="s">
        <v>153</v>
      </c>
      <c r="T2271" s="9" t="s">
        <v>54</v>
      </c>
      <c r="U2271" s="9">
        <v>-120</v>
      </c>
      <c r="V2271" s="13">
        <v>0.22</v>
      </c>
      <c r="W2271" s="13">
        <v>-26.4</v>
      </c>
      <c r="X2271" s="14">
        <v>0</v>
      </c>
      <c r="Y2271" s="13">
        <v>-26.4</v>
      </c>
      <c r="Z2271" s="10">
        <v>45518</v>
      </c>
      <c r="AA2271" s="9">
        <v>-120</v>
      </c>
      <c r="AC2271" s="9">
        <v>450309</v>
      </c>
      <c r="AD2271" s="14">
        <v>0</v>
      </c>
      <c r="AF2271" s="14">
        <v>-2.4</v>
      </c>
      <c r="AH2271" s="14">
        <v>-2.4</v>
      </c>
      <c r="AI2271" s="13">
        <v>-24</v>
      </c>
      <c r="AK2271" s="9">
        <v>-120</v>
      </c>
    </row>
    <row r="2272" spans="1:37">
      <c r="A2272" s="9">
        <v>32</v>
      </c>
      <c r="B2272" s="9">
        <v>2024</v>
      </c>
      <c r="C2272" s="9" t="s">
        <v>46</v>
      </c>
      <c r="D2272" s="9" t="s">
        <v>47</v>
      </c>
      <c r="E2272" s="9" t="s">
        <v>47</v>
      </c>
      <c r="F2272" s="10">
        <v>45507</v>
      </c>
      <c r="G2272" s="9" t="s">
        <v>156</v>
      </c>
      <c r="H2272" s="9" t="s">
        <v>54</v>
      </c>
      <c r="N2272" s="9" t="s">
        <v>49</v>
      </c>
      <c r="Q2272" s="9">
        <f>IF(Auction_Sales[[#This Row],[Payment Date]]=0,"",-1+WEEKNUM(Auction_Sales[[#This Row],[Payment Date]]))</f>
        <v>32</v>
      </c>
      <c r="R2272" s="9">
        <v>80</v>
      </c>
      <c r="S2272" s="9" t="s">
        <v>156</v>
      </c>
      <c r="T2272" s="9" t="s">
        <v>54</v>
      </c>
      <c r="U2272" s="9">
        <v>-80</v>
      </c>
      <c r="V2272" s="13">
        <v>0.3</v>
      </c>
      <c r="W2272" s="13">
        <v>-24</v>
      </c>
      <c r="X2272" s="14">
        <v>0</v>
      </c>
      <c r="Y2272" s="13">
        <v>-24</v>
      </c>
      <c r="Z2272" s="10">
        <v>45518</v>
      </c>
      <c r="AA2272" s="9">
        <v>-80</v>
      </c>
      <c r="AC2272" s="9">
        <v>450309</v>
      </c>
      <c r="AD2272" s="14">
        <v>0</v>
      </c>
      <c r="AF2272" s="14">
        <v>-1.6</v>
      </c>
      <c r="AH2272" s="14">
        <v>-1.6</v>
      </c>
      <c r="AI2272" s="13">
        <v>-22.4</v>
      </c>
      <c r="AK2272" s="9">
        <v>-80</v>
      </c>
    </row>
    <row r="2273" spans="1:37">
      <c r="A2273" s="9">
        <v>32</v>
      </c>
      <c r="B2273" s="9">
        <v>2024</v>
      </c>
      <c r="C2273" s="9" t="s">
        <v>46</v>
      </c>
      <c r="D2273" s="9" t="s">
        <v>47</v>
      </c>
      <c r="E2273" s="9" t="s">
        <v>47</v>
      </c>
      <c r="F2273" s="10">
        <v>45507</v>
      </c>
      <c r="G2273" s="9" t="s">
        <v>156</v>
      </c>
      <c r="H2273" s="9" t="s">
        <v>54</v>
      </c>
      <c r="N2273" s="9" t="s">
        <v>49</v>
      </c>
      <c r="Q2273" s="9">
        <f>IF(Auction_Sales[[#This Row],[Payment Date]]=0,"",-1+WEEKNUM(Auction_Sales[[#This Row],[Payment Date]]))</f>
        <v>32</v>
      </c>
      <c r="R2273" s="9">
        <v>-80</v>
      </c>
      <c r="S2273" s="9" t="s">
        <v>156</v>
      </c>
      <c r="T2273" s="9" t="s">
        <v>54</v>
      </c>
      <c r="U2273" s="9">
        <v>80</v>
      </c>
      <c r="V2273" s="13">
        <v>0.2</v>
      </c>
      <c r="W2273" s="13">
        <v>16</v>
      </c>
      <c r="X2273" s="14">
        <v>-5.6840000000000011</v>
      </c>
      <c r="Y2273" s="13">
        <v>10.315999999999999</v>
      </c>
      <c r="Z2273" s="10">
        <v>45518</v>
      </c>
      <c r="AA2273" s="9">
        <v>80</v>
      </c>
      <c r="AC2273" s="9">
        <v>450309</v>
      </c>
      <c r="AD2273" s="14">
        <v>0</v>
      </c>
      <c r="AF2273" s="14">
        <v>1.6</v>
      </c>
      <c r="AH2273" s="14">
        <v>1.6</v>
      </c>
      <c r="AI2273" s="13">
        <v>8.7159999999999993</v>
      </c>
      <c r="AK2273" s="9">
        <v>80</v>
      </c>
    </row>
    <row r="2274" spans="1:37">
      <c r="A2274" s="9">
        <v>32</v>
      </c>
      <c r="B2274" s="9">
        <v>2024</v>
      </c>
      <c r="C2274" s="9" t="s">
        <v>46</v>
      </c>
      <c r="D2274" s="9" t="s">
        <v>47</v>
      </c>
      <c r="E2274" s="9" t="s">
        <v>47</v>
      </c>
      <c r="F2274" s="10">
        <v>45509</v>
      </c>
      <c r="G2274" s="9" t="s">
        <v>154</v>
      </c>
      <c r="H2274" s="9" t="s">
        <v>57</v>
      </c>
      <c r="I2274" s="9">
        <v>1</v>
      </c>
      <c r="J2274" s="9">
        <v>200</v>
      </c>
      <c r="K2274" s="9">
        <v>0.94</v>
      </c>
      <c r="L2274" s="9">
        <v>188</v>
      </c>
      <c r="M2274" s="9">
        <v>12</v>
      </c>
      <c r="N2274" s="9" t="s">
        <v>49</v>
      </c>
      <c r="Q2274" s="9">
        <f>IF(Auction_Sales[[#This Row],[Payment Date]]=0,"",-1+WEEKNUM(Auction_Sales[[#This Row],[Payment Date]]))</f>
        <v>32</v>
      </c>
      <c r="R2274" s="9">
        <v>0</v>
      </c>
      <c r="S2274" s="9" t="s">
        <v>154</v>
      </c>
      <c r="T2274" s="9" t="s">
        <v>57</v>
      </c>
      <c r="U2274" s="9">
        <v>200</v>
      </c>
      <c r="V2274" s="13">
        <v>0.89</v>
      </c>
      <c r="W2274" s="13">
        <v>178</v>
      </c>
      <c r="X2274" s="14">
        <v>-14.650735294117656</v>
      </c>
      <c r="Y2274" s="13">
        <v>163.34926470588235</v>
      </c>
      <c r="Z2274" s="10">
        <v>45518</v>
      </c>
      <c r="AA2274" s="9">
        <v>0</v>
      </c>
      <c r="AC2274" s="9" t="s">
        <v>136</v>
      </c>
      <c r="AD2274" s="14">
        <v>56.647500000000001</v>
      </c>
      <c r="AF2274" s="14">
        <v>4</v>
      </c>
      <c r="AH2274" s="14">
        <v>60.647500000000001</v>
      </c>
      <c r="AI2274" s="13">
        <v>102.70176470588234</v>
      </c>
      <c r="AK2274" s="9">
        <v>200</v>
      </c>
    </row>
    <row r="2275" spans="1:37">
      <c r="A2275" s="9">
        <v>32</v>
      </c>
      <c r="B2275" s="9">
        <v>2024</v>
      </c>
      <c r="C2275" s="9" t="s">
        <v>46</v>
      </c>
      <c r="D2275" s="9" t="s">
        <v>47</v>
      </c>
      <c r="E2275" s="9" t="s">
        <v>47</v>
      </c>
      <c r="F2275" s="10">
        <v>45509</v>
      </c>
      <c r="G2275" s="9" t="s">
        <v>160</v>
      </c>
      <c r="H2275" s="9" t="s">
        <v>137</v>
      </c>
      <c r="I2275" s="9">
        <v>2</v>
      </c>
      <c r="J2275" s="9">
        <v>32</v>
      </c>
      <c r="K2275" s="9">
        <v>1.42</v>
      </c>
      <c r="L2275" s="9">
        <v>45.44</v>
      </c>
      <c r="M2275" s="9">
        <v>24</v>
      </c>
      <c r="N2275" s="9" t="s">
        <v>49</v>
      </c>
      <c r="Q2275" s="9">
        <f>IF(Auction_Sales[[#This Row],[Payment Date]]=0,"",-1+WEEKNUM(Auction_Sales[[#This Row],[Payment Date]]))</f>
        <v>32</v>
      </c>
      <c r="R2275" s="9">
        <v>16</v>
      </c>
      <c r="S2275" s="9" t="s">
        <v>160</v>
      </c>
      <c r="T2275" s="9" t="s">
        <v>137</v>
      </c>
      <c r="U2275" s="9">
        <v>16</v>
      </c>
      <c r="V2275" s="13">
        <v>6.1875</v>
      </c>
      <c r="W2275" s="13">
        <v>99</v>
      </c>
      <c r="X2275" s="14">
        <v>-1.1720588235294125</v>
      </c>
      <c r="Y2275" s="13">
        <v>97.827941176470588</v>
      </c>
      <c r="Z2275" s="10">
        <v>45518</v>
      </c>
      <c r="AA2275" s="9">
        <v>-16</v>
      </c>
      <c r="AC2275" s="9" t="s">
        <v>136</v>
      </c>
      <c r="AD2275" s="14">
        <v>113.295</v>
      </c>
      <c r="AF2275" s="14">
        <v>0.96</v>
      </c>
      <c r="AH2275" s="14">
        <v>114.255</v>
      </c>
      <c r="AI2275" s="13">
        <v>-16.427058823529407</v>
      </c>
      <c r="AK2275" s="9">
        <v>16</v>
      </c>
    </row>
    <row r="2276" spans="1:37">
      <c r="A2276" s="9">
        <v>32</v>
      </c>
      <c r="B2276" s="9">
        <v>2024</v>
      </c>
      <c r="C2276" s="9" t="s">
        <v>46</v>
      </c>
      <c r="D2276" s="9" t="s">
        <v>47</v>
      </c>
      <c r="E2276" s="9" t="s">
        <v>47</v>
      </c>
      <c r="F2276" s="10">
        <v>45509</v>
      </c>
      <c r="G2276" s="9" t="s">
        <v>154</v>
      </c>
      <c r="H2276" s="9" t="s">
        <v>48</v>
      </c>
      <c r="I2276" s="9">
        <v>1</v>
      </c>
      <c r="J2276" s="9">
        <v>280</v>
      </c>
      <c r="K2276" s="9">
        <v>0.47</v>
      </c>
      <c r="L2276" s="9">
        <v>131.6</v>
      </c>
      <c r="M2276" s="9">
        <v>8.3999999999999986</v>
      </c>
      <c r="N2276" s="9" t="s">
        <v>49</v>
      </c>
      <c r="Q2276" s="9">
        <f>IF(Auction_Sales[[#This Row],[Payment Date]]=0,"",-1+WEEKNUM(Auction_Sales[[#This Row],[Payment Date]]))</f>
        <v>32</v>
      </c>
      <c r="R2276" s="9">
        <v>0</v>
      </c>
      <c r="S2276" s="9" t="s">
        <v>154</v>
      </c>
      <c r="T2276" s="9" t="s">
        <v>48</v>
      </c>
      <c r="U2276" s="9">
        <v>280</v>
      </c>
      <c r="V2276" s="13">
        <v>0.47714285714285715</v>
      </c>
      <c r="W2276" s="13">
        <v>133.6</v>
      </c>
      <c r="X2276" s="14">
        <v>-20.511029411764721</v>
      </c>
      <c r="Y2276" s="13">
        <v>113.08897058823527</v>
      </c>
      <c r="Z2276" s="10">
        <v>45518</v>
      </c>
      <c r="AA2276" s="9">
        <v>0</v>
      </c>
      <c r="AC2276" s="9" t="s">
        <v>136</v>
      </c>
      <c r="AD2276" s="14">
        <v>39.653249999999993</v>
      </c>
      <c r="AF2276" s="14">
        <v>5.6000000000000005</v>
      </c>
      <c r="AH2276" s="14">
        <v>45.253249999999994</v>
      </c>
      <c r="AI2276" s="13">
        <v>67.835720588235276</v>
      </c>
      <c r="AK2276" s="9">
        <v>280</v>
      </c>
    </row>
    <row r="2277" spans="1:37">
      <c r="A2277" s="9">
        <v>32</v>
      </c>
      <c r="B2277" s="9">
        <v>2024</v>
      </c>
      <c r="C2277" s="9" t="s">
        <v>46</v>
      </c>
      <c r="D2277" s="9" t="s">
        <v>47</v>
      </c>
      <c r="E2277" s="9" t="s">
        <v>47</v>
      </c>
      <c r="F2277" s="10">
        <v>45509</v>
      </c>
      <c r="G2277" s="9" t="s">
        <v>154</v>
      </c>
      <c r="H2277" s="9" t="s">
        <v>52</v>
      </c>
      <c r="J2277" s="9">
        <v>120</v>
      </c>
      <c r="K2277" s="9">
        <v>0.52</v>
      </c>
      <c r="L2277" s="9">
        <v>62.4</v>
      </c>
      <c r="M2277" s="9">
        <v>3.5999999999999996</v>
      </c>
      <c r="N2277" s="9" t="s">
        <v>49</v>
      </c>
      <c r="Q2277" s="9">
        <f>IF(Auction_Sales[[#This Row],[Payment Date]]=0,"",-1+WEEKNUM(Auction_Sales[[#This Row],[Payment Date]]))</f>
        <v>32</v>
      </c>
      <c r="R2277" s="9">
        <v>0</v>
      </c>
      <c r="S2277" s="9" t="s">
        <v>154</v>
      </c>
      <c r="T2277" s="9" t="s">
        <v>52</v>
      </c>
      <c r="U2277" s="9">
        <v>120</v>
      </c>
      <c r="V2277" s="13">
        <v>0.67666666666666664</v>
      </c>
      <c r="W2277" s="13">
        <v>81.2</v>
      </c>
      <c r="X2277" s="14">
        <v>-8.7904411764705941</v>
      </c>
      <c r="Y2277" s="13">
        <v>72.409558823529409</v>
      </c>
      <c r="Z2277" s="10">
        <v>45518</v>
      </c>
      <c r="AA2277" s="9">
        <v>0</v>
      </c>
      <c r="AC2277" s="9" t="s">
        <v>136</v>
      </c>
      <c r="AD2277" s="14">
        <v>16.994250000000001</v>
      </c>
      <c r="AF2277" s="14">
        <v>2.4</v>
      </c>
      <c r="AH2277" s="14">
        <v>19.39425</v>
      </c>
      <c r="AI2277" s="13">
        <v>53.015308823529409</v>
      </c>
      <c r="AK2277" s="9">
        <v>120</v>
      </c>
    </row>
    <row r="2278" spans="1:37">
      <c r="A2278" s="9">
        <v>32</v>
      </c>
      <c r="B2278" s="9">
        <v>2024</v>
      </c>
      <c r="C2278" s="9" t="s">
        <v>46</v>
      </c>
      <c r="D2278" s="9" t="s">
        <v>47</v>
      </c>
      <c r="E2278" s="9" t="s">
        <v>47</v>
      </c>
      <c r="F2278" s="10">
        <v>45509</v>
      </c>
      <c r="G2278" s="9" t="s">
        <v>154</v>
      </c>
      <c r="H2278" s="9" t="s">
        <v>56</v>
      </c>
      <c r="I2278" s="9">
        <v>1</v>
      </c>
      <c r="J2278" s="9">
        <v>160</v>
      </c>
      <c r="K2278" s="9">
        <v>0.75</v>
      </c>
      <c r="L2278" s="9">
        <v>120</v>
      </c>
      <c r="M2278" s="9">
        <v>8</v>
      </c>
      <c r="N2278" s="9" t="s">
        <v>49</v>
      </c>
      <c r="Q2278" s="9">
        <f>IF(Auction_Sales[[#This Row],[Payment Date]]=0,"",-1+WEEKNUM(Auction_Sales[[#This Row],[Payment Date]]))</f>
        <v>32</v>
      </c>
      <c r="R2278" s="9">
        <v>0</v>
      </c>
      <c r="S2278" s="9" t="s">
        <v>154</v>
      </c>
      <c r="T2278" s="9" t="s">
        <v>56</v>
      </c>
      <c r="U2278" s="9">
        <v>160</v>
      </c>
      <c r="V2278" s="13">
        <v>0.68499999999999994</v>
      </c>
      <c r="W2278" s="13">
        <v>109.6</v>
      </c>
      <c r="X2278" s="14">
        <v>-11.720588235294125</v>
      </c>
      <c r="Y2278" s="13">
        <v>97.879411764705864</v>
      </c>
      <c r="Z2278" s="10">
        <v>45518</v>
      </c>
      <c r="AA2278" s="9">
        <v>0</v>
      </c>
      <c r="AC2278" s="9" t="s">
        <v>136</v>
      </c>
      <c r="AD2278" s="14">
        <v>37.765000000000001</v>
      </c>
      <c r="AF2278" s="14">
        <v>3.2</v>
      </c>
      <c r="AH2278" s="14">
        <v>40.965000000000003</v>
      </c>
      <c r="AI2278" s="13">
        <v>56.914411764705861</v>
      </c>
      <c r="AK2278" s="9">
        <v>160</v>
      </c>
    </row>
    <row r="2279" spans="1:37">
      <c r="A2279" s="9">
        <v>32</v>
      </c>
      <c r="B2279" s="9">
        <v>2024</v>
      </c>
      <c r="C2279" s="9" t="s">
        <v>46</v>
      </c>
      <c r="D2279" s="9" t="s">
        <v>47</v>
      </c>
      <c r="E2279" s="9" t="s">
        <v>47</v>
      </c>
      <c r="F2279" s="10">
        <v>45509</v>
      </c>
      <c r="G2279" s="9" t="s">
        <v>154</v>
      </c>
      <c r="H2279" s="9" t="s">
        <v>54</v>
      </c>
      <c r="J2279" s="9">
        <v>80</v>
      </c>
      <c r="K2279" s="9">
        <v>0.56999999999999995</v>
      </c>
      <c r="L2279" s="9">
        <v>45.6</v>
      </c>
      <c r="M2279" s="9">
        <v>4</v>
      </c>
      <c r="N2279" s="9" t="s">
        <v>49</v>
      </c>
      <c r="Q2279" s="9">
        <f>IF(Auction_Sales[[#This Row],[Payment Date]]=0,"",-1+WEEKNUM(Auction_Sales[[#This Row],[Payment Date]]))</f>
        <v>32</v>
      </c>
      <c r="R2279" s="9">
        <v>0</v>
      </c>
      <c r="S2279" s="9" t="s">
        <v>154</v>
      </c>
      <c r="T2279" s="9" t="s">
        <v>54</v>
      </c>
      <c r="U2279" s="9">
        <v>80</v>
      </c>
      <c r="V2279" s="13">
        <v>0.42000000000000004</v>
      </c>
      <c r="W2279" s="13">
        <v>33.6</v>
      </c>
      <c r="X2279" s="14">
        <v>-5.8602941176470624</v>
      </c>
      <c r="Y2279" s="13">
        <v>27.73970588235294</v>
      </c>
      <c r="Z2279" s="10">
        <v>45518</v>
      </c>
      <c r="AA2279" s="9">
        <v>0</v>
      </c>
      <c r="AC2279" s="9" t="s">
        <v>136</v>
      </c>
      <c r="AD2279" s="14">
        <v>18.8825</v>
      </c>
      <c r="AF2279" s="14">
        <v>1.6</v>
      </c>
      <c r="AH2279" s="14">
        <v>20.482500000000002</v>
      </c>
      <c r="AI2279" s="13">
        <v>7.2572058823529382</v>
      </c>
      <c r="AK2279" s="9">
        <v>80</v>
      </c>
    </row>
    <row r="2280" spans="1:37">
      <c r="A2280" s="9">
        <v>32</v>
      </c>
      <c r="B2280" s="9">
        <v>2024</v>
      </c>
      <c r="C2280" s="9" t="s">
        <v>46</v>
      </c>
      <c r="D2280" s="9" t="s">
        <v>47</v>
      </c>
      <c r="E2280" s="9" t="s">
        <v>47</v>
      </c>
      <c r="F2280" s="10">
        <v>45509</v>
      </c>
      <c r="G2280" s="9" t="s">
        <v>155</v>
      </c>
      <c r="H2280" s="9" t="s">
        <v>48</v>
      </c>
      <c r="I2280" s="9">
        <v>1</v>
      </c>
      <c r="J2280" s="9">
        <v>240</v>
      </c>
      <c r="K2280" s="9">
        <v>0.47</v>
      </c>
      <c r="L2280" s="9">
        <v>112.8</v>
      </c>
      <c r="M2280" s="9">
        <v>7.1999999999999993</v>
      </c>
      <c r="N2280" s="9" t="s">
        <v>49</v>
      </c>
      <c r="Q2280" s="9">
        <f>IF(Auction_Sales[[#This Row],[Payment Date]]=0,"",-1+WEEKNUM(Auction_Sales[[#This Row],[Payment Date]]))</f>
        <v>32</v>
      </c>
      <c r="R2280" s="9">
        <v>-80</v>
      </c>
      <c r="S2280" s="9" t="s">
        <v>155</v>
      </c>
      <c r="T2280" s="9" t="s">
        <v>48</v>
      </c>
      <c r="U2280" s="9">
        <v>320</v>
      </c>
      <c r="V2280" s="13">
        <v>0.61499999999999999</v>
      </c>
      <c r="W2280" s="13">
        <v>196.8</v>
      </c>
      <c r="X2280" s="14">
        <v>-23.44117647058825</v>
      </c>
      <c r="Y2280" s="13">
        <v>173.35882352941175</v>
      </c>
      <c r="Z2280" s="10">
        <v>45518</v>
      </c>
      <c r="AA2280" s="9">
        <v>80</v>
      </c>
      <c r="AC2280" s="9" t="s">
        <v>136</v>
      </c>
      <c r="AD2280" s="14">
        <v>33.988500000000002</v>
      </c>
      <c r="AF2280" s="14">
        <v>6.4</v>
      </c>
      <c r="AH2280" s="14">
        <v>40.388500000000001</v>
      </c>
      <c r="AI2280" s="13">
        <v>132.97032352941176</v>
      </c>
      <c r="AK2280" s="9">
        <v>320</v>
      </c>
    </row>
    <row r="2281" spans="1:37">
      <c r="A2281" s="9">
        <v>32</v>
      </c>
      <c r="B2281" s="9">
        <v>2024</v>
      </c>
      <c r="C2281" s="9" t="s">
        <v>46</v>
      </c>
      <c r="D2281" s="9" t="s">
        <v>47</v>
      </c>
      <c r="E2281" s="9" t="s">
        <v>47</v>
      </c>
      <c r="F2281" s="10">
        <v>45509</v>
      </c>
      <c r="G2281" s="9" t="s">
        <v>155</v>
      </c>
      <c r="H2281" s="9" t="s">
        <v>54</v>
      </c>
      <c r="J2281" s="9">
        <v>120</v>
      </c>
      <c r="K2281" s="9">
        <v>0.56999999999999995</v>
      </c>
      <c r="L2281" s="9">
        <v>68.400000000000006</v>
      </c>
      <c r="M2281" s="9">
        <v>3.5999999999999996</v>
      </c>
      <c r="N2281" s="9" t="s">
        <v>49</v>
      </c>
      <c r="Q2281" s="9">
        <f>IF(Auction_Sales[[#This Row],[Payment Date]]=0,"",-1+WEEKNUM(Auction_Sales[[#This Row],[Payment Date]]))</f>
        <v>32</v>
      </c>
      <c r="R2281" s="9">
        <v>80</v>
      </c>
      <c r="S2281" s="9" t="s">
        <v>155</v>
      </c>
      <c r="T2281" s="9" t="s">
        <v>54</v>
      </c>
      <c r="U2281" s="9">
        <v>40</v>
      </c>
      <c r="V2281" s="13">
        <v>1.17</v>
      </c>
      <c r="W2281" s="13">
        <v>46.8</v>
      </c>
      <c r="X2281" s="14">
        <v>-2.9301470588235312</v>
      </c>
      <c r="Y2281" s="13">
        <v>43.869852941176468</v>
      </c>
      <c r="Z2281" s="10">
        <v>45518</v>
      </c>
      <c r="AA2281" s="9">
        <v>-80</v>
      </c>
      <c r="AC2281" s="9" t="s">
        <v>136</v>
      </c>
      <c r="AD2281" s="14">
        <v>16.994250000000001</v>
      </c>
      <c r="AF2281" s="14">
        <v>0.8</v>
      </c>
      <c r="AH2281" s="14">
        <v>17.794250000000002</v>
      </c>
      <c r="AI2281" s="13">
        <v>26.075602941176466</v>
      </c>
      <c r="AK2281" s="9">
        <v>40</v>
      </c>
    </row>
    <row r="2282" spans="1:37">
      <c r="A2282" s="9">
        <v>32</v>
      </c>
      <c r="B2282" s="9">
        <v>2024</v>
      </c>
      <c r="C2282" s="9" t="s">
        <v>46</v>
      </c>
      <c r="D2282" s="9" t="s">
        <v>47</v>
      </c>
      <c r="E2282" s="9" t="s">
        <v>47</v>
      </c>
      <c r="F2282" s="10">
        <v>45509</v>
      </c>
      <c r="G2282" s="9" t="s">
        <v>155</v>
      </c>
      <c r="H2282" s="9" t="s">
        <v>57</v>
      </c>
      <c r="J2282" s="9">
        <v>40</v>
      </c>
      <c r="K2282" s="9">
        <v>0.94</v>
      </c>
      <c r="L2282" s="9">
        <v>37.6</v>
      </c>
      <c r="M2282" s="9">
        <v>1.2000000000000002</v>
      </c>
      <c r="N2282" s="9" t="s">
        <v>49</v>
      </c>
      <c r="Q2282" s="9">
        <f>IF(Auction_Sales[[#This Row],[Payment Date]]=0,"",-1+WEEKNUM(Auction_Sales[[#This Row],[Payment Date]]))</f>
        <v>32</v>
      </c>
      <c r="R2282" s="9">
        <v>0</v>
      </c>
      <c r="S2282" s="9" t="s">
        <v>155</v>
      </c>
      <c r="T2282" s="9" t="s">
        <v>57</v>
      </c>
      <c r="U2282" s="9">
        <v>40</v>
      </c>
      <c r="V2282" s="13">
        <v>1.1300000000000001</v>
      </c>
      <c r="W2282" s="13">
        <v>45.2</v>
      </c>
      <c r="X2282" s="14">
        <v>-2.9301470588235312</v>
      </c>
      <c r="Y2282" s="13">
        <v>42.269852941176474</v>
      </c>
      <c r="Z2282" s="10">
        <v>45518</v>
      </c>
      <c r="AA2282" s="9">
        <v>0</v>
      </c>
      <c r="AC2282" s="9" t="s">
        <v>136</v>
      </c>
      <c r="AD2282" s="14">
        <v>5.6647500000000015</v>
      </c>
      <c r="AF2282" s="14">
        <v>0.8</v>
      </c>
      <c r="AH2282" s="14">
        <v>6.4647500000000013</v>
      </c>
      <c r="AI2282" s="13">
        <v>35.805102941176472</v>
      </c>
      <c r="AK2282" s="9">
        <v>40</v>
      </c>
    </row>
    <row r="2283" spans="1:37">
      <c r="A2283" s="9">
        <v>32</v>
      </c>
      <c r="B2283" s="9">
        <v>2024</v>
      </c>
      <c r="C2283" s="9" t="s">
        <v>46</v>
      </c>
      <c r="D2283" s="9" t="s">
        <v>47</v>
      </c>
      <c r="E2283" s="9" t="s">
        <v>47</v>
      </c>
      <c r="F2283" s="10">
        <v>45509</v>
      </c>
      <c r="G2283" s="9" t="s">
        <v>156</v>
      </c>
      <c r="H2283" s="9" t="s">
        <v>48</v>
      </c>
      <c r="I2283" s="9">
        <v>1</v>
      </c>
      <c r="J2283" s="9">
        <v>120</v>
      </c>
      <c r="K2283" s="9">
        <v>0.52</v>
      </c>
      <c r="L2283" s="9">
        <v>62.4</v>
      </c>
      <c r="M2283" s="9">
        <v>4</v>
      </c>
      <c r="N2283" s="9" t="s">
        <v>49</v>
      </c>
      <c r="Q2283" s="9">
        <f>IF(Auction_Sales[[#This Row],[Payment Date]]=0,"",-1+WEEKNUM(Auction_Sales[[#This Row],[Payment Date]]))</f>
        <v>32</v>
      </c>
      <c r="R2283" s="9">
        <v>0</v>
      </c>
      <c r="S2283" s="9" t="s">
        <v>156</v>
      </c>
      <c r="T2283" s="9" t="s">
        <v>48</v>
      </c>
      <c r="U2283" s="9">
        <v>120</v>
      </c>
      <c r="V2283" s="13">
        <v>0.51333333333333331</v>
      </c>
      <c r="W2283" s="13">
        <v>61.599999999999994</v>
      </c>
      <c r="X2283" s="14">
        <v>-8.7904411764705941</v>
      </c>
      <c r="Y2283" s="13">
        <v>52.8095588235294</v>
      </c>
      <c r="Z2283" s="10">
        <v>45518</v>
      </c>
      <c r="AA2283" s="9">
        <v>0</v>
      </c>
      <c r="AC2283" s="9" t="s">
        <v>136</v>
      </c>
      <c r="AD2283" s="14">
        <v>18.8825</v>
      </c>
      <c r="AF2283" s="14">
        <v>2.4</v>
      </c>
      <c r="AH2283" s="14">
        <v>21.282499999999999</v>
      </c>
      <c r="AI2283" s="13">
        <v>31.527058823529401</v>
      </c>
      <c r="AK2283" s="9">
        <v>120</v>
      </c>
    </row>
    <row r="2284" spans="1:37">
      <c r="A2284" s="9">
        <v>32</v>
      </c>
      <c r="B2284" s="9">
        <v>2024</v>
      </c>
      <c r="C2284" s="9" t="s">
        <v>46</v>
      </c>
      <c r="D2284" s="9" t="s">
        <v>47</v>
      </c>
      <c r="E2284" s="9" t="s">
        <v>47</v>
      </c>
      <c r="F2284" s="10">
        <v>45509</v>
      </c>
      <c r="G2284" s="9" t="s">
        <v>156</v>
      </c>
      <c r="H2284" s="9" t="s">
        <v>54</v>
      </c>
      <c r="J2284" s="9">
        <v>120</v>
      </c>
      <c r="K2284" s="9">
        <v>0.66</v>
      </c>
      <c r="L2284" s="9">
        <v>79.2</v>
      </c>
      <c r="M2284" s="9">
        <v>4</v>
      </c>
      <c r="N2284" s="9" t="s">
        <v>49</v>
      </c>
      <c r="Q2284" s="9">
        <f>IF(Auction_Sales[[#This Row],[Payment Date]]=0,"",-1+WEEKNUM(Auction_Sales[[#This Row],[Payment Date]]))</f>
        <v>32</v>
      </c>
      <c r="R2284" s="9">
        <v>0</v>
      </c>
      <c r="S2284" s="9" t="s">
        <v>156</v>
      </c>
      <c r="T2284" s="9" t="s">
        <v>54</v>
      </c>
      <c r="U2284" s="9">
        <v>120</v>
      </c>
      <c r="V2284" s="13">
        <v>0.66</v>
      </c>
      <c r="W2284" s="13">
        <v>79.2</v>
      </c>
      <c r="X2284" s="14">
        <v>-8.7904411764705941</v>
      </c>
      <c r="Y2284" s="13">
        <v>70.409558823529409</v>
      </c>
      <c r="Z2284" s="10">
        <v>45518</v>
      </c>
      <c r="AA2284" s="9">
        <v>0</v>
      </c>
      <c r="AC2284" s="9" t="s">
        <v>136</v>
      </c>
      <c r="AD2284" s="14">
        <v>18.8825</v>
      </c>
      <c r="AF2284" s="14">
        <v>2.4</v>
      </c>
      <c r="AH2284" s="14">
        <v>21.282499999999999</v>
      </c>
      <c r="AI2284" s="13">
        <v>49.12705882352941</v>
      </c>
      <c r="AK2284" s="9">
        <v>120</v>
      </c>
    </row>
    <row r="2285" spans="1:37">
      <c r="A2285" s="9">
        <v>32</v>
      </c>
      <c r="B2285" s="9">
        <v>2024</v>
      </c>
      <c r="C2285" s="9" t="s">
        <v>46</v>
      </c>
      <c r="D2285" s="9" t="s">
        <v>47</v>
      </c>
      <c r="E2285" s="9" t="s">
        <v>47</v>
      </c>
      <c r="F2285" s="10">
        <v>45509</v>
      </c>
      <c r="G2285" s="9" t="s">
        <v>156</v>
      </c>
      <c r="H2285" s="9" t="s">
        <v>57</v>
      </c>
      <c r="J2285" s="9">
        <v>120</v>
      </c>
      <c r="K2285" s="9">
        <v>1.04</v>
      </c>
      <c r="L2285" s="9">
        <v>124.8</v>
      </c>
      <c r="M2285" s="9">
        <v>4</v>
      </c>
      <c r="N2285" s="9" t="s">
        <v>49</v>
      </c>
      <c r="Q2285" s="9">
        <f>IF(Auction_Sales[[#This Row],[Payment Date]]=0,"",-1+WEEKNUM(Auction_Sales[[#This Row],[Payment Date]]))</f>
        <v>32</v>
      </c>
      <c r="R2285" s="9">
        <v>0</v>
      </c>
      <c r="S2285" s="9" t="s">
        <v>156</v>
      </c>
      <c r="T2285" s="9" t="s">
        <v>57</v>
      </c>
      <c r="U2285" s="9">
        <v>120</v>
      </c>
      <c r="V2285" s="13">
        <v>0.84666666666666657</v>
      </c>
      <c r="W2285" s="13">
        <v>101.6</v>
      </c>
      <c r="X2285" s="14">
        <v>-8.7904411764705941</v>
      </c>
      <c r="Y2285" s="13">
        <v>92.8095588235294</v>
      </c>
      <c r="Z2285" s="10">
        <v>45518</v>
      </c>
      <c r="AA2285" s="9">
        <v>0</v>
      </c>
      <c r="AC2285" s="9" t="s">
        <v>136</v>
      </c>
      <c r="AD2285" s="14">
        <v>18.8825</v>
      </c>
      <c r="AF2285" s="14">
        <v>2.4</v>
      </c>
      <c r="AH2285" s="14">
        <v>21.282499999999999</v>
      </c>
      <c r="AI2285" s="13">
        <v>71.527058823529401</v>
      </c>
      <c r="AK2285" s="9">
        <v>120</v>
      </c>
    </row>
    <row r="2286" spans="1:37">
      <c r="A2286" s="9">
        <v>32</v>
      </c>
      <c r="B2286" s="9">
        <v>2024</v>
      </c>
      <c r="C2286" s="9" t="s">
        <v>46</v>
      </c>
      <c r="D2286" s="9" t="s">
        <v>47</v>
      </c>
      <c r="E2286" s="9" t="s">
        <v>47</v>
      </c>
      <c r="F2286" s="10">
        <v>45509</v>
      </c>
      <c r="G2286" s="9" t="s">
        <v>153</v>
      </c>
      <c r="H2286" s="9" t="s">
        <v>48</v>
      </c>
      <c r="I2286" s="9">
        <v>1</v>
      </c>
      <c r="J2286" s="9">
        <v>200</v>
      </c>
      <c r="K2286" s="9">
        <v>0.24</v>
      </c>
      <c r="L2286" s="9">
        <v>48</v>
      </c>
      <c r="M2286" s="9">
        <v>4.2857142857142856</v>
      </c>
      <c r="N2286" s="9" t="s">
        <v>49</v>
      </c>
      <c r="Q2286" s="9">
        <f>IF(Auction_Sales[[#This Row],[Payment Date]]=0,"",-1+WEEKNUM(Auction_Sales[[#This Row],[Payment Date]]))</f>
        <v>32</v>
      </c>
      <c r="R2286" s="9">
        <v>-40</v>
      </c>
      <c r="S2286" s="9" t="s">
        <v>153</v>
      </c>
      <c r="T2286" s="9" t="s">
        <v>48</v>
      </c>
      <c r="U2286" s="9">
        <v>240</v>
      </c>
      <c r="V2286" s="13">
        <v>0.2533333333333333</v>
      </c>
      <c r="W2286" s="13">
        <v>60.79999999999999</v>
      </c>
      <c r="X2286" s="14">
        <v>-17.580882352941188</v>
      </c>
      <c r="Y2286" s="13">
        <v>43.219117647058802</v>
      </c>
      <c r="Z2286" s="10">
        <v>45518</v>
      </c>
      <c r="AA2286" s="9">
        <v>40</v>
      </c>
      <c r="AC2286" s="9" t="s">
        <v>136</v>
      </c>
      <c r="AD2286" s="14">
        <v>20.231249999999999</v>
      </c>
      <c r="AF2286" s="14">
        <v>4.8</v>
      </c>
      <c r="AH2286" s="14">
        <v>25.03125</v>
      </c>
      <c r="AI2286" s="13">
        <v>18.187867647058802</v>
      </c>
      <c r="AK2286" s="9">
        <v>240</v>
      </c>
    </row>
    <row r="2287" spans="1:37">
      <c r="A2287" s="9">
        <v>32</v>
      </c>
      <c r="B2287" s="9">
        <v>2024</v>
      </c>
      <c r="C2287" s="9" t="s">
        <v>46</v>
      </c>
      <c r="D2287" s="9" t="s">
        <v>47</v>
      </c>
      <c r="E2287" s="9" t="s">
        <v>47</v>
      </c>
      <c r="F2287" s="10">
        <v>45509</v>
      </c>
      <c r="G2287" s="9" t="s">
        <v>153</v>
      </c>
      <c r="H2287" s="9" t="s">
        <v>52</v>
      </c>
      <c r="J2287" s="9">
        <v>200</v>
      </c>
      <c r="K2287" s="9">
        <v>0.28000000000000003</v>
      </c>
      <c r="L2287" s="9">
        <v>56</v>
      </c>
      <c r="M2287" s="9">
        <v>4.2857142857142856</v>
      </c>
      <c r="N2287" s="9" t="s">
        <v>49</v>
      </c>
      <c r="Q2287" s="9">
        <f>IF(Auction_Sales[[#This Row],[Payment Date]]=0,"",-1+WEEKNUM(Auction_Sales[[#This Row],[Payment Date]]))</f>
        <v>32</v>
      </c>
      <c r="R2287" s="9">
        <v>160</v>
      </c>
      <c r="S2287" s="9" t="s">
        <v>153</v>
      </c>
      <c r="T2287" s="9" t="s">
        <v>52</v>
      </c>
      <c r="U2287" s="9">
        <v>40</v>
      </c>
      <c r="V2287" s="13">
        <v>0.25</v>
      </c>
      <c r="W2287" s="13">
        <v>10</v>
      </c>
      <c r="X2287" s="14">
        <v>-2.9301470588235312</v>
      </c>
      <c r="Y2287" s="13">
        <v>7.0698529411764692</v>
      </c>
      <c r="Z2287" s="10">
        <v>45518</v>
      </c>
      <c r="AA2287" s="9">
        <v>-160</v>
      </c>
      <c r="AC2287" s="9" t="s">
        <v>136</v>
      </c>
      <c r="AD2287" s="14">
        <v>20.231249999999999</v>
      </c>
      <c r="AF2287" s="14">
        <v>0.8</v>
      </c>
      <c r="AH2287" s="14">
        <v>21.03125</v>
      </c>
      <c r="AI2287" s="13">
        <v>-13.961397058823531</v>
      </c>
      <c r="AK2287" s="9">
        <v>40</v>
      </c>
    </row>
    <row r="2288" spans="1:37">
      <c r="A2288" s="9">
        <v>32</v>
      </c>
      <c r="B2288" s="9">
        <v>2024</v>
      </c>
      <c r="C2288" s="9" t="s">
        <v>46</v>
      </c>
      <c r="D2288" s="9" t="s">
        <v>47</v>
      </c>
      <c r="E2288" s="9" t="s">
        <v>47</v>
      </c>
      <c r="F2288" s="10">
        <v>45509</v>
      </c>
      <c r="G2288" s="9" t="s">
        <v>153</v>
      </c>
      <c r="H2288" s="9" t="s">
        <v>54</v>
      </c>
      <c r="J2288" s="9">
        <v>80</v>
      </c>
      <c r="K2288" s="9">
        <v>0.33</v>
      </c>
      <c r="L2288" s="9">
        <v>26.4</v>
      </c>
      <c r="M2288" s="9">
        <v>1.7142857142857142</v>
      </c>
      <c r="N2288" s="9" t="s">
        <v>49</v>
      </c>
      <c r="Q2288" s="9">
        <f>IF(Auction_Sales[[#This Row],[Payment Date]]=0,"",-1+WEEKNUM(Auction_Sales[[#This Row],[Payment Date]]))</f>
        <v>32</v>
      </c>
      <c r="R2288" s="9">
        <v>0</v>
      </c>
      <c r="S2288" s="9" t="s">
        <v>153</v>
      </c>
      <c r="T2288" s="9" t="s">
        <v>54</v>
      </c>
      <c r="U2288" s="9">
        <v>80</v>
      </c>
      <c r="V2288" s="13">
        <v>0.3</v>
      </c>
      <c r="W2288" s="13">
        <v>24</v>
      </c>
      <c r="X2288" s="14">
        <v>-5.8602941176470624</v>
      </c>
      <c r="Y2288" s="13">
        <v>18.139705882352938</v>
      </c>
      <c r="Z2288" s="10">
        <v>45518</v>
      </c>
      <c r="AA2288" s="9">
        <v>0</v>
      </c>
      <c r="AC2288" s="9" t="s">
        <v>136</v>
      </c>
      <c r="AD2288" s="14">
        <v>8.0924999999999994</v>
      </c>
      <c r="AF2288" s="14">
        <v>1.6</v>
      </c>
      <c r="AH2288" s="14">
        <v>9.692499999999999</v>
      </c>
      <c r="AI2288" s="13">
        <v>8.4472058823529395</v>
      </c>
      <c r="AK2288" s="9">
        <v>80</v>
      </c>
    </row>
    <row r="2289" spans="1:37">
      <c r="A2289" s="9">
        <v>32</v>
      </c>
      <c r="B2289" s="9">
        <v>2024</v>
      </c>
      <c r="C2289" s="9" t="s">
        <v>46</v>
      </c>
      <c r="D2289" s="9" t="s">
        <v>47</v>
      </c>
      <c r="E2289" s="9" t="s">
        <v>47</v>
      </c>
      <c r="F2289" s="10">
        <v>45509</v>
      </c>
      <c r="G2289" s="9" t="s">
        <v>153</v>
      </c>
      <c r="H2289" s="9" t="s">
        <v>56</v>
      </c>
      <c r="J2289" s="9">
        <v>80</v>
      </c>
      <c r="K2289" s="9">
        <v>0.38</v>
      </c>
      <c r="L2289" s="9">
        <v>30.4</v>
      </c>
      <c r="M2289" s="9">
        <v>1.7142857142857142</v>
      </c>
      <c r="N2289" s="9" t="s">
        <v>49</v>
      </c>
      <c r="Q2289" s="9">
        <f>IF(Auction_Sales[[#This Row],[Payment Date]]=0,"",-1+WEEKNUM(Auction_Sales[[#This Row],[Payment Date]]))</f>
        <v>32</v>
      </c>
      <c r="R2289" s="9">
        <v>0</v>
      </c>
      <c r="S2289" s="9" t="s">
        <v>153</v>
      </c>
      <c r="T2289" s="9" t="s">
        <v>56</v>
      </c>
      <c r="U2289" s="9">
        <v>80</v>
      </c>
      <c r="V2289" s="13">
        <v>0.53</v>
      </c>
      <c r="W2289" s="13">
        <v>42.400000000000006</v>
      </c>
      <c r="X2289" s="14">
        <v>-5.8602941176470624</v>
      </c>
      <c r="Y2289" s="13">
        <v>36.539705882352941</v>
      </c>
      <c r="Z2289" s="10">
        <v>45518</v>
      </c>
      <c r="AA2289" s="9">
        <v>0</v>
      </c>
      <c r="AC2289" s="9" t="s">
        <v>136</v>
      </c>
      <c r="AD2289" s="14">
        <v>8.0924999999999994</v>
      </c>
      <c r="AF2289" s="14">
        <v>1.6</v>
      </c>
      <c r="AH2289" s="14">
        <v>9.692499999999999</v>
      </c>
      <c r="AI2289" s="13">
        <v>26.847205882352942</v>
      </c>
      <c r="AK2289" s="9">
        <v>80</v>
      </c>
    </row>
    <row r="2290" spans="1:37">
      <c r="A2290" s="9">
        <v>32</v>
      </c>
      <c r="B2290" s="9">
        <v>2024</v>
      </c>
      <c r="C2290" s="9" t="s">
        <v>46</v>
      </c>
      <c r="D2290" s="9" t="s">
        <v>47</v>
      </c>
      <c r="E2290" s="9" t="s">
        <v>47</v>
      </c>
      <c r="F2290" s="10">
        <v>45509</v>
      </c>
      <c r="G2290" s="9" t="s">
        <v>157</v>
      </c>
      <c r="H2290" s="9" t="s">
        <v>54</v>
      </c>
      <c r="N2290" s="9" t="s">
        <v>49</v>
      </c>
      <c r="Q2290" s="9">
        <f>IF(Auction_Sales[[#This Row],[Payment Date]]=0,"",-1+WEEKNUM(Auction_Sales[[#This Row],[Payment Date]]))</f>
        <v>32</v>
      </c>
      <c r="R2290" s="9">
        <v>-40</v>
      </c>
      <c r="S2290" s="9" t="s">
        <v>157</v>
      </c>
      <c r="T2290" s="9" t="s">
        <v>54</v>
      </c>
      <c r="U2290" s="9">
        <v>40</v>
      </c>
      <c r="V2290" s="13">
        <v>1.1499999999999999</v>
      </c>
      <c r="W2290" s="13">
        <v>46</v>
      </c>
      <c r="X2290" s="14">
        <v>-2.9301470588235312</v>
      </c>
      <c r="Y2290" s="13">
        <v>43.069852941176471</v>
      </c>
      <c r="Z2290" s="10">
        <v>45518</v>
      </c>
      <c r="AA2290" s="9">
        <v>40</v>
      </c>
      <c r="AC2290" s="9" t="s">
        <v>136</v>
      </c>
      <c r="AD2290" s="14">
        <v>0</v>
      </c>
      <c r="AF2290" s="14">
        <v>0.8</v>
      </c>
      <c r="AH2290" s="14">
        <v>0.8</v>
      </c>
      <c r="AI2290" s="13">
        <v>42.269852941176474</v>
      </c>
      <c r="AK2290" s="9">
        <v>40</v>
      </c>
    </row>
    <row r="2291" spans="1:37">
      <c r="A2291" s="9">
        <v>32</v>
      </c>
      <c r="B2291" s="9">
        <v>2024</v>
      </c>
      <c r="C2291" s="9" t="s">
        <v>46</v>
      </c>
      <c r="D2291" s="9" t="s">
        <v>47</v>
      </c>
      <c r="E2291" s="9" t="s">
        <v>47</v>
      </c>
      <c r="F2291" s="10">
        <v>45509</v>
      </c>
      <c r="G2291" s="9" t="s">
        <v>157</v>
      </c>
      <c r="H2291" s="9" t="s">
        <v>52</v>
      </c>
      <c r="N2291" s="9" t="s">
        <v>49</v>
      </c>
      <c r="Q2291" s="9">
        <f>IF(Auction_Sales[[#This Row],[Payment Date]]=0,"",-1+WEEKNUM(Auction_Sales[[#This Row],[Payment Date]]))</f>
        <v>32</v>
      </c>
      <c r="R2291" s="9">
        <v>-40</v>
      </c>
      <c r="S2291" s="9" t="s">
        <v>157</v>
      </c>
      <c r="T2291" s="9" t="s">
        <v>52</v>
      </c>
      <c r="U2291" s="9">
        <v>40</v>
      </c>
      <c r="V2291" s="13">
        <v>0.62</v>
      </c>
      <c r="W2291" s="13">
        <v>24.8</v>
      </c>
      <c r="X2291" s="14">
        <v>-2.9301470588235312</v>
      </c>
      <c r="Y2291" s="13">
        <v>21.869852941176468</v>
      </c>
      <c r="Z2291" s="10">
        <v>45518</v>
      </c>
      <c r="AA2291" s="9">
        <v>40</v>
      </c>
      <c r="AC2291" s="9" t="s">
        <v>136</v>
      </c>
      <c r="AD2291" s="14">
        <v>0</v>
      </c>
      <c r="AF2291" s="14">
        <v>0.8</v>
      </c>
      <c r="AH2291" s="14">
        <v>0.8</v>
      </c>
      <c r="AI2291" s="13">
        <v>21.069852941176467</v>
      </c>
      <c r="AK2291" s="9">
        <v>40</v>
      </c>
    </row>
    <row r="2292" spans="1:37">
      <c r="A2292" s="9">
        <v>32</v>
      </c>
      <c r="B2292" s="9">
        <v>2024</v>
      </c>
      <c r="C2292" s="9" t="s">
        <v>46</v>
      </c>
      <c r="D2292" s="9" t="s">
        <v>47</v>
      </c>
      <c r="E2292" s="9" t="s">
        <v>47</v>
      </c>
      <c r="F2292" s="10">
        <v>45509</v>
      </c>
      <c r="G2292" s="9" t="s">
        <v>157</v>
      </c>
      <c r="H2292" s="9" t="s">
        <v>48</v>
      </c>
      <c r="N2292" s="9" t="s">
        <v>49</v>
      </c>
      <c r="Q2292" s="9">
        <f>IF(Auction_Sales[[#This Row],[Payment Date]]=0,"",-1+WEEKNUM(Auction_Sales[[#This Row],[Payment Date]]))</f>
        <v>32</v>
      </c>
      <c r="R2292" s="9">
        <v>-40</v>
      </c>
      <c r="S2292" s="9" t="s">
        <v>157</v>
      </c>
      <c r="T2292" s="9" t="s">
        <v>48</v>
      </c>
      <c r="U2292" s="9">
        <v>40</v>
      </c>
      <c r="V2292" s="13">
        <v>0.3</v>
      </c>
      <c r="W2292" s="13">
        <v>12</v>
      </c>
      <c r="X2292" s="14">
        <v>-2.9301470588235312</v>
      </c>
      <c r="Y2292" s="13">
        <v>9.0698529411764692</v>
      </c>
      <c r="Z2292" s="10">
        <v>45518</v>
      </c>
      <c r="AA2292" s="9">
        <v>40</v>
      </c>
      <c r="AC2292" s="9" t="s">
        <v>136</v>
      </c>
      <c r="AD2292" s="14">
        <v>0</v>
      </c>
      <c r="AF2292" s="14">
        <v>0.8</v>
      </c>
      <c r="AH2292" s="14">
        <v>0.8</v>
      </c>
      <c r="AI2292" s="13">
        <v>8.2698529411764685</v>
      </c>
      <c r="AK2292" s="9">
        <v>40</v>
      </c>
    </row>
    <row r="2293" spans="1:37">
      <c r="A2293" s="9">
        <v>32</v>
      </c>
      <c r="B2293" s="9">
        <v>2024</v>
      </c>
      <c r="C2293" s="9" t="s">
        <v>46</v>
      </c>
      <c r="D2293" s="9" t="s">
        <v>47</v>
      </c>
      <c r="E2293" s="9" t="s">
        <v>47</v>
      </c>
      <c r="F2293" s="10">
        <v>45509</v>
      </c>
      <c r="G2293" s="9" t="s">
        <v>160</v>
      </c>
      <c r="H2293" s="9" t="s">
        <v>137</v>
      </c>
      <c r="N2293" s="9" t="s">
        <v>49</v>
      </c>
      <c r="Q2293" s="9">
        <f>IF(Auction_Sales[[#This Row],[Payment Date]]=0,"",-1+WEEKNUM(Auction_Sales[[#This Row],[Payment Date]]))</f>
        <v>32</v>
      </c>
      <c r="R2293" s="9">
        <v>-16</v>
      </c>
      <c r="S2293" s="9" t="s">
        <v>160</v>
      </c>
      <c r="T2293" s="9" t="s">
        <v>137</v>
      </c>
      <c r="U2293" s="9">
        <v>16</v>
      </c>
      <c r="V2293" s="13">
        <v>7.6749999999999998</v>
      </c>
      <c r="W2293" s="13">
        <v>122.8</v>
      </c>
      <c r="X2293" s="14">
        <v>-19.480000000000004</v>
      </c>
      <c r="Y2293" s="13">
        <v>103.32</v>
      </c>
      <c r="Z2293" s="10">
        <v>45518</v>
      </c>
      <c r="AA2293" s="9">
        <v>16</v>
      </c>
      <c r="AC2293" s="9" t="s">
        <v>136</v>
      </c>
      <c r="AD2293" s="14">
        <v>0</v>
      </c>
      <c r="AF2293" s="14">
        <v>0.96</v>
      </c>
      <c r="AH2293" s="14">
        <v>0.96</v>
      </c>
      <c r="AI2293" s="13">
        <v>102.36</v>
      </c>
      <c r="AK2293" s="9">
        <v>16</v>
      </c>
    </row>
    <row r="2294" spans="1:37">
      <c r="A2294" s="9">
        <v>32</v>
      </c>
      <c r="B2294" s="9">
        <v>2024</v>
      </c>
      <c r="C2294" s="9" t="s">
        <v>46</v>
      </c>
      <c r="D2294" s="9" t="s">
        <v>47</v>
      </c>
      <c r="E2294" s="9" t="s">
        <v>47</v>
      </c>
      <c r="F2294" s="10">
        <v>45512</v>
      </c>
      <c r="G2294" s="9" t="s">
        <v>160</v>
      </c>
      <c r="H2294" s="9" t="s">
        <v>137</v>
      </c>
      <c r="I2294" s="9">
        <v>2</v>
      </c>
      <c r="J2294" s="9">
        <v>24</v>
      </c>
      <c r="K2294" s="9">
        <v>1.42</v>
      </c>
      <c r="L2294" s="9">
        <v>34.08</v>
      </c>
      <c r="M2294" s="9">
        <v>24</v>
      </c>
      <c r="N2294" s="9" t="s">
        <v>49</v>
      </c>
      <c r="Q2294" s="9">
        <f>IF(Auction_Sales[[#This Row],[Payment Date]]=0,"",-1+WEEKNUM(Auction_Sales[[#This Row],[Payment Date]]))</f>
        <v>33</v>
      </c>
      <c r="R2294" s="9">
        <v>0</v>
      </c>
      <c r="S2294" s="9" t="s">
        <v>160</v>
      </c>
      <c r="T2294" s="9" t="s">
        <v>137</v>
      </c>
      <c r="U2294" s="9">
        <v>24</v>
      </c>
      <c r="V2294" s="13">
        <v>6.5791666666666666</v>
      </c>
      <c r="W2294" s="13">
        <v>157.9</v>
      </c>
      <c r="X2294" s="14">
        <v>-1.9242857142857142</v>
      </c>
      <c r="Y2294" s="13">
        <v>155.9757142857143</v>
      </c>
      <c r="Z2294" s="10">
        <v>45525</v>
      </c>
      <c r="AA2294" s="9">
        <v>0</v>
      </c>
      <c r="AC2294" s="9">
        <v>450893</v>
      </c>
      <c r="AD2294" s="14">
        <v>96.193333333333328</v>
      </c>
      <c r="AF2294" s="14">
        <v>1.44</v>
      </c>
      <c r="AH2294" s="14">
        <v>97.633333333333326</v>
      </c>
      <c r="AI2294" s="13">
        <v>58.342380952380978</v>
      </c>
      <c r="AK2294" s="9">
        <v>24</v>
      </c>
    </row>
    <row r="2295" spans="1:37">
      <c r="A2295" s="9">
        <v>32</v>
      </c>
      <c r="B2295" s="9">
        <v>2024</v>
      </c>
      <c r="C2295" s="9" t="s">
        <v>46</v>
      </c>
      <c r="D2295" s="9" t="s">
        <v>47</v>
      </c>
      <c r="E2295" s="9" t="s">
        <v>47</v>
      </c>
      <c r="F2295" s="10">
        <v>45512</v>
      </c>
      <c r="G2295" s="9" t="s">
        <v>156</v>
      </c>
      <c r="H2295" s="9" t="s">
        <v>48</v>
      </c>
      <c r="I2295" s="9">
        <v>1</v>
      </c>
      <c r="J2295" s="9">
        <v>240</v>
      </c>
      <c r="K2295" s="9">
        <v>0.52</v>
      </c>
      <c r="L2295" s="9">
        <v>124.8</v>
      </c>
      <c r="M2295" s="9">
        <v>8</v>
      </c>
      <c r="N2295" s="9" t="s">
        <v>49</v>
      </c>
      <c r="Q2295" s="9">
        <f>IF(Auction_Sales[[#This Row],[Payment Date]]=0,"",-1+WEEKNUM(Auction_Sales[[#This Row],[Payment Date]]))</f>
        <v>33</v>
      </c>
      <c r="R2295" s="9">
        <v>0</v>
      </c>
      <c r="S2295" s="9" t="s">
        <v>156</v>
      </c>
      <c r="T2295" s="9" t="s">
        <v>48</v>
      </c>
      <c r="U2295" s="9">
        <v>240</v>
      </c>
      <c r="V2295" s="13">
        <v>0.37666666666666671</v>
      </c>
      <c r="W2295" s="13">
        <v>90.4</v>
      </c>
      <c r="X2295" s="14">
        <v>-19.24285714285714</v>
      </c>
      <c r="Y2295" s="13">
        <v>71.157142857142873</v>
      </c>
      <c r="Z2295" s="10">
        <v>45525</v>
      </c>
      <c r="AA2295" s="9">
        <v>0</v>
      </c>
      <c r="AC2295" s="9">
        <v>450893</v>
      </c>
      <c r="AD2295" s="14">
        <v>32.06444444444444</v>
      </c>
      <c r="AF2295" s="14">
        <v>4.8</v>
      </c>
      <c r="AH2295" s="14">
        <v>36.864444444444437</v>
      </c>
      <c r="AI2295" s="13">
        <v>34.292698412698435</v>
      </c>
      <c r="AK2295" s="9">
        <v>240</v>
      </c>
    </row>
    <row r="2296" spans="1:37">
      <c r="A2296" s="9">
        <v>32</v>
      </c>
      <c r="B2296" s="9">
        <v>2024</v>
      </c>
      <c r="C2296" s="9" t="s">
        <v>46</v>
      </c>
      <c r="D2296" s="9" t="s">
        <v>47</v>
      </c>
      <c r="E2296" s="9" t="s">
        <v>47</v>
      </c>
      <c r="F2296" s="10">
        <v>45512</v>
      </c>
      <c r="G2296" s="9" t="s">
        <v>156</v>
      </c>
      <c r="H2296" s="9" t="s">
        <v>54</v>
      </c>
      <c r="J2296" s="9">
        <v>120</v>
      </c>
      <c r="K2296" s="9">
        <v>0.66</v>
      </c>
      <c r="L2296" s="9">
        <v>79.2</v>
      </c>
      <c r="M2296" s="9">
        <v>4</v>
      </c>
      <c r="N2296" s="9" t="s">
        <v>49</v>
      </c>
      <c r="Q2296" s="9">
        <f>IF(Auction_Sales[[#This Row],[Payment Date]]=0,"",-1+WEEKNUM(Auction_Sales[[#This Row],[Payment Date]]))</f>
        <v>33</v>
      </c>
      <c r="R2296" s="9">
        <v>0</v>
      </c>
      <c r="S2296" s="9" t="s">
        <v>156</v>
      </c>
      <c r="T2296" s="9" t="s">
        <v>54</v>
      </c>
      <c r="U2296" s="9">
        <v>120</v>
      </c>
      <c r="V2296" s="13">
        <v>0.69666666666666666</v>
      </c>
      <c r="W2296" s="13">
        <v>83.6</v>
      </c>
      <c r="X2296" s="14">
        <v>-9.6214285714285701</v>
      </c>
      <c r="Y2296" s="13">
        <v>73.978571428571428</v>
      </c>
      <c r="Z2296" s="10">
        <v>45525</v>
      </c>
      <c r="AA2296" s="9">
        <v>0</v>
      </c>
      <c r="AC2296" s="9">
        <v>450893</v>
      </c>
      <c r="AD2296" s="14">
        <v>16.03222222222222</v>
      </c>
      <c r="AF2296" s="14">
        <v>2.4</v>
      </c>
      <c r="AH2296" s="14">
        <v>18.432222222222219</v>
      </c>
      <c r="AI2296" s="13">
        <v>55.546349206349205</v>
      </c>
      <c r="AK2296" s="9">
        <v>120</v>
      </c>
    </row>
    <row r="2297" spans="1:37">
      <c r="A2297" s="9">
        <v>32</v>
      </c>
      <c r="B2297" s="9">
        <v>2024</v>
      </c>
      <c r="C2297" s="9" t="s">
        <v>46</v>
      </c>
      <c r="D2297" s="9" t="s">
        <v>47</v>
      </c>
      <c r="E2297" s="9" t="s">
        <v>47</v>
      </c>
      <c r="F2297" s="10">
        <v>45512</v>
      </c>
      <c r="G2297" s="9" t="s">
        <v>154</v>
      </c>
      <c r="H2297" s="9" t="s">
        <v>48</v>
      </c>
      <c r="I2297" s="9">
        <v>1</v>
      </c>
      <c r="J2297" s="9">
        <v>200</v>
      </c>
      <c r="K2297" s="9">
        <v>0.47</v>
      </c>
      <c r="L2297" s="9">
        <v>94</v>
      </c>
      <c r="M2297" s="9">
        <v>5</v>
      </c>
      <c r="N2297" s="9" t="s">
        <v>49</v>
      </c>
      <c r="Q2297" s="9">
        <f>IF(Auction_Sales[[#This Row],[Payment Date]]=0,"",-1+WEEKNUM(Auction_Sales[[#This Row],[Payment Date]]))</f>
        <v>33</v>
      </c>
      <c r="R2297" s="9">
        <v>0</v>
      </c>
      <c r="S2297" s="9" t="s">
        <v>154</v>
      </c>
      <c r="T2297" s="9" t="s">
        <v>48</v>
      </c>
      <c r="U2297" s="9">
        <v>200</v>
      </c>
      <c r="V2297" s="13">
        <v>0.63200000000000001</v>
      </c>
      <c r="W2297" s="13">
        <v>126.4</v>
      </c>
      <c r="X2297" s="14">
        <v>-16.035714285714285</v>
      </c>
      <c r="Y2297" s="13">
        <v>110.36428571428573</v>
      </c>
      <c r="Z2297" s="10">
        <v>45525</v>
      </c>
      <c r="AA2297" s="9">
        <v>0</v>
      </c>
      <c r="AC2297" s="9">
        <v>450893</v>
      </c>
      <c r="AD2297" s="14">
        <v>20.040277777777778</v>
      </c>
      <c r="AF2297" s="14">
        <v>4</v>
      </c>
      <c r="AH2297" s="14">
        <v>24.040277777777778</v>
      </c>
      <c r="AI2297" s="13">
        <v>86.324007936507954</v>
      </c>
      <c r="AK2297" s="9">
        <v>200</v>
      </c>
    </row>
    <row r="2298" spans="1:37">
      <c r="A2298" s="9">
        <v>32</v>
      </c>
      <c r="B2298" s="9">
        <v>2024</v>
      </c>
      <c r="C2298" s="9" t="s">
        <v>46</v>
      </c>
      <c r="D2298" s="9" t="s">
        <v>47</v>
      </c>
      <c r="E2298" s="9" t="s">
        <v>47</v>
      </c>
      <c r="F2298" s="10">
        <v>45512</v>
      </c>
      <c r="G2298" s="9" t="s">
        <v>154</v>
      </c>
      <c r="H2298" s="9" t="s">
        <v>52</v>
      </c>
      <c r="J2298" s="9">
        <v>80</v>
      </c>
      <c r="K2298" s="9">
        <v>0.52</v>
      </c>
      <c r="L2298" s="9">
        <v>41.6</v>
      </c>
      <c r="M2298" s="9">
        <v>2</v>
      </c>
      <c r="N2298" s="9" t="s">
        <v>49</v>
      </c>
      <c r="Q2298" s="9">
        <f>IF(Auction_Sales[[#This Row],[Payment Date]]=0,"",-1+WEEKNUM(Auction_Sales[[#This Row],[Payment Date]]))</f>
        <v>33</v>
      </c>
      <c r="R2298" s="9">
        <v>0</v>
      </c>
      <c r="S2298" s="9" t="s">
        <v>154</v>
      </c>
      <c r="T2298" s="9" t="s">
        <v>52</v>
      </c>
      <c r="U2298" s="9">
        <v>80</v>
      </c>
      <c r="V2298" s="13">
        <v>0.73</v>
      </c>
      <c r="W2298" s="13">
        <v>58.4</v>
      </c>
      <c r="X2298" s="14">
        <v>-6.4142857142857137</v>
      </c>
      <c r="Y2298" s="13">
        <v>51.985714285714288</v>
      </c>
      <c r="Z2298" s="10">
        <v>45525</v>
      </c>
      <c r="AA2298" s="9">
        <v>0</v>
      </c>
      <c r="AC2298" s="9">
        <v>450893</v>
      </c>
      <c r="AD2298" s="14">
        <v>8.0161111111111101</v>
      </c>
      <c r="AF2298" s="14">
        <v>1.6</v>
      </c>
      <c r="AH2298" s="14">
        <v>9.6161111111111097</v>
      </c>
      <c r="AI2298" s="13">
        <v>42.369603174603178</v>
      </c>
      <c r="AK2298" s="9">
        <v>80</v>
      </c>
    </row>
    <row r="2299" spans="1:37">
      <c r="A2299" s="9">
        <v>32</v>
      </c>
      <c r="B2299" s="9">
        <v>2024</v>
      </c>
      <c r="C2299" s="9" t="s">
        <v>46</v>
      </c>
      <c r="D2299" s="9" t="s">
        <v>47</v>
      </c>
      <c r="E2299" s="9" t="s">
        <v>47</v>
      </c>
      <c r="F2299" s="10">
        <v>45512</v>
      </c>
      <c r="G2299" s="9" t="s">
        <v>154</v>
      </c>
      <c r="H2299" s="9" t="s">
        <v>54</v>
      </c>
      <c r="J2299" s="9">
        <v>160</v>
      </c>
      <c r="K2299" s="9">
        <v>0.56999999999999995</v>
      </c>
      <c r="L2299" s="9">
        <v>91.2</v>
      </c>
      <c r="M2299" s="9">
        <v>4</v>
      </c>
      <c r="N2299" s="9" t="s">
        <v>49</v>
      </c>
      <c r="Q2299" s="9">
        <f>IF(Auction_Sales[[#This Row],[Payment Date]]=0,"",-1+WEEKNUM(Auction_Sales[[#This Row],[Payment Date]]))</f>
        <v>33</v>
      </c>
      <c r="R2299" s="9">
        <v>0</v>
      </c>
      <c r="S2299" s="9" t="s">
        <v>154</v>
      </c>
      <c r="T2299" s="9" t="s">
        <v>54</v>
      </c>
      <c r="U2299" s="9">
        <v>160</v>
      </c>
      <c r="V2299" s="13">
        <v>0.59499999999999997</v>
      </c>
      <c r="W2299" s="13">
        <v>95.199999999999989</v>
      </c>
      <c r="X2299" s="14">
        <v>-12.828571428571427</v>
      </c>
      <c r="Y2299" s="13">
        <v>82.371428571428567</v>
      </c>
      <c r="Z2299" s="10">
        <v>45525</v>
      </c>
      <c r="AA2299" s="9">
        <v>0</v>
      </c>
      <c r="AC2299" s="9">
        <v>450893</v>
      </c>
      <c r="AD2299" s="14">
        <v>16.03222222222222</v>
      </c>
      <c r="AF2299" s="14">
        <v>3.2</v>
      </c>
      <c r="AH2299" s="14">
        <v>19.232222222222219</v>
      </c>
      <c r="AI2299" s="13">
        <v>63.139206349206347</v>
      </c>
      <c r="AK2299" s="9">
        <v>160</v>
      </c>
    </row>
    <row r="2300" spans="1:37">
      <c r="A2300" s="9">
        <v>32</v>
      </c>
      <c r="B2300" s="9">
        <v>2024</v>
      </c>
      <c r="C2300" s="9" t="s">
        <v>46</v>
      </c>
      <c r="D2300" s="9" t="s">
        <v>47</v>
      </c>
      <c r="E2300" s="9" t="s">
        <v>47</v>
      </c>
      <c r="F2300" s="10">
        <v>45512</v>
      </c>
      <c r="G2300" s="9" t="s">
        <v>154</v>
      </c>
      <c r="H2300" s="9" t="s">
        <v>56</v>
      </c>
      <c r="J2300" s="9">
        <v>40</v>
      </c>
      <c r="K2300" s="9">
        <v>0.75</v>
      </c>
      <c r="L2300" s="9">
        <v>30</v>
      </c>
      <c r="M2300" s="9">
        <v>1</v>
      </c>
      <c r="N2300" s="9" t="s">
        <v>49</v>
      </c>
      <c r="Q2300" s="9">
        <f>IF(Auction_Sales[[#This Row],[Payment Date]]=0,"",-1+WEEKNUM(Auction_Sales[[#This Row],[Payment Date]]))</f>
        <v>33</v>
      </c>
      <c r="R2300" s="9">
        <v>40</v>
      </c>
      <c r="S2300" s="9" t="s">
        <v>154</v>
      </c>
      <c r="T2300" s="9" t="s">
        <v>56</v>
      </c>
      <c r="W2300" s="13">
        <v>0</v>
      </c>
      <c r="X2300" s="14">
        <v>0</v>
      </c>
      <c r="Y2300" s="13">
        <v>0</v>
      </c>
      <c r="Z2300" s="10">
        <v>45525</v>
      </c>
      <c r="AA2300" s="9">
        <v>-40</v>
      </c>
      <c r="AC2300" s="9">
        <v>450893</v>
      </c>
      <c r="AD2300" s="14">
        <v>4.008055555555555</v>
      </c>
      <c r="AF2300" s="14">
        <v>0</v>
      </c>
      <c r="AH2300" s="14">
        <v>4.008055555555555</v>
      </c>
      <c r="AI2300" s="13">
        <v>-4.008055555555555</v>
      </c>
      <c r="AK2300" s="9">
        <v>0</v>
      </c>
    </row>
    <row r="2301" spans="1:37">
      <c r="A2301" s="9">
        <v>32</v>
      </c>
      <c r="B2301" s="9">
        <v>2024</v>
      </c>
      <c r="C2301" s="9" t="s">
        <v>46</v>
      </c>
      <c r="D2301" s="9" t="s">
        <v>47</v>
      </c>
      <c r="E2301" s="9" t="s">
        <v>47</v>
      </c>
      <c r="F2301" s="10">
        <v>45512</v>
      </c>
      <c r="G2301" s="9" t="s">
        <v>153</v>
      </c>
      <c r="H2301" s="9" t="s">
        <v>54</v>
      </c>
      <c r="I2301" s="9">
        <v>1</v>
      </c>
      <c r="J2301" s="9">
        <v>160</v>
      </c>
      <c r="K2301" s="9">
        <v>0.33</v>
      </c>
      <c r="L2301" s="9">
        <v>52.8</v>
      </c>
      <c r="M2301" s="9">
        <v>6.8571428571428568</v>
      </c>
      <c r="N2301" s="9" t="s">
        <v>49</v>
      </c>
      <c r="Q2301" s="9">
        <f>IF(Auction_Sales[[#This Row],[Payment Date]]=0,"",-1+WEEKNUM(Auction_Sales[[#This Row],[Payment Date]]))</f>
        <v>33</v>
      </c>
      <c r="R2301" s="9">
        <v>0</v>
      </c>
      <c r="S2301" s="9" t="s">
        <v>153</v>
      </c>
      <c r="T2301" s="9" t="s">
        <v>54</v>
      </c>
      <c r="U2301" s="9">
        <v>160</v>
      </c>
      <c r="V2301" s="13">
        <v>0.61</v>
      </c>
      <c r="W2301" s="13">
        <v>97.6</v>
      </c>
      <c r="X2301" s="14">
        <v>-12.828571428571427</v>
      </c>
      <c r="Y2301" s="13">
        <v>84.771428571428572</v>
      </c>
      <c r="Z2301" s="10">
        <v>45525</v>
      </c>
      <c r="AA2301" s="9">
        <v>0</v>
      </c>
      <c r="AC2301" s="9">
        <v>450893</v>
      </c>
      <c r="AD2301" s="14">
        <v>27.483809523809519</v>
      </c>
      <c r="AF2301" s="14">
        <v>3.2</v>
      </c>
      <c r="AH2301" s="14">
        <v>30.683809523809519</v>
      </c>
      <c r="AI2301" s="13">
        <v>54.087619047619057</v>
      </c>
      <c r="AK2301" s="9">
        <v>160</v>
      </c>
    </row>
    <row r="2302" spans="1:37">
      <c r="A2302" s="9">
        <v>32</v>
      </c>
      <c r="B2302" s="9">
        <v>2024</v>
      </c>
      <c r="C2302" s="9" t="s">
        <v>46</v>
      </c>
      <c r="D2302" s="9" t="s">
        <v>47</v>
      </c>
      <c r="E2302" s="9" t="s">
        <v>47</v>
      </c>
      <c r="F2302" s="10">
        <v>45512</v>
      </c>
      <c r="G2302" s="9" t="s">
        <v>153</v>
      </c>
      <c r="H2302" s="9" t="s">
        <v>56</v>
      </c>
      <c r="J2302" s="9">
        <v>80</v>
      </c>
      <c r="K2302" s="9">
        <v>0.38</v>
      </c>
      <c r="L2302" s="9">
        <v>30.4</v>
      </c>
      <c r="M2302" s="9">
        <v>3.4285714285714284</v>
      </c>
      <c r="N2302" s="9" t="s">
        <v>49</v>
      </c>
      <c r="Q2302" s="9">
        <f>IF(Auction_Sales[[#This Row],[Payment Date]]=0,"",-1+WEEKNUM(Auction_Sales[[#This Row],[Payment Date]]))</f>
        <v>33</v>
      </c>
      <c r="R2302" s="9">
        <v>0</v>
      </c>
      <c r="S2302" s="9" t="s">
        <v>153</v>
      </c>
      <c r="T2302" s="9" t="s">
        <v>56</v>
      </c>
      <c r="U2302" s="9">
        <v>80</v>
      </c>
      <c r="V2302" s="13">
        <v>0.14499999999999999</v>
      </c>
      <c r="W2302" s="13">
        <v>11.6</v>
      </c>
      <c r="X2302" s="14">
        <v>-6.4142857142857137</v>
      </c>
      <c r="Y2302" s="13">
        <v>5.1857142857142859</v>
      </c>
      <c r="Z2302" s="10">
        <v>45525</v>
      </c>
      <c r="AA2302" s="9">
        <v>0</v>
      </c>
      <c r="AC2302" s="9">
        <v>450893</v>
      </c>
      <c r="AD2302" s="14">
        <v>13.74190476190476</v>
      </c>
      <c r="AF2302" s="14">
        <v>1.6</v>
      </c>
      <c r="AH2302" s="14">
        <v>15.341904761904759</v>
      </c>
      <c r="AI2302" s="13">
        <v>-10.156190476190474</v>
      </c>
      <c r="AK2302" s="9">
        <v>80</v>
      </c>
    </row>
    <row r="2303" spans="1:37">
      <c r="A2303" s="9">
        <v>32</v>
      </c>
      <c r="B2303" s="9">
        <v>2024</v>
      </c>
      <c r="C2303" s="9" t="s">
        <v>46</v>
      </c>
      <c r="D2303" s="9" t="s">
        <v>47</v>
      </c>
      <c r="E2303" s="9" t="s">
        <v>47</v>
      </c>
      <c r="F2303" s="10">
        <v>45512</v>
      </c>
      <c r="G2303" s="9" t="s">
        <v>153</v>
      </c>
      <c r="H2303" s="9" t="s">
        <v>57</v>
      </c>
      <c r="J2303" s="9">
        <v>40</v>
      </c>
      <c r="K2303" s="9">
        <v>0.47</v>
      </c>
      <c r="L2303" s="9">
        <v>18.8</v>
      </c>
      <c r="M2303" s="9">
        <v>1.7142857142857142</v>
      </c>
      <c r="N2303" s="9" t="s">
        <v>49</v>
      </c>
      <c r="Q2303" s="9">
        <f>IF(Auction_Sales[[#This Row],[Payment Date]]=0,"",-1+WEEKNUM(Auction_Sales[[#This Row],[Payment Date]]))</f>
        <v>33</v>
      </c>
      <c r="R2303" s="9">
        <v>0</v>
      </c>
      <c r="S2303" s="9" t="s">
        <v>153</v>
      </c>
      <c r="T2303" s="9" t="s">
        <v>57</v>
      </c>
      <c r="U2303" s="9">
        <v>40</v>
      </c>
      <c r="V2303" s="13">
        <v>0.49000000000000005</v>
      </c>
      <c r="W2303" s="13">
        <v>19.600000000000001</v>
      </c>
      <c r="X2303" s="14">
        <v>-3.2071428571428569</v>
      </c>
      <c r="Y2303" s="13">
        <v>16.392857142857146</v>
      </c>
      <c r="Z2303" s="10">
        <v>45525</v>
      </c>
      <c r="AA2303" s="9">
        <v>0</v>
      </c>
      <c r="AC2303" s="9">
        <v>450893</v>
      </c>
      <c r="AD2303" s="14">
        <v>6.8709523809523798</v>
      </c>
      <c r="AF2303" s="14">
        <v>0.8</v>
      </c>
      <c r="AH2303" s="14">
        <v>7.6709523809523796</v>
      </c>
      <c r="AI2303" s="13">
        <v>8.7219047619047672</v>
      </c>
      <c r="AK2303" s="9">
        <v>40</v>
      </c>
    </row>
    <row r="2304" spans="1:37">
      <c r="A2304" s="9">
        <v>32</v>
      </c>
      <c r="B2304" s="9">
        <v>2024</v>
      </c>
      <c r="C2304" s="9" t="s">
        <v>46</v>
      </c>
      <c r="D2304" s="9" t="s">
        <v>47</v>
      </c>
      <c r="E2304" s="9" t="s">
        <v>47</v>
      </c>
      <c r="F2304" s="10">
        <v>45512</v>
      </c>
      <c r="G2304" s="9" t="s">
        <v>156</v>
      </c>
      <c r="H2304" s="9" t="s">
        <v>56</v>
      </c>
      <c r="I2304" s="9">
        <v>1</v>
      </c>
      <c r="J2304" s="9">
        <v>80</v>
      </c>
      <c r="K2304" s="9">
        <v>0.85</v>
      </c>
      <c r="L2304" s="9">
        <v>68</v>
      </c>
      <c r="M2304" s="9">
        <v>4.8000000000000007</v>
      </c>
      <c r="N2304" s="9" t="s">
        <v>49</v>
      </c>
      <c r="Q2304" s="9">
        <f>IF(Auction_Sales[[#This Row],[Payment Date]]=0,"",-1+WEEKNUM(Auction_Sales[[#This Row],[Payment Date]]))</f>
        <v>33</v>
      </c>
      <c r="R2304" s="9">
        <v>0</v>
      </c>
      <c r="S2304" s="9" t="s">
        <v>156</v>
      </c>
      <c r="T2304" s="9" t="s">
        <v>56</v>
      </c>
      <c r="U2304" s="9">
        <v>80</v>
      </c>
      <c r="V2304" s="13">
        <v>0.67</v>
      </c>
      <c r="W2304" s="13">
        <v>53.6</v>
      </c>
      <c r="X2304" s="14">
        <v>-6.4142857142857137</v>
      </c>
      <c r="Y2304" s="13">
        <v>47.18571428571429</v>
      </c>
      <c r="Z2304" s="10">
        <v>45525</v>
      </c>
      <c r="AA2304" s="9">
        <v>0</v>
      </c>
      <c r="AC2304" s="9">
        <v>450893</v>
      </c>
      <c r="AD2304" s="14">
        <v>19.238666666666671</v>
      </c>
      <c r="AF2304" s="14">
        <v>1.6</v>
      </c>
      <c r="AH2304" s="14">
        <v>20.838666666666672</v>
      </c>
      <c r="AI2304" s="13">
        <v>26.347047619047618</v>
      </c>
      <c r="AK2304" s="9">
        <v>80</v>
      </c>
    </row>
    <row r="2305" spans="1:37">
      <c r="A2305" s="9">
        <v>32</v>
      </c>
      <c r="B2305" s="9">
        <v>2024</v>
      </c>
      <c r="C2305" s="9" t="s">
        <v>46</v>
      </c>
      <c r="D2305" s="9" t="s">
        <v>47</v>
      </c>
      <c r="E2305" s="9" t="s">
        <v>47</v>
      </c>
      <c r="F2305" s="10">
        <v>45512</v>
      </c>
      <c r="G2305" s="9" t="s">
        <v>156</v>
      </c>
      <c r="H2305" s="9" t="s">
        <v>57</v>
      </c>
      <c r="J2305" s="9">
        <v>120</v>
      </c>
      <c r="K2305" s="9">
        <v>1.04</v>
      </c>
      <c r="L2305" s="9">
        <v>124.8</v>
      </c>
      <c r="M2305" s="9">
        <v>7.1999999999999993</v>
      </c>
      <c r="N2305" s="9" t="s">
        <v>49</v>
      </c>
      <c r="Q2305" s="9">
        <f>IF(Auction_Sales[[#This Row],[Payment Date]]=0,"",-1+WEEKNUM(Auction_Sales[[#This Row],[Payment Date]]))</f>
        <v>33</v>
      </c>
      <c r="R2305" s="9">
        <v>0</v>
      </c>
      <c r="S2305" s="9" t="s">
        <v>156</v>
      </c>
      <c r="T2305" s="9" t="s">
        <v>57</v>
      </c>
      <c r="U2305" s="9">
        <v>120</v>
      </c>
      <c r="V2305" s="13">
        <v>0.77</v>
      </c>
      <c r="W2305" s="13">
        <v>92.4</v>
      </c>
      <c r="X2305" s="14">
        <v>-9.6214285714285701</v>
      </c>
      <c r="Y2305" s="13">
        <v>82.778571428571439</v>
      </c>
      <c r="Z2305" s="10">
        <v>45525</v>
      </c>
      <c r="AA2305" s="9">
        <v>0</v>
      </c>
      <c r="AC2305" s="9">
        <v>450893</v>
      </c>
      <c r="AD2305" s="14">
        <v>28.857999999999997</v>
      </c>
      <c r="AF2305" s="14">
        <v>2.4</v>
      </c>
      <c r="AH2305" s="14">
        <v>31.257999999999996</v>
      </c>
      <c r="AI2305" s="13">
        <v>51.520571428571444</v>
      </c>
      <c r="AK2305" s="9">
        <v>120</v>
      </c>
    </row>
    <row r="2306" spans="1:37">
      <c r="A2306" s="9">
        <v>32</v>
      </c>
      <c r="B2306" s="9">
        <v>2024</v>
      </c>
      <c r="C2306" s="9" t="s">
        <v>46</v>
      </c>
      <c r="D2306" s="9" t="s">
        <v>47</v>
      </c>
      <c r="E2306" s="9" t="s">
        <v>47</v>
      </c>
      <c r="F2306" s="10">
        <v>45512</v>
      </c>
      <c r="G2306" s="9" t="s">
        <v>154</v>
      </c>
      <c r="H2306" s="9" t="s">
        <v>57</v>
      </c>
      <c r="N2306" s="9" t="s">
        <v>49</v>
      </c>
      <c r="Q2306" s="9">
        <f>IF(Auction_Sales[[#This Row],[Payment Date]]=0,"",-1+WEEKNUM(Auction_Sales[[#This Row],[Payment Date]]))</f>
        <v>33</v>
      </c>
      <c r="R2306" s="9">
        <v>-40</v>
      </c>
      <c r="S2306" s="9" t="s">
        <v>154</v>
      </c>
      <c r="T2306" s="9" t="s">
        <v>57</v>
      </c>
      <c r="U2306" s="9">
        <v>40</v>
      </c>
      <c r="V2306" s="13">
        <v>0.55999999999999994</v>
      </c>
      <c r="W2306" s="13">
        <v>22.4</v>
      </c>
      <c r="X2306" s="14">
        <v>-3.2071428571428569</v>
      </c>
      <c r="Y2306" s="13">
        <v>19.192857142857143</v>
      </c>
      <c r="Z2306" s="10">
        <v>45525</v>
      </c>
      <c r="AA2306" s="9">
        <v>40</v>
      </c>
      <c r="AC2306" s="9">
        <v>450893</v>
      </c>
      <c r="AD2306" s="14">
        <v>0</v>
      </c>
      <c r="AF2306" s="14">
        <v>0.8</v>
      </c>
      <c r="AH2306" s="14">
        <v>0.8</v>
      </c>
      <c r="AI2306" s="13">
        <v>18.392857142857142</v>
      </c>
      <c r="AK2306" s="9">
        <v>40</v>
      </c>
    </row>
    <row r="2307" spans="1:37">
      <c r="A2307" s="9">
        <v>33</v>
      </c>
      <c r="B2307" s="9">
        <v>2024</v>
      </c>
      <c r="C2307" s="9" t="s">
        <v>46</v>
      </c>
      <c r="D2307" s="9" t="s">
        <v>47</v>
      </c>
      <c r="E2307" s="9" t="s">
        <v>47</v>
      </c>
      <c r="F2307" s="10">
        <v>45514</v>
      </c>
      <c r="G2307" s="9" t="s">
        <v>156</v>
      </c>
      <c r="H2307" s="9" t="s">
        <v>57</v>
      </c>
      <c r="I2307" s="9">
        <v>1</v>
      </c>
      <c r="J2307" s="9">
        <v>200</v>
      </c>
      <c r="K2307" s="9">
        <v>1.04</v>
      </c>
      <c r="L2307" s="9">
        <v>208</v>
      </c>
      <c r="M2307" s="9">
        <v>12</v>
      </c>
      <c r="N2307" s="9" t="s">
        <v>49</v>
      </c>
      <c r="Q2307" s="9">
        <f>IF(Auction_Sales[[#This Row],[Payment Date]]=0,"",-1+WEEKNUM(Auction_Sales[[#This Row],[Payment Date]]))</f>
        <v>33</v>
      </c>
      <c r="R2307" s="9">
        <v>0</v>
      </c>
      <c r="S2307" s="9" t="s">
        <v>156</v>
      </c>
      <c r="T2307" s="9" t="s">
        <v>57</v>
      </c>
      <c r="U2307" s="9">
        <v>200</v>
      </c>
      <c r="V2307" s="13">
        <v>0.11</v>
      </c>
      <c r="W2307" s="13">
        <v>22</v>
      </c>
      <c r="X2307" s="14">
        <v>-15.476190476190476</v>
      </c>
      <c r="Y2307" s="13">
        <v>6.5238095238095237</v>
      </c>
      <c r="Z2307" s="10">
        <v>45525</v>
      </c>
      <c r="AA2307" s="9">
        <v>0</v>
      </c>
      <c r="AC2307" s="9">
        <v>451727</v>
      </c>
      <c r="AD2307" s="14">
        <v>47.658333333333331</v>
      </c>
      <c r="AF2307" s="14">
        <v>4</v>
      </c>
      <c r="AH2307" s="14">
        <v>51.658333333333331</v>
      </c>
      <c r="AI2307" s="13">
        <v>-45.134523809523806</v>
      </c>
      <c r="AK2307" s="9">
        <v>200</v>
      </c>
    </row>
    <row r="2308" spans="1:37">
      <c r="A2308" s="9">
        <v>33</v>
      </c>
      <c r="B2308" s="9">
        <v>2024</v>
      </c>
      <c r="C2308" s="9" t="s">
        <v>46</v>
      </c>
      <c r="D2308" s="9" t="s">
        <v>47</v>
      </c>
      <c r="E2308" s="9" t="s">
        <v>47</v>
      </c>
      <c r="F2308" s="10">
        <v>45514</v>
      </c>
      <c r="G2308" s="9" t="s">
        <v>160</v>
      </c>
      <c r="H2308" s="9" t="s">
        <v>137</v>
      </c>
      <c r="I2308" s="9">
        <v>1</v>
      </c>
      <c r="J2308" s="9">
        <v>12</v>
      </c>
      <c r="K2308" s="9">
        <v>1.42</v>
      </c>
      <c r="L2308" s="9">
        <v>17.04</v>
      </c>
      <c r="M2308" s="9">
        <v>12</v>
      </c>
      <c r="N2308" s="9" t="s">
        <v>49</v>
      </c>
      <c r="Q2308" s="9">
        <f>IF(Auction_Sales[[#This Row],[Payment Date]]=0,"",-1+WEEKNUM(Auction_Sales[[#This Row],[Payment Date]]))</f>
        <v>33</v>
      </c>
      <c r="R2308" s="9">
        <v>-2</v>
      </c>
      <c r="S2308" s="9" t="s">
        <v>160</v>
      </c>
      <c r="T2308" s="9" t="s">
        <v>137</v>
      </c>
      <c r="U2308" s="9">
        <v>14</v>
      </c>
      <c r="V2308" s="13">
        <v>6.6214285714285719</v>
      </c>
      <c r="W2308" s="13">
        <v>92.7</v>
      </c>
      <c r="X2308" s="14">
        <v>-1.0833333333333333</v>
      </c>
      <c r="Y2308" s="13">
        <v>91.616666666666674</v>
      </c>
      <c r="Z2308" s="10">
        <v>45525</v>
      </c>
      <c r="AA2308" s="9">
        <v>2</v>
      </c>
      <c r="AC2308" s="9">
        <v>451727</v>
      </c>
      <c r="AD2308" s="14">
        <v>47.658333333333331</v>
      </c>
      <c r="AF2308" s="14">
        <v>0.84</v>
      </c>
      <c r="AH2308" s="14">
        <v>48.498333333333335</v>
      </c>
      <c r="AI2308" s="13">
        <v>43.118333333333339</v>
      </c>
      <c r="AK2308" s="9">
        <v>14</v>
      </c>
    </row>
    <row r="2309" spans="1:37">
      <c r="A2309" s="9">
        <v>33</v>
      </c>
      <c r="B2309" s="9">
        <v>2024</v>
      </c>
      <c r="C2309" s="9" t="s">
        <v>46</v>
      </c>
      <c r="D2309" s="9" t="s">
        <v>47</v>
      </c>
      <c r="E2309" s="9" t="s">
        <v>47</v>
      </c>
      <c r="F2309" s="10">
        <v>45514</v>
      </c>
      <c r="G2309" s="9" t="s">
        <v>160</v>
      </c>
      <c r="H2309" s="9" t="s">
        <v>137</v>
      </c>
      <c r="I2309" s="9">
        <v>1</v>
      </c>
      <c r="J2309" s="9">
        <v>16</v>
      </c>
      <c r="K2309" s="9">
        <v>1.42</v>
      </c>
      <c r="L2309" s="9">
        <v>22.72</v>
      </c>
      <c r="M2309" s="9">
        <v>12</v>
      </c>
      <c r="N2309" s="9" t="s">
        <v>49</v>
      </c>
      <c r="Q2309" s="9">
        <f>IF(Auction_Sales[[#This Row],[Payment Date]]=0,"",-1+WEEKNUM(Auction_Sales[[#This Row],[Payment Date]]))</f>
        <v>33</v>
      </c>
      <c r="R2309" s="9">
        <v>16</v>
      </c>
      <c r="S2309" s="9" t="s">
        <v>160</v>
      </c>
      <c r="T2309" s="9" t="s">
        <v>137</v>
      </c>
      <c r="W2309" s="13">
        <v>0</v>
      </c>
      <c r="X2309" s="14">
        <v>0</v>
      </c>
      <c r="Y2309" s="13">
        <v>0</v>
      </c>
      <c r="Z2309" s="10">
        <v>45525</v>
      </c>
      <c r="AA2309" s="9">
        <v>-16</v>
      </c>
      <c r="AC2309" s="9">
        <v>451727</v>
      </c>
      <c r="AD2309" s="14">
        <v>47.658333333333331</v>
      </c>
      <c r="AF2309" s="14">
        <v>0</v>
      </c>
      <c r="AH2309" s="14">
        <v>47.658333333333331</v>
      </c>
      <c r="AI2309" s="13">
        <v>-47.658333333333331</v>
      </c>
      <c r="AK2309" s="9">
        <v>0</v>
      </c>
    </row>
    <row r="2310" spans="1:37">
      <c r="A2310" s="9">
        <v>33</v>
      </c>
      <c r="B2310" s="9">
        <v>2024</v>
      </c>
      <c r="C2310" s="9" t="s">
        <v>46</v>
      </c>
      <c r="D2310" s="9" t="s">
        <v>47</v>
      </c>
      <c r="E2310" s="9" t="s">
        <v>47</v>
      </c>
      <c r="F2310" s="10">
        <v>45514</v>
      </c>
      <c r="G2310" s="9" t="s">
        <v>154</v>
      </c>
      <c r="H2310" s="9" t="s">
        <v>52</v>
      </c>
      <c r="I2310" s="9">
        <v>1</v>
      </c>
      <c r="J2310" s="9">
        <v>80</v>
      </c>
      <c r="K2310" s="9">
        <v>0.52</v>
      </c>
      <c r="L2310" s="9">
        <v>41.6</v>
      </c>
      <c r="M2310" s="9">
        <v>4</v>
      </c>
      <c r="N2310" s="9" t="s">
        <v>49</v>
      </c>
      <c r="Q2310" s="9">
        <f>IF(Auction_Sales[[#This Row],[Payment Date]]=0,"",-1+WEEKNUM(Auction_Sales[[#This Row],[Payment Date]]))</f>
        <v>33</v>
      </c>
      <c r="R2310" s="9">
        <v>0</v>
      </c>
      <c r="S2310" s="9" t="s">
        <v>154</v>
      </c>
      <c r="T2310" s="9" t="s">
        <v>52</v>
      </c>
      <c r="U2310" s="9">
        <v>80</v>
      </c>
      <c r="V2310" s="13">
        <v>0.77</v>
      </c>
      <c r="W2310" s="13">
        <v>61.6</v>
      </c>
      <c r="X2310" s="14">
        <v>-6.1904761904761907</v>
      </c>
      <c r="Y2310" s="13">
        <v>55.409523809523812</v>
      </c>
      <c r="Z2310" s="10">
        <v>45525</v>
      </c>
      <c r="AA2310" s="9">
        <v>0</v>
      </c>
      <c r="AC2310" s="9">
        <v>451727</v>
      </c>
      <c r="AD2310" s="14">
        <v>15.886111111111109</v>
      </c>
      <c r="AF2310" s="14">
        <v>1.6</v>
      </c>
      <c r="AH2310" s="14">
        <v>17.486111111111111</v>
      </c>
      <c r="AI2310" s="13">
        <v>37.923412698412704</v>
      </c>
      <c r="AK2310" s="9">
        <v>80</v>
      </c>
    </row>
    <row r="2311" spans="1:37">
      <c r="A2311" s="9">
        <v>33</v>
      </c>
      <c r="B2311" s="9">
        <v>2024</v>
      </c>
      <c r="C2311" s="9" t="s">
        <v>46</v>
      </c>
      <c r="D2311" s="9" t="s">
        <v>47</v>
      </c>
      <c r="E2311" s="9" t="s">
        <v>47</v>
      </c>
      <c r="F2311" s="10">
        <v>45514</v>
      </c>
      <c r="G2311" s="9" t="s">
        <v>154</v>
      </c>
      <c r="H2311" s="9" t="s">
        <v>56</v>
      </c>
      <c r="J2311" s="9">
        <v>80</v>
      </c>
      <c r="K2311" s="9">
        <v>0.75</v>
      </c>
      <c r="L2311" s="9">
        <v>60</v>
      </c>
      <c r="M2311" s="9">
        <v>4</v>
      </c>
      <c r="N2311" s="9" t="s">
        <v>49</v>
      </c>
      <c r="Q2311" s="9">
        <f>IF(Auction_Sales[[#This Row],[Payment Date]]=0,"",-1+WEEKNUM(Auction_Sales[[#This Row],[Payment Date]]))</f>
        <v>33</v>
      </c>
      <c r="R2311" s="9">
        <v>0</v>
      </c>
      <c r="S2311" s="9" t="s">
        <v>154</v>
      </c>
      <c r="T2311" s="9" t="s">
        <v>56</v>
      </c>
      <c r="U2311" s="9">
        <v>80</v>
      </c>
      <c r="V2311" s="13">
        <v>0.88000000000000012</v>
      </c>
      <c r="W2311" s="13">
        <v>70.400000000000006</v>
      </c>
      <c r="X2311" s="14">
        <v>-6.1904761904761907</v>
      </c>
      <c r="Y2311" s="13">
        <v>64.209523809523816</v>
      </c>
      <c r="Z2311" s="10">
        <v>45525</v>
      </c>
      <c r="AA2311" s="9">
        <v>0</v>
      </c>
      <c r="AC2311" s="9">
        <v>451727</v>
      </c>
      <c r="AD2311" s="14">
        <v>15.886111111111109</v>
      </c>
      <c r="AF2311" s="14">
        <v>1.6</v>
      </c>
      <c r="AH2311" s="14">
        <v>17.486111111111111</v>
      </c>
      <c r="AI2311" s="13">
        <v>46.723412698412702</v>
      </c>
      <c r="AK2311" s="9">
        <v>80</v>
      </c>
    </row>
    <row r="2312" spans="1:37">
      <c r="A2312" s="9">
        <v>33</v>
      </c>
      <c r="B2312" s="9">
        <v>2024</v>
      </c>
      <c r="C2312" s="9" t="s">
        <v>46</v>
      </c>
      <c r="D2312" s="9" t="s">
        <v>47</v>
      </c>
      <c r="E2312" s="9" t="s">
        <v>47</v>
      </c>
      <c r="F2312" s="10">
        <v>45514</v>
      </c>
      <c r="G2312" s="9" t="s">
        <v>154</v>
      </c>
      <c r="H2312" s="9" t="s">
        <v>57</v>
      </c>
      <c r="J2312" s="9">
        <v>80</v>
      </c>
      <c r="K2312" s="9">
        <v>0.94</v>
      </c>
      <c r="L2312" s="9">
        <v>75.2</v>
      </c>
      <c r="M2312" s="9">
        <v>4</v>
      </c>
      <c r="N2312" s="9" t="s">
        <v>49</v>
      </c>
      <c r="Q2312" s="9">
        <f>IF(Auction_Sales[[#This Row],[Payment Date]]=0,"",-1+WEEKNUM(Auction_Sales[[#This Row],[Payment Date]]))</f>
        <v>33</v>
      </c>
      <c r="R2312" s="9">
        <v>0</v>
      </c>
      <c r="S2312" s="9" t="s">
        <v>154</v>
      </c>
      <c r="T2312" s="9" t="s">
        <v>57</v>
      </c>
      <c r="U2312" s="9">
        <v>80</v>
      </c>
      <c r="V2312" s="13">
        <v>0.1</v>
      </c>
      <c r="W2312" s="13">
        <v>8</v>
      </c>
      <c r="X2312" s="14">
        <v>-6.1904761904761907</v>
      </c>
      <c r="Y2312" s="13">
        <v>1.8095238095238093</v>
      </c>
      <c r="Z2312" s="10">
        <v>45525</v>
      </c>
      <c r="AA2312" s="9">
        <v>0</v>
      </c>
      <c r="AC2312" s="9">
        <v>451727</v>
      </c>
      <c r="AD2312" s="14">
        <v>15.886111111111109</v>
      </c>
      <c r="AF2312" s="14">
        <v>1.6</v>
      </c>
      <c r="AH2312" s="14">
        <v>17.486111111111111</v>
      </c>
      <c r="AI2312" s="13">
        <v>-15.676587301587301</v>
      </c>
      <c r="AK2312" s="9">
        <v>80</v>
      </c>
    </row>
    <row r="2313" spans="1:37">
      <c r="A2313" s="9">
        <v>33</v>
      </c>
      <c r="B2313" s="9">
        <v>2024</v>
      </c>
      <c r="C2313" s="9" t="s">
        <v>46</v>
      </c>
      <c r="D2313" s="9" t="s">
        <v>47</v>
      </c>
      <c r="E2313" s="9" t="s">
        <v>47</v>
      </c>
      <c r="F2313" s="10">
        <v>45514</v>
      </c>
      <c r="G2313" s="9" t="s">
        <v>153</v>
      </c>
      <c r="H2313" s="9" t="s">
        <v>52</v>
      </c>
      <c r="I2313" s="9">
        <v>1</v>
      </c>
      <c r="J2313" s="9">
        <v>200</v>
      </c>
      <c r="K2313" s="9">
        <v>0.28000000000000003</v>
      </c>
      <c r="L2313" s="9">
        <v>56</v>
      </c>
      <c r="M2313" s="9">
        <v>6</v>
      </c>
      <c r="N2313" s="9" t="s">
        <v>49</v>
      </c>
      <c r="Q2313" s="9">
        <f>IF(Auction_Sales[[#This Row],[Payment Date]]=0,"",-1+WEEKNUM(Auction_Sales[[#This Row],[Payment Date]]))</f>
        <v>33</v>
      </c>
      <c r="R2313" s="9">
        <v>0</v>
      </c>
      <c r="S2313" s="9" t="s">
        <v>153</v>
      </c>
      <c r="T2313" s="9" t="s">
        <v>52</v>
      </c>
      <c r="U2313" s="9">
        <v>200</v>
      </c>
      <c r="V2313" s="13">
        <v>2.6000000000000002E-2</v>
      </c>
      <c r="W2313" s="13">
        <v>5.2</v>
      </c>
      <c r="X2313" s="14">
        <v>-15.476190476190476</v>
      </c>
      <c r="Y2313" s="13">
        <v>-10.276190476190475</v>
      </c>
      <c r="Z2313" s="10">
        <v>45525</v>
      </c>
      <c r="AA2313" s="9">
        <v>0</v>
      </c>
      <c r="AC2313" s="9">
        <v>451727</v>
      </c>
      <c r="AD2313" s="14">
        <v>23.829166666666666</v>
      </c>
      <c r="AF2313" s="14">
        <v>4</v>
      </c>
      <c r="AH2313" s="14">
        <v>27.829166666666666</v>
      </c>
      <c r="AI2313" s="13">
        <v>-38.105357142857144</v>
      </c>
      <c r="AK2313" s="9">
        <v>200</v>
      </c>
    </row>
    <row r="2314" spans="1:37">
      <c r="A2314" s="9">
        <v>33</v>
      </c>
      <c r="B2314" s="9">
        <v>2024</v>
      </c>
      <c r="C2314" s="9" t="s">
        <v>46</v>
      </c>
      <c r="D2314" s="9" t="s">
        <v>47</v>
      </c>
      <c r="E2314" s="9" t="s">
        <v>47</v>
      </c>
      <c r="F2314" s="10">
        <v>45514</v>
      </c>
      <c r="G2314" s="9" t="s">
        <v>153</v>
      </c>
      <c r="H2314" s="9" t="s">
        <v>54</v>
      </c>
      <c r="J2314" s="9">
        <v>160</v>
      </c>
      <c r="K2314" s="9">
        <v>0.33</v>
      </c>
      <c r="L2314" s="9">
        <v>52.8</v>
      </c>
      <c r="M2314" s="9">
        <v>4.8000000000000007</v>
      </c>
      <c r="N2314" s="9" t="s">
        <v>49</v>
      </c>
      <c r="Q2314" s="9">
        <f>IF(Auction_Sales[[#This Row],[Payment Date]]=0,"",-1+WEEKNUM(Auction_Sales[[#This Row],[Payment Date]]))</f>
        <v>33</v>
      </c>
      <c r="R2314" s="9">
        <v>0</v>
      </c>
      <c r="S2314" s="9" t="s">
        <v>153</v>
      </c>
      <c r="T2314" s="9" t="s">
        <v>54</v>
      </c>
      <c r="U2314" s="9">
        <v>160</v>
      </c>
      <c r="V2314" s="13">
        <v>0.05</v>
      </c>
      <c r="W2314" s="13">
        <v>8</v>
      </c>
      <c r="X2314" s="14">
        <v>-12.380952380952381</v>
      </c>
      <c r="Y2314" s="13">
        <v>-4.3809523809523814</v>
      </c>
      <c r="Z2314" s="10">
        <v>45525</v>
      </c>
      <c r="AA2314" s="9">
        <v>0</v>
      </c>
      <c r="AC2314" s="9">
        <v>451727</v>
      </c>
      <c r="AD2314" s="14">
        <v>19.063333333333336</v>
      </c>
      <c r="AF2314" s="14">
        <v>3.2</v>
      </c>
      <c r="AH2314" s="14">
        <v>22.263333333333335</v>
      </c>
      <c r="AI2314" s="13">
        <v>-26.644285714285715</v>
      </c>
      <c r="AK2314" s="9">
        <v>160</v>
      </c>
    </row>
    <row r="2315" spans="1:37">
      <c r="A2315" s="9">
        <v>33</v>
      </c>
      <c r="B2315" s="9">
        <v>2024</v>
      </c>
      <c r="C2315" s="9" t="s">
        <v>46</v>
      </c>
      <c r="D2315" s="9" t="s">
        <v>47</v>
      </c>
      <c r="E2315" s="9" t="s">
        <v>47</v>
      </c>
      <c r="F2315" s="10">
        <v>45514</v>
      </c>
      <c r="G2315" s="9" t="s">
        <v>153</v>
      </c>
      <c r="H2315" s="9" t="s">
        <v>56</v>
      </c>
      <c r="J2315" s="9">
        <v>40</v>
      </c>
      <c r="K2315" s="9">
        <v>0.38</v>
      </c>
      <c r="L2315" s="9">
        <v>15.2</v>
      </c>
      <c r="M2315" s="9">
        <v>1.2000000000000002</v>
      </c>
      <c r="N2315" s="9" t="s">
        <v>49</v>
      </c>
      <c r="Q2315" s="9">
        <f>IF(Auction_Sales[[#This Row],[Payment Date]]=0,"",-1+WEEKNUM(Auction_Sales[[#This Row],[Payment Date]]))</f>
        <v>33</v>
      </c>
      <c r="R2315" s="9">
        <v>40</v>
      </c>
      <c r="S2315" s="9" t="s">
        <v>153</v>
      </c>
      <c r="T2315" s="9" t="s">
        <v>56</v>
      </c>
      <c r="W2315" s="13">
        <v>0</v>
      </c>
      <c r="X2315" s="14">
        <v>0</v>
      </c>
      <c r="Y2315" s="13">
        <v>0</v>
      </c>
      <c r="Z2315" s="10">
        <v>45525</v>
      </c>
      <c r="AA2315" s="9">
        <v>-40</v>
      </c>
      <c r="AC2315" s="9">
        <v>451727</v>
      </c>
      <c r="AD2315" s="14">
        <v>4.765833333333334</v>
      </c>
      <c r="AF2315" s="14">
        <v>0</v>
      </c>
      <c r="AH2315" s="14">
        <v>4.765833333333334</v>
      </c>
      <c r="AI2315" s="13">
        <v>-4.765833333333334</v>
      </c>
      <c r="AK2315" s="9">
        <v>0</v>
      </c>
    </row>
    <row r="2316" spans="1:37">
      <c r="A2316" s="9">
        <v>33</v>
      </c>
      <c r="B2316" s="9">
        <v>2024</v>
      </c>
      <c r="C2316" s="9" t="s">
        <v>46</v>
      </c>
      <c r="D2316" s="9" t="s">
        <v>47</v>
      </c>
      <c r="E2316" s="9" t="s">
        <v>47</v>
      </c>
      <c r="F2316" s="10">
        <v>45514</v>
      </c>
      <c r="G2316" s="9" t="s">
        <v>155</v>
      </c>
      <c r="H2316" s="9" t="s">
        <v>48</v>
      </c>
      <c r="I2316" s="9">
        <v>1</v>
      </c>
      <c r="J2316" s="9">
        <v>40</v>
      </c>
      <c r="K2316" s="9">
        <v>0.47</v>
      </c>
      <c r="L2316" s="9">
        <v>18.8</v>
      </c>
      <c r="M2316" s="9">
        <v>1.7142857142857142</v>
      </c>
      <c r="N2316" s="9" t="s">
        <v>49</v>
      </c>
      <c r="Q2316" s="9">
        <f>IF(Auction_Sales[[#This Row],[Payment Date]]=0,"",-1+WEEKNUM(Auction_Sales[[#This Row],[Payment Date]]))</f>
        <v>33</v>
      </c>
      <c r="R2316" s="9">
        <v>0</v>
      </c>
      <c r="S2316" s="9" t="s">
        <v>155</v>
      </c>
      <c r="T2316" s="9" t="s">
        <v>48</v>
      </c>
      <c r="U2316" s="9">
        <v>40</v>
      </c>
      <c r="V2316" s="13">
        <v>0.24</v>
      </c>
      <c r="W2316" s="13">
        <v>9.6</v>
      </c>
      <c r="X2316" s="14">
        <v>-3.0952380952380953</v>
      </c>
      <c r="Y2316" s="13">
        <v>6.5047619047619047</v>
      </c>
      <c r="Z2316" s="10">
        <v>45525</v>
      </c>
      <c r="AA2316" s="9">
        <v>0</v>
      </c>
      <c r="AC2316" s="9">
        <v>451727</v>
      </c>
      <c r="AD2316" s="14">
        <v>6.8083333333333327</v>
      </c>
      <c r="AF2316" s="14">
        <v>0.8</v>
      </c>
      <c r="AH2316" s="14">
        <v>7.6083333333333325</v>
      </c>
      <c r="AI2316" s="13">
        <v>-1.1035714285714278</v>
      </c>
      <c r="AK2316" s="9">
        <v>40</v>
      </c>
    </row>
    <row r="2317" spans="1:37">
      <c r="A2317" s="9">
        <v>33</v>
      </c>
      <c r="B2317" s="9">
        <v>2024</v>
      </c>
      <c r="C2317" s="9" t="s">
        <v>46</v>
      </c>
      <c r="D2317" s="9" t="s">
        <v>47</v>
      </c>
      <c r="E2317" s="9" t="s">
        <v>47</v>
      </c>
      <c r="F2317" s="10">
        <v>45514</v>
      </c>
      <c r="G2317" s="9" t="s">
        <v>155</v>
      </c>
      <c r="H2317" s="9" t="s">
        <v>52</v>
      </c>
      <c r="J2317" s="9">
        <v>40</v>
      </c>
      <c r="K2317" s="9">
        <v>0.52</v>
      </c>
      <c r="L2317" s="9">
        <v>20.8</v>
      </c>
      <c r="M2317" s="9">
        <v>1.7142857142857142</v>
      </c>
      <c r="N2317" s="9" t="s">
        <v>49</v>
      </c>
      <c r="Q2317" s="9">
        <f>IF(Auction_Sales[[#This Row],[Payment Date]]=0,"",-1+WEEKNUM(Auction_Sales[[#This Row],[Payment Date]]))</f>
        <v>33</v>
      </c>
      <c r="R2317" s="9">
        <v>0</v>
      </c>
      <c r="S2317" s="9" t="s">
        <v>155</v>
      </c>
      <c r="T2317" s="9" t="s">
        <v>52</v>
      </c>
      <c r="U2317" s="9">
        <v>40</v>
      </c>
      <c r="V2317" s="13">
        <v>0.33999999999999997</v>
      </c>
      <c r="W2317" s="13">
        <v>13.599999999999998</v>
      </c>
      <c r="X2317" s="14">
        <v>-3.0952380952380953</v>
      </c>
      <c r="Y2317" s="13">
        <v>10.504761904761903</v>
      </c>
      <c r="Z2317" s="10">
        <v>45525</v>
      </c>
      <c r="AA2317" s="9">
        <v>0</v>
      </c>
      <c r="AC2317" s="9">
        <v>451727</v>
      </c>
      <c r="AD2317" s="14">
        <v>6.8083333333333327</v>
      </c>
      <c r="AF2317" s="14">
        <v>0.8</v>
      </c>
      <c r="AH2317" s="14">
        <v>7.6083333333333325</v>
      </c>
      <c r="AI2317" s="13">
        <v>2.8964285714285705</v>
      </c>
      <c r="AK2317" s="9">
        <v>40</v>
      </c>
    </row>
    <row r="2318" spans="1:37">
      <c r="A2318" s="9">
        <v>33</v>
      </c>
      <c r="B2318" s="9">
        <v>2024</v>
      </c>
      <c r="C2318" s="9" t="s">
        <v>46</v>
      </c>
      <c r="D2318" s="9" t="s">
        <v>47</v>
      </c>
      <c r="E2318" s="9" t="s">
        <v>47</v>
      </c>
      <c r="F2318" s="10">
        <v>45514</v>
      </c>
      <c r="G2318" s="9" t="s">
        <v>155</v>
      </c>
      <c r="H2318" s="9" t="s">
        <v>54</v>
      </c>
      <c r="J2318" s="9">
        <v>120</v>
      </c>
      <c r="K2318" s="9">
        <v>0.56999999999999995</v>
      </c>
      <c r="L2318" s="9">
        <v>68.400000000000006</v>
      </c>
      <c r="M2318" s="9">
        <v>5.1428571428571423</v>
      </c>
      <c r="N2318" s="9" t="s">
        <v>49</v>
      </c>
      <c r="Q2318" s="9">
        <f>IF(Auction_Sales[[#This Row],[Payment Date]]=0,"",-1+WEEKNUM(Auction_Sales[[#This Row],[Payment Date]]))</f>
        <v>33</v>
      </c>
      <c r="R2318" s="9">
        <v>0</v>
      </c>
      <c r="S2318" s="9" t="s">
        <v>155</v>
      </c>
      <c r="T2318" s="9" t="s">
        <v>54</v>
      </c>
      <c r="U2318" s="9">
        <v>120</v>
      </c>
      <c r="V2318" s="13">
        <v>0.45333333333333331</v>
      </c>
      <c r="W2318" s="13">
        <v>54.4</v>
      </c>
      <c r="X2318" s="14">
        <v>-9.2857142857142865</v>
      </c>
      <c r="Y2318" s="13">
        <v>45.114285714285714</v>
      </c>
      <c r="Z2318" s="10">
        <v>45525</v>
      </c>
      <c r="AA2318" s="9">
        <v>0</v>
      </c>
      <c r="AC2318" s="9">
        <v>451727</v>
      </c>
      <c r="AD2318" s="14">
        <v>20.424999999999997</v>
      </c>
      <c r="AF2318" s="14">
        <v>2.4</v>
      </c>
      <c r="AH2318" s="14">
        <v>22.824999999999996</v>
      </c>
      <c r="AI2318" s="13">
        <v>22.289285714285718</v>
      </c>
      <c r="AK2318" s="9">
        <v>120</v>
      </c>
    </row>
    <row r="2319" spans="1:37">
      <c r="A2319" s="9">
        <v>33</v>
      </c>
      <c r="B2319" s="9">
        <v>2024</v>
      </c>
      <c r="C2319" s="9" t="s">
        <v>46</v>
      </c>
      <c r="D2319" s="9" t="s">
        <v>47</v>
      </c>
      <c r="E2319" s="9" t="s">
        <v>47</v>
      </c>
      <c r="F2319" s="10">
        <v>45514</v>
      </c>
      <c r="G2319" s="9" t="s">
        <v>155</v>
      </c>
      <c r="H2319" s="9" t="s">
        <v>56</v>
      </c>
      <c r="J2319" s="9">
        <v>40</v>
      </c>
      <c r="K2319" s="9">
        <v>0.75</v>
      </c>
      <c r="L2319" s="9">
        <v>30</v>
      </c>
      <c r="M2319" s="9">
        <v>1.7142857142857142</v>
      </c>
      <c r="N2319" s="9" t="s">
        <v>49</v>
      </c>
      <c r="Q2319" s="9">
        <f>IF(Auction_Sales[[#This Row],[Payment Date]]=0,"",-1+WEEKNUM(Auction_Sales[[#This Row],[Payment Date]]))</f>
        <v>33</v>
      </c>
      <c r="R2319" s="9">
        <v>0</v>
      </c>
      <c r="S2319" s="9" t="s">
        <v>155</v>
      </c>
      <c r="T2319" s="9" t="s">
        <v>56</v>
      </c>
      <c r="U2319" s="9">
        <v>40</v>
      </c>
      <c r="V2319" s="13">
        <v>0.69000000000000006</v>
      </c>
      <c r="W2319" s="13">
        <v>27.6</v>
      </c>
      <c r="X2319" s="14">
        <v>-3.0952380952380953</v>
      </c>
      <c r="Y2319" s="13">
        <v>24.504761904761907</v>
      </c>
      <c r="Z2319" s="10">
        <v>45525</v>
      </c>
      <c r="AA2319" s="9">
        <v>0</v>
      </c>
      <c r="AC2319" s="9">
        <v>451727</v>
      </c>
      <c r="AD2319" s="14">
        <v>6.8083333333333327</v>
      </c>
      <c r="AF2319" s="14">
        <v>0.8</v>
      </c>
      <c r="AH2319" s="14">
        <v>7.6083333333333325</v>
      </c>
      <c r="AI2319" s="13">
        <v>16.896428571428572</v>
      </c>
      <c r="AK2319" s="9">
        <v>40</v>
      </c>
    </row>
    <row r="2320" spans="1:37">
      <c r="A2320" s="9">
        <v>33</v>
      </c>
      <c r="B2320" s="9">
        <v>2024</v>
      </c>
      <c r="C2320" s="9" t="s">
        <v>46</v>
      </c>
      <c r="D2320" s="9" t="s">
        <v>47</v>
      </c>
      <c r="E2320" s="9" t="s">
        <v>47</v>
      </c>
      <c r="F2320" s="10">
        <v>45514</v>
      </c>
      <c r="G2320" s="9" t="s">
        <v>155</v>
      </c>
      <c r="H2320" s="9" t="s">
        <v>57</v>
      </c>
      <c r="J2320" s="9">
        <v>40</v>
      </c>
      <c r="K2320" s="9">
        <v>0.94</v>
      </c>
      <c r="L2320" s="9">
        <v>37.6</v>
      </c>
      <c r="M2320" s="9">
        <v>1.7142857142857142</v>
      </c>
      <c r="N2320" s="9" t="s">
        <v>49</v>
      </c>
      <c r="Q2320" s="9">
        <f>IF(Auction_Sales[[#This Row],[Payment Date]]=0,"",-1+WEEKNUM(Auction_Sales[[#This Row],[Payment Date]]))</f>
        <v>33</v>
      </c>
      <c r="R2320" s="9">
        <v>0</v>
      </c>
      <c r="S2320" s="9" t="s">
        <v>155</v>
      </c>
      <c r="T2320" s="9" t="s">
        <v>57</v>
      </c>
      <c r="U2320" s="9">
        <v>40</v>
      </c>
      <c r="V2320" s="13">
        <v>0.85</v>
      </c>
      <c r="W2320" s="13">
        <v>34</v>
      </c>
      <c r="X2320" s="14">
        <v>-3.0952380952380953</v>
      </c>
      <c r="Y2320" s="13">
        <v>30.904761904761905</v>
      </c>
      <c r="Z2320" s="10">
        <v>45525</v>
      </c>
      <c r="AA2320" s="9">
        <v>0</v>
      </c>
      <c r="AC2320" s="9">
        <v>451727</v>
      </c>
      <c r="AD2320" s="14">
        <v>6.8083333333333327</v>
      </c>
      <c r="AF2320" s="14">
        <v>0.8</v>
      </c>
      <c r="AH2320" s="14">
        <v>7.6083333333333325</v>
      </c>
      <c r="AI2320" s="13">
        <v>23.296428571428571</v>
      </c>
      <c r="AK2320" s="9">
        <v>40</v>
      </c>
    </row>
    <row r="2321" spans="1:37">
      <c r="A2321" s="9">
        <v>33</v>
      </c>
      <c r="B2321" s="9">
        <v>2024</v>
      </c>
      <c r="C2321" s="9" t="s">
        <v>46</v>
      </c>
      <c r="D2321" s="9" t="s">
        <v>47</v>
      </c>
      <c r="E2321" s="9" t="s">
        <v>47</v>
      </c>
      <c r="F2321" s="10">
        <v>45514</v>
      </c>
      <c r="G2321" s="9" t="s">
        <v>159</v>
      </c>
      <c r="H2321" s="9" t="s">
        <v>56</v>
      </c>
      <c r="N2321" s="9" t="s">
        <v>49</v>
      </c>
      <c r="Q2321" s="9">
        <f>IF(Auction_Sales[[#This Row],[Payment Date]]=0,"",-1+WEEKNUM(Auction_Sales[[#This Row],[Payment Date]]))</f>
        <v>33</v>
      </c>
      <c r="R2321" s="9">
        <v>-40</v>
      </c>
      <c r="S2321" s="1" t="str">
        <f t="shared" ref="S2321" si="366">G2321</f>
        <v>Miniature Roses</v>
      </c>
      <c r="T2321" s="9" t="s">
        <v>56</v>
      </c>
      <c r="U2321" s="9">
        <v>40</v>
      </c>
      <c r="V2321" s="13">
        <v>0.62</v>
      </c>
      <c r="W2321" s="13">
        <v>24.8</v>
      </c>
      <c r="X2321" s="14">
        <v>-3.0952380952380953</v>
      </c>
      <c r="Y2321" s="13">
        <v>21.704761904761906</v>
      </c>
      <c r="Z2321" s="10">
        <v>45525</v>
      </c>
      <c r="AA2321" s="9">
        <v>40</v>
      </c>
      <c r="AC2321" s="9">
        <v>451727</v>
      </c>
      <c r="AD2321" s="14">
        <v>0</v>
      </c>
      <c r="AF2321" s="14">
        <v>0.8</v>
      </c>
      <c r="AH2321" s="14">
        <v>0.8</v>
      </c>
      <c r="AI2321" s="13">
        <v>20.904761904761905</v>
      </c>
      <c r="AK2321" s="9">
        <v>40</v>
      </c>
    </row>
    <row r="2322" spans="1:37">
      <c r="A2322" s="9">
        <v>33</v>
      </c>
      <c r="B2322" s="9">
        <v>2024</v>
      </c>
      <c r="C2322" s="9" t="s">
        <v>46</v>
      </c>
      <c r="D2322" s="9" t="s">
        <v>47</v>
      </c>
      <c r="E2322" s="9" t="s">
        <v>47</v>
      </c>
      <c r="F2322" s="10">
        <v>45514</v>
      </c>
      <c r="G2322" s="9" t="s">
        <v>160</v>
      </c>
      <c r="H2322" s="9" t="s">
        <v>137</v>
      </c>
      <c r="N2322" s="9" t="s">
        <v>49</v>
      </c>
      <c r="Q2322" s="9">
        <f>IF(Auction_Sales[[#This Row],[Payment Date]]=0,"",-1+WEEKNUM(Auction_Sales[[#This Row],[Payment Date]]))</f>
        <v>33</v>
      </c>
      <c r="R2322" s="9">
        <v>-14</v>
      </c>
      <c r="S2322" s="9" t="s">
        <v>160</v>
      </c>
      <c r="T2322" s="9" t="s">
        <v>137</v>
      </c>
      <c r="U2322" s="9">
        <v>14</v>
      </c>
      <c r="V2322" s="13">
        <v>6.9857142857142858</v>
      </c>
      <c r="W2322" s="13">
        <v>97.8</v>
      </c>
      <c r="X2322" s="14">
        <v>-18.409999999999997</v>
      </c>
      <c r="Y2322" s="13">
        <v>79.39</v>
      </c>
      <c r="Z2322" s="10">
        <v>45525</v>
      </c>
      <c r="AA2322" s="9">
        <v>14</v>
      </c>
      <c r="AC2322" s="9">
        <v>451727</v>
      </c>
      <c r="AD2322" s="14">
        <v>0</v>
      </c>
      <c r="AF2322" s="14">
        <v>0.84</v>
      </c>
      <c r="AH2322" s="14">
        <v>0.84</v>
      </c>
      <c r="AI2322" s="13">
        <v>78.55</v>
      </c>
      <c r="AK2322" s="9">
        <v>14</v>
      </c>
    </row>
    <row r="2323" spans="1:37">
      <c r="A2323" s="9">
        <v>33</v>
      </c>
      <c r="B2323" s="9">
        <v>2024</v>
      </c>
      <c r="C2323" s="9" t="s">
        <v>46</v>
      </c>
      <c r="D2323" s="9" t="s">
        <v>47</v>
      </c>
      <c r="E2323" s="9" t="s">
        <v>47</v>
      </c>
      <c r="F2323" s="10">
        <v>45516</v>
      </c>
      <c r="G2323" s="9" t="s">
        <v>154</v>
      </c>
      <c r="H2323" s="9" t="s">
        <v>56</v>
      </c>
      <c r="I2323" s="9">
        <v>1</v>
      </c>
      <c r="J2323" s="9">
        <v>200</v>
      </c>
      <c r="K2323" s="9">
        <v>0.75</v>
      </c>
      <c r="L2323" s="9">
        <v>150</v>
      </c>
      <c r="M2323" s="9">
        <v>12</v>
      </c>
      <c r="N2323" s="9" t="s">
        <v>49</v>
      </c>
      <c r="Q2323" s="9">
        <f>IF(Auction_Sales[[#This Row],[Payment Date]]=0,"",-1+WEEKNUM(Auction_Sales[[#This Row],[Payment Date]]))</f>
        <v>33</v>
      </c>
      <c r="R2323" s="9">
        <v>200</v>
      </c>
      <c r="S2323" s="9" t="s">
        <v>154</v>
      </c>
      <c r="T2323" s="9" t="s">
        <v>56</v>
      </c>
      <c r="W2323" s="13">
        <v>0</v>
      </c>
      <c r="X2323" s="14">
        <v>0</v>
      </c>
      <c r="Y2323" s="13">
        <v>0</v>
      </c>
      <c r="Z2323" s="10">
        <v>45525</v>
      </c>
      <c r="AA2323" s="9">
        <v>-200</v>
      </c>
      <c r="AC2323" s="9" t="s">
        <v>138</v>
      </c>
      <c r="AD2323" s="14">
        <v>47.151111111111113</v>
      </c>
      <c r="AF2323" s="14">
        <v>0</v>
      </c>
      <c r="AH2323" s="14">
        <v>47.151111111111113</v>
      </c>
      <c r="AI2323" s="13">
        <v>-47.151111111111113</v>
      </c>
      <c r="AK2323" s="9">
        <v>0</v>
      </c>
    </row>
    <row r="2324" spans="1:37">
      <c r="A2324" s="9">
        <v>33</v>
      </c>
      <c r="B2324" s="9">
        <v>2024</v>
      </c>
      <c r="C2324" s="9" t="s">
        <v>46</v>
      </c>
      <c r="D2324" s="9" t="s">
        <v>47</v>
      </c>
      <c r="E2324" s="9" t="s">
        <v>47</v>
      </c>
      <c r="F2324" s="10">
        <v>45516</v>
      </c>
      <c r="G2324" s="9" t="s">
        <v>155</v>
      </c>
      <c r="H2324" s="9" t="s">
        <v>48</v>
      </c>
      <c r="I2324" s="9">
        <v>1</v>
      </c>
      <c r="J2324" s="9">
        <v>480</v>
      </c>
      <c r="K2324" s="9">
        <v>0.47</v>
      </c>
      <c r="L2324" s="9">
        <v>225.6</v>
      </c>
      <c r="M2324" s="9">
        <v>12</v>
      </c>
      <c r="N2324" s="9" t="s">
        <v>49</v>
      </c>
      <c r="Q2324" s="9">
        <f>IF(Auction_Sales[[#This Row],[Payment Date]]=0,"",-1+WEEKNUM(Auction_Sales[[#This Row],[Payment Date]]))</f>
        <v>33</v>
      </c>
      <c r="R2324" s="9">
        <v>0</v>
      </c>
      <c r="S2324" s="9" t="s">
        <v>155</v>
      </c>
      <c r="T2324" s="9" t="s">
        <v>48</v>
      </c>
      <c r="U2324" s="9">
        <v>480</v>
      </c>
      <c r="V2324" s="13">
        <v>0.35249999999999998</v>
      </c>
      <c r="W2324" s="13">
        <v>169.2</v>
      </c>
      <c r="X2324" s="14">
        <v>-28.81796071094481</v>
      </c>
      <c r="Y2324" s="13">
        <v>140.38203928905517</v>
      </c>
      <c r="Z2324" s="10">
        <v>45525</v>
      </c>
      <c r="AA2324" s="9">
        <v>0</v>
      </c>
      <c r="AC2324" s="9" t="s">
        <v>138</v>
      </c>
      <c r="AD2324" s="14">
        <v>47.151111111111113</v>
      </c>
      <c r="AF2324" s="14">
        <v>9.6</v>
      </c>
      <c r="AH2324" s="14">
        <v>56.751111111111115</v>
      </c>
      <c r="AI2324" s="13">
        <v>83.630928177944057</v>
      </c>
      <c r="AK2324" s="9">
        <v>480</v>
      </c>
    </row>
    <row r="2325" spans="1:37">
      <c r="A2325" s="9">
        <v>33</v>
      </c>
      <c r="B2325" s="9">
        <v>2024</v>
      </c>
      <c r="C2325" s="9" t="s">
        <v>46</v>
      </c>
      <c r="D2325" s="9" t="s">
        <v>47</v>
      </c>
      <c r="E2325" s="9" t="s">
        <v>47</v>
      </c>
      <c r="F2325" s="10">
        <v>45516</v>
      </c>
      <c r="G2325" s="9" t="s">
        <v>160</v>
      </c>
      <c r="H2325" s="9" t="s">
        <v>137</v>
      </c>
      <c r="I2325" s="9">
        <v>3</v>
      </c>
      <c r="J2325" s="9">
        <v>36</v>
      </c>
      <c r="K2325" s="9">
        <v>1.42</v>
      </c>
      <c r="L2325" s="9">
        <v>51.12</v>
      </c>
      <c r="M2325" s="9">
        <v>36</v>
      </c>
      <c r="N2325" s="9" t="s">
        <v>49</v>
      </c>
      <c r="Q2325" s="9">
        <f>IF(Auction_Sales[[#This Row],[Payment Date]]=0,"",-1+WEEKNUM(Auction_Sales[[#This Row],[Payment Date]]))</f>
        <v>33</v>
      </c>
      <c r="R2325" s="9">
        <v>18</v>
      </c>
      <c r="S2325" s="9" t="s">
        <v>160</v>
      </c>
      <c r="T2325" s="9" t="s">
        <v>137</v>
      </c>
      <c r="U2325" s="9">
        <v>18</v>
      </c>
      <c r="V2325" s="13">
        <v>6.1333333333333337</v>
      </c>
      <c r="W2325" s="13">
        <v>110.4</v>
      </c>
      <c r="X2325" s="14">
        <v>-1.0806735266604306</v>
      </c>
      <c r="Y2325" s="13">
        <v>109.31932647333957</v>
      </c>
      <c r="Z2325" s="10">
        <v>45525</v>
      </c>
      <c r="AA2325" s="9">
        <v>-18</v>
      </c>
      <c r="AC2325" s="9" t="s">
        <v>138</v>
      </c>
      <c r="AD2325" s="14">
        <v>141.45333333333332</v>
      </c>
      <c r="AF2325" s="14">
        <v>1.08</v>
      </c>
      <c r="AH2325" s="14">
        <v>142.53333333333333</v>
      </c>
      <c r="AI2325" s="13">
        <v>-33.214006859993759</v>
      </c>
      <c r="AK2325" s="9">
        <v>18</v>
      </c>
    </row>
    <row r="2326" spans="1:37">
      <c r="A2326" s="9">
        <v>33</v>
      </c>
      <c r="B2326" s="9">
        <v>2024</v>
      </c>
      <c r="C2326" s="9" t="s">
        <v>46</v>
      </c>
      <c r="D2326" s="9" t="s">
        <v>47</v>
      </c>
      <c r="E2326" s="9" t="s">
        <v>47</v>
      </c>
      <c r="F2326" s="10">
        <v>45516</v>
      </c>
      <c r="G2326" s="9" t="s">
        <v>154</v>
      </c>
      <c r="H2326" s="9" t="s">
        <v>48</v>
      </c>
      <c r="I2326" s="9">
        <v>1</v>
      </c>
      <c r="J2326" s="9">
        <v>80</v>
      </c>
      <c r="K2326" s="9">
        <v>0.47</v>
      </c>
      <c r="L2326" s="9">
        <v>37.6</v>
      </c>
      <c r="M2326" s="9">
        <v>3</v>
      </c>
      <c r="N2326" s="9" t="s">
        <v>49</v>
      </c>
      <c r="Q2326" s="9">
        <f>IF(Auction_Sales[[#This Row],[Payment Date]]=0,"",-1+WEEKNUM(Auction_Sales[[#This Row],[Payment Date]]))</f>
        <v>33</v>
      </c>
      <c r="R2326" s="9">
        <v>0</v>
      </c>
      <c r="S2326" s="9" t="s">
        <v>154</v>
      </c>
      <c r="T2326" s="9" t="s">
        <v>48</v>
      </c>
      <c r="U2326" s="9">
        <v>80</v>
      </c>
      <c r="V2326" s="13">
        <v>0.8</v>
      </c>
      <c r="W2326" s="13">
        <v>64</v>
      </c>
      <c r="X2326" s="14">
        <v>-4.8029934518241353</v>
      </c>
      <c r="Y2326" s="13">
        <v>59.197006548175864</v>
      </c>
      <c r="Z2326" s="10">
        <v>45525</v>
      </c>
      <c r="AA2326" s="9">
        <v>0</v>
      </c>
      <c r="AC2326" s="9" t="s">
        <v>138</v>
      </c>
      <c r="AD2326" s="14">
        <v>11.787777777777778</v>
      </c>
      <c r="AF2326" s="14">
        <v>1.6</v>
      </c>
      <c r="AH2326" s="14">
        <v>13.387777777777778</v>
      </c>
      <c r="AI2326" s="13">
        <v>45.809228770398086</v>
      </c>
      <c r="AK2326" s="9">
        <v>80</v>
      </c>
    </row>
    <row r="2327" spans="1:37">
      <c r="A2327" s="9">
        <v>33</v>
      </c>
      <c r="B2327" s="9">
        <v>2024</v>
      </c>
      <c r="C2327" s="9" t="s">
        <v>46</v>
      </c>
      <c r="D2327" s="9" t="s">
        <v>47</v>
      </c>
      <c r="E2327" s="9" t="s">
        <v>47</v>
      </c>
      <c r="F2327" s="10">
        <v>45516</v>
      </c>
      <c r="G2327" s="9" t="s">
        <v>154</v>
      </c>
      <c r="H2327" s="9" t="s">
        <v>54</v>
      </c>
      <c r="J2327" s="9">
        <v>80</v>
      </c>
      <c r="K2327" s="9">
        <v>0.56999999999999995</v>
      </c>
      <c r="L2327" s="9">
        <v>45.6</v>
      </c>
      <c r="M2327" s="9">
        <v>3</v>
      </c>
      <c r="N2327" s="9" t="s">
        <v>49</v>
      </c>
      <c r="Q2327" s="9">
        <f>IF(Auction_Sales[[#This Row],[Payment Date]]=0,"",-1+WEEKNUM(Auction_Sales[[#This Row],[Payment Date]]))</f>
        <v>33</v>
      </c>
      <c r="R2327" s="9">
        <v>0</v>
      </c>
      <c r="S2327" s="9" t="s">
        <v>154</v>
      </c>
      <c r="T2327" s="9" t="s">
        <v>54</v>
      </c>
      <c r="U2327" s="9">
        <v>80</v>
      </c>
      <c r="V2327" s="13">
        <v>0.78</v>
      </c>
      <c r="W2327" s="13">
        <v>62.400000000000006</v>
      </c>
      <c r="X2327" s="14">
        <v>-4.8029934518241353</v>
      </c>
      <c r="Y2327" s="13">
        <v>57.59700654817587</v>
      </c>
      <c r="Z2327" s="10">
        <v>45525</v>
      </c>
      <c r="AA2327" s="9">
        <v>0</v>
      </c>
      <c r="AC2327" s="9" t="s">
        <v>138</v>
      </c>
      <c r="AD2327" s="14">
        <v>11.787777777777778</v>
      </c>
      <c r="AF2327" s="14">
        <v>1.6</v>
      </c>
      <c r="AH2327" s="14">
        <v>13.387777777777778</v>
      </c>
      <c r="AI2327" s="13">
        <v>44.209228770398092</v>
      </c>
      <c r="AK2327" s="9">
        <v>80</v>
      </c>
    </row>
    <row r="2328" spans="1:37">
      <c r="A2328" s="9">
        <v>33</v>
      </c>
      <c r="B2328" s="9">
        <v>2024</v>
      </c>
      <c r="C2328" s="9" t="s">
        <v>46</v>
      </c>
      <c r="D2328" s="9" t="s">
        <v>47</v>
      </c>
      <c r="E2328" s="9" t="s">
        <v>47</v>
      </c>
      <c r="F2328" s="10">
        <v>45516</v>
      </c>
      <c r="G2328" s="9" t="s">
        <v>154</v>
      </c>
      <c r="H2328" s="9" t="s">
        <v>52</v>
      </c>
      <c r="J2328" s="9">
        <v>160</v>
      </c>
      <c r="K2328" s="9">
        <v>0.52</v>
      </c>
      <c r="L2328" s="9">
        <v>83.2</v>
      </c>
      <c r="M2328" s="9">
        <v>6</v>
      </c>
      <c r="N2328" s="9" t="s">
        <v>49</v>
      </c>
      <c r="Q2328" s="9">
        <f>IF(Auction_Sales[[#This Row],[Payment Date]]=0,"",-1+WEEKNUM(Auction_Sales[[#This Row],[Payment Date]]))</f>
        <v>33</v>
      </c>
      <c r="R2328" s="9">
        <v>0</v>
      </c>
      <c r="S2328" s="9" t="s">
        <v>154</v>
      </c>
      <c r="T2328" s="9" t="s">
        <v>52</v>
      </c>
      <c r="U2328" s="9">
        <v>160</v>
      </c>
      <c r="V2328" s="13">
        <v>0.60250000000000004</v>
      </c>
      <c r="W2328" s="13">
        <v>96.4</v>
      </c>
      <c r="X2328" s="14">
        <v>-9.6059869036482706</v>
      </c>
      <c r="Y2328" s="13">
        <v>86.794013096351733</v>
      </c>
      <c r="Z2328" s="10">
        <v>45525</v>
      </c>
      <c r="AA2328" s="9">
        <v>0</v>
      </c>
      <c r="AC2328" s="9" t="s">
        <v>138</v>
      </c>
      <c r="AD2328" s="14">
        <v>23.575555555555557</v>
      </c>
      <c r="AF2328" s="14">
        <v>3.2</v>
      </c>
      <c r="AH2328" s="14">
        <v>26.775555555555556</v>
      </c>
      <c r="AI2328" s="13">
        <v>60.018457540796177</v>
      </c>
      <c r="AK2328" s="9">
        <v>160</v>
      </c>
    </row>
    <row r="2329" spans="1:37">
      <c r="A2329" s="9">
        <v>33</v>
      </c>
      <c r="B2329" s="9">
        <v>2024</v>
      </c>
      <c r="C2329" s="9" t="s">
        <v>46</v>
      </c>
      <c r="D2329" s="9" t="s">
        <v>47</v>
      </c>
      <c r="E2329" s="9" t="s">
        <v>47</v>
      </c>
      <c r="F2329" s="10">
        <v>45516</v>
      </c>
      <c r="G2329" s="9" t="s">
        <v>156</v>
      </c>
      <c r="H2329" s="9" t="s">
        <v>52</v>
      </c>
      <c r="I2329" s="9">
        <v>1</v>
      </c>
      <c r="J2329" s="9">
        <v>200</v>
      </c>
      <c r="K2329" s="9">
        <v>0.61</v>
      </c>
      <c r="L2329" s="9">
        <v>122</v>
      </c>
      <c r="M2329" s="9">
        <v>7.5</v>
      </c>
      <c r="N2329" s="9" t="s">
        <v>49</v>
      </c>
      <c r="Q2329" s="9">
        <f>IF(Auction_Sales[[#This Row],[Payment Date]]=0,"",-1+WEEKNUM(Auction_Sales[[#This Row],[Payment Date]]))</f>
        <v>33</v>
      </c>
      <c r="R2329" s="9">
        <v>0</v>
      </c>
      <c r="S2329" s="9" t="s">
        <v>156</v>
      </c>
      <c r="T2329" s="9" t="s">
        <v>52</v>
      </c>
      <c r="U2329" s="9">
        <v>200</v>
      </c>
      <c r="V2329" s="13">
        <v>0.24199999999999999</v>
      </c>
      <c r="W2329" s="13">
        <v>48.4</v>
      </c>
      <c r="X2329" s="14">
        <v>-12.007483629560339</v>
      </c>
      <c r="Y2329" s="13">
        <v>36.392516370439658</v>
      </c>
      <c r="Z2329" s="10">
        <v>45525</v>
      </c>
      <c r="AA2329" s="9">
        <v>0</v>
      </c>
      <c r="AC2329" s="9" t="s">
        <v>138</v>
      </c>
      <c r="AD2329" s="14">
        <v>29.469444444444445</v>
      </c>
      <c r="AF2329" s="14">
        <v>4</v>
      </c>
      <c r="AH2329" s="14">
        <v>33.469444444444449</v>
      </c>
      <c r="AI2329" s="13">
        <v>2.9230719259952096</v>
      </c>
      <c r="AK2329" s="9">
        <v>200</v>
      </c>
    </row>
    <row r="2330" spans="1:37">
      <c r="A2330" s="9">
        <v>33</v>
      </c>
      <c r="B2330" s="9">
        <v>2024</v>
      </c>
      <c r="C2330" s="9" t="s">
        <v>46</v>
      </c>
      <c r="D2330" s="9" t="s">
        <v>47</v>
      </c>
      <c r="E2330" s="9" t="s">
        <v>47</v>
      </c>
      <c r="F2330" s="10">
        <v>45516</v>
      </c>
      <c r="G2330" s="9" t="s">
        <v>156</v>
      </c>
      <c r="H2330" s="9" t="s">
        <v>54</v>
      </c>
      <c r="J2330" s="9">
        <v>120</v>
      </c>
      <c r="K2330" s="9">
        <v>0.66</v>
      </c>
      <c r="L2330" s="9">
        <v>79.2</v>
      </c>
      <c r="M2330" s="9">
        <v>4.5</v>
      </c>
      <c r="N2330" s="9" t="s">
        <v>49</v>
      </c>
      <c r="Q2330" s="9">
        <f>IF(Auction_Sales[[#This Row],[Payment Date]]=0,"",-1+WEEKNUM(Auction_Sales[[#This Row],[Payment Date]]))</f>
        <v>33</v>
      </c>
      <c r="R2330" s="9">
        <v>0</v>
      </c>
      <c r="S2330" s="9" t="s">
        <v>156</v>
      </c>
      <c r="T2330" s="9" t="s">
        <v>54</v>
      </c>
      <c r="U2330" s="9">
        <v>120</v>
      </c>
      <c r="V2330" s="13">
        <v>0.21</v>
      </c>
      <c r="W2330" s="13">
        <v>25.2</v>
      </c>
      <c r="X2330" s="14">
        <v>-7.2044901777362025</v>
      </c>
      <c r="Y2330" s="13">
        <v>17.995509822263799</v>
      </c>
      <c r="Z2330" s="10">
        <v>45525</v>
      </c>
      <c r="AA2330" s="9">
        <v>0</v>
      </c>
      <c r="AC2330" s="9" t="s">
        <v>138</v>
      </c>
      <c r="AD2330" s="14">
        <v>17.681666666666665</v>
      </c>
      <c r="AF2330" s="14">
        <v>2.4</v>
      </c>
      <c r="AH2330" s="14">
        <v>20.081666666666663</v>
      </c>
      <c r="AI2330" s="13">
        <v>-2.0861568444028649</v>
      </c>
      <c r="AK2330" s="9">
        <v>120</v>
      </c>
    </row>
    <row r="2331" spans="1:37">
      <c r="A2331" s="9">
        <v>33</v>
      </c>
      <c r="B2331" s="9">
        <v>2024</v>
      </c>
      <c r="C2331" s="9" t="s">
        <v>46</v>
      </c>
      <c r="D2331" s="9" t="s">
        <v>47</v>
      </c>
      <c r="E2331" s="9" t="s">
        <v>47</v>
      </c>
      <c r="F2331" s="10">
        <v>45516</v>
      </c>
      <c r="G2331" s="9" t="s">
        <v>156</v>
      </c>
      <c r="H2331" s="9" t="s">
        <v>48</v>
      </c>
      <c r="I2331" s="9">
        <v>1</v>
      </c>
      <c r="J2331" s="9">
        <v>360</v>
      </c>
      <c r="K2331" s="9">
        <v>0.52</v>
      </c>
      <c r="L2331" s="9">
        <v>187.2</v>
      </c>
      <c r="M2331" s="9">
        <v>9.8181818181818183</v>
      </c>
      <c r="N2331" s="9" t="s">
        <v>49</v>
      </c>
      <c r="Q2331" s="9">
        <f>IF(Auction_Sales[[#This Row],[Payment Date]]=0,"",-1+WEEKNUM(Auction_Sales[[#This Row],[Payment Date]]))</f>
        <v>33</v>
      </c>
      <c r="R2331" s="9">
        <v>0</v>
      </c>
      <c r="S2331" s="9" t="s">
        <v>156</v>
      </c>
      <c r="T2331" s="9" t="s">
        <v>48</v>
      </c>
      <c r="U2331" s="9">
        <v>360</v>
      </c>
      <c r="V2331" s="13">
        <v>0.17555555555555558</v>
      </c>
      <c r="W2331" s="13">
        <v>63.20000000000001</v>
      </c>
      <c r="X2331" s="14">
        <v>-21.613470533208609</v>
      </c>
      <c r="Y2331" s="13">
        <v>41.586529466791404</v>
      </c>
      <c r="Z2331" s="10">
        <v>45525</v>
      </c>
      <c r="AA2331" s="9">
        <v>0</v>
      </c>
      <c r="AC2331" s="9" t="s">
        <v>138</v>
      </c>
      <c r="AD2331" s="14">
        <v>38.578181818181818</v>
      </c>
      <c r="AF2331" s="14">
        <v>7.2</v>
      </c>
      <c r="AH2331" s="14">
        <v>45.778181818181821</v>
      </c>
      <c r="AI2331" s="13">
        <v>-4.1916523513904167</v>
      </c>
      <c r="AK2331" s="9">
        <v>360</v>
      </c>
    </row>
    <row r="2332" spans="1:37">
      <c r="A2332" s="9">
        <v>33</v>
      </c>
      <c r="B2332" s="9">
        <v>2024</v>
      </c>
      <c r="C2332" s="9" t="s">
        <v>46</v>
      </c>
      <c r="D2332" s="9" t="s">
        <v>47</v>
      </c>
      <c r="E2332" s="9" t="s">
        <v>47</v>
      </c>
      <c r="F2332" s="10">
        <v>45516</v>
      </c>
      <c r="G2332" s="9" t="s">
        <v>156</v>
      </c>
      <c r="H2332" s="9" t="s">
        <v>56</v>
      </c>
      <c r="J2332" s="9">
        <v>40</v>
      </c>
      <c r="K2332" s="9">
        <v>0.85</v>
      </c>
      <c r="L2332" s="9">
        <v>34</v>
      </c>
      <c r="M2332" s="9">
        <v>1.0909090909090908</v>
      </c>
      <c r="N2332" s="9" t="s">
        <v>49</v>
      </c>
      <c r="Q2332" s="9">
        <f>IF(Auction_Sales[[#This Row],[Payment Date]]=0,"",-1+WEEKNUM(Auction_Sales[[#This Row],[Payment Date]]))</f>
        <v>33</v>
      </c>
      <c r="R2332" s="9">
        <v>0</v>
      </c>
      <c r="S2332" s="9" t="s">
        <v>156</v>
      </c>
      <c r="T2332" s="9" t="s">
        <v>56</v>
      </c>
      <c r="U2332" s="9">
        <v>40</v>
      </c>
      <c r="V2332" s="13">
        <v>0.18</v>
      </c>
      <c r="W2332" s="13">
        <v>7.1999999999999993</v>
      </c>
      <c r="X2332" s="14">
        <v>-2.4014967259120676</v>
      </c>
      <c r="Y2332" s="13">
        <v>4.7985032740879312</v>
      </c>
      <c r="Z2332" s="10">
        <v>45525</v>
      </c>
      <c r="AA2332" s="9">
        <v>0</v>
      </c>
      <c r="AC2332" s="9" t="s">
        <v>138</v>
      </c>
      <c r="AD2332" s="14">
        <v>4.2864646464646459</v>
      </c>
      <c r="AF2332" s="14">
        <v>0.8</v>
      </c>
      <c r="AH2332" s="14">
        <v>5.0864646464646457</v>
      </c>
      <c r="AI2332" s="13">
        <v>-0.28796137237671449</v>
      </c>
      <c r="AK2332" s="9">
        <v>40</v>
      </c>
    </row>
    <row r="2333" spans="1:37">
      <c r="A2333" s="9">
        <v>33</v>
      </c>
      <c r="B2333" s="9">
        <v>2024</v>
      </c>
      <c r="C2333" s="9" t="s">
        <v>46</v>
      </c>
      <c r="D2333" s="9" t="s">
        <v>47</v>
      </c>
      <c r="E2333" s="9" t="s">
        <v>47</v>
      </c>
      <c r="F2333" s="10">
        <v>45516</v>
      </c>
      <c r="G2333" s="9" t="s">
        <v>156</v>
      </c>
      <c r="H2333" s="9" t="s">
        <v>57</v>
      </c>
      <c r="J2333" s="9">
        <v>40</v>
      </c>
      <c r="K2333" s="9">
        <v>1.04</v>
      </c>
      <c r="L2333" s="9">
        <v>41.6</v>
      </c>
      <c r="M2333" s="9">
        <v>1.0909090909090908</v>
      </c>
      <c r="N2333" s="9" t="s">
        <v>49</v>
      </c>
      <c r="Q2333" s="9">
        <f>IF(Auction_Sales[[#This Row],[Payment Date]]=0,"",-1+WEEKNUM(Auction_Sales[[#This Row],[Payment Date]]))</f>
        <v>33</v>
      </c>
      <c r="R2333" s="9">
        <v>0</v>
      </c>
      <c r="S2333" s="9" t="s">
        <v>156</v>
      </c>
      <c r="T2333" s="9" t="s">
        <v>57</v>
      </c>
      <c r="U2333" s="9">
        <v>40</v>
      </c>
      <c r="V2333" s="13">
        <v>0.53</v>
      </c>
      <c r="W2333" s="13">
        <v>21.200000000000003</v>
      </c>
      <c r="X2333" s="14">
        <v>-2.4014967259120676</v>
      </c>
      <c r="Y2333" s="13">
        <v>18.798503274087935</v>
      </c>
      <c r="Z2333" s="10">
        <v>45525</v>
      </c>
      <c r="AA2333" s="9">
        <v>0</v>
      </c>
      <c r="AC2333" s="9" t="s">
        <v>138</v>
      </c>
      <c r="AD2333" s="14">
        <v>4.2864646464646459</v>
      </c>
      <c r="AF2333" s="14">
        <v>0.8</v>
      </c>
      <c r="AH2333" s="14">
        <v>5.0864646464646457</v>
      </c>
      <c r="AI2333" s="13">
        <v>13.71203862762329</v>
      </c>
      <c r="AK2333" s="9">
        <v>40</v>
      </c>
    </row>
    <row r="2334" spans="1:37">
      <c r="A2334" s="9">
        <v>33</v>
      </c>
      <c r="B2334" s="9">
        <v>2024</v>
      </c>
      <c r="C2334" s="9" t="s">
        <v>46</v>
      </c>
      <c r="D2334" s="9" t="s">
        <v>47</v>
      </c>
      <c r="E2334" s="9" t="s">
        <v>47</v>
      </c>
      <c r="F2334" s="10">
        <v>45516</v>
      </c>
      <c r="G2334" s="9" t="s">
        <v>153</v>
      </c>
      <c r="H2334" s="9" t="s">
        <v>57</v>
      </c>
      <c r="I2334" s="9">
        <v>1</v>
      </c>
      <c r="J2334" s="9">
        <v>40</v>
      </c>
      <c r="K2334" s="9">
        <v>0.47</v>
      </c>
      <c r="L2334" s="9">
        <v>18.8</v>
      </c>
      <c r="M2334" s="9">
        <v>1.3333333333333333</v>
      </c>
      <c r="N2334" s="9" t="s">
        <v>49</v>
      </c>
      <c r="Q2334" s="9">
        <f>IF(Auction_Sales[[#This Row],[Payment Date]]=0,"",-1+WEEKNUM(Auction_Sales[[#This Row],[Payment Date]]))</f>
        <v>33</v>
      </c>
      <c r="R2334" s="9">
        <v>0</v>
      </c>
      <c r="S2334" s="9" t="s">
        <v>153</v>
      </c>
      <c r="T2334" s="9" t="s">
        <v>57</v>
      </c>
      <c r="U2334" s="9">
        <v>40</v>
      </c>
      <c r="V2334" s="13">
        <v>0.16</v>
      </c>
      <c r="W2334" s="13">
        <v>6.4</v>
      </c>
      <c r="X2334" s="14">
        <v>-2.4014967259120676</v>
      </c>
      <c r="Y2334" s="13">
        <v>3.9985032740879327</v>
      </c>
      <c r="Z2334" s="10">
        <v>45525</v>
      </c>
      <c r="AA2334" s="9">
        <v>0</v>
      </c>
      <c r="AC2334" s="9" t="s">
        <v>138</v>
      </c>
      <c r="AD2334" s="14">
        <v>5.2390123456790123</v>
      </c>
      <c r="AF2334" s="14">
        <v>0.8</v>
      </c>
      <c r="AH2334" s="14">
        <v>6.0390123456790121</v>
      </c>
      <c r="AI2334" s="13">
        <v>-2.0405090715910794</v>
      </c>
      <c r="AK2334" s="9">
        <v>40</v>
      </c>
    </row>
    <row r="2335" spans="1:37">
      <c r="A2335" s="9">
        <v>33</v>
      </c>
      <c r="B2335" s="9">
        <v>2024</v>
      </c>
      <c r="C2335" s="9" t="s">
        <v>46</v>
      </c>
      <c r="D2335" s="9" t="s">
        <v>47</v>
      </c>
      <c r="E2335" s="9" t="s">
        <v>47</v>
      </c>
      <c r="F2335" s="10">
        <v>45516</v>
      </c>
      <c r="G2335" s="9" t="s">
        <v>153</v>
      </c>
      <c r="H2335" s="9" t="s">
        <v>52</v>
      </c>
      <c r="J2335" s="9">
        <v>160</v>
      </c>
      <c r="K2335" s="9">
        <v>0.28000000000000003</v>
      </c>
      <c r="L2335" s="9">
        <v>44.8</v>
      </c>
      <c r="M2335" s="9">
        <v>5.333333333333333</v>
      </c>
      <c r="N2335" s="9" t="s">
        <v>49</v>
      </c>
      <c r="Q2335" s="9">
        <f>IF(Auction_Sales[[#This Row],[Payment Date]]=0,"",-1+WEEKNUM(Auction_Sales[[#This Row],[Payment Date]]))</f>
        <v>33</v>
      </c>
      <c r="R2335" s="9">
        <v>0</v>
      </c>
      <c r="S2335" s="9" t="s">
        <v>153</v>
      </c>
      <c r="T2335" s="9" t="s">
        <v>52</v>
      </c>
      <c r="U2335" s="9">
        <v>160</v>
      </c>
      <c r="V2335" s="13">
        <v>4.4999999999999998E-2</v>
      </c>
      <c r="W2335" s="13">
        <v>7.1999999999999993</v>
      </c>
      <c r="X2335" s="14">
        <v>-9.6059869036482706</v>
      </c>
      <c r="Y2335" s="13">
        <v>-2.4059869036482713</v>
      </c>
      <c r="Z2335" s="10">
        <v>45525</v>
      </c>
      <c r="AA2335" s="9">
        <v>0</v>
      </c>
      <c r="AC2335" s="9" t="s">
        <v>138</v>
      </c>
      <c r="AD2335" s="14">
        <v>20.956049382716049</v>
      </c>
      <c r="AF2335" s="14">
        <v>3.2</v>
      </c>
      <c r="AH2335" s="14">
        <v>24.156049382716049</v>
      </c>
      <c r="AI2335" s="13">
        <v>-26.562036286364318</v>
      </c>
      <c r="AK2335" s="9">
        <v>160</v>
      </c>
    </row>
    <row r="2336" spans="1:37">
      <c r="A2336" s="9">
        <v>33</v>
      </c>
      <c r="B2336" s="9">
        <v>2024</v>
      </c>
      <c r="C2336" s="9" t="s">
        <v>46</v>
      </c>
      <c r="D2336" s="9" t="s">
        <v>47</v>
      </c>
      <c r="E2336" s="9" t="s">
        <v>47</v>
      </c>
      <c r="F2336" s="10">
        <v>45516</v>
      </c>
      <c r="G2336" s="9" t="s">
        <v>153</v>
      </c>
      <c r="H2336" s="9" t="s">
        <v>54</v>
      </c>
      <c r="J2336" s="9">
        <v>120</v>
      </c>
      <c r="K2336" s="9">
        <v>0.33</v>
      </c>
      <c r="L2336" s="9">
        <v>39.6</v>
      </c>
      <c r="M2336" s="9">
        <v>4</v>
      </c>
      <c r="N2336" s="9" t="s">
        <v>49</v>
      </c>
      <c r="Q2336" s="9">
        <f>IF(Auction_Sales[[#This Row],[Payment Date]]=0,"",-1+WEEKNUM(Auction_Sales[[#This Row],[Payment Date]]))</f>
        <v>33</v>
      </c>
      <c r="R2336" s="9">
        <v>0</v>
      </c>
      <c r="S2336" s="9" t="s">
        <v>153</v>
      </c>
      <c r="T2336" s="9" t="s">
        <v>54</v>
      </c>
      <c r="U2336" s="9">
        <v>120</v>
      </c>
      <c r="V2336" s="13">
        <v>6.0000000000000005E-2</v>
      </c>
      <c r="W2336" s="13">
        <v>7.2</v>
      </c>
      <c r="X2336" s="14">
        <v>-7.2044901777362025</v>
      </c>
      <c r="Y2336" s="13">
        <v>-4.4901777362023054E-3</v>
      </c>
      <c r="Z2336" s="10">
        <v>45525</v>
      </c>
      <c r="AA2336" s="9">
        <v>0</v>
      </c>
      <c r="AC2336" s="9" t="s">
        <v>138</v>
      </c>
      <c r="AD2336" s="14">
        <v>15.717037037037036</v>
      </c>
      <c r="AF2336" s="14">
        <v>2.4</v>
      </c>
      <c r="AH2336" s="14">
        <v>18.117037037037036</v>
      </c>
      <c r="AI2336" s="13">
        <v>-18.121527214773238</v>
      </c>
      <c r="AK2336" s="9">
        <v>120</v>
      </c>
    </row>
    <row r="2337" spans="1:37">
      <c r="A2337" s="9">
        <v>33</v>
      </c>
      <c r="B2337" s="9">
        <v>2024</v>
      </c>
      <c r="C2337" s="9" t="s">
        <v>46</v>
      </c>
      <c r="D2337" s="9" t="s">
        <v>47</v>
      </c>
      <c r="E2337" s="9" t="s">
        <v>47</v>
      </c>
      <c r="F2337" s="10">
        <v>45516</v>
      </c>
      <c r="G2337" s="9" t="s">
        <v>153</v>
      </c>
      <c r="H2337" s="9" t="s">
        <v>56</v>
      </c>
      <c r="J2337" s="9">
        <v>40</v>
      </c>
      <c r="K2337" s="9">
        <v>0.38</v>
      </c>
      <c r="L2337" s="9">
        <v>15.2</v>
      </c>
      <c r="M2337" s="9">
        <v>1.3333333333333333</v>
      </c>
      <c r="N2337" s="9" t="s">
        <v>49</v>
      </c>
      <c r="Q2337" s="9">
        <f>IF(Auction_Sales[[#This Row],[Payment Date]]=0,"",-1+WEEKNUM(Auction_Sales[[#This Row],[Payment Date]]))</f>
        <v>33</v>
      </c>
      <c r="R2337" s="9">
        <v>0</v>
      </c>
      <c r="S2337" s="9" t="s">
        <v>153</v>
      </c>
      <c r="T2337" s="9" t="s">
        <v>56</v>
      </c>
      <c r="U2337" s="9">
        <v>40</v>
      </c>
      <c r="V2337" s="13">
        <v>0.13999999999999999</v>
      </c>
      <c r="W2337" s="13">
        <v>5.6</v>
      </c>
      <c r="X2337" s="14">
        <v>-2.4014967259120676</v>
      </c>
      <c r="Y2337" s="13">
        <v>3.198503274087932</v>
      </c>
      <c r="Z2337" s="10">
        <v>45525</v>
      </c>
      <c r="AA2337" s="9">
        <v>0</v>
      </c>
      <c r="AC2337" s="9" t="s">
        <v>138</v>
      </c>
      <c r="AD2337" s="14">
        <v>5.2390123456790123</v>
      </c>
      <c r="AF2337" s="14">
        <v>0.8</v>
      </c>
      <c r="AH2337" s="14">
        <v>6.0390123456790121</v>
      </c>
      <c r="AI2337" s="13">
        <v>-2.8405090715910801</v>
      </c>
      <c r="AK2337" s="9">
        <v>40</v>
      </c>
    </row>
    <row r="2338" spans="1:37">
      <c r="A2338" s="9">
        <v>33</v>
      </c>
      <c r="B2338" s="9">
        <v>2024</v>
      </c>
      <c r="C2338" s="9" t="s">
        <v>46</v>
      </c>
      <c r="D2338" s="9" t="s">
        <v>47</v>
      </c>
      <c r="E2338" s="9" t="s">
        <v>47</v>
      </c>
      <c r="F2338" s="10">
        <v>45516</v>
      </c>
      <c r="G2338" s="9" t="s">
        <v>154</v>
      </c>
      <c r="H2338" s="9" t="s">
        <v>56</v>
      </c>
      <c r="N2338" s="9" t="s">
        <v>49</v>
      </c>
      <c r="Q2338" s="9">
        <f>IF(Auction_Sales[[#This Row],[Payment Date]]=0,"",-1+WEEKNUM(Auction_Sales[[#This Row],[Payment Date]]))</f>
        <v>33</v>
      </c>
      <c r="R2338" s="9">
        <v>-200</v>
      </c>
      <c r="S2338" s="9" t="s">
        <v>154</v>
      </c>
      <c r="T2338" s="9" t="s">
        <v>56</v>
      </c>
      <c r="U2338" s="9">
        <v>200</v>
      </c>
      <c r="V2338" s="13">
        <v>0.79</v>
      </c>
      <c r="W2338" s="13">
        <v>158</v>
      </c>
      <c r="X2338" s="14">
        <v>-12.007483629560339</v>
      </c>
      <c r="Y2338" s="13">
        <v>145.99251637043966</v>
      </c>
      <c r="Z2338" s="10">
        <v>45525</v>
      </c>
      <c r="AA2338" s="9">
        <v>200</v>
      </c>
      <c r="AC2338" s="9" t="s">
        <v>138</v>
      </c>
      <c r="AD2338" s="14">
        <v>0</v>
      </c>
      <c r="AF2338" s="14">
        <v>4</v>
      </c>
      <c r="AH2338" s="14">
        <v>4</v>
      </c>
      <c r="AI2338" s="13">
        <v>141.99251637043966</v>
      </c>
      <c r="AK2338" s="9">
        <v>200</v>
      </c>
    </row>
    <row r="2339" spans="1:37">
      <c r="A2339" s="9">
        <v>33</v>
      </c>
      <c r="B2339" s="9">
        <v>2024</v>
      </c>
      <c r="C2339" s="9" t="s">
        <v>46</v>
      </c>
      <c r="D2339" s="9" t="s">
        <v>47</v>
      </c>
      <c r="E2339" s="9" t="s">
        <v>47</v>
      </c>
      <c r="F2339" s="10">
        <v>45516</v>
      </c>
      <c r="G2339" s="9" t="s">
        <v>160</v>
      </c>
      <c r="H2339" s="9" t="s">
        <v>137</v>
      </c>
      <c r="N2339" s="9" t="s">
        <v>49</v>
      </c>
      <c r="Q2339" s="9">
        <f>IF(Auction_Sales[[#This Row],[Payment Date]]=0,"",-1+WEEKNUM(Auction_Sales[[#This Row],[Payment Date]]))</f>
        <v>33</v>
      </c>
      <c r="R2339" s="9">
        <v>-18</v>
      </c>
      <c r="S2339" s="9" t="s">
        <v>160</v>
      </c>
      <c r="T2339" s="9" t="s">
        <v>137</v>
      </c>
      <c r="U2339" s="9">
        <v>18</v>
      </c>
      <c r="V2339" s="13">
        <v>6.6333333333333337</v>
      </c>
      <c r="W2339" s="13">
        <v>119.4</v>
      </c>
      <c r="X2339" s="14">
        <v>-19.230000000000004</v>
      </c>
      <c r="Y2339" s="13">
        <v>100.17</v>
      </c>
      <c r="Z2339" s="10">
        <v>45525</v>
      </c>
      <c r="AA2339" s="9">
        <v>18</v>
      </c>
      <c r="AC2339" s="9" t="s">
        <v>138</v>
      </c>
      <c r="AD2339" s="14">
        <v>0</v>
      </c>
      <c r="AF2339" s="14">
        <v>1.08</v>
      </c>
      <c r="AH2339" s="14">
        <v>1.08</v>
      </c>
      <c r="AI2339" s="13">
        <v>99.09</v>
      </c>
      <c r="AK2339" s="9">
        <v>18</v>
      </c>
    </row>
    <row r="2340" spans="1:37">
      <c r="A2340" s="9">
        <v>33</v>
      </c>
      <c r="B2340" s="9">
        <v>2024</v>
      </c>
      <c r="C2340" s="9" t="s">
        <v>46</v>
      </c>
      <c r="D2340" s="9" t="s">
        <v>47</v>
      </c>
      <c r="E2340" s="9" t="s">
        <v>47</v>
      </c>
      <c r="F2340" s="10">
        <v>45519</v>
      </c>
      <c r="G2340" s="9" t="s">
        <v>160</v>
      </c>
      <c r="H2340" s="9" t="s">
        <v>137</v>
      </c>
      <c r="I2340" s="9">
        <v>3</v>
      </c>
      <c r="J2340" s="9">
        <v>36</v>
      </c>
      <c r="K2340" s="9">
        <v>1.42</v>
      </c>
      <c r="L2340" s="9">
        <v>51.12</v>
      </c>
      <c r="M2340" s="9">
        <v>36</v>
      </c>
      <c r="N2340" s="9" t="s">
        <v>49</v>
      </c>
      <c r="Q2340" s="9">
        <f>IF(Auction_Sales[[#This Row],[Payment Date]]=0,"",-1+WEEKNUM(Auction_Sales[[#This Row],[Payment Date]]))</f>
        <v>34</v>
      </c>
      <c r="R2340" s="9">
        <v>0</v>
      </c>
      <c r="S2340" s="9" t="s">
        <v>160</v>
      </c>
      <c r="T2340" s="9" t="s">
        <v>137</v>
      </c>
      <c r="U2340" s="9">
        <v>36</v>
      </c>
      <c r="V2340" s="13">
        <v>7.0333333333333332</v>
      </c>
      <c r="W2340" s="13">
        <v>253.2</v>
      </c>
      <c r="X2340" s="14">
        <v>-3.2094979079497916</v>
      </c>
      <c r="Y2340" s="13">
        <v>249.99050209205021</v>
      </c>
      <c r="Z2340" s="10">
        <v>45532</v>
      </c>
      <c r="AA2340" s="9">
        <v>0</v>
      </c>
      <c r="AC2340" s="9">
        <v>451727</v>
      </c>
      <c r="AD2340" s="14">
        <v>142.97499999999999</v>
      </c>
      <c r="AF2340" s="14">
        <v>2.16</v>
      </c>
      <c r="AH2340" s="14">
        <v>145.13499999999999</v>
      </c>
      <c r="AI2340" s="13">
        <v>104.85550209205022</v>
      </c>
      <c r="AK2340" s="9">
        <v>36</v>
      </c>
    </row>
    <row r="2341" spans="1:37">
      <c r="A2341" s="9">
        <v>33</v>
      </c>
      <c r="B2341" s="9">
        <v>2024</v>
      </c>
      <c r="C2341" s="9" t="s">
        <v>46</v>
      </c>
      <c r="D2341" s="9" t="s">
        <v>47</v>
      </c>
      <c r="E2341" s="9" t="s">
        <v>47</v>
      </c>
      <c r="F2341" s="10">
        <v>45519</v>
      </c>
      <c r="G2341" s="9" t="s">
        <v>156</v>
      </c>
      <c r="H2341" s="9" t="s">
        <v>56</v>
      </c>
      <c r="I2341" s="9">
        <v>1</v>
      </c>
      <c r="J2341" s="9">
        <v>80</v>
      </c>
      <c r="K2341" s="9">
        <v>0.85</v>
      </c>
      <c r="L2341" s="9">
        <v>68</v>
      </c>
      <c r="M2341" s="9">
        <v>4</v>
      </c>
      <c r="N2341" s="9" t="s">
        <v>49</v>
      </c>
      <c r="Q2341" s="9">
        <f>IF(Auction_Sales[[#This Row],[Payment Date]]=0,"",-1+WEEKNUM(Auction_Sales[[#This Row],[Payment Date]]))</f>
        <v>34</v>
      </c>
      <c r="R2341" s="9">
        <v>40</v>
      </c>
      <c r="S2341" s="9" t="s">
        <v>156</v>
      </c>
      <c r="T2341" s="9" t="s">
        <v>56</v>
      </c>
      <c r="U2341" s="9">
        <v>40</v>
      </c>
      <c r="V2341" s="13">
        <v>0.72</v>
      </c>
      <c r="W2341" s="13">
        <v>28.799999999999997</v>
      </c>
      <c r="X2341" s="14">
        <v>-3.5661087866108794</v>
      </c>
      <c r="Y2341" s="13">
        <v>25.233891213389118</v>
      </c>
      <c r="Z2341" s="10">
        <v>45532</v>
      </c>
      <c r="AA2341" s="9">
        <v>-40</v>
      </c>
      <c r="AC2341" s="9">
        <v>451727</v>
      </c>
      <c r="AD2341" s="14">
        <v>15.886111111111109</v>
      </c>
      <c r="AF2341" s="14">
        <v>0.8</v>
      </c>
      <c r="AH2341" s="14">
        <v>16.68611111111111</v>
      </c>
      <c r="AI2341" s="13">
        <v>8.5477801022780078</v>
      </c>
      <c r="AK2341" s="9">
        <v>40</v>
      </c>
    </row>
    <row r="2342" spans="1:37">
      <c r="A2342" s="9">
        <v>33</v>
      </c>
      <c r="B2342" s="9">
        <v>2024</v>
      </c>
      <c r="C2342" s="9" t="s">
        <v>46</v>
      </c>
      <c r="D2342" s="9" t="s">
        <v>47</v>
      </c>
      <c r="E2342" s="9" t="s">
        <v>47</v>
      </c>
      <c r="F2342" s="10">
        <v>45519</v>
      </c>
      <c r="G2342" s="9" t="s">
        <v>156</v>
      </c>
      <c r="H2342" s="9" t="s">
        <v>57</v>
      </c>
      <c r="J2342" s="9">
        <v>160</v>
      </c>
      <c r="K2342" s="9">
        <v>1.04</v>
      </c>
      <c r="L2342" s="9">
        <v>166.4</v>
      </c>
      <c r="M2342" s="9">
        <v>8</v>
      </c>
      <c r="N2342" s="9" t="s">
        <v>49</v>
      </c>
      <c r="Q2342" s="9">
        <f>IF(Auction_Sales[[#This Row],[Payment Date]]=0,"",-1+WEEKNUM(Auction_Sales[[#This Row],[Payment Date]]))</f>
        <v>34</v>
      </c>
      <c r="R2342" s="9">
        <v>0</v>
      </c>
      <c r="S2342" s="9" t="s">
        <v>156</v>
      </c>
      <c r="T2342" s="9" t="s">
        <v>57</v>
      </c>
      <c r="U2342" s="9">
        <v>160</v>
      </c>
      <c r="V2342" s="13">
        <v>0.9375</v>
      </c>
      <c r="W2342" s="13">
        <v>150</v>
      </c>
      <c r="X2342" s="14">
        <v>-14.264435146443518</v>
      </c>
      <c r="Y2342" s="13">
        <v>135.73556485355647</v>
      </c>
      <c r="Z2342" s="10">
        <v>45532</v>
      </c>
      <c r="AA2342" s="9">
        <v>0</v>
      </c>
      <c r="AC2342" s="9">
        <v>451727</v>
      </c>
      <c r="AD2342" s="14">
        <v>31.772222222222219</v>
      </c>
      <c r="AF2342" s="14">
        <v>3.2</v>
      </c>
      <c r="AH2342" s="14">
        <v>34.972222222222221</v>
      </c>
      <c r="AI2342" s="13">
        <v>100.76334263133424</v>
      </c>
      <c r="AK2342" s="9">
        <v>160</v>
      </c>
    </row>
    <row r="2343" spans="1:37">
      <c r="A2343" s="9">
        <v>33</v>
      </c>
      <c r="B2343" s="9">
        <v>2024</v>
      </c>
      <c r="C2343" s="9" t="s">
        <v>46</v>
      </c>
      <c r="D2343" s="9" t="s">
        <v>47</v>
      </c>
      <c r="E2343" s="9" t="s">
        <v>47</v>
      </c>
      <c r="F2343" s="10">
        <v>45519</v>
      </c>
      <c r="G2343" s="9" t="s">
        <v>154</v>
      </c>
      <c r="H2343" s="9" t="s">
        <v>56</v>
      </c>
      <c r="I2343" s="9">
        <v>1</v>
      </c>
      <c r="J2343" s="9">
        <v>120</v>
      </c>
      <c r="K2343" s="9">
        <v>0.75</v>
      </c>
      <c r="L2343" s="9">
        <v>90</v>
      </c>
      <c r="M2343" s="9">
        <v>7.1999999999999993</v>
      </c>
      <c r="N2343" s="9" t="s">
        <v>49</v>
      </c>
      <c r="Q2343" s="9">
        <f>IF(Auction_Sales[[#This Row],[Payment Date]]=0,"",-1+WEEKNUM(Auction_Sales[[#This Row],[Payment Date]]))</f>
        <v>34</v>
      </c>
      <c r="R2343" s="9">
        <v>0</v>
      </c>
      <c r="S2343" s="9" t="s">
        <v>154</v>
      </c>
      <c r="T2343" s="9" t="s">
        <v>56</v>
      </c>
      <c r="U2343" s="9">
        <v>120</v>
      </c>
      <c r="V2343" s="13">
        <v>0.69</v>
      </c>
      <c r="W2343" s="13">
        <v>82.8</v>
      </c>
      <c r="X2343" s="14">
        <v>-10.698326359832638</v>
      </c>
      <c r="Y2343" s="13">
        <v>72.101673640167363</v>
      </c>
      <c r="Z2343" s="10">
        <v>45532</v>
      </c>
      <c r="AA2343" s="9">
        <v>0</v>
      </c>
      <c r="AC2343" s="9">
        <v>451727</v>
      </c>
      <c r="AD2343" s="14">
        <v>28.594999999999995</v>
      </c>
      <c r="AF2343" s="14">
        <v>2.4</v>
      </c>
      <c r="AH2343" s="14">
        <v>30.994999999999994</v>
      </c>
      <c r="AI2343" s="13">
        <v>41.106673640167372</v>
      </c>
      <c r="AK2343" s="9">
        <v>120</v>
      </c>
    </row>
    <row r="2344" spans="1:37">
      <c r="A2344" s="9">
        <v>33</v>
      </c>
      <c r="B2344" s="9">
        <v>2024</v>
      </c>
      <c r="C2344" s="9" t="s">
        <v>46</v>
      </c>
      <c r="D2344" s="9" t="s">
        <v>47</v>
      </c>
      <c r="E2344" s="9" t="s">
        <v>47</v>
      </c>
      <c r="F2344" s="10">
        <v>45519</v>
      </c>
      <c r="G2344" s="9" t="s">
        <v>154</v>
      </c>
      <c r="H2344" s="9" t="s">
        <v>57</v>
      </c>
      <c r="J2344" s="9">
        <v>80</v>
      </c>
      <c r="K2344" s="9">
        <v>0.94</v>
      </c>
      <c r="L2344" s="9">
        <v>75.2</v>
      </c>
      <c r="M2344" s="9">
        <v>4.8000000000000007</v>
      </c>
      <c r="N2344" s="9" t="s">
        <v>49</v>
      </c>
      <c r="Q2344" s="9">
        <f>IF(Auction_Sales[[#This Row],[Payment Date]]=0,"",-1+WEEKNUM(Auction_Sales[[#This Row],[Payment Date]]))</f>
        <v>34</v>
      </c>
      <c r="R2344" s="9">
        <v>0</v>
      </c>
      <c r="S2344" s="9" t="s">
        <v>154</v>
      </c>
      <c r="T2344" s="9" t="s">
        <v>57</v>
      </c>
      <c r="U2344" s="9">
        <v>80</v>
      </c>
      <c r="V2344" s="13">
        <v>0.72</v>
      </c>
      <c r="W2344" s="13">
        <v>57.599999999999994</v>
      </c>
      <c r="X2344" s="14">
        <v>-7.1322175732217588</v>
      </c>
      <c r="Y2344" s="13">
        <v>50.467782426778236</v>
      </c>
      <c r="Z2344" s="10">
        <v>45532</v>
      </c>
      <c r="AA2344" s="9">
        <v>0</v>
      </c>
      <c r="AC2344" s="9">
        <v>451727</v>
      </c>
      <c r="AD2344" s="14">
        <v>19.063333333333336</v>
      </c>
      <c r="AF2344" s="14">
        <v>1.6</v>
      </c>
      <c r="AH2344" s="14">
        <v>20.663333333333338</v>
      </c>
      <c r="AI2344" s="13">
        <v>29.804449093444898</v>
      </c>
      <c r="AK2344" s="9">
        <v>80</v>
      </c>
    </row>
    <row r="2345" spans="1:37">
      <c r="A2345" s="9">
        <v>33</v>
      </c>
      <c r="B2345" s="9">
        <v>2024</v>
      </c>
      <c r="C2345" s="9" t="s">
        <v>46</v>
      </c>
      <c r="D2345" s="9" t="s">
        <v>47</v>
      </c>
      <c r="E2345" s="9" t="s">
        <v>47</v>
      </c>
      <c r="F2345" s="10">
        <v>45519</v>
      </c>
      <c r="G2345" s="9" t="s">
        <v>154</v>
      </c>
      <c r="H2345" s="9" t="s">
        <v>48</v>
      </c>
      <c r="I2345" s="9">
        <v>1</v>
      </c>
      <c r="J2345" s="9">
        <v>200</v>
      </c>
      <c r="K2345" s="9">
        <v>0.47</v>
      </c>
      <c r="L2345" s="9">
        <v>94</v>
      </c>
      <c r="M2345" s="9">
        <v>5</v>
      </c>
      <c r="N2345" s="9" t="s">
        <v>49</v>
      </c>
      <c r="Q2345" s="9">
        <f>IF(Auction_Sales[[#This Row],[Payment Date]]=0,"",-1+WEEKNUM(Auction_Sales[[#This Row],[Payment Date]]))</f>
        <v>34</v>
      </c>
      <c r="R2345" s="9">
        <v>0</v>
      </c>
      <c r="S2345" s="9" t="s">
        <v>154</v>
      </c>
      <c r="T2345" s="9" t="s">
        <v>48</v>
      </c>
      <c r="U2345" s="9">
        <v>200</v>
      </c>
      <c r="V2345" s="13">
        <v>0.48599999999999999</v>
      </c>
      <c r="W2345" s="13">
        <v>97.2</v>
      </c>
      <c r="X2345" s="14">
        <v>-17.830543933054397</v>
      </c>
      <c r="Y2345" s="13">
        <v>79.369456066945602</v>
      </c>
      <c r="Z2345" s="10">
        <v>45532</v>
      </c>
      <c r="AA2345" s="9">
        <v>0</v>
      </c>
      <c r="AC2345" s="9">
        <v>451727</v>
      </c>
      <c r="AD2345" s="14">
        <v>19.857638888888889</v>
      </c>
      <c r="AF2345" s="14">
        <v>4</v>
      </c>
      <c r="AH2345" s="14">
        <v>23.857638888888889</v>
      </c>
      <c r="AI2345" s="13">
        <v>55.511817178056717</v>
      </c>
      <c r="AK2345" s="9">
        <v>200</v>
      </c>
    </row>
    <row r="2346" spans="1:37">
      <c r="A2346" s="9">
        <v>33</v>
      </c>
      <c r="B2346" s="9">
        <v>2024</v>
      </c>
      <c r="C2346" s="9" t="s">
        <v>46</v>
      </c>
      <c r="D2346" s="9" t="s">
        <v>47</v>
      </c>
      <c r="E2346" s="9" t="s">
        <v>47</v>
      </c>
      <c r="F2346" s="10">
        <v>45519</v>
      </c>
      <c r="G2346" s="9" t="s">
        <v>154</v>
      </c>
      <c r="H2346" s="9" t="s">
        <v>52</v>
      </c>
      <c r="J2346" s="9">
        <v>80</v>
      </c>
      <c r="K2346" s="9">
        <v>0.52</v>
      </c>
      <c r="L2346" s="9">
        <v>41.6</v>
      </c>
      <c r="M2346" s="9">
        <v>2</v>
      </c>
      <c r="N2346" s="9" t="s">
        <v>49</v>
      </c>
      <c r="Q2346" s="9">
        <f>IF(Auction_Sales[[#This Row],[Payment Date]]=0,"",-1+WEEKNUM(Auction_Sales[[#This Row],[Payment Date]]))</f>
        <v>34</v>
      </c>
      <c r="R2346" s="9">
        <v>0</v>
      </c>
      <c r="S2346" s="9" t="s">
        <v>154</v>
      </c>
      <c r="T2346" s="9" t="s">
        <v>52</v>
      </c>
      <c r="U2346" s="9">
        <v>80</v>
      </c>
      <c r="V2346" s="13">
        <v>0.69000000000000006</v>
      </c>
      <c r="W2346" s="13">
        <v>55.2</v>
      </c>
      <c r="X2346" s="14">
        <v>-7.1322175732217588</v>
      </c>
      <c r="Y2346" s="13">
        <v>48.067782426778244</v>
      </c>
      <c r="Z2346" s="10">
        <v>45532</v>
      </c>
      <c r="AA2346" s="9">
        <v>0</v>
      </c>
      <c r="AC2346" s="9">
        <v>451727</v>
      </c>
      <c r="AD2346" s="14">
        <v>7.9430555555555546</v>
      </c>
      <c r="AF2346" s="14">
        <v>1.6</v>
      </c>
      <c r="AH2346" s="14">
        <v>9.5430555555555543</v>
      </c>
      <c r="AI2346" s="13">
        <v>38.52472687122269</v>
      </c>
      <c r="AK2346" s="9">
        <v>80</v>
      </c>
    </row>
    <row r="2347" spans="1:37">
      <c r="A2347" s="9">
        <v>33</v>
      </c>
      <c r="B2347" s="9">
        <v>2024</v>
      </c>
      <c r="C2347" s="9" t="s">
        <v>46</v>
      </c>
      <c r="D2347" s="9" t="s">
        <v>47</v>
      </c>
      <c r="E2347" s="9" t="s">
        <v>47</v>
      </c>
      <c r="F2347" s="10">
        <v>45519</v>
      </c>
      <c r="G2347" s="9" t="s">
        <v>155</v>
      </c>
      <c r="H2347" s="9" t="s">
        <v>48</v>
      </c>
      <c r="J2347" s="9">
        <v>200</v>
      </c>
      <c r="K2347" s="9">
        <v>0.47</v>
      </c>
      <c r="L2347" s="9">
        <v>94</v>
      </c>
      <c r="M2347" s="9">
        <v>5</v>
      </c>
      <c r="N2347" s="9" t="s">
        <v>49</v>
      </c>
      <c r="Q2347" s="9">
        <f>IF(Auction_Sales[[#This Row],[Payment Date]]=0,"",-1+WEEKNUM(Auction_Sales[[#This Row],[Payment Date]]))</f>
        <v>34</v>
      </c>
      <c r="R2347" s="9">
        <v>0</v>
      </c>
      <c r="S2347" s="9" t="s">
        <v>155</v>
      </c>
      <c r="T2347" s="9" t="s">
        <v>48</v>
      </c>
      <c r="U2347" s="9">
        <v>200</v>
      </c>
      <c r="V2347" s="13">
        <v>0.56799999999999995</v>
      </c>
      <c r="W2347" s="13">
        <v>113.6</v>
      </c>
      <c r="X2347" s="14">
        <v>-17.830543933054397</v>
      </c>
      <c r="Y2347" s="13">
        <v>95.769456066945594</v>
      </c>
      <c r="Z2347" s="10">
        <v>45532</v>
      </c>
      <c r="AA2347" s="9">
        <v>0</v>
      </c>
      <c r="AC2347" s="9">
        <v>451727</v>
      </c>
      <c r="AD2347" s="14">
        <v>19.857638888888889</v>
      </c>
      <c r="AF2347" s="14">
        <v>4</v>
      </c>
      <c r="AH2347" s="14">
        <v>23.857638888888889</v>
      </c>
      <c r="AI2347" s="13">
        <v>71.911817178056708</v>
      </c>
      <c r="AK2347" s="9">
        <v>200</v>
      </c>
    </row>
    <row r="2348" spans="1:37">
      <c r="A2348" s="9">
        <v>33</v>
      </c>
      <c r="B2348" s="9">
        <v>2024</v>
      </c>
      <c r="C2348" s="9" t="s">
        <v>46</v>
      </c>
      <c r="D2348" s="9" t="s">
        <v>47</v>
      </c>
      <c r="E2348" s="9" t="s">
        <v>47</v>
      </c>
      <c r="F2348" s="10">
        <v>45519</v>
      </c>
      <c r="G2348" s="9" t="s">
        <v>156</v>
      </c>
      <c r="H2348" s="9" t="s">
        <v>54</v>
      </c>
      <c r="N2348" s="9" t="s">
        <v>49</v>
      </c>
      <c r="Q2348" s="9">
        <f>IF(Auction_Sales[[#This Row],[Payment Date]]=0,"",-1+WEEKNUM(Auction_Sales[[#This Row],[Payment Date]]))</f>
        <v>34</v>
      </c>
      <c r="R2348" s="9">
        <v>-40</v>
      </c>
      <c r="S2348" s="9" t="s">
        <v>156</v>
      </c>
      <c r="T2348" s="9" t="s">
        <v>54</v>
      </c>
      <c r="U2348" s="9">
        <v>40</v>
      </c>
      <c r="V2348" s="13">
        <v>0.67999999999999994</v>
      </c>
      <c r="W2348" s="13">
        <v>27.199999999999996</v>
      </c>
      <c r="X2348" s="14">
        <v>-3.5661087866108794</v>
      </c>
      <c r="Y2348" s="13">
        <v>23.633891213389116</v>
      </c>
      <c r="Z2348" s="10">
        <v>45532</v>
      </c>
      <c r="AA2348" s="9">
        <v>40</v>
      </c>
      <c r="AC2348" s="9">
        <v>451727</v>
      </c>
      <c r="AD2348" s="14">
        <v>0</v>
      </c>
      <c r="AF2348" s="14">
        <v>0.8</v>
      </c>
      <c r="AH2348" s="14">
        <v>0.8</v>
      </c>
      <c r="AI2348" s="13">
        <v>22.833891213389116</v>
      </c>
      <c r="AK2348" s="9">
        <v>40</v>
      </c>
    </row>
    <row r="2349" spans="1:37">
      <c r="A2349" s="9">
        <v>34</v>
      </c>
      <c r="B2349" s="9">
        <v>2024</v>
      </c>
      <c r="C2349" s="9" t="s">
        <v>46</v>
      </c>
      <c r="D2349" s="9" t="s">
        <v>47</v>
      </c>
      <c r="E2349" s="9" t="s">
        <v>47</v>
      </c>
      <c r="F2349" s="10">
        <v>45521</v>
      </c>
      <c r="G2349" s="9" t="s">
        <v>156</v>
      </c>
      <c r="H2349" s="9" t="s">
        <v>57</v>
      </c>
      <c r="I2349" s="9">
        <v>1</v>
      </c>
      <c r="J2349" s="9">
        <v>200</v>
      </c>
      <c r="K2349" s="9">
        <v>1.04</v>
      </c>
      <c r="L2349" s="9">
        <v>208</v>
      </c>
      <c r="M2349" s="9">
        <v>12</v>
      </c>
      <c r="N2349" s="9" t="s">
        <v>49</v>
      </c>
      <c r="Q2349" s="9">
        <f>IF(Auction_Sales[[#This Row],[Payment Date]]=0,"",-1+WEEKNUM(Auction_Sales[[#This Row],[Payment Date]]))</f>
        <v>34</v>
      </c>
      <c r="R2349" s="9">
        <v>0</v>
      </c>
      <c r="S2349" s="9" t="s">
        <v>156</v>
      </c>
      <c r="T2349" s="9" t="s">
        <v>57</v>
      </c>
      <c r="U2349" s="9">
        <v>200</v>
      </c>
      <c r="V2349" s="13">
        <v>0.57999999999999996</v>
      </c>
      <c r="W2349" s="13">
        <v>115.99999999999999</v>
      </c>
      <c r="X2349" s="14">
        <v>-19.323308270676694</v>
      </c>
      <c r="Y2349" s="13">
        <v>96.676691729323295</v>
      </c>
      <c r="Z2349" s="10">
        <v>45532</v>
      </c>
      <c r="AA2349" s="9">
        <v>0</v>
      </c>
      <c r="AC2349" s="9">
        <v>451738</v>
      </c>
      <c r="AD2349" s="14">
        <v>49.038571428571423</v>
      </c>
      <c r="AF2349" s="14">
        <v>4</v>
      </c>
      <c r="AH2349" s="14">
        <v>53.038571428571423</v>
      </c>
      <c r="AI2349" s="13">
        <v>43.638120300751872</v>
      </c>
      <c r="AK2349" s="9">
        <v>200</v>
      </c>
    </row>
    <row r="2350" spans="1:37">
      <c r="A2350" s="9">
        <v>34</v>
      </c>
      <c r="B2350" s="9">
        <v>2024</v>
      </c>
      <c r="C2350" s="9" t="s">
        <v>46</v>
      </c>
      <c r="D2350" s="9" t="s">
        <v>47</v>
      </c>
      <c r="E2350" s="9" t="s">
        <v>47</v>
      </c>
      <c r="F2350" s="10">
        <v>45521</v>
      </c>
      <c r="G2350" s="9" t="s">
        <v>160</v>
      </c>
      <c r="H2350" s="9" t="s">
        <v>137</v>
      </c>
      <c r="I2350" s="9">
        <v>3</v>
      </c>
      <c r="J2350" s="9">
        <v>48</v>
      </c>
      <c r="K2350" s="9">
        <v>1.42</v>
      </c>
      <c r="L2350" s="9">
        <v>68.16</v>
      </c>
      <c r="M2350" s="9">
        <v>36</v>
      </c>
      <c r="N2350" s="9" t="s">
        <v>49</v>
      </c>
      <c r="Q2350" s="9">
        <f>IF(Auction_Sales[[#This Row],[Payment Date]]=0,"",-1+WEEKNUM(Auction_Sales[[#This Row],[Payment Date]]))</f>
        <v>34</v>
      </c>
      <c r="R2350" s="9">
        <v>24</v>
      </c>
      <c r="S2350" s="9" t="s">
        <v>160</v>
      </c>
      <c r="T2350" s="9" t="s">
        <v>137</v>
      </c>
      <c r="U2350" s="9">
        <v>24</v>
      </c>
      <c r="V2350" s="13">
        <v>7.3666666666666671</v>
      </c>
      <c r="W2350" s="13">
        <v>176.8</v>
      </c>
      <c r="X2350" s="14">
        <v>-2.3187969924812033</v>
      </c>
      <c r="Y2350" s="13">
        <v>174.48120300751881</v>
      </c>
      <c r="Z2350" s="10">
        <v>45532</v>
      </c>
      <c r="AA2350" s="9">
        <v>-24</v>
      </c>
      <c r="AC2350" s="9">
        <v>451738</v>
      </c>
      <c r="AD2350" s="14">
        <v>147.11571428571426</v>
      </c>
      <c r="AF2350" s="14">
        <v>1.44</v>
      </c>
      <c r="AH2350" s="14">
        <v>148.55571428571426</v>
      </c>
      <c r="AI2350" s="13">
        <v>25.925488721804555</v>
      </c>
      <c r="AK2350" s="9">
        <v>24</v>
      </c>
    </row>
    <row r="2351" spans="1:37">
      <c r="A2351" s="9">
        <v>34</v>
      </c>
      <c r="B2351" s="9">
        <v>2024</v>
      </c>
      <c r="C2351" s="9" t="s">
        <v>46</v>
      </c>
      <c r="D2351" s="9" t="s">
        <v>47</v>
      </c>
      <c r="E2351" s="9" t="s">
        <v>47</v>
      </c>
      <c r="F2351" s="10">
        <v>45521</v>
      </c>
      <c r="G2351" s="9" t="s">
        <v>154</v>
      </c>
      <c r="H2351" s="9" t="s">
        <v>48</v>
      </c>
      <c r="I2351" s="9">
        <v>1</v>
      </c>
      <c r="J2351" s="9">
        <v>160</v>
      </c>
      <c r="K2351" s="9">
        <v>0.47</v>
      </c>
      <c r="L2351" s="9">
        <v>75.2</v>
      </c>
      <c r="M2351" s="9">
        <v>6.8571428571428568</v>
      </c>
      <c r="N2351" s="9" t="s">
        <v>49</v>
      </c>
      <c r="Q2351" s="9">
        <f>IF(Auction_Sales[[#This Row],[Payment Date]]=0,"",-1+WEEKNUM(Auction_Sales[[#This Row],[Payment Date]]))</f>
        <v>34</v>
      </c>
      <c r="R2351" s="9">
        <v>152</v>
      </c>
      <c r="S2351" s="9" t="s">
        <v>154</v>
      </c>
      <c r="T2351" s="9" t="s">
        <v>48</v>
      </c>
      <c r="U2351" s="9">
        <v>8</v>
      </c>
      <c r="V2351" s="13">
        <v>3.4750000000000001</v>
      </c>
      <c r="W2351" s="13">
        <v>27.8</v>
      </c>
      <c r="X2351" s="14">
        <v>-0.7729323308270678</v>
      </c>
      <c r="Y2351" s="13">
        <v>27.027067669172933</v>
      </c>
      <c r="Z2351" s="10">
        <v>45532</v>
      </c>
      <c r="AA2351" s="9">
        <v>-152</v>
      </c>
      <c r="AC2351" s="9">
        <v>451738</v>
      </c>
      <c r="AD2351" s="14">
        <v>28.022040816326527</v>
      </c>
      <c r="AF2351" s="14">
        <v>0.16</v>
      </c>
      <c r="AH2351" s="14">
        <v>28.182040816326527</v>
      </c>
      <c r="AI2351" s="13">
        <v>-1.1549731471535942</v>
      </c>
      <c r="AK2351" s="9">
        <v>8</v>
      </c>
    </row>
    <row r="2352" spans="1:37">
      <c r="A2352" s="9">
        <v>34</v>
      </c>
      <c r="B2352" s="9">
        <v>2024</v>
      </c>
      <c r="C2352" s="9" t="s">
        <v>46</v>
      </c>
      <c r="D2352" s="9" t="s">
        <v>47</v>
      </c>
      <c r="E2352" s="9" t="s">
        <v>47</v>
      </c>
      <c r="F2352" s="10">
        <v>45521</v>
      </c>
      <c r="G2352" s="9" t="s">
        <v>154</v>
      </c>
      <c r="H2352" s="9" t="s">
        <v>52</v>
      </c>
      <c r="J2352" s="9">
        <v>40</v>
      </c>
      <c r="K2352" s="9">
        <v>0.52</v>
      </c>
      <c r="L2352" s="9">
        <v>20.8</v>
      </c>
      <c r="M2352" s="9">
        <v>1.7142857142857142</v>
      </c>
      <c r="N2352" s="9" t="s">
        <v>49</v>
      </c>
      <c r="Q2352" s="9">
        <f>IF(Auction_Sales[[#This Row],[Payment Date]]=0,"",-1+WEEKNUM(Auction_Sales[[#This Row],[Payment Date]]))</f>
        <v>34</v>
      </c>
      <c r="R2352" s="9">
        <v>0</v>
      </c>
      <c r="S2352" s="9" t="s">
        <v>154</v>
      </c>
      <c r="T2352" s="9" t="s">
        <v>52</v>
      </c>
      <c r="U2352" s="9">
        <v>40</v>
      </c>
      <c r="V2352" s="13">
        <v>0.4</v>
      </c>
      <c r="W2352" s="13">
        <v>16</v>
      </c>
      <c r="X2352" s="14">
        <v>-3.8646616541353382</v>
      </c>
      <c r="Y2352" s="13">
        <v>12.135338345864662</v>
      </c>
      <c r="Z2352" s="10">
        <v>45532</v>
      </c>
      <c r="AA2352" s="9">
        <v>0</v>
      </c>
      <c r="AC2352" s="9">
        <v>451738</v>
      </c>
      <c r="AD2352" s="14">
        <v>7.0055102040816317</v>
      </c>
      <c r="AF2352" s="14">
        <v>0.8</v>
      </c>
      <c r="AH2352" s="14">
        <v>7.8055102040816315</v>
      </c>
      <c r="AI2352" s="13">
        <v>4.3298281417830307</v>
      </c>
      <c r="AK2352" s="9">
        <v>40</v>
      </c>
    </row>
    <row r="2353" spans="1:37">
      <c r="A2353" s="9">
        <v>34</v>
      </c>
      <c r="B2353" s="9">
        <v>2024</v>
      </c>
      <c r="C2353" s="9" t="s">
        <v>46</v>
      </c>
      <c r="D2353" s="9" t="s">
        <v>47</v>
      </c>
      <c r="E2353" s="9" t="s">
        <v>47</v>
      </c>
      <c r="F2353" s="10">
        <v>45521</v>
      </c>
      <c r="G2353" s="9" t="s">
        <v>154</v>
      </c>
      <c r="H2353" s="9" t="s">
        <v>54</v>
      </c>
      <c r="J2353" s="9">
        <v>40</v>
      </c>
      <c r="K2353" s="9">
        <v>0.56999999999999995</v>
      </c>
      <c r="L2353" s="9">
        <v>22.8</v>
      </c>
      <c r="M2353" s="9">
        <v>1.7142857142857142</v>
      </c>
      <c r="N2353" s="9" t="s">
        <v>49</v>
      </c>
      <c r="Q2353" s="9">
        <f>IF(Auction_Sales[[#This Row],[Payment Date]]=0,"",-1+WEEKNUM(Auction_Sales[[#This Row],[Payment Date]]))</f>
        <v>34</v>
      </c>
      <c r="R2353" s="9">
        <v>-40</v>
      </c>
      <c r="S2353" s="9" t="s">
        <v>154</v>
      </c>
      <c r="T2353" s="9" t="s">
        <v>54</v>
      </c>
      <c r="U2353" s="9">
        <v>80</v>
      </c>
      <c r="V2353" s="13">
        <v>0.38</v>
      </c>
      <c r="W2353" s="13">
        <v>30.4</v>
      </c>
      <c r="X2353" s="14">
        <v>-7.7293233082706765</v>
      </c>
      <c r="Y2353" s="13">
        <v>22.670676691729323</v>
      </c>
      <c r="Z2353" s="10">
        <v>45532</v>
      </c>
      <c r="AA2353" s="9">
        <v>40</v>
      </c>
      <c r="AC2353" s="9">
        <v>451738</v>
      </c>
      <c r="AD2353" s="14">
        <v>7.0055102040816317</v>
      </c>
      <c r="AF2353" s="14">
        <v>1.6</v>
      </c>
      <c r="AH2353" s="14">
        <v>8.6055102040816323</v>
      </c>
      <c r="AI2353" s="13">
        <v>14.065166487647691</v>
      </c>
      <c r="AK2353" s="9">
        <v>80</v>
      </c>
    </row>
    <row r="2354" spans="1:37">
      <c r="A2354" s="9">
        <v>34</v>
      </c>
      <c r="B2354" s="9">
        <v>2024</v>
      </c>
      <c r="C2354" s="9" t="s">
        <v>46</v>
      </c>
      <c r="D2354" s="9" t="s">
        <v>47</v>
      </c>
      <c r="E2354" s="9" t="s">
        <v>47</v>
      </c>
      <c r="F2354" s="10">
        <v>45521</v>
      </c>
      <c r="G2354" s="9" t="s">
        <v>154</v>
      </c>
      <c r="H2354" s="9" t="s">
        <v>56</v>
      </c>
      <c r="J2354" s="9">
        <v>40</v>
      </c>
      <c r="K2354" s="9">
        <v>0.75</v>
      </c>
      <c r="L2354" s="9">
        <v>30</v>
      </c>
      <c r="M2354" s="9">
        <v>1.7142857142857142</v>
      </c>
      <c r="N2354" s="9" t="s">
        <v>49</v>
      </c>
      <c r="Q2354" s="9">
        <f>IF(Auction_Sales[[#This Row],[Payment Date]]=0,"",-1+WEEKNUM(Auction_Sales[[#This Row],[Payment Date]]))</f>
        <v>34</v>
      </c>
      <c r="R2354" s="9">
        <v>0</v>
      </c>
      <c r="S2354" s="9" t="s">
        <v>154</v>
      </c>
      <c r="T2354" s="9" t="s">
        <v>56</v>
      </c>
      <c r="U2354" s="9">
        <v>40</v>
      </c>
      <c r="V2354" s="13">
        <v>0.3</v>
      </c>
      <c r="W2354" s="13">
        <v>12</v>
      </c>
      <c r="X2354" s="14">
        <v>-3.8646616541353382</v>
      </c>
      <c r="Y2354" s="13">
        <v>8.1353383458646622</v>
      </c>
      <c r="Z2354" s="10">
        <v>45532</v>
      </c>
      <c r="AA2354" s="9">
        <v>0</v>
      </c>
      <c r="AC2354" s="9">
        <v>451738</v>
      </c>
      <c r="AD2354" s="14">
        <v>7.0055102040816317</v>
      </c>
      <c r="AF2354" s="14">
        <v>0.8</v>
      </c>
      <c r="AH2354" s="14">
        <v>7.8055102040816315</v>
      </c>
      <c r="AI2354" s="13">
        <v>0.32982814178303066</v>
      </c>
      <c r="AK2354" s="9">
        <v>40</v>
      </c>
    </row>
    <row r="2355" spans="1:37">
      <c r="A2355" s="9">
        <v>34</v>
      </c>
      <c r="B2355" s="9">
        <v>2024</v>
      </c>
      <c r="C2355" s="9" t="s">
        <v>46</v>
      </c>
      <c r="D2355" s="9" t="s">
        <v>47</v>
      </c>
      <c r="E2355" s="9" t="s">
        <v>47</v>
      </c>
      <c r="F2355" s="10">
        <v>45521</v>
      </c>
      <c r="G2355" s="9" t="s">
        <v>153</v>
      </c>
      <c r="H2355" s="9" t="s">
        <v>52</v>
      </c>
      <c r="I2355" s="9">
        <v>1</v>
      </c>
      <c r="J2355" s="9">
        <v>120</v>
      </c>
      <c r="K2355" s="9">
        <v>0.28000000000000003</v>
      </c>
      <c r="L2355" s="9">
        <v>33.6</v>
      </c>
      <c r="M2355" s="9">
        <v>5.1428571428571423</v>
      </c>
      <c r="N2355" s="9" t="s">
        <v>49</v>
      </c>
      <c r="Q2355" s="9">
        <f>IF(Auction_Sales[[#This Row],[Payment Date]]=0,"",-1+WEEKNUM(Auction_Sales[[#This Row],[Payment Date]]))</f>
        <v>34</v>
      </c>
      <c r="R2355" s="9">
        <v>0</v>
      </c>
      <c r="S2355" s="9" t="s">
        <v>153</v>
      </c>
      <c r="T2355" s="9" t="s">
        <v>52</v>
      </c>
      <c r="U2355" s="9">
        <v>120</v>
      </c>
      <c r="V2355" s="13">
        <v>0.18000000000000002</v>
      </c>
      <c r="W2355" s="13">
        <v>21.6</v>
      </c>
      <c r="X2355" s="14">
        <v>-11.593984962406017</v>
      </c>
      <c r="Y2355" s="13">
        <v>10.006015037593984</v>
      </c>
      <c r="Z2355" s="10">
        <v>45532</v>
      </c>
      <c r="AA2355" s="9">
        <v>0</v>
      </c>
      <c r="AC2355" s="9">
        <v>451738</v>
      </c>
      <c r="AD2355" s="14">
        <v>21.016530612244892</v>
      </c>
      <c r="AF2355" s="14">
        <v>2.4</v>
      </c>
      <c r="AH2355" s="14">
        <v>23.416530612244891</v>
      </c>
      <c r="AI2355" s="13">
        <v>-13.410515574650907</v>
      </c>
      <c r="AK2355" s="9">
        <v>120</v>
      </c>
    </row>
    <row r="2356" spans="1:37">
      <c r="A2356" s="9">
        <v>34</v>
      </c>
      <c r="B2356" s="9">
        <v>2024</v>
      </c>
      <c r="C2356" s="9" t="s">
        <v>46</v>
      </c>
      <c r="D2356" s="9" t="s">
        <v>47</v>
      </c>
      <c r="E2356" s="9" t="s">
        <v>47</v>
      </c>
      <c r="F2356" s="10">
        <v>45521</v>
      </c>
      <c r="G2356" s="9" t="s">
        <v>153</v>
      </c>
      <c r="H2356" s="9" t="s">
        <v>54</v>
      </c>
      <c r="J2356" s="9">
        <v>120</v>
      </c>
      <c r="K2356" s="9">
        <v>0.33</v>
      </c>
      <c r="L2356" s="9">
        <v>39.6</v>
      </c>
      <c r="M2356" s="9">
        <v>5.1428571428571423</v>
      </c>
      <c r="N2356" s="9" t="s">
        <v>49</v>
      </c>
      <c r="Q2356" s="9">
        <f>IF(Auction_Sales[[#This Row],[Payment Date]]=0,"",-1+WEEKNUM(Auction_Sales[[#This Row],[Payment Date]]))</f>
        <v>34</v>
      </c>
      <c r="R2356" s="9">
        <v>0</v>
      </c>
      <c r="S2356" s="9" t="s">
        <v>153</v>
      </c>
      <c r="T2356" s="9" t="s">
        <v>54</v>
      </c>
      <c r="U2356" s="9">
        <v>120</v>
      </c>
      <c r="V2356" s="13">
        <v>0.19666666666666668</v>
      </c>
      <c r="W2356" s="13">
        <v>23.6</v>
      </c>
      <c r="X2356" s="14">
        <v>-11.593984962406017</v>
      </c>
      <c r="Y2356" s="13">
        <v>12.006015037593984</v>
      </c>
      <c r="Z2356" s="10">
        <v>45532</v>
      </c>
      <c r="AA2356" s="9">
        <v>0</v>
      </c>
      <c r="AC2356" s="9">
        <v>451738</v>
      </c>
      <c r="AD2356" s="14">
        <v>21.016530612244892</v>
      </c>
      <c r="AF2356" s="14">
        <v>2.4</v>
      </c>
      <c r="AH2356" s="14">
        <v>23.416530612244891</v>
      </c>
      <c r="AI2356" s="13">
        <v>-11.410515574650907</v>
      </c>
      <c r="AK2356" s="9">
        <v>120</v>
      </c>
    </row>
    <row r="2357" spans="1:37">
      <c r="A2357" s="9">
        <v>34</v>
      </c>
      <c r="B2357" s="9">
        <v>2024</v>
      </c>
      <c r="C2357" s="9" t="s">
        <v>46</v>
      </c>
      <c r="D2357" s="9" t="s">
        <v>47</v>
      </c>
      <c r="E2357" s="9" t="s">
        <v>47</v>
      </c>
      <c r="F2357" s="10">
        <v>45521</v>
      </c>
      <c r="G2357" s="9" t="s">
        <v>153</v>
      </c>
      <c r="H2357" s="9" t="s">
        <v>56</v>
      </c>
      <c r="J2357" s="9">
        <v>40</v>
      </c>
      <c r="K2357" s="9">
        <v>0.38</v>
      </c>
      <c r="L2357" s="9">
        <v>15.2</v>
      </c>
      <c r="M2357" s="9">
        <v>1.7142857142857142</v>
      </c>
      <c r="N2357" s="9" t="s">
        <v>49</v>
      </c>
      <c r="Q2357" s="9">
        <f>IF(Auction_Sales[[#This Row],[Payment Date]]=0,"",-1+WEEKNUM(Auction_Sales[[#This Row],[Payment Date]]))</f>
        <v>34</v>
      </c>
      <c r="R2357" s="9">
        <v>40</v>
      </c>
      <c r="S2357" s="9" t="s">
        <v>153</v>
      </c>
      <c r="T2357" s="9" t="s">
        <v>56</v>
      </c>
      <c r="W2357" s="13">
        <v>0</v>
      </c>
      <c r="X2357" s="14">
        <v>0</v>
      </c>
      <c r="Y2357" s="13">
        <v>0</v>
      </c>
      <c r="Z2357" s="10">
        <v>45532</v>
      </c>
      <c r="AA2357" s="9">
        <v>-40</v>
      </c>
      <c r="AC2357" s="9">
        <v>451738</v>
      </c>
      <c r="AD2357" s="14">
        <v>7.0055102040816317</v>
      </c>
      <c r="AF2357" s="14">
        <v>0</v>
      </c>
      <c r="AH2357" s="14">
        <v>7.0055102040816317</v>
      </c>
      <c r="AI2357" s="13">
        <v>-7.0055102040816317</v>
      </c>
      <c r="AK2357" s="9">
        <v>0</v>
      </c>
    </row>
    <row r="2358" spans="1:37">
      <c r="A2358" s="9">
        <v>34</v>
      </c>
      <c r="B2358" s="9">
        <v>2024</v>
      </c>
      <c r="C2358" s="9" t="s">
        <v>46</v>
      </c>
      <c r="D2358" s="9" t="s">
        <v>47</v>
      </c>
      <c r="E2358" s="9" t="s">
        <v>47</v>
      </c>
      <c r="F2358" s="10">
        <v>45521</v>
      </c>
      <c r="G2358" s="9" t="s">
        <v>156</v>
      </c>
      <c r="H2358" s="9" t="s">
        <v>48</v>
      </c>
      <c r="I2358" s="9">
        <v>1</v>
      </c>
      <c r="J2358" s="9">
        <v>40</v>
      </c>
      <c r="K2358" s="9">
        <v>0.52</v>
      </c>
      <c r="L2358" s="9">
        <v>20.8</v>
      </c>
      <c r="M2358" s="9">
        <v>1.7142857142857142</v>
      </c>
      <c r="N2358" s="9" t="s">
        <v>49</v>
      </c>
      <c r="Q2358" s="9">
        <f>IF(Auction_Sales[[#This Row],[Payment Date]]=0,"",-1+WEEKNUM(Auction_Sales[[#This Row],[Payment Date]]))</f>
        <v>34</v>
      </c>
      <c r="R2358" s="9">
        <v>0</v>
      </c>
      <c r="S2358" s="9" t="s">
        <v>156</v>
      </c>
      <c r="T2358" s="9" t="s">
        <v>48</v>
      </c>
      <c r="U2358" s="9">
        <v>40</v>
      </c>
      <c r="V2358" s="13">
        <v>0.21000000000000002</v>
      </c>
      <c r="W2358" s="13">
        <v>8.4</v>
      </c>
      <c r="X2358" s="14">
        <v>-3.8646616541353382</v>
      </c>
      <c r="Y2358" s="13">
        <v>4.5353383458646626</v>
      </c>
      <c r="Z2358" s="10">
        <v>45532</v>
      </c>
      <c r="AA2358" s="9">
        <v>0</v>
      </c>
      <c r="AC2358" s="9">
        <v>451738</v>
      </c>
      <c r="AD2358" s="14">
        <v>7.0055102040816317</v>
      </c>
      <c r="AF2358" s="14">
        <v>0.8</v>
      </c>
      <c r="AH2358" s="14">
        <v>7.8055102040816315</v>
      </c>
      <c r="AI2358" s="13">
        <v>-3.270171858216969</v>
      </c>
      <c r="AK2358" s="9">
        <v>40</v>
      </c>
    </row>
    <row r="2359" spans="1:37">
      <c r="A2359" s="9">
        <v>34</v>
      </c>
      <c r="B2359" s="9">
        <v>2024</v>
      </c>
      <c r="C2359" s="9" t="s">
        <v>46</v>
      </c>
      <c r="D2359" s="9" t="s">
        <v>47</v>
      </c>
      <c r="E2359" s="9" t="s">
        <v>47</v>
      </c>
      <c r="F2359" s="10">
        <v>45521</v>
      </c>
      <c r="G2359" s="9" t="s">
        <v>156</v>
      </c>
      <c r="H2359" s="9" t="s">
        <v>52</v>
      </c>
      <c r="J2359" s="9">
        <v>40</v>
      </c>
      <c r="K2359" s="9">
        <v>0.61</v>
      </c>
      <c r="L2359" s="9">
        <v>24.4</v>
      </c>
      <c r="M2359" s="9">
        <v>1.7142857142857142</v>
      </c>
      <c r="N2359" s="9" t="s">
        <v>49</v>
      </c>
      <c r="Q2359" s="9">
        <f>IF(Auction_Sales[[#This Row],[Payment Date]]=0,"",-1+WEEKNUM(Auction_Sales[[#This Row],[Payment Date]]))</f>
        <v>34</v>
      </c>
      <c r="R2359" s="9">
        <v>0</v>
      </c>
      <c r="S2359" s="9" t="s">
        <v>156</v>
      </c>
      <c r="T2359" s="9" t="s">
        <v>52</v>
      </c>
      <c r="U2359" s="9">
        <v>40</v>
      </c>
      <c r="V2359" s="13">
        <v>0.25</v>
      </c>
      <c r="W2359" s="13">
        <v>10</v>
      </c>
      <c r="X2359" s="14">
        <v>-3.8646616541353382</v>
      </c>
      <c r="Y2359" s="13">
        <v>6.1353383458646622</v>
      </c>
      <c r="Z2359" s="10">
        <v>45532</v>
      </c>
      <c r="AA2359" s="9">
        <v>0</v>
      </c>
      <c r="AC2359" s="9">
        <v>451738</v>
      </c>
      <c r="AD2359" s="14">
        <v>7.0055102040816317</v>
      </c>
      <c r="AF2359" s="14">
        <v>0.8</v>
      </c>
      <c r="AH2359" s="14">
        <v>7.8055102040816315</v>
      </c>
      <c r="AI2359" s="13">
        <v>-1.6701718582169693</v>
      </c>
      <c r="AK2359" s="9">
        <v>40</v>
      </c>
    </row>
    <row r="2360" spans="1:37">
      <c r="A2360" s="9">
        <v>34</v>
      </c>
      <c r="B2360" s="9">
        <v>2024</v>
      </c>
      <c r="C2360" s="9" t="s">
        <v>46</v>
      </c>
      <c r="D2360" s="9" t="s">
        <v>47</v>
      </c>
      <c r="E2360" s="9" t="s">
        <v>47</v>
      </c>
      <c r="F2360" s="10">
        <v>45521</v>
      </c>
      <c r="G2360" s="9" t="s">
        <v>156</v>
      </c>
      <c r="H2360" s="9" t="s">
        <v>54</v>
      </c>
      <c r="J2360" s="9">
        <v>80</v>
      </c>
      <c r="K2360" s="9">
        <v>0.66</v>
      </c>
      <c r="L2360" s="9">
        <v>52.8</v>
      </c>
      <c r="M2360" s="9">
        <v>3.4285714285714284</v>
      </c>
      <c r="N2360" s="9" t="s">
        <v>49</v>
      </c>
      <c r="Q2360" s="9">
        <f>IF(Auction_Sales[[#This Row],[Payment Date]]=0,"",-1+WEEKNUM(Auction_Sales[[#This Row],[Payment Date]]))</f>
        <v>34</v>
      </c>
      <c r="R2360" s="9">
        <v>0</v>
      </c>
      <c r="S2360" s="9" t="s">
        <v>156</v>
      </c>
      <c r="T2360" s="9" t="s">
        <v>54</v>
      </c>
      <c r="U2360" s="9">
        <v>80</v>
      </c>
      <c r="V2360" s="13">
        <v>0.25</v>
      </c>
      <c r="W2360" s="13">
        <v>20</v>
      </c>
      <c r="X2360" s="14">
        <v>-7.7293233082706765</v>
      </c>
      <c r="Y2360" s="13">
        <v>12.270676691729324</v>
      </c>
      <c r="Z2360" s="10">
        <v>45532</v>
      </c>
      <c r="AA2360" s="9">
        <v>0</v>
      </c>
      <c r="AC2360" s="9">
        <v>451738</v>
      </c>
      <c r="AD2360" s="14">
        <v>14.011020408163263</v>
      </c>
      <c r="AF2360" s="14">
        <v>1.6</v>
      </c>
      <c r="AH2360" s="14">
        <v>15.611020408163263</v>
      </c>
      <c r="AI2360" s="13">
        <v>-3.3403437164339387</v>
      </c>
      <c r="AK2360" s="9">
        <v>80</v>
      </c>
    </row>
    <row r="2361" spans="1:37">
      <c r="A2361" s="9">
        <v>34</v>
      </c>
      <c r="B2361" s="9">
        <v>2024</v>
      </c>
      <c r="C2361" s="9" t="s">
        <v>46</v>
      </c>
      <c r="D2361" s="9" t="s">
        <v>47</v>
      </c>
      <c r="E2361" s="9" t="s">
        <v>47</v>
      </c>
      <c r="F2361" s="10">
        <v>45521</v>
      </c>
      <c r="G2361" s="9" t="s">
        <v>156</v>
      </c>
      <c r="H2361" s="9" t="s">
        <v>56</v>
      </c>
      <c r="J2361" s="9">
        <v>120</v>
      </c>
      <c r="K2361" s="9">
        <v>0.85</v>
      </c>
      <c r="L2361" s="9">
        <v>102</v>
      </c>
      <c r="M2361" s="9">
        <v>5.1428571428571423</v>
      </c>
      <c r="N2361" s="9" t="s">
        <v>49</v>
      </c>
      <c r="Q2361" s="9">
        <f>IF(Auction_Sales[[#This Row],[Payment Date]]=0,"",-1+WEEKNUM(Auction_Sales[[#This Row],[Payment Date]]))</f>
        <v>34</v>
      </c>
      <c r="R2361" s="9">
        <v>0</v>
      </c>
      <c r="S2361" s="9" t="s">
        <v>156</v>
      </c>
      <c r="T2361" s="9" t="s">
        <v>56</v>
      </c>
      <c r="U2361" s="9">
        <v>120</v>
      </c>
      <c r="V2361" s="13">
        <v>0.33666666666666667</v>
      </c>
      <c r="W2361" s="13">
        <v>40.4</v>
      </c>
      <c r="X2361" s="14">
        <v>-11.593984962406017</v>
      </c>
      <c r="Y2361" s="13">
        <v>28.80601503759398</v>
      </c>
      <c r="Z2361" s="10">
        <v>45532</v>
      </c>
      <c r="AA2361" s="9">
        <v>0</v>
      </c>
      <c r="AC2361" s="9">
        <v>451738</v>
      </c>
      <c r="AD2361" s="14">
        <v>21.016530612244892</v>
      </c>
      <c r="AF2361" s="14">
        <v>2.4</v>
      </c>
      <c r="AH2361" s="14">
        <v>23.416530612244891</v>
      </c>
      <c r="AI2361" s="13">
        <v>5.3894844253490888</v>
      </c>
      <c r="AK2361" s="9">
        <v>120</v>
      </c>
    </row>
    <row r="2362" spans="1:37">
      <c r="A2362" s="9">
        <v>34</v>
      </c>
      <c r="B2362" s="9">
        <v>2024</v>
      </c>
      <c r="C2362" s="9" t="s">
        <v>46</v>
      </c>
      <c r="D2362" s="9" t="s">
        <v>47</v>
      </c>
      <c r="E2362" s="9" t="s">
        <v>47</v>
      </c>
      <c r="F2362" s="10">
        <v>45521</v>
      </c>
      <c r="G2362" s="9" t="s">
        <v>154</v>
      </c>
      <c r="H2362" s="9" t="s">
        <v>48</v>
      </c>
      <c r="N2362" s="9" t="s">
        <v>49</v>
      </c>
      <c r="Q2362" s="9">
        <f>IF(Auction_Sales[[#This Row],[Payment Date]]=0,"",-1+WEEKNUM(Auction_Sales[[#This Row],[Payment Date]]))</f>
        <v>34</v>
      </c>
      <c r="R2362" s="9">
        <v>-160</v>
      </c>
      <c r="S2362" s="9" t="s">
        <v>154</v>
      </c>
      <c r="T2362" s="9" t="s">
        <v>48</v>
      </c>
      <c r="U2362" s="9">
        <v>160</v>
      </c>
      <c r="V2362" s="13">
        <v>0.375</v>
      </c>
      <c r="W2362" s="13">
        <v>60</v>
      </c>
      <c r="X2362" s="14">
        <v>-15.458646616541353</v>
      </c>
      <c r="Y2362" s="13">
        <v>44.541353383458649</v>
      </c>
      <c r="Z2362" s="10">
        <v>45532</v>
      </c>
      <c r="AA2362" s="9">
        <v>160</v>
      </c>
      <c r="AC2362" s="9">
        <v>451738</v>
      </c>
      <c r="AD2362" s="14">
        <v>0</v>
      </c>
      <c r="AF2362" s="14">
        <v>3.2</v>
      </c>
      <c r="AH2362" s="14">
        <v>3.2</v>
      </c>
      <c r="AI2362" s="13">
        <v>41.341353383458646</v>
      </c>
      <c r="AK2362" s="9">
        <v>160</v>
      </c>
    </row>
    <row r="2363" spans="1:37">
      <c r="A2363" s="9">
        <v>34</v>
      </c>
      <c r="B2363" s="9">
        <v>2024</v>
      </c>
      <c r="C2363" s="9" t="s">
        <v>46</v>
      </c>
      <c r="D2363" s="9" t="s">
        <v>47</v>
      </c>
      <c r="E2363" s="9" t="s">
        <v>47</v>
      </c>
      <c r="F2363" s="10">
        <v>45521</v>
      </c>
      <c r="G2363" s="9" t="s">
        <v>160</v>
      </c>
      <c r="H2363" s="9" t="s">
        <v>137</v>
      </c>
      <c r="N2363" s="9" t="s">
        <v>49</v>
      </c>
      <c r="Q2363" s="9">
        <f>IF(Auction_Sales[[#This Row],[Payment Date]]=0,"",-1+WEEKNUM(Auction_Sales[[#This Row],[Payment Date]]))</f>
        <v>34</v>
      </c>
      <c r="R2363" s="9">
        <v>8</v>
      </c>
      <c r="S2363" s="9" t="s">
        <v>160</v>
      </c>
      <c r="T2363" s="9" t="s">
        <v>137</v>
      </c>
      <c r="U2363" s="9">
        <v>-8</v>
      </c>
      <c r="V2363" s="13">
        <v>6.9</v>
      </c>
      <c r="W2363" s="13">
        <v>-55.2</v>
      </c>
      <c r="X2363" s="14">
        <v>0.7729323308270678</v>
      </c>
      <c r="Y2363" s="13">
        <v>-54.427067669172935</v>
      </c>
      <c r="Z2363" s="10">
        <v>45532</v>
      </c>
      <c r="AA2363" s="9">
        <v>-8</v>
      </c>
      <c r="AC2363" s="9">
        <v>451738</v>
      </c>
      <c r="AD2363" s="14">
        <v>0</v>
      </c>
      <c r="AF2363" s="14">
        <v>-0.48</v>
      </c>
      <c r="AH2363" s="14">
        <v>-0.48</v>
      </c>
      <c r="AI2363" s="13">
        <v>-53.947067669172938</v>
      </c>
      <c r="AK2363" s="9">
        <v>-8</v>
      </c>
    </row>
    <row r="2364" spans="1:37">
      <c r="A2364" s="9">
        <v>34</v>
      </c>
      <c r="B2364" s="9">
        <v>2024</v>
      </c>
      <c r="C2364" s="9" t="s">
        <v>46</v>
      </c>
      <c r="D2364" s="9" t="s">
        <v>47</v>
      </c>
      <c r="E2364" s="9" t="s">
        <v>47</v>
      </c>
      <c r="F2364" s="10">
        <v>45521</v>
      </c>
      <c r="G2364" s="9" t="s">
        <v>160</v>
      </c>
      <c r="H2364" s="9" t="s">
        <v>137</v>
      </c>
      <c r="N2364" s="9" t="s">
        <v>49</v>
      </c>
      <c r="Q2364" s="9">
        <f>IF(Auction_Sales[[#This Row],[Payment Date]]=0,"",-1+WEEKNUM(Auction_Sales[[#This Row],[Payment Date]]))</f>
        <v>34</v>
      </c>
      <c r="R2364" s="9">
        <v>-24</v>
      </c>
      <c r="S2364" s="9" t="s">
        <v>160</v>
      </c>
      <c r="T2364" s="9" t="s">
        <v>137</v>
      </c>
      <c r="U2364" s="9">
        <v>24</v>
      </c>
      <c r="V2364" s="13">
        <v>7.8500000000000005</v>
      </c>
      <c r="W2364" s="13">
        <v>188.4</v>
      </c>
      <c r="X2364" s="14">
        <v>-22.379999999999995</v>
      </c>
      <c r="Y2364" s="13">
        <v>166.02</v>
      </c>
      <c r="Z2364" s="10">
        <v>45532</v>
      </c>
      <c r="AA2364" s="9">
        <v>24</v>
      </c>
      <c r="AC2364" s="9">
        <v>451738</v>
      </c>
      <c r="AD2364" s="14">
        <v>0</v>
      </c>
      <c r="AF2364" s="14">
        <v>1.44</v>
      </c>
      <c r="AH2364" s="14">
        <v>1.44</v>
      </c>
      <c r="AI2364" s="13">
        <v>164.58</v>
      </c>
      <c r="AK2364" s="9">
        <v>24</v>
      </c>
    </row>
    <row r="2365" spans="1:37">
      <c r="A2365" s="9">
        <v>34</v>
      </c>
      <c r="B2365" s="9">
        <v>2024</v>
      </c>
      <c r="C2365" s="9" t="s">
        <v>46</v>
      </c>
      <c r="D2365" s="9" t="s">
        <v>47</v>
      </c>
      <c r="E2365" s="9" t="s">
        <v>47</v>
      </c>
      <c r="F2365" s="10">
        <v>45523</v>
      </c>
      <c r="G2365" s="9" t="s">
        <v>154</v>
      </c>
      <c r="H2365" s="9" t="s">
        <v>57</v>
      </c>
      <c r="I2365" s="9">
        <v>1</v>
      </c>
      <c r="J2365" s="9">
        <v>200</v>
      </c>
      <c r="K2365" s="9">
        <v>0.94</v>
      </c>
      <c r="L2365" s="9">
        <v>188</v>
      </c>
      <c r="M2365" s="9">
        <v>12</v>
      </c>
      <c r="N2365" s="9" t="s">
        <v>49</v>
      </c>
      <c r="Q2365" s="9">
        <f>IF(Auction_Sales[[#This Row],[Payment Date]]=0,"",-1+WEEKNUM(Auction_Sales[[#This Row],[Payment Date]]))</f>
        <v>34</v>
      </c>
      <c r="R2365" s="9">
        <v>0</v>
      </c>
      <c r="S2365" s="9" t="s">
        <v>154</v>
      </c>
      <c r="T2365" s="9" t="s">
        <v>57</v>
      </c>
      <c r="U2365" s="9">
        <v>200</v>
      </c>
      <c r="V2365" s="13">
        <v>0.76</v>
      </c>
      <c r="W2365" s="13">
        <v>152</v>
      </c>
      <c r="X2365" s="14">
        <v>-14.753989361702118</v>
      </c>
      <c r="Y2365" s="13">
        <v>137.24601063829789</v>
      </c>
      <c r="Z2365" s="10">
        <v>45532</v>
      </c>
      <c r="AA2365" s="9">
        <v>0</v>
      </c>
      <c r="AC2365" s="9" t="s">
        <v>139</v>
      </c>
      <c r="AD2365" s="14">
        <v>56.347499999999997</v>
      </c>
      <c r="AF2365" s="14">
        <v>4</v>
      </c>
      <c r="AH2365" s="14">
        <v>60.347499999999997</v>
      </c>
      <c r="AI2365" s="13">
        <v>76.898510638297893</v>
      </c>
      <c r="AK2365" s="9">
        <v>200</v>
      </c>
    </row>
    <row r="2366" spans="1:37">
      <c r="A2366" s="9">
        <v>34</v>
      </c>
      <c r="B2366" s="9">
        <v>2024</v>
      </c>
      <c r="C2366" s="9" t="s">
        <v>46</v>
      </c>
      <c r="D2366" s="9" t="s">
        <v>47</v>
      </c>
      <c r="E2366" s="9" t="s">
        <v>47</v>
      </c>
      <c r="F2366" s="10">
        <v>45523</v>
      </c>
      <c r="G2366" s="9" t="s">
        <v>155</v>
      </c>
      <c r="H2366" s="9" t="s">
        <v>48</v>
      </c>
      <c r="I2366" s="9">
        <v>1</v>
      </c>
      <c r="J2366" s="9">
        <v>400</v>
      </c>
      <c r="K2366" s="9">
        <v>0.47</v>
      </c>
      <c r="L2366" s="9">
        <v>188</v>
      </c>
      <c r="M2366" s="9">
        <v>12</v>
      </c>
      <c r="N2366" s="9" t="s">
        <v>49</v>
      </c>
      <c r="Q2366" s="9">
        <f>IF(Auction_Sales[[#This Row],[Payment Date]]=0,"",-1+WEEKNUM(Auction_Sales[[#This Row],[Payment Date]]))</f>
        <v>34</v>
      </c>
      <c r="R2366" s="9">
        <v>0</v>
      </c>
      <c r="S2366" s="9" t="s">
        <v>155</v>
      </c>
      <c r="T2366" s="9" t="s">
        <v>48</v>
      </c>
      <c r="U2366" s="9">
        <v>400</v>
      </c>
      <c r="V2366" s="13">
        <v>0.4</v>
      </c>
      <c r="W2366" s="13">
        <v>160</v>
      </c>
      <c r="X2366" s="14">
        <v>-29.507978723404236</v>
      </c>
      <c r="Y2366" s="13">
        <v>130.49202127659578</v>
      </c>
      <c r="Z2366" s="10">
        <v>45532</v>
      </c>
      <c r="AA2366" s="9">
        <v>0</v>
      </c>
      <c r="AC2366" s="9" t="s">
        <v>139</v>
      </c>
      <c r="AD2366" s="14">
        <v>56.347499999999997</v>
      </c>
      <c r="AF2366" s="14">
        <v>8</v>
      </c>
      <c r="AH2366" s="14">
        <v>64.347499999999997</v>
      </c>
      <c r="AI2366" s="13">
        <v>66.144521276595782</v>
      </c>
      <c r="AK2366" s="9">
        <v>400</v>
      </c>
    </row>
    <row r="2367" spans="1:37">
      <c r="A2367" s="9">
        <v>34</v>
      </c>
      <c r="B2367" s="9">
        <v>2024</v>
      </c>
      <c r="C2367" s="9" t="s">
        <v>46</v>
      </c>
      <c r="D2367" s="9" t="s">
        <v>47</v>
      </c>
      <c r="E2367" s="9" t="s">
        <v>47</v>
      </c>
      <c r="F2367" s="10">
        <v>45523</v>
      </c>
      <c r="G2367" s="9" t="s">
        <v>160</v>
      </c>
      <c r="H2367" s="9" t="s">
        <v>137</v>
      </c>
      <c r="I2367" s="9">
        <v>3</v>
      </c>
      <c r="J2367" s="9">
        <v>48</v>
      </c>
      <c r="K2367" s="9">
        <v>1.42</v>
      </c>
      <c r="L2367" s="9">
        <v>68.16</v>
      </c>
      <c r="M2367" s="9">
        <v>36</v>
      </c>
      <c r="N2367" s="9" t="s">
        <v>49</v>
      </c>
      <c r="Q2367" s="9">
        <f>IF(Auction_Sales[[#This Row],[Payment Date]]=0,"",-1+WEEKNUM(Auction_Sales[[#This Row],[Payment Date]]))</f>
        <v>34</v>
      </c>
      <c r="R2367" s="9">
        <v>24</v>
      </c>
      <c r="S2367" s="9" t="s">
        <v>160</v>
      </c>
      <c r="T2367" s="9" t="s">
        <v>137</v>
      </c>
      <c r="U2367" s="9">
        <v>24</v>
      </c>
      <c r="V2367" s="13">
        <v>7.4666666666666659</v>
      </c>
      <c r="W2367" s="13">
        <v>179.2</v>
      </c>
      <c r="X2367" s="14">
        <v>-1.7704787234042543</v>
      </c>
      <c r="Y2367" s="13">
        <v>177.42952127659572</v>
      </c>
      <c r="Z2367" s="10">
        <v>45532</v>
      </c>
      <c r="AA2367" s="9">
        <v>-24</v>
      </c>
      <c r="AC2367" s="9" t="s">
        <v>139</v>
      </c>
      <c r="AD2367" s="14">
        <v>169.04249999999999</v>
      </c>
      <c r="AF2367" s="14">
        <v>1.44</v>
      </c>
      <c r="AH2367" s="14">
        <v>170.48249999999999</v>
      </c>
      <c r="AI2367" s="13">
        <v>6.9470212765957342</v>
      </c>
      <c r="AK2367" s="9">
        <v>24</v>
      </c>
    </row>
    <row r="2368" spans="1:37">
      <c r="A2368" s="9">
        <v>34</v>
      </c>
      <c r="B2368" s="9">
        <v>2024</v>
      </c>
      <c r="C2368" s="9" t="s">
        <v>46</v>
      </c>
      <c r="D2368" s="9" t="s">
        <v>47</v>
      </c>
      <c r="E2368" s="9" t="s">
        <v>47</v>
      </c>
      <c r="F2368" s="10">
        <v>45523</v>
      </c>
      <c r="G2368" s="9" t="s">
        <v>154</v>
      </c>
      <c r="H2368" s="9" t="s">
        <v>48</v>
      </c>
      <c r="I2368" s="9">
        <v>1</v>
      </c>
      <c r="J2368" s="9">
        <v>200</v>
      </c>
      <c r="K2368" s="9">
        <v>0.47</v>
      </c>
      <c r="L2368" s="9">
        <v>94</v>
      </c>
      <c r="M2368" s="9">
        <v>7.5</v>
      </c>
      <c r="N2368" s="9" t="s">
        <v>49</v>
      </c>
      <c r="Q2368" s="9">
        <f>IF(Auction_Sales[[#This Row],[Payment Date]]=0,"",-1+WEEKNUM(Auction_Sales[[#This Row],[Payment Date]]))</f>
        <v>34</v>
      </c>
      <c r="R2368" s="9">
        <v>0</v>
      </c>
      <c r="S2368" s="9" t="s">
        <v>154</v>
      </c>
      <c r="T2368" s="9" t="s">
        <v>48</v>
      </c>
      <c r="U2368" s="9">
        <v>200</v>
      </c>
      <c r="V2368" s="13">
        <v>0.35600000000000004</v>
      </c>
      <c r="W2368" s="13">
        <v>71.2</v>
      </c>
      <c r="X2368" s="14">
        <v>-14.753989361702118</v>
      </c>
      <c r="Y2368" s="13">
        <v>56.446010638297885</v>
      </c>
      <c r="Z2368" s="10">
        <v>45532</v>
      </c>
      <c r="AA2368" s="9">
        <v>0</v>
      </c>
      <c r="AC2368" s="9" t="s">
        <v>139</v>
      </c>
      <c r="AD2368" s="14">
        <v>35.217187499999994</v>
      </c>
      <c r="AF2368" s="14">
        <v>4</v>
      </c>
      <c r="AH2368" s="14">
        <v>39.217187499999994</v>
      </c>
      <c r="AI2368" s="13">
        <v>17.228823138297891</v>
      </c>
      <c r="AK2368" s="9">
        <v>200</v>
      </c>
    </row>
    <row r="2369" spans="1:37">
      <c r="A2369" s="9">
        <v>34</v>
      </c>
      <c r="B2369" s="9">
        <v>2024</v>
      </c>
      <c r="C2369" s="9" t="s">
        <v>46</v>
      </c>
      <c r="D2369" s="9" t="s">
        <v>47</v>
      </c>
      <c r="E2369" s="9" t="s">
        <v>47</v>
      </c>
      <c r="F2369" s="10">
        <v>45523</v>
      </c>
      <c r="G2369" s="9" t="s">
        <v>154</v>
      </c>
      <c r="H2369" s="9" t="s">
        <v>52</v>
      </c>
      <c r="J2369" s="9">
        <v>120</v>
      </c>
      <c r="K2369" s="9">
        <v>0.52</v>
      </c>
      <c r="L2369" s="9">
        <v>62.4</v>
      </c>
      <c r="M2369" s="9">
        <v>4.5</v>
      </c>
      <c r="N2369" s="9" t="s">
        <v>49</v>
      </c>
      <c r="Q2369" s="9">
        <f>IF(Auction_Sales[[#This Row],[Payment Date]]=0,"",-1+WEEKNUM(Auction_Sales[[#This Row],[Payment Date]]))</f>
        <v>34</v>
      </c>
      <c r="R2369" s="9">
        <v>0</v>
      </c>
      <c r="S2369" s="9" t="s">
        <v>154</v>
      </c>
      <c r="T2369" s="9" t="s">
        <v>52</v>
      </c>
      <c r="U2369" s="9">
        <v>120</v>
      </c>
      <c r="V2369" s="13">
        <v>0.38666666666666666</v>
      </c>
      <c r="W2369" s="13">
        <v>46.4</v>
      </c>
      <c r="X2369" s="14">
        <v>-8.8523936170212725</v>
      </c>
      <c r="Y2369" s="13">
        <v>37.547606382978728</v>
      </c>
      <c r="Z2369" s="10">
        <v>45532</v>
      </c>
      <c r="AA2369" s="9">
        <v>0</v>
      </c>
      <c r="AC2369" s="9" t="s">
        <v>139</v>
      </c>
      <c r="AD2369" s="14">
        <v>21.130312499999999</v>
      </c>
      <c r="AF2369" s="14">
        <v>2.4</v>
      </c>
      <c r="AH2369" s="14">
        <v>23.530312499999997</v>
      </c>
      <c r="AI2369" s="13">
        <v>14.017293882978731</v>
      </c>
      <c r="AK2369" s="9">
        <v>120</v>
      </c>
    </row>
    <row r="2370" spans="1:37">
      <c r="A2370" s="9">
        <v>34</v>
      </c>
      <c r="B2370" s="9">
        <v>2024</v>
      </c>
      <c r="C2370" s="9" t="s">
        <v>46</v>
      </c>
      <c r="D2370" s="9" t="s">
        <v>47</v>
      </c>
      <c r="E2370" s="9" t="s">
        <v>47</v>
      </c>
      <c r="F2370" s="10">
        <v>45523</v>
      </c>
      <c r="G2370" s="9" t="s">
        <v>154</v>
      </c>
      <c r="H2370" s="9" t="s">
        <v>56</v>
      </c>
      <c r="I2370" s="9">
        <v>1</v>
      </c>
      <c r="J2370" s="9">
        <v>80</v>
      </c>
      <c r="K2370" s="9">
        <v>0.75</v>
      </c>
      <c r="L2370" s="9">
        <v>60</v>
      </c>
      <c r="M2370" s="9">
        <v>4</v>
      </c>
      <c r="N2370" s="9" t="s">
        <v>49</v>
      </c>
      <c r="Q2370" s="9">
        <f>IF(Auction_Sales[[#This Row],[Payment Date]]=0,"",-1+WEEKNUM(Auction_Sales[[#This Row],[Payment Date]]))</f>
        <v>34</v>
      </c>
      <c r="R2370" s="9">
        <v>0</v>
      </c>
      <c r="S2370" s="9" t="s">
        <v>154</v>
      </c>
      <c r="T2370" s="9" t="s">
        <v>56</v>
      </c>
      <c r="U2370" s="9">
        <v>80</v>
      </c>
      <c r="V2370" s="13">
        <v>0.77</v>
      </c>
      <c r="W2370" s="13">
        <v>61.6</v>
      </c>
      <c r="X2370" s="14">
        <v>-5.9015957446808471</v>
      </c>
      <c r="Y2370" s="13">
        <v>55.698404255319154</v>
      </c>
      <c r="Z2370" s="10">
        <v>45532</v>
      </c>
      <c r="AA2370" s="9">
        <v>0</v>
      </c>
      <c r="AC2370" s="9" t="s">
        <v>139</v>
      </c>
      <c r="AD2370" s="14">
        <v>18.782499999999999</v>
      </c>
      <c r="AF2370" s="14">
        <v>1.6</v>
      </c>
      <c r="AH2370" s="14">
        <v>20.3825</v>
      </c>
      <c r="AI2370" s="13">
        <v>35.315904255319154</v>
      </c>
      <c r="AK2370" s="9">
        <v>80</v>
      </c>
    </row>
    <row r="2371" spans="1:37">
      <c r="A2371" s="9">
        <v>34</v>
      </c>
      <c r="B2371" s="9">
        <v>2024</v>
      </c>
      <c r="C2371" s="9" t="s">
        <v>46</v>
      </c>
      <c r="D2371" s="9" t="s">
        <v>47</v>
      </c>
      <c r="E2371" s="9" t="s">
        <v>47</v>
      </c>
      <c r="F2371" s="10">
        <v>45523</v>
      </c>
      <c r="G2371" s="9" t="s">
        <v>154</v>
      </c>
      <c r="H2371" s="9" t="s">
        <v>54</v>
      </c>
      <c r="J2371" s="9">
        <v>160</v>
      </c>
      <c r="K2371" s="9">
        <v>0.56999999999999995</v>
      </c>
      <c r="L2371" s="9">
        <v>91.2</v>
      </c>
      <c r="M2371" s="9">
        <v>8</v>
      </c>
      <c r="N2371" s="9" t="s">
        <v>49</v>
      </c>
      <c r="Q2371" s="9">
        <f>IF(Auction_Sales[[#This Row],[Payment Date]]=0,"",-1+WEEKNUM(Auction_Sales[[#This Row],[Payment Date]]))</f>
        <v>34</v>
      </c>
      <c r="R2371" s="9">
        <v>0</v>
      </c>
      <c r="S2371" s="9" t="s">
        <v>154</v>
      </c>
      <c r="T2371" s="9" t="s">
        <v>54</v>
      </c>
      <c r="U2371" s="9">
        <v>160</v>
      </c>
      <c r="V2371" s="13">
        <v>0.77500000000000002</v>
      </c>
      <c r="W2371" s="13">
        <v>124</v>
      </c>
      <c r="X2371" s="14">
        <v>-11.803191489361694</v>
      </c>
      <c r="Y2371" s="13">
        <v>112.19680851063831</v>
      </c>
      <c r="Z2371" s="10">
        <v>45532</v>
      </c>
      <c r="AA2371" s="9">
        <v>0</v>
      </c>
      <c r="AC2371" s="9" t="s">
        <v>139</v>
      </c>
      <c r="AD2371" s="14">
        <v>37.564999999999998</v>
      </c>
      <c r="AF2371" s="14">
        <v>3.2</v>
      </c>
      <c r="AH2371" s="14">
        <v>40.765000000000001</v>
      </c>
      <c r="AI2371" s="13">
        <v>71.431808510638305</v>
      </c>
      <c r="AK2371" s="9">
        <v>160</v>
      </c>
    </row>
    <row r="2372" spans="1:37">
      <c r="A2372" s="9">
        <v>34</v>
      </c>
      <c r="B2372" s="9">
        <v>2024</v>
      </c>
      <c r="C2372" s="9" t="s">
        <v>46</v>
      </c>
      <c r="D2372" s="9" t="s">
        <v>47</v>
      </c>
      <c r="E2372" s="9" t="s">
        <v>47</v>
      </c>
      <c r="F2372" s="10">
        <v>45523</v>
      </c>
      <c r="G2372" s="9" t="s">
        <v>156</v>
      </c>
      <c r="H2372" s="9" t="s">
        <v>48</v>
      </c>
      <c r="I2372" s="9">
        <v>1</v>
      </c>
      <c r="J2372" s="9">
        <v>120</v>
      </c>
      <c r="K2372" s="9">
        <v>0.52</v>
      </c>
      <c r="L2372" s="9">
        <v>62.4</v>
      </c>
      <c r="M2372" s="9">
        <v>4.5</v>
      </c>
      <c r="N2372" s="9" t="s">
        <v>49</v>
      </c>
      <c r="Q2372" s="9">
        <f>IF(Auction_Sales[[#This Row],[Payment Date]]=0,"",-1+WEEKNUM(Auction_Sales[[#This Row],[Payment Date]]))</f>
        <v>34</v>
      </c>
      <c r="R2372" s="9">
        <v>0</v>
      </c>
      <c r="S2372" s="9" t="s">
        <v>156</v>
      </c>
      <c r="T2372" s="9" t="s">
        <v>48</v>
      </c>
      <c r="U2372" s="9">
        <v>120</v>
      </c>
      <c r="V2372" s="13">
        <v>0.43333333333333335</v>
      </c>
      <c r="W2372" s="13">
        <v>52</v>
      </c>
      <c r="X2372" s="14">
        <v>-8.8523936170212725</v>
      </c>
      <c r="Y2372" s="13">
        <v>43.147606382978729</v>
      </c>
      <c r="Z2372" s="10">
        <v>45532</v>
      </c>
      <c r="AA2372" s="9">
        <v>0</v>
      </c>
      <c r="AC2372" s="9" t="s">
        <v>139</v>
      </c>
      <c r="AD2372" s="14">
        <v>21.130312499999999</v>
      </c>
      <c r="AF2372" s="14">
        <v>2.4</v>
      </c>
      <c r="AH2372" s="14">
        <v>23.530312499999997</v>
      </c>
      <c r="AI2372" s="13">
        <v>19.617293882978732</v>
      </c>
      <c r="AK2372" s="9">
        <v>120</v>
      </c>
    </row>
    <row r="2373" spans="1:37">
      <c r="A2373" s="9">
        <v>34</v>
      </c>
      <c r="B2373" s="9">
        <v>2024</v>
      </c>
      <c r="C2373" s="9" t="s">
        <v>46</v>
      </c>
      <c r="D2373" s="9" t="s">
        <v>47</v>
      </c>
      <c r="E2373" s="9" t="s">
        <v>47</v>
      </c>
      <c r="F2373" s="10">
        <v>45523</v>
      </c>
      <c r="G2373" s="9" t="s">
        <v>156</v>
      </c>
      <c r="H2373" s="9" t="s">
        <v>52</v>
      </c>
      <c r="J2373" s="9">
        <v>40</v>
      </c>
      <c r="K2373" s="9">
        <v>0.61</v>
      </c>
      <c r="L2373" s="9">
        <v>24.4</v>
      </c>
      <c r="M2373" s="9">
        <v>1.5</v>
      </c>
      <c r="N2373" s="9" t="s">
        <v>49</v>
      </c>
      <c r="Q2373" s="9">
        <f>IF(Auction_Sales[[#This Row],[Payment Date]]=0,"",-1+WEEKNUM(Auction_Sales[[#This Row],[Payment Date]]))</f>
        <v>34</v>
      </c>
      <c r="R2373" s="9">
        <v>0</v>
      </c>
      <c r="S2373" s="9" t="s">
        <v>156</v>
      </c>
      <c r="T2373" s="9" t="s">
        <v>52</v>
      </c>
      <c r="U2373" s="9">
        <v>40</v>
      </c>
      <c r="V2373" s="13">
        <v>0.57000000000000006</v>
      </c>
      <c r="W2373" s="13">
        <v>22.800000000000004</v>
      </c>
      <c r="X2373" s="14">
        <v>-2.9507978723404236</v>
      </c>
      <c r="Y2373" s="13">
        <v>19.849202127659581</v>
      </c>
      <c r="Z2373" s="10">
        <v>45532</v>
      </c>
      <c r="AA2373" s="9">
        <v>0</v>
      </c>
      <c r="AC2373" s="9" t="s">
        <v>139</v>
      </c>
      <c r="AD2373" s="14">
        <v>7.0434374999999996</v>
      </c>
      <c r="AF2373" s="14">
        <v>0.8</v>
      </c>
      <c r="AH2373" s="14">
        <v>7.8434374999999994</v>
      </c>
      <c r="AI2373" s="13">
        <v>12.00576462765958</v>
      </c>
      <c r="AK2373" s="9">
        <v>40</v>
      </c>
    </row>
    <row r="2374" spans="1:37">
      <c r="A2374" s="9">
        <v>34</v>
      </c>
      <c r="B2374" s="9">
        <v>2024</v>
      </c>
      <c r="C2374" s="9" t="s">
        <v>46</v>
      </c>
      <c r="D2374" s="9" t="s">
        <v>47</v>
      </c>
      <c r="E2374" s="9" t="s">
        <v>47</v>
      </c>
      <c r="F2374" s="10">
        <v>45523</v>
      </c>
      <c r="G2374" s="9" t="s">
        <v>156</v>
      </c>
      <c r="H2374" s="9" t="s">
        <v>54</v>
      </c>
      <c r="J2374" s="9">
        <v>40</v>
      </c>
      <c r="K2374" s="9">
        <v>0.66</v>
      </c>
      <c r="L2374" s="9">
        <v>26.4</v>
      </c>
      <c r="M2374" s="9">
        <v>1.5</v>
      </c>
      <c r="N2374" s="9" t="s">
        <v>49</v>
      </c>
      <c r="Q2374" s="9">
        <f>IF(Auction_Sales[[#This Row],[Payment Date]]=0,"",-1+WEEKNUM(Auction_Sales[[#This Row],[Payment Date]]))</f>
        <v>34</v>
      </c>
      <c r="R2374" s="9">
        <v>0</v>
      </c>
      <c r="S2374" s="9" t="s">
        <v>156</v>
      </c>
      <c r="T2374" s="9" t="s">
        <v>54</v>
      </c>
      <c r="U2374" s="9">
        <v>40</v>
      </c>
      <c r="V2374" s="13">
        <v>0.52</v>
      </c>
      <c r="W2374" s="13">
        <v>20.8</v>
      </c>
      <c r="X2374" s="14">
        <v>-2.9507978723404236</v>
      </c>
      <c r="Y2374" s="13">
        <v>17.849202127659577</v>
      </c>
      <c r="Z2374" s="10">
        <v>45532</v>
      </c>
      <c r="AA2374" s="9">
        <v>0</v>
      </c>
      <c r="AC2374" s="9" t="s">
        <v>139</v>
      </c>
      <c r="AD2374" s="14">
        <v>7.0434374999999996</v>
      </c>
      <c r="AF2374" s="14">
        <v>0.8</v>
      </c>
      <c r="AH2374" s="14">
        <v>7.8434374999999994</v>
      </c>
      <c r="AI2374" s="13">
        <v>10.005764627659577</v>
      </c>
      <c r="AK2374" s="9">
        <v>40</v>
      </c>
    </row>
    <row r="2375" spans="1:37">
      <c r="A2375" s="9">
        <v>34</v>
      </c>
      <c r="B2375" s="9">
        <v>2024</v>
      </c>
      <c r="C2375" s="9" t="s">
        <v>46</v>
      </c>
      <c r="D2375" s="9" t="s">
        <v>47</v>
      </c>
      <c r="E2375" s="9" t="s">
        <v>47</v>
      </c>
      <c r="F2375" s="10">
        <v>45523</v>
      </c>
      <c r="G2375" s="9" t="s">
        <v>156</v>
      </c>
      <c r="H2375" s="9" t="s">
        <v>56</v>
      </c>
      <c r="J2375" s="9">
        <v>40</v>
      </c>
      <c r="K2375" s="9">
        <v>0.85</v>
      </c>
      <c r="L2375" s="9">
        <v>34</v>
      </c>
      <c r="M2375" s="9">
        <v>1.5</v>
      </c>
      <c r="N2375" s="9" t="s">
        <v>49</v>
      </c>
      <c r="Q2375" s="9">
        <f>IF(Auction_Sales[[#This Row],[Payment Date]]=0,"",-1+WEEKNUM(Auction_Sales[[#This Row],[Payment Date]]))</f>
        <v>34</v>
      </c>
      <c r="R2375" s="9">
        <v>0</v>
      </c>
      <c r="S2375" s="9" t="s">
        <v>156</v>
      </c>
      <c r="T2375" s="9" t="s">
        <v>56</v>
      </c>
      <c r="U2375" s="9">
        <v>40</v>
      </c>
      <c r="V2375" s="13">
        <v>0.55999999999999994</v>
      </c>
      <c r="W2375" s="13">
        <v>22.4</v>
      </c>
      <c r="X2375" s="14">
        <v>-2.9507978723404236</v>
      </c>
      <c r="Y2375" s="13">
        <v>19.449202127659575</v>
      </c>
      <c r="Z2375" s="10">
        <v>45532</v>
      </c>
      <c r="AA2375" s="9">
        <v>0</v>
      </c>
      <c r="AC2375" s="9" t="s">
        <v>139</v>
      </c>
      <c r="AD2375" s="14">
        <v>7.0434374999999996</v>
      </c>
      <c r="AF2375" s="14">
        <v>0.8</v>
      </c>
      <c r="AH2375" s="14">
        <v>7.8434374999999994</v>
      </c>
      <c r="AI2375" s="13">
        <v>11.605764627659575</v>
      </c>
      <c r="AK2375" s="9">
        <v>40</v>
      </c>
    </row>
    <row r="2376" spans="1:37">
      <c r="A2376" s="9">
        <v>34</v>
      </c>
      <c r="B2376" s="9">
        <v>2024</v>
      </c>
      <c r="C2376" s="9" t="s">
        <v>46</v>
      </c>
      <c r="D2376" s="9" t="s">
        <v>47</v>
      </c>
      <c r="E2376" s="9" t="s">
        <v>47</v>
      </c>
      <c r="F2376" s="10">
        <v>45523</v>
      </c>
      <c r="G2376" s="9" t="s">
        <v>156</v>
      </c>
      <c r="H2376" s="9" t="s">
        <v>57</v>
      </c>
      <c r="J2376" s="9">
        <v>80</v>
      </c>
      <c r="K2376" s="9">
        <v>1.04</v>
      </c>
      <c r="L2376" s="9">
        <v>83.2</v>
      </c>
      <c r="M2376" s="9">
        <v>3</v>
      </c>
      <c r="N2376" s="9" t="s">
        <v>49</v>
      </c>
      <c r="Q2376" s="9">
        <f>IF(Auction_Sales[[#This Row],[Payment Date]]=0,"",-1+WEEKNUM(Auction_Sales[[#This Row],[Payment Date]]))</f>
        <v>34</v>
      </c>
      <c r="R2376" s="9">
        <v>0</v>
      </c>
      <c r="S2376" s="9" t="s">
        <v>156</v>
      </c>
      <c r="T2376" s="9" t="s">
        <v>57</v>
      </c>
      <c r="U2376" s="9">
        <v>80</v>
      </c>
      <c r="V2376" s="13">
        <v>0.6</v>
      </c>
      <c r="W2376" s="13">
        <v>48</v>
      </c>
      <c r="X2376" s="14">
        <v>-5.9015957446808471</v>
      </c>
      <c r="Y2376" s="13">
        <v>42.098404255319153</v>
      </c>
      <c r="Z2376" s="10">
        <v>45532</v>
      </c>
      <c r="AA2376" s="9">
        <v>0</v>
      </c>
      <c r="AC2376" s="9" t="s">
        <v>139</v>
      </c>
      <c r="AD2376" s="14">
        <v>14.086874999999999</v>
      </c>
      <c r="AF2376" s="14">
        <v>1.6</v>
      </c>
      <c r="AH2376" s="14">
        <v>15.686874999999999</v>
      </c>
      <c r="AI2376" s="13">
        <v>26.411529255319152</v>
      </c>
      <c r="AK2376" s="9">
        <v>80</v>
      </c>
    </row>
    <row r="2377" spans="1:37">
      <c r="A2377" s="9">
        <v>34</v>
      </c>
      <c r="B2377" s="9">
        <v>2024</v>
      </c>
      <c r="C2377" s="9" t="s">
        <v>46</v>
      </c>
      <c r="D2377" s="9" t="s">
        <v>47</v>
      </c>
      <c r="E2377" s="9" t="s">
        <v>47</v>
      </c>
      <c r="F2377" s="10">
        <v>45523</v>
      </c>
      <c r="G2377" s="9" t="s">
        <v>160</v>
      </c>
      <c r="H2377" s="9" t="s">
        <v>137</v>
      </c>
      <c r="N2377" s="9" t="s">
        <v>49</v>
      </c>
      <c r="Q2377" s="9">
        <f>IF(Auction_Sales[[#This Row],[Payment Date]]=0,"",-1+WEEKNUM(Auction_Sales[[#This Row],[Payment Date]]))</f>
        <v>34</v>
      </c>
      <c r="R2377" s="9">
        <v>-24</v>
      </c>
      <c r="S2377" s="9" t="s">
        <v>160</v>
      </c>
      <c r="T2377" s="9" t="s">
        <v>137</v>
      </c>
      <c r="U2377" s="9">
        <v>24</v>
      </c>
      <c r="V2377" s="13">
        <v>7.45</v>
      </c>
      <c r="W2377" s="13">
        <v>178.8</v>
      </c>
      <c r="X2377" s="14">
        <v>-21.960000000000008</v>
      </c>
      <c r="Y2377" s="13">
        <v>156.84</v>
      </c>
      <c r="Z2377" s="10">
        <v>45532</v>
      </c>
      <c r="AA2377" s="9">
        <v>24</v>
      </c>
      <c r="AC2377" s="9" t="s">
        <v>139</v>
      </c>
      <c r="AD2377" s="14">
        <v>0</v>
      </c>
      <c r="AF2377" s="14">
        <v>1.44</v>
      </c>
      <c r="AH2377" s="14">
        <v>1.44</v>
      </c>
      <c r="AI2377" s="13">
        <v>155.4</v>
      </c>
      <c r="AK2377" s="9">
        <v>24</v>
      </c>
    </row>
    <row r="2378" spans="1:37">
      <c r="A2378" s="9">
        <v>34</v>
      </c>
      <c r="B2378" s="9">
        <v>2024</v>
      </c>
      <c r="C2378" s="9" t="s">
        <v>46</v>
      </c>
      <c r="D2378" s="9" t="s">
        <v>47</v>
      </c>
      <c r="E2378" s="9" t="s">
        <v>47</v>
      </c>
      <c r="F2378" s="10">
        <v>45526</v>
      </c>
      <c r="G2378" s="9" t="s">
        <v>160</v>
      </c>
      <c r="H2378" s="9" t="s">
        <v>137</v>
      </c>
      <c r="I2378" s="9">
        <v>5</v>
      </c>
      <c r="J2378" s="9">
        <v>80</v>
      </c>
      <c r="K2378" s="9">
        <v>1.42</v>
      </c>
      <c r="L2378" s="9">
        <v>113.6</v>
      </c>
      <c r="M2378" s="9">
        <v>60</v>
      </c>
      <c r="N2378" s="9" t="s">
        <v>49</v>
      </c>
      <c r="Q2378" s="9">
        <f>IF(Auction_Sales[[#This Row],[Payment Date]]=0,"",-1+WEEKNUM(Auction_Sales[[#This Row],[Payment Date]]))</f>
        <v>35</v>
      </c>
      <c r="R2378" s="9">
        <v>0</v>
      </c>
      <c r="S2378" s="9" t="s">
        <v>160</v>
      </c>
      <c r="T2378" s="9" t="s">
        <v>137</v>
      </c>
      <c r="U2378" s="9">
        <v>80</v>
      </c>
      <c r="V2378" s="13">
        <v>7.6787499999999991</v>
      </c>
      <c r="W2378" s="13">
        <v>614.29999999999995</v>
      </c>
      <c r="X2378" s="14">
        <v>-9.0296774193548419</v>
      </c>
      <c r="Y2378" s="13">
        <v>605.27032258064514</v>
      </c>
      <c r="Z2378" s="10">
        <v>45539</v>
      </c>
      <c r="AA2378" s="9">
        <v>0</v>
      </c>
      <c r="AC2378" s="9">
        <v>452629</v>
      </c>
      <c r="AD2378" s="14">
        <v>286.98124999999999</v>
      </c>
      <c r="AF2378" s="14">
        <v>4.8</v>
      </c>
      <c r="AH2378" s="14">
        <v>291.78125</v>
      </c>
      <c r="AI2378" s="13">
        <v>313.48907258064514</v>
      </c>
      <c r="AK2378" s="9">
        <v>80</v>
      </c>
    </row>
    <row r="2379" spans="1:37">
      <c r="A2379" s="9">
        <v>34</v>
      </c>
      <c r="B2379" s="9">
        <v>2024</v>
      </c>
      <c r="C2379" s="9" t="s">
        <v>46</v>
      </c>
      <c r="D2379" s="9" t="s">
        <v>47</v>
      </c>
      <c r="E2379" s="9" t="s">
        <v>47</v>
      </c>
      <c r="F2379" s="10">
        <v>45526</v>
      </c>
      <c r="G2379" s="9" t="s">
        <v>154</v>
      </c>
      <c r="H2379" s="9" t="s">
        <v>51</v>
      </c>
      <c r="I2379" s="9">
        <v>1</v>
      </c>
      <c r="J2379" s="9">
        <v>520</v>
      </c>
      <c r="K2379" s="9">
        <v>0.38</v>
      </c>
      <c r="L2379" s="9">
        <v>197.6</v>
      </c>
      <c r="M2379" s="9">
        <v>12</v>
      </c>
      <c r="N2379" s="9" t="s">
        <v>49</v>
      </c>
      <c r="Q2379" s="9">
        <f>IF(Auction_Sales[[#This Row],[Payment Date]]=0,"",-1+WEEKNUM(Auction_Sales[[#This Row],[Payment Date]]))</f>
        <v>35</v>
      </c>
      <c r="R2379" s="9">
        <v>0</v>
      </c>
      <c r="S2379" s="9" t="s">
        <v>154</v>
      </c>
      <c r="T2379" s="9" t="s">
        <v>51</v>
      </c>
      <c r="U2379" s="9">
        <v>520</v>
      </c>
      <c r="V2379" s="13">
        <v>0.33076923076923076</v>
      </c>
      <c r="W2379" s="13">
        <v>172</v>
      </c>
      <c r="X2379" s="14">
        <v>-58.692903225806461</v>
      </c>
      <c r="Y2379" s="13">
        <v>113.30709677419354</v>
      </c>
      <c r="Z2379" s="10">
        <v>45539</v>
      </c>
      <c r="AA2379" s="9">
        <v>0</v>
      </c>
      <c r="AC2379" s="9">
        <v>452629</v>
      </c>
      <c r="AD2379" s="14">
        <v>57.396250000000002</v>
      </c>
      <c r="AF2379" s="14">
        <v>10.4</v>
      </c>
      <c r="AH2379" s="14">
        <v>67.796250000000001</v>
      </c>
      <c r="AI2379" s="13">
        <v>45.510846774193539</v>
      </c>
      <c r="AK2379" s="9">
        <v>520</v>
      </c>
    </row>
    <row r="2380" spans="1:37">
      <c r="A2380" s="9">
        <v>34</v>
      </c>
      <c r="B2380" s="9">
        <v>2024</v>
      </c>
      <c r="C2380" s="9" t="s">
        <v>46</v>
      </c>
      <c r="D2380" s="9" t="s">
        <v>47</v>
      </c>
      <c r="E2380" s="9" t="s">
        <v>47</v>
      </c>
      <c r="F2380" s="10">
        <v>45526</v>
      </c>
      <c r="G2380" s="9" t="s">
        <v>156</v>
      </c>
      <c r="H2380" s="9" t="s">
        <v>48</v>
      </c>
      <c r="I2380" s="9">
        <v>1</v>
      </c>
      <c r="J2380" s="9">
        <v>40</v>
      </c>
      <c r="K2380" s="9">
        <v>0.52</v>
      </c>
      <c r="L2380" s="9">
        <v>20.8</v>
      </c>
      <c r="M2380" s="9">
        <v>1.7142857142857142</v>
      </c>
      <c r="N2380" s="9" t="s">
        <v>49</v>
      </c>
      <c r="Q2380" s="9">
        <f>IF(Auction_Sales[[#This Row],[Payment Date]]=0,"",-1+WEEKNUM(Auction_Sales[[#This Row],[Payment Date]]))</f>
        <v>35</v>
      </c>
      <c r="R2380" s="9">
        <v>0</v>
      </c>
      <c r="S2380" s="9" t="s">
        <v>156</v>
      </c>
      <c r="T2380" s="9" t="s">
        <v>48</v>
      </c>
      <c r="U2380" s="9">
        <v>40</v>
      </c>
      <c r="V2380" s="13">
        <v>0.52</v>
      </c>
      <c r="W2380" s="13">
        <v>20.8</v>
      </c>
      <c r="X2380" s="14">
        <v>-4.514838709677421</v>
      </c>
      <c r="Y2380" s="13">
        <v>16.285161290322581</v>
      </c>
      <c r="Z2380" s="10">
        <v>45539</v>
      </c>
      <c r="AA2380" s="9">
        <v>0</v>
      </c>
      <c r="AC2380" s="9">
        <v>452629</v>
      </c>
      <c r="AD2380" s="14">
        <v>8.199464285714285</v>
      </c>
      <c r="AF2380" s="14">
        <v>0.8</v>
      </c>
      <c r="AH2380" s="14">
        <v>8.9994642857142857</v>
      </c>
      <c r="AI2380" s="13">
        <v>7.2856970046082949</v>
      </c>
      <c r="AK2380" s="9">
        <v>40</v>
      </c>
    </row>
    <row r="2381" spans="1:37">
      <c r="A2381" s="9">
        <v>34</v>
      </c>
      <c r="B2381" s="9">
        <v>2024</v>
      </c>
      <c r="C2381" s="9" t="s">
        <v>46</v>
      </c>
      <c r="D2381" s="9" t="s">
        <v>47</v>
      </c>
      <c r="E2381" s="9" t="s">
        <v>47</v>
      </c>
      <c r="F2381" s="10">
        <v>45526</v>
      </c>
      <c r="G2381" s="9" t="s">
        <v>156</v>
      </c>
      <c r="H2381" s="9" t="s">
        <v>52</v>
      </c>
      <c r="J2381" s="9">
        <v>80</v>
      </c>
      <c r="K2381" s="9">
        <v>0.61</v>
      </c>
      <c r="L2381" s="9">
        <v>48.8</v>
      </c>
      <c r="M2381" s="9">
        <v>3.4285714285714284</v>
      </c>
      <c r="N2381" s="9" t="s">
        <v>49</v>
      </c>
      <c r="Q2381" s="9">
        <f>IF(Auction_Sales[[#This Row],[Payment Date]]=0,"",-1+WEEKNUM(Auction_Sales[[#This Row],[Payment Date]]))</f>
        <v>35</v>
      </c>
      <c r="R2381" s="9">
        <v>0</v>
      </c>
      <c r="S2381" s="9" t="s">
        <v>156</v>
      </c>
      <c r="T2381" s="9" t="s">
        <v>52</v>
      </c>
      <c r="U2381" s="9">
        <v>80</v>
      </c>
      <c r="V2381" s="13">
        <v>0.505</v>
      </c>
      <c r="W2381" s="13">
        <v>40.4</v>
      </c>
      <c r="X2381" s="14">
        <v>-9.0296774193548419</v>
      </c>
      <c r="Y2381" s="13">
        <v>31.370322580645158</v>
      </c>
      <c r="Z2381" s="10">
        <v>45539</v>
      </c>
      <c r="AA2381" s="9">
        <v>0</v>
      </c>
      <c r="AC2381" s="9">
        <v>452629</v>
      </c>
      <c r="AD2381" s="14">
        <v>16.39892857142857</v>
      </c>
      <c r="AF2381" s="14">
        <v>1.6</v>
      </c>
      <c r="AH2381" s="14">
        <v>17.998928571428571</v>
      </c>
      <c r="AI2381" s="13">
        <v>13.371394009216587</v>
      </c>
      <c r="AK2381" s="9">
        <v>80</v>
      </c>
    </row>
    <row r="2382" spans="1:37">
      <c r="A2382" s="9">
        <v>34</v>
      </c>
      <c r="B2382" s="9">
        <v>2024</v>
      </c>
      <c r="C2382" s="9" t="s">
        <v>46</v>
      </c>
      <c r="D2382" s="9" t="s">
        <v>47</v>
      </c>
      <c r="E2382" s="9" t="s">
        <v>47</v>
      </c>
      <c r="F2382" s="10">
        <v>45526</v>
      </c>
      <c r="G2382" s="9" t="s">
        <v>156</v>
      </c>
      <c r="H2382" s="9" t="s">
        <v>54</v>
      </c>
      <c r="J2382" s="9">
        <v>40</v>
      </c>
      <c r="K2382" s="9">
        <v>0.66</v>
      </c>
      <c r="L2382" s="9">
        <v>26.4</v>
      </c>
      <c r="M2382" s="9">
        <v>1.7142857142857142</v>
      </c>
      <c r="N2382" s="9" t="s">
        <v>49</v>
      </c>
      <c r="Q2382" s="9">
        <f>IF(Auction_Sales[[#This Row],[Payment Date]]=0,"",-1+WEEKNUM(Auction_Sales[[#This Row],[Payment Date]]))</f>
        <v>35</v>
      </c>
      <c r="R2382" s="9">
        <v>0</v>
      </c>
      <c r="S2382" s="9" t="s">
        <v>156</v>
      </c>
      <c r="T2382" s="9" t="s">
        <v>54</v>
      </c>
      <c r="U2382" s="9">
        <v>40</v>
      </c>
      <c r="V2382" s="13">
        <v>0.55000000000000004</v>
      </c>
      <c r="W2382" s="13">
        <v>22</v>
      </c>
      <c r="X2382" s="14">
        <v>-4.514838709677421</v>
      </c>
      <c r="Y2382" s="13">
        <v>17.48516129032258</v>
      </c>
      <c r="Z2382" s="10">
        <v>45539</v>
      </c>
      <c r="AA2382" s="9">
        <v>0</v>
      </c>
      <c r="AC2382" s="9">
        <v>452629</v>
      </c>
      <c r="AD2382" s="14">
        <v>8.199464285714285</v>
      </c>
      <c r="AF2382" s="14">
        <v>0.8</v>
      </c>
      <c r="AH2382" s="14">
        <v>8.9994642857142857</v>
      </c>
      <c r="AI2382" s="13">
        <v>8.4856970046082942</v>
      </c>
      <c r="AK2382" s="9">
        <v>40</v>
      </c>
    </row>
    <row r="2383" spans="1:37">
      <c r="A2383" s="9">
        <v>34</v>
      </c>
      <c r="B2383" s="9">
        <v>2024</v>
      </c>
      <c r="C2383" s="9" t="s">
        <v>46</v>
      </c>
      <c r="D2383" s="9" t="s">
        <v>47</v>
      </c>
      <c r="E2383" s="9" t="s">
        <v>47</v>
      </c>
      <c r="F2383" s="10">
        <v>45526</v>
      </c>
      <c r="G2383" s="9" t="s">
        <v>156</v>
      </c>
      <c r="H2383" s="9" t="s">
        <v>56</v>
      </c>
      <c r="J2383" s="9">
        <v>80</v>
      </c>
      <c r="K2383" s="9">
        <v>0.85</v>
      </c>
      <c r="L2383" s="9">
        <v>68</v>
      </c>
      <c r="M2383" s="9">
        <v>3.4285714285714284</v>
      </c>
      <c r="N2383" s="9" t="s">
        <v>49</v>
      </c>
      <c r="Q2383" s="9">
        <f>IF(Auction_Sales[[#This Row],[Payment Date]]=0,"",-1+WEEKNUM(Auction_Sales[[#This Row],[Payment Date]]))</f>
        <v>35</v>
      </c>
      <c r="R2383" s="9">
        <v>0</v>
      </c>
      <c r="S2383" s="9" t="s">
        <v>156</v>
      </c>
      <c r="T2383" s="9" t="s">
        <v>56</v>
      </c>
      <c r="U2383" s="9">
        <v>80</v>
      </c>
      <c r="V2383" s="13">
        <v>0.41</v>
      </c>
      <c r="W2383" s="13">
        <v>32.799999999999997</v>
      </c>
      <c r="X2383" s="14">
        <v>-9.0296774193548419</v>
      </c>
      <c r="Y2383" s="13">
        <v>23.770322580645157</v>
      </c>
      <c r="Z2383" s="10">
        <v>45539</v>
      </c>
      <c r="AA2383" s="9">
        <v>0</v>
      </c>
      <c r="AC2383" s="9">
        <v>452629</v>
      </c>
      <c r="AD2383" s="14">
        <v>16.39892857142857</v>
      </c>
      <c r="AF2383" s="14">
        <v>1.6</v>
      </c>
      <c r="AH2383" s="14">
        <v>17.998928571428571</v>
      </c>
      <c r="AI2383" s="13">
        <v>5.7713940092165856</v>
      </c>
      <c r="AK2383" s="9">
        <v>80</v>
      </c>
    </row>
    <row r="2384" spans="1:37">
      <c r="A2384" s="9">
        <v>34</v>
      </c>
      <c r="B2384" s="9">
        <v>2024</v>
      </c>
      <c r="C2384" s="9" t="s">
        <v>46</v>
      </c>
      <c r="D2384" s="9" t="s">
        <v>47</v>
      </c>
      <c r="E2384" s="9" t="s">
        <v>47</v>
      </c>
      <c r="F2384" s="10">
        <v>45526</v>
      </c>
      <c r="G2384" s="9" t="s">
        <v>156</v>
      </c>
      <c r="H2384" s="9" t="s">
        <v>57</v>
      </c>
      <c r="J2384" s="9">
        <v>40</v>
      </c>
      <c r="K2384" s="9">
        <v>1.04</v>
      </c>
      <c r="L2384" s="9">
        <v>41.6</v>
      </c>
      <c r="M2384" s="9">
        <v>1.7142857142857142</v>
      </c>
      <c r="N2384" s="9" t="s">
        <v>49</v>
      </c>
      <c r="Q2384" s="9">
        <f>IF(Auction_Sales[[#This Row],[Payment Date]]=0,"",-1+WEEKNUM(Auction_Sales[[#This Row],[Payment Date]]))</f>
        <v>35</v>
      </c>
      <c r="R2384" s="9">
        <v>0</v>
      </c>
      <c r="S2384" s="9" t="s">
        <v>156</v>
      </c>
      <c r="T2384" s="9" t="s">
        <v>57</v>
      </c>
      <c r="U2384" s="9">
        <v>40</v>
      </c>
      <c r="V2384" s="13">
        <v>0.48</v>
      </c>
      <c r="W2384" s="13">
        <v>19.2</v>
      </c>
      <c r="X2384" s="14">
        <v>-4.514838709677421</v>
      </c>
      <c r="Y2384" s="13">
        <v>14.685161290322579</v>
      </c>
      <c r="Z2384" s="10">
        <v>45539</v>
      </c>
      <c r="AA2384" s="9">
        <v>0</v>
      </c>
      <c r="AC2384" s="9">
        <v>452629</v>
      </c>
      <c r="AD2384" s="14">
        <v>8.199464285714285</v>
      </c>
      <c r="AF2384" s="14">
        <v>0.8</v>
      </c>
      <c r="AH2384" s="14">
        <v>8.9994642857142857</v>
      </c>
      <c r="AI2384" s="13">
        <v>5.6856970046082935</v>
      </c>
      <c r="AK2384" s="9">
        <v>40</v>
      </c>
    </row>
    <row r="2385" spans="1:37">
      <c r="A2385" s="9">
        <v>34</v>
      </c>
      <c r="B2385" s="9">
        <v>2024</v>
      </c>
      <c r="C2385" s="9" t="s">
        <v>46</v>
      </c>
      <c r="D2385" s="9" t="s">
        <v>47</v>
      </c>
      <c r="E2385" s="9" t="s">
        <v>47</v>
      </c>
      <c r="F2385" s="10">
        <v>45526</v>
      </c>
      <c r="G2385" s="9" t="s">
        <v>154</v>
      </c>
      <c r="H2385" s="9" t="s">
        <v>48</v>
      </c>
      <c r="I2385" s="9">
        <v>1</v>
      </c>
      <c r="J2385" s="9">
        <v>160</v>
      </c>
      <c r="K2385" s="9">
        <v>0.47</v>
      </c>
      <c r="L2385" s="9">
        <v>75.2</v>
      </c>
      <c r="M2385" s="9">
        <v>5.333333333333333</v>
      </c>
      <c r="N2385" s="9" t="s">
        <v>49</v>
      </c>
      <c r="Q2385" s="9">
        <f>IF(Auction_Sales[[#This Row],[Payment Date]]=0,"",-1+WEEKNUM(Auction_Sales[[#This Row],[Payment Date]]))</f>
        <v>35</v>
      </c>
      <c r="R2385" s="9">
        <v>0</v>
      </c>
      <c r="S2385" s="9" t="s">
        <v>154</v>
      </c>
      <c r="T2385" s="9" t="s">
        <v>48</v>
      </c>
      <c r="U2385" s="9">
        <v>160</v>
      </c>
      <c r="V2385" s="13">
        <v>0.57499999999999996</v>
      </c>
      <c r="W2385" s="13">
        <v>92</v>
      </c>
      <c r="X2385" s="14">
        <v>-18.059354838709684</v>
      </c>
      <c r="Y2385" s="13">
        <v>73.94064516129032</v>
      </c>
      <c r="Z2385" s="10">
        <v>45539</v>
      </c>
      <c r="AA2385" s="9">
        <v>0</v>
      </c>
      <c r="AC2385" s="9">
        <v>452629</v>
      </c>
      <c r="AD2385" s="14">
        <v>25.509444444444444</v>
      </c>
      <c r="AF2385" s="14">
        <v>3.2</v>
      </c>
      <c r="AH2385" s="14">
        <v>28.709444444444443</v>
      </c>
      <c r="AI2385" s="13">
        <v>45.231200716845876</v>
      </c>
      <c r="AK2385" s="9">
        <v>160</v>
      </c>
    </row>
    <row r="2386" spans="1:37">
      <c r="A2386" s="9">
        <v>34</v>
      </c>
      <c r="B2386" s="9">
        <v>2024</v>
      </c>
      <c r="C2386" s="9" t="s">
        <v>46</v>
      </c>
      <c r="D2386" s="9" t="s">
        <v>47</v>
      </c>
      <c r="E2386" s="9" t="s">
        <v>47</v>
      </c>
      <c r="F2386" s="10">
        <v>45526</v>
      </c>
      <c r="G2386" s="9" t="s">
        <v>154</v>
      </c>
      <c r="H2386" s="9" t="s">
        <v>54</v>
      </c>
      <c r="J2386" s="9">
        <v>160</v>
      </c>
      <c r="K2386" s="9">
        <v>0.56999999999999995</v>
      </c>
      <c r="L2386" s="9">
        <v>91.2</v>
      </c>
      <c r="M2386" s="9">
        <v>5.333333333333333</v>
      </c>
      <c r="N2386" s="9" t="s">
        <v>49</v>
      </c>
      <c r="Q2386" s="9">
        <f>IF(Auction_Sales[[#This Row],[Payment Date]]=0,"",-1+WEEKNUM(Auction_Sales[[#This Row],[Payment Date]]))</f>
        <v>35</v>
      </c>
      <c r="R2386" s="9">
        <v>0</v>
      </c>
      <c r="S2386" s="9" t="s">
        <v>154</v>
      </c>
      <c r="T2386" s="9" t="s">
        <v>54</v>
      </c>
      <c r="U2386" s="9">
        <v>160</v>
      </c>
      <c r="V2386" s="13">
        <v>0.54</v>
      </c>
      <c r="W2386" s="13">
        <v>86.4</v>
      </c>
      <c r="X2386" s="14">
        <v>-18.059354838709684</v>
      </c>
      <c r="Y2386" s="13">
        <v>68.340645161290325</v>
      </c>
      <c r="Z2386" s="10">
        <v>45539</v>
      </c>
      <c r="AA2386" s="9">
        <v>0</v>
      </c>
      <c r="AC2386" s="9">
        <v>452629</v>
      </c>
      <c r="AD2386" s="14">
        <v>25.509444444444444</v>
      </c>
      <c r="AF2386" s="14">
        <v>3.2</v>
      </c>
      <c r="AH2386" s="14">
        <v>28.709444444444443</v>
      </c>
      <c r="AI2386" s="13">
        <v>39.631200716845882</v>
      </c>
      <c r="AK2386" s="9">
        <v>160</v>
      </c>
    </row>
    <row r="2387" spans="1:37">
      <c r="A2387" s="9">
        <v>34</v>
      </c>
      <c r="B2387" s="9">
        <v>2024</v>
      </c>
      <c r="C2387" s="9" t="s">
        <v>46</v>
      </c>
      <c r="D2387" s="9" t="s">
        <v>47</v>
      </c>
      <c r="E2387" s="9" t="s">
        <v>47</v>
      </c>
      <c r="F2387" s="10">
        <v>45526</v>
      </c>
      <c r="G2387" s="9" t="s">
        <v>154</v>
      </c>
      <c r="H2387" s="9" t="s">
        <v>56</v>
      </c>
      <c r="J2387" s="9">
        <v>40</v>
      </c>
      <c r="K2387" s="9">
        <v>0.75</v>
      </c>
      <c r="L2387" s="9">
        <v>30</v>
      </c>
      <c r="M2387" s="9">
        <v>1.3333333333333333</v>
      </c>
      <c r="N2387" s="9" t="s">
        <v>49</v>
      </c>
      <c r="Q2387" s="9">
        <f>IF(Auction_Sales[[#This Row],[Payment Date]]=0,"",-1+WEEKNUM(Auction_Sales[[#This Row],[Payment Date]]))</f>
        <v>35</v>
      </c>
      <c r="R2387" s="9">
        <v>0</v>
      </c>
      <c r="S2387" s="9" t="s">
        <v>154</v>
      </c>
      <c r="T2387" s="9" t="s">
        <v>56</v>
      </c>
      <c r="U2387" s="9">
        <v>40</v>
      </c>
      <c r="V2387" s="13">
        <v>0.59000000000000008</v>
      </c>
      <c r="W2387" s="13">
        <v>23.6</v>
      </c>
      <c r="X2387" s="14">
        <v>-4.514838709677421</v>
      </c>
      <c r="Y2387" s="13">
        <v>19.085161290322581</v>
      </c>
      <c r="Z2387" s="10">
        <v>45539</v>
      </c>
      <c r="AA2387" s="9">
        <v>0</v>
      </c>
      <c r="AC2387" s="9">
        <v>452629</v>
      </c>
      <c r="AD2387" s="14">
        <v>6.377361111111111</v>
      </c>
      <c r="AF2387" s="14">
        <v>0.8</v>
      </c>
      <c r="AH2387" s="14">
        <v>7.1773611111111109</v>
      </c>
      <c r="AI2387" s="13">
        <v>11.90780017921147</v>
      </c>
      <c r="AK2387" s="9">
        <v>40</v>
      </c>
    </row>
    <row r="2388" spans="1:37">
      <c r="A2388" s="9">
        <v>35</v>
      </c>
      <c r="B2388" s="9">
        <v>2024</v>
      </c>
      <c r="C2388" s="9" t="s">
        <v>46</v>
      </c>
      <c r="D2388" s="9" t="s">
        <v>47</v>
      </c>
      <c r="E2388" s="9" t="s">
        <v>47</v>
      </c>
      <c r="F2388" s="10">
        <v>45528</v>
      </c>
      <c r="G2388" s="9" t="s">
        <v>160</v>
      </c>
      <c r="H2388" s="9" t="s">
        <v>137</v>
      </c>
      <c r="I2388" s="9">
        <v>5</v>
      </c>
      <c r="J2388" s="9">
        <v>80</v>
      </c>
      <c r="K2388" s="9">
        <v>1.42</v>
      </c>
      <c r="L2388" s="9">
        <v>113.6</v>
      </c>
      <c r="M2388" s="9">
        <v>60</v>
      </c>
      <c r="N2388" s="9" t="s">
        <v>49</v>
      </c>
      <c r="Q2388" s="9">
        <f>IF(Auction_Sales[[#This Row],[Payment Date]]=0,"",-1+WEEKNUM(Auction_Sales[[#This Row],[Payment Date]]))</f>
        <v>35</v>
      </c>
      <c r="R2388" s="9">
        <v>60</v>
      </c>
      <c r="S2388" s="9" t="s">
        <v>160</v>
      </c>
      <c r="T2388" s="9" t="s">
        <v>137</v>
      </c>
      <c r="U2388" s="9">
        <v>20</v>
      </c>
      <c r="V2388" s="13">
        <v>7.2099999999999991</v>
      </c>
      <c r="W2388" s="13">
        <v>144.19999999999999</v>
      </c>
      <c r="X2388" s="14">
        <v>-1.8286885245901632</v>
      </c>
      <c r="Y2388" s="13">
        <v>142.37131147540981</v>
      </c>
      <c r="Z2388" s="10">
        <v>45539</v>
      </c>
      <c r="AA2388" s="9">
        <v>-60</v>
      </c>
      <c r="AC2388" s="9">
        <v>452632</v>
      </c>
      <c r="AD2388" s="14">
        <v>283.57777777777778</v>
      </c>
      <c r="AF2388" s="14">
        <v>1.2</v>
      </c>
      <c r="AH2388" s="14">
        <v>284.77777777777777</v>
      </c>
      <c r="AI2388" s="13">
        <v>-142.40646630236796</v>
      </c>
      <c r="AK2388" s="9">
        <v>20</v>
      </c>
    </row>
    <row r="2389" spans="1:37">
      <c r="A2389" s="9">
        <v>35</v>
      </c>
      <c r="B2389" s="9">
        <v>2024</v>
      </c>
      <c r="C2389" s="9" t="s">
        <v>46</v>
      </c>
      <c r="D2389" s="9" t="s">
        <v>47</v>
      </c>
      <c r="E2389" s="9" t="s">
        <v>47</v>
      </c>
      <c r="F2389" s="10">
        <v>45528</v>
      </c>
      <c r="G2389" s="9" t="s">
        <v>154</v>
      </c>
      <c r="H2389" s="9" t="s">
        <v>57</v>
      </c>
      <c r="I2389" s="9">
        <v>1</v>
      </c>
      <c r="J2389" s="9">
        <v>120</v>
      </c>
      <c r="K2389" s="9">
        <v>0.94</v>
      </c>
      <c r="L2389" s="9">
        <v>112.8</v>
      </c>
      <c r="M2389" s="9">
        <v>5.1428571428571423</v>
      </c>
      <c r="N2389" s="9" t="s">
        <v>49</v>
      </c>
      <c r="Q2389" s="9">
        <f>IF(Auction_Sales[[#This Row],[Payment Date]]=0,"",-1+WEEKNUM(Auction_Sales[[#This Row],[Payment Date]]))</f>
        <v>35</v>
      </c>
      <c r="R2389" s="9">
        <v>0</v>
      </c>
      <c r="S2389" s="9" t="s">
        <v>154</v>
      </c>
      <c r="T2389" s="9" t="s">
        <v>57</v>
      </c>
      <c r="U2389" s="9">
        <v>120</v>
      </c>
      <c r="V2389" s="13">
        <v>0.98</v>
      </c>
      <c r="W2389" s="13">
        <v>117.6</v>
      </c>
      <c r="X2389" s="14">
        <v>-10.97213114754098</v>
      </c>
      <c r="Y2389" s="13">
        <v>106.62786885245902</v>
      </c>
      <c r="Z2389" s="10">
        <v>45539</v>
      </c>
      <c r="AA2389" s="9">
        <v>0</v>
      </c>
      <c r="AC2389" s="9">
        <v>452632</v>
      </c>
      <c r="AD2389" s="14">
        <v>24.306666666666665</v>
      </c>
      <c r="AF2389" s="14">
        <v>2.4</v>
      </c>
      <c r="AH2389" s="14">
        <v>26.706666666666663</v>
      </c>
      <c r="AI2389" s="13">
        <v>79.921202185792353</v>
      </c>
      <c r="AK2389" s="9">
        <v>120</v>
      </c>
    </row>
    <row r="2390" spans="1:37">
      <c r="A2390" s="9">
        <v>35</v>
      </c>
      <c r="B2390" s="9">
        <v>2024</v>
      </c>
      <c r="C2390" s="9" t="s">
        <v>46</v>
      </c>
      <c r="D2390" s="9" t="s">
        <v>47</v>
      </c>
      <c r="E2390" s="9" t="s">
        <v>47</v>
      </c>
      <c r="F2390" s="10">
        <v>45528</v>
      </c>
      <c r="G2390" s="9" t="s">
        <v>154</v>
      </c>
      <c r="H2390" s="9" t="s">
        <v>52</v>
      </c>
      <c r="J2390" s="9">
        <v>120</v>
      </c>
      <c r="K2390" s="9">
        <v>0.52</v>
      </c>
      <c r="L2390" s="9">
        <v>62.4</v>
      </c>
      <c r="M2390" s="9">
        <v>5.1428571428571423</v>
      </c>
      <c r="N2390" s="9" t="s">
        <v>49</v>
      </c>
      <c r="Q2390" s="9">
        <f>IF(Auction_Sales[[#This Row],[Payment Date]]=0,"",-1+WEEKNUM(Auction_Sales[[#This Row],[Payment Date]]))</f>
        <v>35</v>
      </c>
      <c r="R2390" s="9">
        <v>0</v>
      </c>
      <c r="S2390" s="9" t="s">
        <v>154</v>
      </c>
      <c r="T2390" s="9" t="s">
        <v>52</v>
      </c>
      <c r="U2390" s="9">
        <v>120</v>
      </c>
      <c r="V2390" s="13">
        <v>0.52333333333333332</v>
      </c>
      <c r="W2390" s="13">
        <v>62.8</v>
      </c>
      <c r="X2390" s="14">
        <v>-10.97213114754098</v>
      </c>
      <c r="Y2390" s="13">
        <v>51.827868852459019</v>
      </c>
      <c r="Z2390" s="10">
        <v>45539</v>
      </c>
      <c r="AA2390" s="9">
        <v>0</v>
      </c>
      <c r="AC2390" s="9">
        <v>452632</v>
      </c>
      <c r="AD2390" s="14">
        <v>24.306666666666665</v>
      </c>
      <c r="AF2390" s="14">
        <v>2.4</v>
      </c>
      <c r="AH2390" s="14">
        <v>26.706666666666663</v>
      </c>
      <c r="AI2390" s="13">
        <v>25.121202185792356</v>
      </c>
      <c r="AK2390" s="9">
        <v>120</v>
      </c>
    </row>
    <row r="2391" spans="1:37">
      <c r="A2391" s="9">
        <v>35</v>
      </c>
      <c r="B2391" s="9">
        <v>2024</v>
      </c>
      <c r="C2391" s="9" t="s">
        <v>46</v>
      </c>
      <c r="D2391" s="9" t="s">
        <v>47</v>
      </c>
      <c r="E2391" s="9" t="s">
        <v>47</v>
      </c>
      <c r="F2391" s="10">
        <v>45528</v>
      </c>
      <c r="G2391" s="9" t="s">
        <v>154</v>
      </c>
      <c r="H2391" s="9" t="s">
        <v>56</v>
      </c>
      <c r="J2391" s="9">
        <v>40</v>
      </c>
      <c r="K2391" s="9">
        <v>0.75</v>
      </c>
      <c r="L2391" s="9">
        <v>30</v>
      </c>
      <c r="M2391" s="9">
        <v>1.7142857142857142</v>
      </c>
      <c r="N2391" s="9" t="s">
        <v>49</v>
      </c>
      <c r="Q2391" s="9">
        <f>IF(Auction_Sales[[#This Row],[Payment Date]]=0,"",-1+WEEKNUM(Auction_Sales[[#This Row],[Payment Date]]))</f>
        <v>35</v>
      </c>
      <c r="R2391" s="9">
        <v>0</v>
      </c>
      <c r="S2391" s="9" t="s">
        <v>154</v>
      </c>
      <c r="T2391" s="9" t="s">
        <v>56</v>
      </c>
      <c r="U2391" s="9">
        <v>40</v>
      </c>
      <c r="V2391" s="13">
        <v>0.91999999999999993</v>
      </c>
      <c r="W2391" s="13">
        <v>36.799999999999997</v>
      </c>
      <c r="X2391" s="14">
        <v>-3.6573770491803264</v>
      </c>
      <c r="Y2391" s="13">
        <v>33.142622950819671</v>
      </c>
      <c r="Z2391" s="10">
        <v>45539</v>
      </c>
      <c r="AA2391" s="9">
        <v>0</v>
      </c>
      <c r="AC2391" s="9">
        <v>452632</v>
      </c>
      <c r="AD2391" s="14">
        <v>8.1022222222222222</v>
      </c>
      <c r="AF2391" s="14">
        <v>0.8</v>
      </c>
      <c r="AH2391" s="14">
        <v>8.9022222222222229</v>
      </c>
      <c r="AI2391" s="13">
        <v>24.24040072859745</v>
      </c>
      <c r="AK2391" s="9">
        <v>40</v>
      </c>
    </row>
    <row r="2392" spans="1:37">
      <c r="A2392" s="9">
        <v>35</v>
      </c>
      <c r="B2392" s="9">
        <v>2024</v>
      </c>
      <c r="C2392" s="9" t="s">
        <v>46</v>
      </c>
      <c r="D2392" s="9" t="s">
        <v>47</v>
      </c>
      <c r="E2392" s="9" t="s">
        <v>47</v>
      </c>
      <c r="F2392" s="10">
        <v>45528</v>
      </c>
      <c r="G2392" s="9" t="s">
        <v>153</v>
      </c>
      <c r="H2392" s="9" t="s">
        <v>52</v>
      </c>
      <c r="I2392" s="9">
        <v>1</v>
      </c>
      <c r="J2392" s="9">
        <v>120</v>
      </c>
      <c r="K2392" s="9">
        <v>0.28000000000000003</v>
      </c>
      <c r="L2392" s="9">
        <v>33.6</v>
      </c>
      <c r="M2392" s="9">
        <v>4.5</v>
      </c>
      <c r="N2392" s="9" t="s">
        <v>49</v>
      </c>
      <c r="Q2392" s="9">
        <f>IF(Auction_Sales[[#This Row],[Payment Date]]=0,"",-1+WEEKNUM(Auction_Sales[[#This Row],[Payment Date]]))</f>
        <v>35</v>
      </c>
      <c r="R2392" s="9">
        <v>0</v>
      </c>
      <c r="S2392" s="9" t="s">
        <v>153</v>
      </c>
      <c r="T2392" s="9" t="s">
        <v>52</v>
      </c>
      <c r="U2392" s="9">
        <v>120</v>
      </c>
      <c r="V2392" s="13">
        <v>0.44</v>
      </c>
      <c r="W2392" s="13">
        <v>52.8</v>
      </c>
      <c r="X2392" s="14">
        <v>-10.97213114754098</v>
      </c>
      <c r="Y2392" s="13">
        <v>41.827868852459019</v>
      </c>
      <c r="Z2392" s="10">
        <v>45539</v>
      </c>
      <c r="AA2392" s="9">
        <v>0</v>
      </c>
      <c r="AC2392" s="9">
        <v>452632</v>
      </c>
      <c r="AD2392" s="14">
        <v>21.268333333333331</v>
      </c>
      <c r="AF2392" s="14">
        <v>2.4</v>
      </c>
      <c r="AH2392" s="14">
        <v>23.668333333333329</v>
      </c>
      <c r="AI2392" s="13">
        <v>18.15953551912569</v>
      </c>
      <c r="AK2392" s="9">
        <v>120</v>
      </c>
    </row>
    <row r="2393" spans="1:37">
      <c r="A2393" s="9">
        <v>35</v>
      </c>
      <c r="B2393" s="9">
        <v>2024</v>
      </c>
      <c r="C2393" s="9" t="s">
        <v>46</v>
      </c>
      <c r="D2393" s="9" t="s">
        <v>47</v>
      </c>
      <c r="E2393" s="9" t="s">
        <v>47</v>
      </c>
      <c r="F2393" s="10">
        <v>45528</v>
      </c>
      <c r="G2393" s="9" t="s">
        <v>153</v>
      </c>
      <c r="H2393" s="9" t="s">
        <v>54</v>
      </c>
      <c r="J2393" s="9">
        <v>40</v>
      </c>
      <c r="K2393" s="9">
        <v>0.33</v>
      </c>
      <c r="L2393" s="9">
        <v>13.2</v>
      </c>
      <c r="M2393" s="9">
        <v>1.5</v>
      </c>
      <c r="N2393" s="9" t="s">
        <v>49</v>
      </c>
      <c r="Q2393" s="9">
        <f>IF(Auction_Sales[[#This Row],[Payment Date]]=0,"",-1+WEEKNUM(Auction_Sales[[#This Row],[Payment Date]]))</f>
        <v>35</v>
      </c>
      <c r="R2393" s="9">
        <v>0</v>
      </c>
      <c r="S2393" s="9" t="s">
        <v>153</v>
      </c>
      <c r="T2393" s="9" t="s">
        <v>54</v>
      </c>
      <c r="U2393" s="9">
        <v>40</v>
      </c>
      <c r="V2393" s="13">
        <v>0.48</v>
      </c>
      <c r="W2393" s="13">
        <v>19.2</v>
      </c>
      <c r="X2393" s="14">
        <v>-3.6573770491803264</v>
      </c>
      <c r="Y2393" s="13">
        <v>15.542622950819673</v>
      </c>
      <c r="Z2393" s="10">
        <v>45539</v>
      </c>
      <c r="AA2393" s="9">
        <v>0</v>
      </c>
      <c r="AC2393" s="9">
        <v>452632</v>
      </c>
      <c r="AD2393" s="14">
        <v>7.0894444444444442</v>
      </c>
      <c r="AF2393" s="14">
        <v>0.8</v>
      </c>
      <c r="AH2393" s="14">
        <v>7.889444444444444</v>
      </c>
      <c r="AI2393" s="13">
        <v>7.6531785063752293</v>
      </c>
      <c r="AK2393" s="9">
        <v>40</v>
      </c>
    </row>
    <row r="2394" spans="1:37">
      <c r="A2394" s="9">
        <v>35</v>
      </c>
      <c r="B2394" s="9">
        <v>2024</v>
      </c>
      <c r="C2394" s="9" t="s">
        <v>46</v>
      </c>
      <c r="D2394" s="9" t="s">
        <v>47</v>
      </c>
      <c r="E2394" s="9" t="s">
        <v>47</v>
      </c>
      <c r="F2394" s="10">
        <v>45528</v>
      </c>
      <c r="G2394" s="9" t="s">
        <v>153</v>
      </c>
      <c r="H2394" s="9" t="s">
        <v>56</v>
      </c>
      <c r="J2394" s="9">
        <v>80</v>
      </c>
      <c r="K2394" s="9">
        <v>0.38</v>
      </c>
      <c r="L2394" s="9">
        <v>30.4</v>
      </c>
      <c r="M2394" s="9">
        <v>3</v>
      </c>
      <c r="N2394" s="9" t="s">
        <v>49</v>
      </c>
      <c r="Q2394" s="9">
        <f>IF(Auction_Sales[[#This Row],[Payment Date]]=0,"",-1+WEEKNUM(Auction_Sales[[#This Row],[Payment Date]]))</f>
        <v>35</v>
      </c>
      <c r="R2394" s="9">
        <v>0</v>
      </c>
      <c r="S2394" s="9" t="s">
        <v>153</v>
      </c>
      <c r="T2394" s="9" t="s">
        <v>56</v>
      </c>
      <c r="U2394" s="9">
        <v>80</v>
      </c>
      <c r="V2394" s="13">
        <v>0.41500000000000004</v>
      </c>
      <c r="W2394" s="13">
        <v>33.200000000000003</v>
      </c>
      <c r="X2394" s="14">
        <v>-7.3147540983606527</v>
      </c>
      <c r="Y2394" s="13">
        <v>25.885245901639351</v>
      </c>
      <c r="Z2394" s="10">
        <v>45539</v>
      </c>
      <c r="AA2394" s="9">
        <v>0</v>
      </c>
      <c r="AC2394" s="9">
        <v>452632</v>
      </c>
      <c r="AD2394" s="14">
        <v>14.178888888888888</v>
      </c>
      <c r="AF2394" s="14">
        <v>1.6</v>
      </c>
      <c r="AH2394" s="14">
        <v>15.778888888888888</v>
      </c>
      <c r="AI2394" s="13">
        <v>10.106357012750463</v>
      </c>
      <c r="AK2394" s="9">
        <v>80</v>
      </c>
    </row>
    <row r="2395" spans="1:37">
      <c r="A2395" s="9">
        <v>35</v>
      </c>
      <c r="B2395" s="9">
        <v>2024</v>
      </c>
      <c r="C2395" s="9" t="s">
        <v>46</v>
      </c>
      <c r="D2395" s="9" t="s">
        <v>47</v>
      </c>
      <c r="E2395" s="9" t="s">
        <v>47</v>
      </c>
      <c r="F2395" s="10">
        <v>45528</v>
      </c>
      <c r="G2395" s="9" t="s">
        <v>153</v>
      </c>
      <c r="H2395" s="9" t="s">
        <v>57</v>
      </c>
      <c r="J2395" s="9">
        <v>80</v>
      </c>
      <c r="K2395" s="9">
        <v>0.47</v>
      </c>
      <c r="L2395" s="9">
        <v>37.6</v>
      </c>
      <c r="M2395" s="9">
        <v>3</v>
      </c>
      <c r="N2395" s="9" t="s">
        <v>49</v>
      </c>
      <c r="Q2395" s="9">
        <f>IF(Auction_Sales[[#This Row],[Payment Date]]=0,"",-1+WEEKNUM(Auction_Sales[[#This Row],[Payment Date]]))</f>
        <v>35</v>
      </c>
      <c r="R2395" s="9">
        <v>0</v>
      </c>
      <c r="S2395" s="9" t="s">
        <v>153</v>
      </c>
      <c r="T2395" s="9" t="s">
        <v>57</v>
      </c>
      <c r="U2395" s="9">
        <v>80</v>
      </c>
      <c r="V2395" s="13">
        <v>0.51</v>
      </c>
      <c r="W2395" s="13">
        <v>40.799999999999997</v>
      </c>
      <c r="X2395" s="14">
        <v>-7.3147540983606527</v>
      </c>
      <c r="Y2395" s="13">
        <v>33.485245901639345</v>
      </c>
      <c r="Z2395" s="10">
        <v>45539</v>
      </c>
      <c r="AA2395" s="9">
        <v>0</v>
      </c>
      <c r="AC2395" s="9">
        <v>452632</v>
      </c>
      <c r="AD2395" s="14">
        <v>14.178888888888888</v>
      </c>
      <c r="AF2395" s="14">
        <v>1.6</v>
      </c>
      <c r="AH2395" s="14">
        <v>15.778888888888888</v>
      </c>
      <c r="AI2395" s="13">
        <v>17.706357012750459</v>
      </c>
      <c r="AK2395" s="9">
        <v>80</v>
      </c>
    </row>
    <row r="2396" spans="1:37">
      <c r="A2396" s="9">
        <v>35</v>
      </c>
      <c r="B2396" s="9">
        <v>2024</v>
      </c>
      <c r="C2396" s="9" t="s">
        <v>46</v>
      </c>
      <c r="D2396" s="9" t="s">
        <v>47</v>
      </c>
      <c r="E2396" s="9" t="s">
        <v>47</v>
      </c>
      <c r="F2396" s="10">
        <v>45528</v>
      </c>
      <c r="G2396" s="9" t="s">
        <v>156</v>
      </c>
      <c r="H2396" s="9" t="s">
        <v>57</v>
      </c>
      <c r="I2396" s="9">
        <v>1</v>
      </c>
      <c r="J2396" s="9">
        <v>120</v>
      </c>
      <c r="K2396" s="9">
        <v>1.04</v>
      </c>
      <c r="L2396" s="9">
        <v>124.8</v>
      </c>
      <c r="M2396" s="9">
        <v>6</v>
      </c>
      <c r="N2396" s="9" t="s">
        <v>49</v>
      </c>
      <c r="Q2396" s="9">
        <f>IF(Auction_Sales[[#This Row],[Payment Date]]=0,"",-1+WEEKNUM(Auction_Sales[[#This Row],[Payment Date]]))</f>
        <v>35</v>
      </c>
      <c r="R2396" s="9">
        <v>40</v>
      </c>
      <c r="S2396" s="9" t="s">
        <v>156</v>
      </c>
      <c r="T2396" s="9" t="s">
        <v>57</v>
      </c>
      <c r="U2396" s="9">
        <v>80</v>
      </c>
      <c r="V2396" s="13">
        <v>0.8</v>
      </c>
      <c r="W2396" s="13">
        <v>64</v>
      </c>
      <c r="X2396" s="14">
        <v>-7.3147540983606527</v>
      </c>
      <c r="Y2396" s="13">
        <v>56.685245901639348</v>
      </c>
      <c r="Z2396" s="10">
        <v>45539</v>
      </c>
      <c r="AA2396" s="9">
        <v>-40</v>
      </c>
      <c r="AC2396" s="9">
        <v>452632</v>
      </c>
      <c r="AD2396" s="14">
        <v>28.357777777777777</v>
      </c>
      <c r="AF2396" s="14">
        <v>1.6</v>
      </c>
      <c r="AH2396" s="14">
        <v>29.957777777777778</v>
      </c>
      <c r="AI2396" s="13">
        <v>26.72746812386157</v>
      </c>
      <c r="AK2396" s="9">
        <v>80</v>
      </c>
    </row>
    <row r="2397" spans="1:37">
      <c r="A2397" s="9">
        <v>35</v>
      </c>
      <c r="B2397" s="9">
        <v>2024</v>
      </c>
      <c r="C2397" s="9" t="s">
        <v>46</v>
      </c>
      <c r="D2397" s="9" t="s">
        <v>47</v>
      </c>
      <c r="E2397" s="9" t="s">
        <v>47</v>
      </c>
      <c r="F2397" s="10">
        <v>45528</v>
      </c>
      <c r="G2397" s="9" t="s">
        <v>156</v>
      </c>
      <c r="H2397" s="9" t="s">
        <v>54</v>
      </c>
      <c r="J2397" s="9">
        <v>40</v>
      </c>
      <c r="K2397" s="9">
        <v>0.66</v>
      </c>
      <c r="L2397" s="9">
        <v>26.4</v>
      </c>
      <c r="M2397" s="9">
        <v>2</v>
      </c>
      <c r="N2397" s="9" t="s">
        <v>49</v>
      </c>
      <c r="Q2397" s="9">
        <f>IF(Auction_Sales[[#This Row],[Payment Date]]=0,"",-1+WEEKNUM(Auction_Sales[[#This Row],[Payment Date]]))</f>
        <v>35</v>
      </c>
      <c r="R2397" s="9">
        <v>0</v>
      </c>
      <c r="S2397" s="9" t="s">
        <v>156</v>
      </c>
      <c r="T2397" s="9" t="s">
        <v>54</v>
      </c>
      <c r="U2397" s="9">
        <v>40</v>
      </c>
      <c r="V2397" s="13">
        <v>0.47000000000000003</v>
      </c>
      <c r="W2397" s="13">
        <v>18.8</v>
      </c>
      <c r="X2397" s="14">
        <v>-3.6573770491803264</v>
      </c>
      <c r="Y2397" s="13">
        <v>15.142622950819675</v>
      </c>
      <c r="Z2397" s="10">
        <v>45539</v>
      </c>
      <c r="AA2397" s="9">
        <v>0</v>
      </c>
      <c r="AC2397" s="9">
        <v>452632</v>
      </c>
      <c r="AD2397" s="14">
        <v>9.4525925925925929</v>
      </c>
      <c r="AF2397" s="14">
        <v>0.8</v>
      </c>
      <c r="AH2397" s="14">
        <v>10.252592592592594</v>
      </c>
      <c r="AI2397" s="13">
        <v>4.8900303582270812</v>
      </c>
      <c r="AK2397" s="9">
        <v>40</v>
      </c>
    </row>
    <row r="2398" spans="1:37">
      <c r="A2398" s="9">
        <v>35</v>
      </c>
      <c r="B2398" s="9">
        <v>2024</v>
      </c>
      <c r="C2398" s="9" t="s">
        <v>46</v>
      </c>
      <c r="D2398" s="9" t="s">
        <v>47</v>
      </c>
      <c r="E2398" s="9" t="s">
        <v>47</v>
      </c>
      <c r="F2398" s="10">
        <v>45528</v>
      </c>
      <c r="G2398" s="9" t="s">
        <v>156</v>
      </c>
      <c r="H2398" s="9" t="s">
        <v>56</v>
      </c>
      <c r="J2398" s="9">
        <v>80</v>
      </c>
      <c r="K2398" s="9">
        <v>0.85</v>
      </c>
      <c r="L2398" s="9">
        <v>68</v>
      </c>
      <c r="M2398" s="9">
        <v>4</v>
      </c>
      <c r="N2398" s="9" t="s">
        <v>49</v>
      </c>
      <c r="Q2398" s="9">
        <f>IF(Auction_Sales[[#This Row],[Payment Date]]=0,"",-1+WEEKNUM(Auction_Sales[[#This Row],[Payment Date]]))</f>
        <v>35</v>
      </c>
      <c r="R2398" s="9">
        <v>0</v>
      </c>
      <c r="S2398" s="9" t="s">
        <v>156</v>
      </c>
      <c r="T2398" s="9" t="s">
        <v>56</v>
      </c>
      <c r="U2398" s="9">
        <v>80</v>
      </c>
      <c r="V2398" s="13">
        <v>0.77</v>
      </c>
      <c r="W2398" s="13">
        <v>61.6</v>
      </c>
      <c r="X2398" s="14">
        <v>-7.3147540983606527</v>
      </c>
      <c r="Y2398" s="13">
        <v>54.28524590163935</v>
      </c>
      <c r="Z2398" s="10">
        <v>45539</v>
      </c>
      <c r="AA2398" s="9">
        <v>0</v>
      </c>
      <c r="AC2398" s="9">
        <v>452632</v>
      </c>
      <c r="AD2398" s="14">
        <v>18.905185185185186</v>
      </c>
      <c r="AF2398" s="14">
        <v>1.6</v>
      </c>
      <c r="AH2398" s="14">
        <v>20.505185185185187</v>
      </c>
      <c r="AI2398" s="13">
        <v>33.780060716454159</v>
      </c>
      <c r="AK2398" s="9">
        <v>80</v>
      </c>
    </row>
    <row r="2399" spans="1:37">
      <c r="A2399" s="9">
        <v>35</v>
      </c>
      <c r="B2399" s="9">
        <v>2024</v>
      </c>
      <c r="C2399" s="9" t="s">
        <v>46</v>
      </c>
      <c r="D2399" s="9" t="s">
        <v>47</v>
      </c>
      <c r="E2399" s="9" t="s">
        <v>47</v>
      </c>
      <c r="F2399" s="10">
        <v>45528</v>
      </c>
      <c r="G2399" s="9" t="s">
        <v>155</v>
      </c>
      <c r="H2399" s="9" t="s">
        <v>48</v>
      </c>
      <c r="I2399" s="9">
        <v>1</v>
      </c>
      <c r="J2399" s="9">
        <v>240</v>
      </c>
      <c r="K2399" s="9">
        <v>0.47</v>
      </c>
      <c r="L2399" s="9">
        <v>112.8</v>
      </c>
      <c r="M2399" s="9">
        <v>7.1999999999999993</v>
      </c>
      <c r="N2399" s="9" t="s">
        <v>49</v>
      </c>
      <c r="Q2399" s="9">
        <f>IF(Auction_Sales[[#This Row],[Payment Date]]=0,"",-1+WEEKNUM(Auction_Sales[[#This Row],[Payment Date]]))</f>
        <v>35</v>
      </c>
      <c r="R2399" s="9">
        <v>0</v>
      </c>
      <c r="S2399" s="9" t="s">
        <v>155</v>
      </c>
      <c r="T2399" s="9" t="s">
        <v>48</v>
      </c>
      <c r="U2399" s="9">
        <v>240</v>
      </c>
      <c r="V2399" s="13">
        <v>0.61</v>
      </c>
      <c r="W2399" s="13">
        <v>146.4</v>
      </c>
      <c r="X2399" s="14">
        <v>-21.944262295081959</v>
      </c>
      <c r="Y2399" s="13">
        <v>124.45573770491805</v>
      </c>
      <c r="Z2399" s="10">
        <v>45539</v>
      </c>
      <c r="AA2399" s="9">
        <v>0</v>
      </c>
      <c r="AC2399" s="9">
        <v>452632</v>
      </c>
      <c r="AD2399" s="14">
        <v>34.029333333333334</v>
      </c>
      <c r="AF2399" s="14">
        <v>4.8</v>
      </c>
      <c r="AH2399" s="14">
        <v>38.829333333333331</v>
      </c>
      <c r="AI2399" s="13">
        <v>85.626404371584727</v>
      </c>
      <c r="AK2399" s="9">
        <v>240</v>
      </c>
    </row>
    <row r="2400" spans="1:37">
      <c r="A2400" s="9">
        <v>35</v>
      </c>
      <c r="B2400" s="9">
        <v>2024</v>
      </c>
      <c r="C2400" s="9" t="s">
        <v>46</v>
      </c>
      <c r="D2400" s="9" t="s">
        <v>47</v>
      </c>
      <c r="E2400" s="9" t="s">
        <v>47</v>
      </c>
      <c r="F2400" s="10">
        <v>45528</v>
      </c>
      <c r="G2400" s="9" t="s">
        <v>155</v>
      </c>
      <c r="H2400" s="9" t="s">
        <v>52</v>
      </c>
      <c r="J2400" s="9">
        <v>160</v>
      </c>
      <c r="K2400" s="9">
        <v>0.52</v>
      </c>
      <c r="L2400" s="9">
        <v>83.2</v>
      </c>
      <c r="M2400" s="9">
        <v>4.8000000000000007</v>
      </c>
      <c r="N2400" s="9" t="s">
        <v>49</v>
      </c>
      <c r="Q2400" s="9">
        <f>IF(Auction_Sales[[#This Row],[Payment Date]]=0,"",-1+WEEKNUM(Auction_Sales[[#This Row],[Payment Date]]))</f>
        <v>35</v>
      </c>
      <c r="R2400" s="9">
        <v>0</v>
      </c>
      <c r="S2400" s="9" t="s">
        <v>155</v>
      </c>
      <c r="T2400" s="9" t="s">
        <v>52</v>
      </c>
      <c r="U2400" s="9">
        <v>160</v>
      </c>
      <c r="V2400" s="13">
        <v>1.095</v>
      </c>
      <c r="W2400" s="13">
        <v>175.2</v>
      </c>
      <c r="X2400" s="14">
        <v>-14.629508196721305</v>
      </c>
      <c r="Y2400" s="13">
        <v>160.57049180327868</v>
      </c>
      <c r="Z2400" s="10">
        <v>45539</v>
      </c>
      <c r="AA2400" s="9">
        <v>0</v>
      </c>
      <c r="AC2400" s="9">
        <v>452632</v>
      </c>
      <c r="AD2400" s="14">
        <v>22.686222222222227</v>
      </c>
      <c r="AF2400" s="14">
        <v>3.2</v>
      </c>
      <c r="AH2400" s="14">
        <v>25.886222222222226</v>
      </c>
      <c r="AI2400" s="13">
        <v>134.68426958105647</v>
      </c>
      <c r="AK2400" s="9">
        <v>160</v>
      </c>
    </row>
    <row r="2401" spans="1:37">
      <c r="A2401" s="9">
        <v>35</v>
      </c>
      <c r="B2401" s="9">
        <v>2024</v>
      </c>
      <c r="C2401" s="9" t="s">
        <v>46</v>
      </c>
      <c r="D2401" s="9" t="s">
        <v>47</v>
      </c>
      <c r="E2401" s="9" t="s">
        <v>47</v>
      </c>
      <c r="F2401" s="10">
        <v>45528</v>
      </c>
      <c r="G2401" s="9" t="s">
        <v>160</v>
      </c>
      <c r="H2401" s="9" t="s">
        <v>137</v>
      </c>
      <c r="N2401" s="9" t="s">
        <v>49</v>
      </c>
      <c r="Q2401" s="9">
        <f>IF(Auction_Sales[[#This Row],[Payment Date]]=0,"",-1+WEEKNUM(Auction_Sales[[#This Row],[Payment Date]]))</f>
        <v>35</v>
      </c>
      <c r="R2401" s="9">
        <v>-60</v>
      </c>
      <c r="S2401" s="9" t="s">
        <v>160</v>
      </c>
      <c r="T2401" s="9" t="s">
        <v>137</v>
      </c>
      <c r="U2401" s="9">
        <v>60</v>
      </c>
      <c r="V2401" s="13">
        <v>7.66</v>
      </c>
      <c r="W2401" s="13">
        <v>459.6</v>
      </c>
      <c r="X2401" s="14">
        <v>-62.300000000000018</v>
      </c>
      <c r="Y2401" s="13">
        <v>397.3</v>
      </c>
      <c r="Z2401" s="10">
        <v>45539</v>
      </c>
      <c r="AA2401" s="9">
        <v>60</v>
      </c>
      <c r="AC2401" s="9">
        <v>452632</v>
      </c>
      <c r="AD2401" s="14">
        <v>0</v>
      </c>
      <c r="AF2401" s="14">
        <v>3.5999999999999996</v>
      </c>
      <c r="AH2401" s="14">
        <v>3.5999999999999996</v>
      </c>
      <c r="AI2401" s="13">
        <v>393.7</v>
      </c>
      <c r="AK2401" s="9">
        <v>60</v>
      </c>
    </row>
    <row r="2402" spans="1:37">
      <c r="A2402" s="9">
        <v>35</v>
      </c>
      <c r="B2402" s="9">
        <v>2024</v>
      </c>
      <c r="C2402" s="9" t="s">
        <v>46</v>
      </c>
      <c r="D2402" s="9" t="s">
        <v>47</v>
      </c>
      <c r="E2402" s="9" t="s">
        <v>47</v>
      </c>
      <c r="F2402" s="10">
        <v>45530</v>
      </c>
      <c r="G2402" s="9" t="s">
        <v>160</v>
      </c>
      <c r="H2402" s="9" t="s">
        <v>137</v>
      </c>
      <c r="I2402" s="9">
        <v>5</v>
      </c>
      <c r="J2402" s="9">
        <v>80</v>
      </c>
      <c r="K2402" s="9">
        <v>1.42</v>
      </c>
      <c r="L2402" s="9">
        <v>113.6</v>
      </c>
      <c r="M2402" s="9">
        <v>60</v>
      </c>
      <c r="N2402" s="9" t="s">
        <v>49</v>
      </c>
      <c r="Q2402" s="9">
        <f>IF(Auction_Sales[[#This Row],[Payment Date]]=0,"",-1+WEEKNUM(Auction_Sales[[#This Row],[Payment Date]]))</f>
        <v>35</v>
      </c>
      <c r="R2402" s="9">
        <v>60</v>
      </c>
      <c r="S2402" s="9" t="s">
        <v>160</v>
      </c>
      <c r="T2402" s="9" t="s">
        <v>137</v>
      </c>
      <c r="U2402" s="9">
        <v>20</v>
      </c>
      <c r="V2402" s="13">
        <v>8.3550000000000004</v>
      </c>
      <c r="W2402" s="13">
        <v>167.10000000000002</v>
      </c>
      <c r="X2402" s="14">
        <v>-2.1637209302325573</v>
      </c>
      <c r="Y2402" s="13">
        <v>164.93627906976747</v>
      </c>
      <c r="Z2402" s="10">
        <v>45539</v>
      </c>
      <c r="AA2402" s="9">
        <v>-60</v>
      </c>
      <c r="AC2402" s="9" t="s">
        <v>141</v>
      </c>
      <c r="AD2402" s="14">
        <v>354.57142857142856</v>
      </c>
      <c r="AF2402" s="14">
        <v>1.2</v>
      </c>
      <c r="AH2402" s="14">
        <v>355.77142857142854</v>
      </c>
      <c r="AI2402" s="13">
        <v>-190.83514950166108</v>
      </c>
      <c r="AK2402" s="9">
        <v>20</v>
      </c>
    </row>
    <row r="2403" spans="1:37">
      <c r="A2403" s="9">
        <v>35</v>
      </c>
      <c r="B2403" s="9">
        <v>2024</v>
      </c>
      <c r="C2403" s="9" t="s">
        <v>46</v>
      </c>
      <c r="D2403" s="9" t="s">
        <v>47</v>
      </c>
      <c r="E2403" s="9" t="s">
        <v>47</v>
      </c>
      <c r="F2403" s="10">
        <v>45530</v>
      </c>
      <c r="G2403" s="9" t="s">
        <v>154</v>
      </c>
      <c r="H2403" s="9" t="s">
        <v>51</v>
      </c>
      <c r="I2403" s="9">
        <v>1</v>
      </c>
      <c r="J2403" s="9">
        <v>200</v>
      </c>
      <c r="K2403" s="9">
        <v>0.38</v>
      </c>
      <c r="L2403" s="9">
        <v>76</v>
      </c>
      <c r="M2403" s="9">
        <v>6</v>
      </c>
      <c r="N2403" s="9" t="s">
        <v>49</v>
      </c>
      <c r="Q2403" s="9">
        <f>IF(Auction_Sales[[#This Row],[Payment Date]]=0,"",-1+WEEKNUM(Auction_Sales[[#This Row],[Payment Date]]))</f>
        <v>35</v>
      </c>
      <c r="R2403" s="9">
        <v>0</v>
      </c>
      <c r="S2403" s="9" t="s">
        <v>154</v>
      </c>
      <c r="T2403" s="9" t="s">
        <v>51</v>
      </c>
      <c r="U2403" s="9">
        <v>200</v>
      </c>
      <c r="V2403" s="13">
        <v>0.75</v>
      </c>
      <c r="W2403" s="13">
        <v>150</v>
      </c>
      <c r="X2403" s="14">
        <v>-21.637209302325573</v>
      </c>
      <c r="Y2403" s="13">
        <v>128.36279069767443</v>
      </c>
      <c r="Z2403" s="10">
        <v>45539</v>
      </c>
      <c r="AA2403" s="9">
        <v>0</v>
      </c>
      <c r="AC2403" s="9" t="s">
        <v>141</v>
      </c>
      <c r="AD2403" s="14">
        <v>35.457142857142856</v>
      </c>
      <c r="AF2403" s="14">
        <v>4</v>
      </c>
      <c r="AH2403" s="14">
        <v>39.457142857142856</v>
      </c>
      <c r="AI2403" s="13">
        <v>88.905647840531572</v>
      </c>
      <c r="AK2403" s="9">
        <v>200</v>
      </c>
    </row>
    <row r="2404" spans="1:37">
      <c r="A2404" s="9">
        <v>35</v>
      </c>
      <c r="B2404" s="9">
        <v>2024</v>
      </c>
      <c r="C2404" s="9" t="s">
        <v>46</v>
      </c>
      <c r="D2404" s="9" t="s">
        <v>47</v>
      </c>
      <c r="E2404" s="9" t="s">
        <v>47</v>
      </c>
      <c r="F2404" s="10">
        <v>45530</v>
      </c>
      <c r="G2404" s="9" t="s">
        <v>154</v>
      </c>
      <c r="H2404" s="9" t="s">
        <v>48</v>
      </c>
      <c r="J2404" s="9">
        <v>80</v>
      </c>
      <c r="K2404" s="9">
        <v>0.47</v>
      </c>
      <c r="L2404" s="9">
        <v>37.6</v>
      </c>
      <c r="M2404" s="9">
        <v>2.4000000000000004</v>
      </c>
      <c r="N2404" s="9" t="s">
        <v>49</v>
      </c>
      <c r="Q2404" s="9">
        <f>IF(Auction_Sales[[#This Row],[Payment Date]]=0,"",-1+WEEKNUM(Auction_Sales[[#This Row],[Payment Date]]))</f>
        <v>35</v>
      </c>
      <c r="R2404" s="9">
        <v>0</v>
      </c>
      <c r="S2404" s="9" t="s">
        <v>154</v>
      </c>
      <c r="T2404" s="9" t="s">
        <v>48</v>
      </c>
      <c r="U2404" s="9">
        <v>80</v>
      </c>
      <c r="V2404" s="13">
        <v>0.74</v>
      </c>
      <c r="W2404" s="13">
        <v>59.2</v>
      </c>
      <c r="X2404" s="14">
        <v>-8.6548837209302292</v>
      </c>
      <c r="Y2404" s="13">
        <v>50.545116279069774</v>
      </c>
      <c r="Z2404" s="10">
        <v>45539</v>
      </c>
      <c r="AA2404" s="9">
        <v>0</v>
      </c>
      <c r="AC2404" s="9" t="s">
        <v>141</v>
      </c>
      <c r="AD2404" s="14">
        <v>14.182857142857143</v>
      </c>
      <c r="AF2404" s="14">
        <v>1.6</v>
      </c>
      <c r="AH2404" s="14">
        <v>15.782857142857143</v>
      </c>
      <c r="AI2404" s="13">
        <v>34.762259136212634</v>
      </c>
      <c r="AK2404" s="9">
        <v>80</v>
      </c>
    </row>
    <row r="2405" spans="1:37">
      <c r="A2405" s="9">
        <v>35</v>
      </c>
      <c r="B2405" s="9">
        <v>2024</v>
      </c>
      <c r="C2405" s="9" t="s">
        <v>46</v>
      </c>
      <c r="D2405" s="9" t="s">
        <v>47</v>
      </c>
      <c r="E2405" s="9" t="s">
        <v>47</v>
      </c>
      <c r="F2405" s="10">
        <v>45530</v>
      </c>
      <c r="G2405" s="9" t="s">
        <v>154</v>
      </c>
      <c r="H2405" s="9" t="s">
        <v>52</v>
      </c>
      <c r="J2405" s="9">
        <v>40</v>
      </c>
      <c r="K2405" s="9">
        <v>0.52</v>
      </c>
      <c r="L2405" s="9">
        <v>20.8</v>
      </c>
      <c r="M2405" s="9">
        <v>1.2000000000000002</v>
      </c>
      <c r="N2405" s="9" t="s">
        <v>49</v>
      </c>
      <c r="Q2405" s="9">
        <f>IF(Auction_Sales[[#This Row],[Payment Date]]=0,"",-1+WEEKNUM(Auction_Sales[[#This Row],[Payment Date]]))</f>
        <v>35</v>
      </c>
      <c r="R2405" s="9">
        <v>0</v>
      </c>
      <c r="S2405" s="9" t="s">
        <v>154</v>
      </c>
      <c r="T2405" s="9" t="s">
        <v>52</v>
      </c>
      <c r="U2405" s="9">
        <v>40</v>
      </c>
      <c r="V2405" s="13">
        <v>0.96</v>
      </c>
      <c r="W2405" s="13">
        <v>38.4</v>
      </c>
      <c r="X2405" s="14">
        <v>-4.3274418604651146</v>
      </c>
      <c r="Y2405" s="13">
        <v>34.072558139534884</v>
      </c>
      <c r="Z2405" s="10">
        <v>45539</v>
      </c>
      <c r="AA2405" s="9">
        <v>0</v>
      </c>
      <c r="AC2405" s="9" t="s">
        <v>141</v>
      </c>
      <c r="AD2405" s="14">
        <v>7.0914285714285716</v>
      </c>
      <c r="AF2405" s="14">
        <v>0.8</v>
      </c>
      <c r="AH2405" s="14">
        <v>7.8914285714285715</v>
      </c>
      <c r="AI2405" s="13">
        <v>26.181129568106314</v>
      </c>
      <c r="AK2405" s="9">
        <v>40</v>
      </c>
    </row>
    <row r="2406" spans="1:37">
      <c r="A2406" s="9">
        <v>35</v>
      </c>
      <c r="B2406" s="9">
        <v>2024</v>
      </c>
      <c r="C2406" s="9" t="s">
        <v>46</v>
      </c>
      <c r="D2406" s="9" t="s">
        <v>47</v>
      </c>
      <c r="E2406" s="9" t="s">
        <v>47</v>
      </c>
      <c r="F2406" s="10">
        <v>45530</v>
      </c>
      <c r="G2406" s="9" t="s">
        <v>154</v>
      </c>
      <c r="H2406" s="9" t="s">
        <v>57</v>
      </c>
      <c r="J2406" s="9">
        <v>80</v>
      </c>
      <c r="K2406" s="9">
        <v>0.94</v>
      </c>
      <c r="L2406" s="9">
        <v>75.2</v>
      </c>
      <c r="M2406" s="9">
        <v>2.4000000000000004</v>
      </c>
      <c r="N2406" s="9" t="s">
        <v>49</v>
      </c>
      <c r="Q2406" s="9">
        <f>IF(Auction_Sales[[#This Row],[Payment Date]]=0,"",-1+WEEKNUM(Auction_Sales[[#This Row],[Payment Date]]))</f>
        <v>35</v>
      </c>
      <c r="R2406" s="9">
        <v>0</v>
      </c>
      <c r="S2406" s="9" t="s">
        <v>154</v>
      </c>
      <c r="T2406" s="9" t="s">
        <v>57</v>
      </c>
      <c r="U2406" s="9">
        <v>80</v>
      </c>
      <c r="V2406" s="13">
        <v>1.1199999999999999</v>
      </c>
      <c r="W2406" s="13">
        <v>89.6</v>
      </c>
      <c r="X2406" s="14">
        <v>-8.6548837209302292</v>
      </c>
      <c r="Y2406" s="13">
        <v>80.945116279069765</v>
      </c>
      <c r="Z2406" s="10">
        <v>45539</v>
      </c>
      <c r="AA2406" s="9">
        <v>0</v>
      </c>
      <c r="AC2406" s="9" t="s">
        <v>141</v>
      </c>
      <c r="AD2406" s="14">
        <v>14.182857142857143</v>
      </c>
      <c r="AF2406" s="14">
        <v>1.6</v>
      </c>
      <c r="AH2406" s="14">
        <v>15.782857142857143</v>
      </c>
      <c r="AI2406" s="13">
        <v>65.162259136212626</v>
      </c>
      <c r="AK2406" s="9">
        <v>80</v>
      </c>
    </row>
    <row r="2407" spans="1:37">
      <c r="A2407" s="9">
        <v>35</v>
      </c>
      <c r="B2407" s="9">
        <v>2024</v>
      </c>
      <c r="C2407" s="9" t="s">
        <v>46</v>
      </c>
      <c r="D2407" s="9" t="s">
        <v>47</v>
      </c>
      <c r="E2407" s="9" t="s">
        <v>47</v>
      </c>
      <c r="F2407" s="10">
        <v>45530</v>
      </c>
      <c r="G2407" s="9" t="s">
        <v>156</v>
      </c>
      <c r="H2407" s="9" t="s">
        <v>51</v>
      </c>
      <c r="I2407" s="9">
        <v>1</v>
      </c>
      <c r="J2407" s="9">
        <v>120</v>
      </c>
      <c r="K2407" s="9">
        <v>0.42</v>
      </c>
      <c r="L2407" s="9">
        <v>50.4</v>
      </c>
      <c r="M2407" s="9">
        <v>3.2727272727272725</v>
      </c>
      <c r="N2407" s="9" t="s">
        <v>49</v>
      </c>
      <c r="Q2407" s="9">
        <f>IF(Auction_Sales[[#This Row],[Payment Date]]=0,"",-1+WEEKNUM(Auction_Sales[[#This Row],[Payment Date]]))</f>
        <v>35</v>
      </c>
      <c r="R2407" s="9">
        <v>0</v>
      </c>
      <c r="S2407" s="9" t="s">
        <v>156</v>
      </c>
      <c r="T2407" s="9" t="s">
        <v>51</v>
      </c>
      <c r="U2407" s="9">
        <v>120</v>
      </c>
      <c r="V2407" s="13">
        <v>0.14333333333333334</v>
      </c>
      <c r="W2407" s="13">
        <v>17.2</v>
      </c>
      <c r="X2407" s="14">
        <v>-12.982325581395344</v>
      </c>
      <c r="Y2407" s="13">
        <v>4.2176744186046555</v>
      </c>
      <c r="Z2407" s="10">
        <v>45539</v>
      </c>
      <c r="AA2407" s="9">
        <v>0</v>
      </c>
      <c r="AC2407" s="9" t="s">
        <v>141</v>
      </c>
      <c r="AD2407" s="14">
        <v>19.340259740259739</v>
      </c>
      <c r="AF2407" s="14">
        <v>2.4</v>
      </c>
      <c r="AH2407" s="14">
        <v>21.740259740259738</v>
      </c>
      <c r="AI2407" s="13">
        <v>-17.522585321655082</v>
      </c>
      <c r="AK2407" s="9">
        <v>120</v>
      </c>
    </row>
    <row r="2408" spans="1:37">
      <c r="A2408" s="9">
        <v>35</v>
      </c>
      <c r="B2408" s="9">
        <v>2024</v>
      </c>
      <c r="C2408" s="9" t="s">
        <v>46</v>
      </c>
      <c r="D2408" s="9" t="s">
        <v>47</v>
      </c>
      <c r="E2408" s="9" t="s">
        <v>47</v>
      </c>
      <c r="F2408" s="10">
        <v>45530</v>
      </c>
      <c r="G2408" s="9" t="s">
        <v>156</v>
      </c>
      <c r="H2408" s="9" t="s">
        <v>48</v>
      </c>
      <c r="J2408" s="9">
        <v>160</v>
      </c>
      <c r="K2408" s="9">
        <v>0.52</v>
      </c>
      <c r="L2408" s="9">
        <v>83.2</v>
      </c>
      <c r="M2408" s="9">
        <v>4.3636363636363633</v>
      </c>
      <c r="N2408" s="9" t="s">
        <v>49</v>
      </c>
      <c r="Q2408" s="9">
        <f>IF(Auction_Sales[[#This Row],[Payment Date]]=0,"",-1+WEEKNUM(Auction_Sales[[#This Row],[Payment Date]]))</f>
        <v>35</v>
      </c>
      <c r="R2408" s="9">
        <v>0</v>
      </c>
      <c r="S2408" s="9" t="s">
        <v>156</v>
      </c>
      <c r="T2408" s="9" t="s">
        <v>48</v>
      </c>
      <c r="U2408" s="9">
        <v>160</v>
      </c>
      <c r="V2408" s="13">
        <v>0.3</v>
      </c>
      <c r="W2408" s="13">
        <v>48</v>
      </c>
      <c r="X2408" s="14">
        <v>-17.309767441860458</v>
      </c>
      <c r="Y2408" s="13">
        <v>30.690232558139542</v>
      </c>
      <c r="Z2408" s="10">
        <v>45539</v>
      </c>
      <c r="AA2408" s="9">
        <v>0</v>
      </c>
      <c r="AC2408" s="9" t="s">
        <v>141</v>
      </c>
      <c r="AD2408" s="14">
        <v>25.787012987012986</v>
      </c>
      <c r="AF2408" s="14">
        <v>3.2</v>
      </c>
      <c r="AH2408" s="14">
        <v>28.987012987012985</v>
      </c>
      <c r="AI2408" s="13">
        <v>1.7032195711265565</v>
      </c>
      <c r="AK2408" s="9">
        <v>160</v>
      </c>
    </row>
    <row r="2409" spans="1:37">
      <c r="A2409" s="9">
        <v>35</v>
      </c>
      <c r="B2409" s="9">
        <v>2024</v>
      </c>
      <c r="C2409" s="9" t="s">
        <v>46</v>
      </c>
      <c r="D2409" s="9" t="s">
        <v>47</v>
      </c>
      <c r="E2409" s="9" t="s">
        <v>47</v>
      </c>
      <c r="F2409" s="10">
        <v>45530</v>
      </c>
      <c r="G2409" s="9" t="s">
        <v>156</v>
      </c>
      <c r="H2409" s="9" t="s">
        <v>52</v>
      </c>
      <c r="J2409" s="9">
        <v>40</v>
      </c>
      <c r="K2409" s="9">
        <v>0.61</v>
      </c>
      <c r="L2409" s="9">
        <v>24.4</v>
      </c>
      <c r="M2409" s="9">
        <v>1.0909090909090908</v>
      </c>
      <c r="N2409" s="9" t="s">
        <v>49</v>
      </c>
      <c r="Q2409" s="9">
        <f>IF(Auction_Sales[[#This Row],[Payment Date]]=0,"",-1+WEEKNUM(Auction_Sales[[#This Row],[Payment Date]]))</f>
        <v>35</v>
      </c>
      <c r="R2409" s="9">
        <v>0</v>
      </c>
      <c r="S2409" s="9" t="s">
        <v>156</v>
      </c>
      <c r="T2409" s="9" t="s">
        <v>52</v>
      </c>
      <c r="U2409" s="9">
        <v>40</v>
      </c>
      <c r="V2409" s="13">
        <v>0.77</v>
      </c>
      <c r="W2409" s="13">
        <v>30.8</v>
      </c>
      <c r="X2409" s="14">
        <v>-4.3274418604651146</v>
      </c>
      <c r="Y2409" s="13">
        <v>26.472558139534886</v>
      </c>
      <c r="Z2409" s="10">
        <v>45539</v>
      </c>
      <c r="AA2409" s="9">
        <v>0</v>
      </c>
      <c r="AC2409" s="9" t="s">
        <v>141</v>
      </c>
      <c r="AD2409" s="14">
        <v>6.4467532467532465</v>
      </c>
      <c r="AF2409" s="14">
        <v>0.8</v>
      </c>
      <c r="AH2409" s="14">
        <v>7.2467532467532463</v>
      </c>
      <c r="AI2409" s="13">
        <v>19.225804892781639</v>
      </c>
      <c r="AK2409" s="9">
        <v>40</v>
      </c>
    </row>
    <row r="2410" spans="1:37">
      <c r="A2410" s="9">
        <v>35</v>
      </c>
      <c r="B2410" s="9">
        <v>2024</v>
      </c>
      <c r="C2410" s="9" t="s">
        <v>46</v>
      </c>
      <c r="D2410" s="9" t="s">
        <v>47</v>
      </c>
      <c r="E2410" s="9" t="s">
        <v>47</v>
      </c>
      <c r="F2410" s="10">
        <v>45530</v>
      </c>
      <c r="G2410" s="9" t="s">
        <v>156</v>
      </c>
      <c r="H2410" s="9" t="s">
        <v>54</v>
      </c>
      <c r="J2410" s="9">
        <v>40</v>
      </c>
      <c r="K2410" s="9">
        <v>0.66</v>
      </c>
      <c r="L2410" s="9">
        <v>26.4</v>
      </c>
      <c r="M2410" s="9">
        <v>1.0909090909090908</v>
      </c>
      <c r="N2410" s="9" t="s">
        <v>49</v>
      </c>
      <c r="Q2410" s="9">
        <f>IF(Auction_Sales[[#This Row],[Payment Date]]=0,"",-1+WEEKNUM(Auction_Sales[[#This Row],[Payment Date]]))</f>
        <v>35</v>
      </c>
      <c r="R2410" s="9">
        <v>0</v>
      </c>
      <c r="S2410" s="9" t="s">
        <v>156</v>
      </c>
      <c r="T2410" s="9" t="s">
        <v>54</v>
      </c>
      <c r="U2410" s="9">
        <v>40</v>
      </c>
      <c r="V2410" s="13">
        <v>0.78</v>
      </c>
      <c r="W2410" s="13">
        <v>31.200000000000003</v>
      </c>
      <c r="X2410" s="14">
        <v>-4.3274418604651146</v>
      </c>
      <c r="Y2410" s="13">
        <v>26.872558139534888</v>
      </c>
      <c r="Z2410" s="10">
        <v>45539</v>
      </c>
      <c r="AA2410" s="9">
        <v>0</v>
      </c>
      <c r="AC2410" s="9" t="s">
        <v>141</v>
      </c>
      <c r="AD2410" s="14">
        <v>6.4467532467532465</v>
      </c>
      <c r="AF2410" s="14">
        <v>0.8</v>
      </c>
      <c r="AH2410" s="14">
        <v>7.2467532467532463</v>
      </c>
      <c r="AI2410" s="13">
        <v>19.625804892781641</v>
      </c>
      <c r="AK2410" s="9">
        <v>40</v>
      </c>
    </row>
    <row r="2411" spans="1:37">
      <c r="A2411" s="9">
        <v>35</v>
      </c>
      <c r="B2411" s="9">
        <v>2024</v>
      </c>
      <c r="C2411" s="9" t="s">
        <v>46</v>
      </c>
      <c r="D2411" s="9" t="s">
        <v>47</v>
      </c>
      <c r="E2411" s="9" t="s">
        <v>47</v>
      </c>
      <c r="F2411" s="10">
        <v>45530</v>
      </c>
      <c r="G2411" s="9" t="s">
        <v>156</v>
      </c>
      <c r="H2411" s="9" t="s">
        <v>56</v>
      </c>
      <c r="J2411" s="9">
        <v>40</v>
      </c>
      <c r="K2411" s="9">
        <v>0.85</v>
      </c>
      <c r="L2411" s="9">
        <v>34</v>
      </c>
      <c r="M2411" s="9">
        <v>1.0909090909090908</v>
      </c>
      <c r="N2411" s="9" t="s">
        <v>49</v>
      </c>
      <c r="Q2411" s="9">
        <f>IF(Auction_Sales[[#This Row],[Payment Date]]=0,"",-1+WEEKNUM(Auction_Sales[[#This Row],[Payment Date]]))</f>
        <v>35</v>
      </c>
      <c r="R2411" s="9">
        <v>0</v>
      </c>
      <c r="S2411" s="9" t="s">
        <v>156</v>
      </c>
      <c r="T2411" s="9" t="s">
        <v>56</v>
      </c>
      <c r="U2411" s="9">
        <v>40</v>
      </c>
      <c r="V2411" s="13">
        <v>0.79</v>
      </c>
      <c r="W2411" s="13">
        <v>31.6</v>
      </c>
      <c r="X2411" s="14">
        <v>-4.3274418604651146</v>
      </c>
      <c r="Y2411" s="13">
        <v>27.272558139534887</v>
      </c>
      <c r="Z2411" s="10">
        <v>45539</v>
      </c>
      <c r="AA2411" s="9">
        <v>0</v>
      </c>
      <c r="AC2411" s="9" t="s">
        <v>141</v>
      </c>
      <c r="AD2411" s="14">
        <v>6.4467532467532465</v>
      </c>
      <c r="AF2411" s="14">
        <v>0.8</v>
      </c>
      <c r="AH2411" s="14">
        <v>7.2467532467532463</v>
      </c>
      <c r="AI2411" s="13">
        <v>20.02580489278164</v>
      </c>
      <c r="AK2411" s="9">
        <v>40</v>
      </c>
    </row>
    <row r="2412" spans="1:37">
      <c r="A2412" s="9">
        <v>35</v>
      </c>
      <c r="B2412" s="9">
        <v>2024</v>
      </c>
      <c r="C2412" s="9" t="s">
        <v>46</v>
      </c>
      <c r="D2412" s="9" t="s">
        <v>47</v>
      </c>
      <c r="E2412" s="9" t="s">
        <v>47</v>
      </c>
      <c r="F2412" s="10">
        <v>45530</v>
      </c>
      <c r="G2412" s="9" t="s">
        <v>156</v>
      </c>
      <c r="H2412" s="9" t="s">
        <v>57</v>
      </c>
      <c r="J2412" s="9">
        <v>40</v>
      </c>
      <c r="K2412" s="9">
        <v>1.04</v>
      </c>
      <c r="L2412" s="9">
        <v>41.6</v>
      </c>
      <c r="M2412" s="9">
        <v>1.0909090909090908</v>
      </c>
      <c r="N2412" s="9" t="s">
        <v>49</v>
      </c>
      <c r="Q2412" s="9">
        <f>IF(Auction_Sales[[#This Row],[Payment Date]]=0,"",-1+WEEKNUM(Auction_Sales[[#This Row],[Payment Date]]))</f>
        <v>35</v>
      </c>
      <c r="R2412" s="9">
        <v>0</v>
      </c>
      <c r="S2412" s="9" t="s">
        <v>156</v>
      </c>
      <c r="T2412" s="9" t="s">
        <v>57</v>
      </c>
      <c r="U2412" s="9">
        <v>40</v>
      </c>
      <c r="V2412" s="13">
        <v>0.82</v>
      </c>
      <c r="W2412" s="13">
        <v>32.799999999999997</v>
      </c>
      <c r="X2412" s="14">
        <v>-4.3274418604651146</v>
      </c>
      <c r="Y2412" s="13">
        <v>28.472558139534883</v>
      </c>
      <c r="Z2412" s="10">
        <v>45539</v>
      </c>
      <c r="AA2412" s="9">
        <v>0</v>
      </c>
      <c r="AC2412" s="9" t="s">
        <v>141</v>
      </c>
      <c r="AD2412" s="14">
        <v>6.4467532467532465</v>
      </c>
      <c r="AF2412" s="14">
        <v>0.8</v>
      </c>
      <c r="AH2412" s="14">
        <v>7.2467532467532463</v>
      </c>
      <c r="AI2412" s="13">
        <v>21.225804892781635</v>
      </c>
      <c r="AK2412" s="9">
        <v>40</v>
      </c>
    </row>
    <row r="2413" spans="1:37">
      <c r="A2413" s="9">
        <v>35</v>
      </c>
      <c r="B2413" s="9">
        <v>2024</v>
      </c>
      <c r="C2413" s="9" t="s">
        <v>46</v>
      </c>
      <c r="D2413" s="9" t="s">
        <v>47</v>
      </c>
      <c r="E2413" s="9" t="s">
        <v>47</v>
      </c>
      <c r="F2413" s="10">
        <v>45530</v>
      </c>
      <c r="G2413" s="9" t="s">
        <v>160</v>
      </c>
      <c r="H2413" s="9" t="s">
        <v>137</v>
      </c>
      <c r="N2413" s="9" t="s">
        <v>49</v>
      </c>
      <c r="Q2413" s="9">
        <f>IF(Auction_Sales[[#This Row],[Payment Date]]=0,"",-1+WEEKNUM(Auction_Sales[[#This Row],[Payment Date]]))</f>
        <v>35</v>
      </c>
      <c r="R2413" s="9">
        <v>-60</v>
      </c>
      <c r="S2413" s="9" t="s">
        <v>160</v>
      </c>
      <c r="T2413" s="9" t="s">
        <v>137</v>
      </c>
      <c r="U2413" s="9">
        <v>60</v>
      </c>
      <c r="V2413" s="13">
        <v>8.1083333333333325</v>
      </c>
      <c r="W2413" s="13">
        <v>486.49999999999994</v>
      </c>
      <c r="X2413" s="14">
        <v>-63.579999999999991</v>
      </c>
      <c r="Y2413" s="13">
        <v>422.91999999999996</v>
      </c>
      <c r="Z2413" s="10">
        <v>45539</v>
      </c>
      <c r="AA2413" s="9">
        <v>60</v>
      </c>
      <c r="AC2413" s="9" t="s">
        <v>141</v>
      </c>
      <c r="AD2413" s="14">
        <v>0</v>
      </c>
      <c r="AF2413" s="14">
        <v>3.5999999999999996</v>
      </c>
      <c r="AH2413" s="14">
        <v>3.5999999999999996</v>
      </c>
      <c r="AI2413" s="13">
        <v>419.31999999999994</v>
      </c>
      <c r="AK2413" s="9">
        <v>60</v>
      </c>
    </row>
    <row r="2414" spans="1:37">
      <c r="A2414" s="9">
        <v>35</v>
      </c>
      <c r="B2414" s="9">
        <v>2024</v>
      </c>
      <c r="C2414" s="9" t="s">
        <v>46</v>
      </c>
      <c r="D2414" s="9" t="s">
        <v>47</v>
      </c>
      <c r="E2414" s="9" t="s">
        <v>47</v>
      </c>
      <c r="F2414" s="10">
        <v>45533</v>
      </c>
      <c r="G2414" s="9" t="s">
        <v>160</v>
      </c>
      <c r="H2414" s="9" t="s">
        <v>137</v>
      </c>
      <c r="I2414" s="9">
        <v>5</v>
      </c>
      <c r="J2414" s="9">
        <v>80</v>
      </c>
      <c r="K2414" s="9">
        <v>1.42</v>
      </c>
      <c r="L2414" s="9">
        <v>113.6</v>
      </c>
      <c r="M2414" s="9">
        <v>60</v>
      </c>
      <c r="N2414" s="9" t="s">
        <v>49</v>
      </c>
      <c r="Q2414" s="9">
        <f>IF(Auction_Sales[[#This Row],[Payment Date]]=0,"",-1+WEEKNUM(Auction_Sales[[#This Row],[Payment Date]]))</f>
        <v>36</v>
      </c>
      <c r="R2414" s="9">
        <v>0</v>
      </c>
      <c r="S2414" s="9" t="s">
        <v>160</v>
      </c>
      <c r="T2414" s="9" t="s">
        <v>137</v>
      </c>
      <c r="U2414" s="9">
        <v>80</v>
      </c>
      <c r="V2414" s="13">
        <v>7.892500000000001</v>
      </c>
      <c r="W2414" s="13">
        <v>631.40000000000009</v>
      </c>
      <c r="X2414" s="14">
        <v>-10.485000000000001</v>
      </c>
      <c r="Y2414" s="13">
        <v>620.91500000000008</v>
      </c>
      <c r="Z2414" s="10">
        <v>45546</v>
      </c>
      <c r="AA2414" s="9">
        <v>0</v>
      </c>
      <c r="AC2414" s="9">
        <v>453395</v>
      </c>
      <c r="AD2414" s="14">
        <v>282.2166666666667</v>
      </c>
      <c r="AF2414" s="14">
        <v>4.8</v>
      </c>
      <c r="AH2414" s="14">
        <v>287.01666666666671</v>
      </c>
      <c r="AI2414" s="13">
        <v>333.89833333333337</v>
      </c>
      <c r="AK2414" s="9">
        <v>80</v>
      </c>
    </row>
    <row r="2415" spans="1:37">
      <c r="A2415" s="9">
        <v>35</v>
      </c>
      <c r="B2415" s="9">
        <v>2024</v>
      </c>
      <c r="C2415" s="9" t="s">
        <v>46</v>
      </c>
      <c r="D2415" s="9" t="s">
        <v>47</v>
      </c>
      <c r="E2415" s="9" t="s">
        <v>47</v>
      </c>
      <c r="F2415" s="10">
        <v>45533</v>
      </c>
      <c r="G2415" s="9" t="s">
        <v>155</v>
      </c>
      <c r="H2415" s="9" t="s">
        <v>48</v>
      </c>
      <c r="I2415" s="9">
        <v>1</v>
      </c>
      <c r="J2415" s="9">
        <v>480</v>
      </c>
      <c r="K2415" s="9">
        <v>0.47</v>
      </c>
      <c r="L2415" s="9">
        <v>225.6</v>
      </c>
      <c r="M2415" s="9">
        <v>12</v>
      </c>
      <c r="N2415" s="9" t="s">
        <v>49</v>
      </c>
      <c r="Q2415" s="9">
        <f>IF(Auction_Sales[[#This Row],[Payment Date]]=0,"",-1+WEEKNUM(Auction_Sales[[#This Row],[Payment Date]]))</f>
        <v>36</v>
      </c>
      <c r="R2415" s="9">
        <v>0</v>
      </c>
      <c r="S2415" s="9" t="s">
        <v>155</v>
      </c>
      <c r="T2415" s="9" t="s">
        <v>48</v>
      </c>
      <c r="U2415" s="9">
        <v>480</v>
      </c>
      <c r="V2415" s="13">
        <v>1.1391666666666667</v>
      </c>
      <c r="W2415" s="13">
        <v>546.79999999999995</v>
      </c>
      <c r="X2415" s="14">
        <v>-62.910000000000004</v>
      </c>
      <c r="Y2415" s="13">
        <v>483.88999999999993</v>
      </c>
      <c r="Z2415" s="10">
        <v>45546</v>
      </c>
      <c r="AA2415" s="9">
        <v>0</v>
      </c>
      <c r="AC2415" s="9">
        <v>453395</v>
      </c>
      <c r="AD2415" s="14">
        <v>56.443333333333328</v>
      </c>
      <c r="AF2415" s="14">
        <v>9.6</v>
      </c>
      <c r="AH2415" s="14">
        <v>66.043333333333322</v>
      </c>
      <c r="AI2415" s="13">
        <v>417.84666666666658</v>
      </c>
      <c r="AK2415" s="9">
        <v>480</v>
      </c>
    </row>
    <row r="2416" spans="1:37">
      <c r="A2416" s="9">
        <v>35</v>
      </c>
      <c r="B2416" s="9">
        <v>2024</v>
      </c>
      <c r="C2416" s="9" t="s">
        <v>46</v>
      </c>
      <c r="D2416" s="9" t="s">
        <v>47</v>
      </c>
      <c r="E2416" s="9" t="s">
        <v>47</v>
      </c>
      <c r="F2416" s="10">
        <v>45533</v>
      </c>
      <c r="G2416" s="9" t="s">
        <v>154</v>
      </c>
      <c r="H2416" s="9" t="s">
        <v>48</v>
      </c>
      <c r="I2416" s="9">
        <v>1</v>
      </c>
      <c r="J2416" s="9">
        <v>200</v>
      </c>
      <c r="K2416" s="9">
        <v>0.47</v>
      </c>
      <c r="L2416" s="9">
        <v>94</v>
      </c>
      <c r="M2416" s="9">
        <v>6.666666666666667</v>
      </c>
      <c r="N2416" s="9" t="s">
        <v>49</v>
      </c>
      <c r="Q2416" s="9">
        <f>IF(Auction_Sales[[#This Row],[Payment Date]]=0,"",-1+WEEKNUM(Auction_Sales[[#This Row],[Payment Date]]))</f>
        <v>36</v>
      </c>
      <c r="R2416" s="9">
        <v>0</v>
      </c>
      <c r="S2416" s="9" t="s">
        <v>154</v>
      </c>
      <c r="T2416" s="9" t="s">
        <v>48</v>
      </c>
      <c r="U2416" s="9">
        <v>200</v>
      </c>
      <c r="V2416" s="13">
        <v>1.07</v>
      </c>
      <c r="W2416" s="13">
        <v>214</v>
      </c>
      <c r="X2416" s="14">
        <v>-26.212499999999999</v>
      </c>
      <c r="Y2416" s="13">
        <v>187.78749999999999</v>
      </c>
      <c r="Z2416" s="10">
        <v>45546</v>
      </c>
      <c r="AA2416" s="9">
        <v>0</v>
      </c>
      <c r="AC2416" s="9">
        <v>453395</v>
      </c>
      <c r="AD2416" s="14">
        <v>31.357407407407411</v>
      </c>
      <c r="AF2416" s="14">
        <v>4</v>
      </c>
      <c r="AH2416" s="14">
        <v>35.357407407407408</v>
      </c>
      <c r="AI2416" s="13">
        <v>152.43009259259259</v>
      </c>
      <c r="AK2416" s="9">
        <v>200</v>
      </c>
    </row>
    <row r="2417" spans="1:37">
      <c r="A2417" s="9">
        <v>35</v>
      </c>
      <c r="B2417" s="9">
        <v>2024</v>
      </c>
      <c r="C2417" s="9" t="s">
        <v>46</v>
      </c>
      <c r="D2417" s="9" t="s">
        <v>47</v>
      </c>
      <c r="E2417" s="9" t="s">
        <v>47</v>
      </c>
      <c r="F2417" s="10">
        <v>45533</v>
      </c>
      <c r="G2417" s="9" t="s">
        <v>154</v>
      </c>
      <c r="H2417" s="9" t="s">
        <v>52</v>
      </c>
      <c r="J2417" s="9">
        <v>80</v>
      </c>
      <c r="K2417" s="9">
        <v>0.52</v>
      </c>
      <c r="L2417" s="9">
        <v>41.6</v>
      </c>
      <c r="M2417" s="9">
        <v>2.6666666666666665</v>
      </c>
      <c r="N2417" s="9" t="s">
        <v>49</v>
      </c>
      <c r="Q2417" s="9">
        <f>IF(Auction_Sales[[#This Row],[Payment Date]]=0,"",-1+WEEKNUM(Auction_Sales[[#This Row],[Payment Date]]))</f>
        <v>36</v>
      </c>
      <c r="R2417" s="9">
        <v>0</v>
      </c>
      <c r="S2417" s="9" t="s">
        <v>154</v>
      </c>
      <c r="T2417" s="9" t="s">
        <v>52</v>
      </c>
      <c r="U2417" s="9">
        <v>80</v>
      </c>
      <c r="V2417" s="13">
        <v>1.1400000000000001</v>
      </c>
      <c r="W2417" s="13">
        <v>91.200000000000017</v>
      </c>
      <c r="X2417" s="14">
        <v>-10.485000000000001</v>
      </c>
      <c r="Y2417" s="13">
        <v>80.715000000000018</v>
      </c>
      <c r="Z2417" s="10">
        <v>45546</v>
      </c>
      <c r="AA2417" s="9">
        <v>0</v>
      </c>
      <c r="AC2417" s="9">
        <v>453395</v>
      </c>
      <c r="AD2417" s="14">
        <v>12.542962962962962</v>
      </c>
      <c r="AF2417" s="14">
        <v>1.6</v>
      </c>
      <c r="AH2417" s="14">
        <v>14.142962962962962</v>
      </c>
      <c r="AI2417" s="13">
        <v>66.572037037037063</v>
      </c>
      <c r="AK2417" s="9">
        <v>80</v>
      </c>
    </row>
    <row r="2418" spans="1:37">
      <c r="A2418" s="9">
        <v>35</v>
      </c>
      <c r="B2418" s="9">
        <v>2024</v>
      </c>
      <c r="C2418" s="9" t="s">
        <v>46</v>
      </c>
      <c r="D2418" s="9" t="s">
        <v>47</v>
      </c>
      <c r="E2418" s="9" t="s">
        <v>47</v>
      </c>
      <c r="F2418" s="10">
        <v>45533</v>
      </c>
      <c r="G2418" s="9" t="s">
        <v>154</v>
      </c>
      <c r="H2418" s="9" t="s">
        <v>54</v>
      </c>
      <c r="J2418" s="9">
        <v>80</v>
      </c>
      <c r="K2418" s="9">
        <v>0.56999999999999995</v>
      </c>
      <c r="L2418" s="9">
        <v>45.6</v>
      </c>
      <c r="M2418" s="9">
        <v>2.6666666666666665</v>
      </c>
      <c r="N2418" s="9" t="s">
        <v>49</v>
      </c>
      <c r="Q2418" s="9">
        <f>IF(Auction_Sales[[#This Row],[Payment Date]]=0,"",-1+WEEKNUM(Auction_Sales[[#This Row],[Payment Date]]))</f>
        <v>36</v>
      </c>
      <c r="R2418" s="9">
        <v>0</v>
      </c>
      <c r="S2418" s="9" t="s">
        <v>154</v>
      </c>
      <c r="T2418" s="9" t="s">
        <v>54</v>
      </c>
      <c r="U2418" s="9">
        <v>80</v>
      </c>
      <c r="V2418" s="13">
        <v>1.45</v>
      </c>
      <c r="W2418" s="13">
        <v>116</v>
      </c>
      <c r="X2418" s="14">
        <v>-10.485000000000001</v>
      </c>
      <c r="Y2418" s="13">
        <v>105.515</v>
      </c>
      <c r="Z2418" s="10">
        <v>45546</v>
      </c>
      <c r="AA2418" s="9">
        <v>0</v>
      </c>
      <c r="AC2418" s="9">
        <v>453395</v>
      </c>
      <c r="AD2418" s="14">
        <v>12.542962962962962</v>
      </c>
      <c r="AF2418" s="14">
        <v>1.6</v>
      </c>
      <c r="AH2418" s="14">
        <v>14.142962962962962</v>
      </c>
      <c r="AI2418" s="13">
        <v>91.372037037037046</v>
      </c>
      <c r="AK2418" s="9">
        <v>80</v>
      </c>
    </row>
    <row r="2419" spans="1:37">
      <c r="A2419" s="9">
        <v>35</v>
      </c>
      <c r="B2419" s="9">
        <v>2024</v>
      </c>
      <c r="C2419" s="9" t="s">
        <v>46</v>
      </c>
      <c r="D2419" s="9" t="s">
        <v>47</v>
      </c>
      <c r="E2419" s="9" t="s">
        <v>47</v>
      </c>
      <c r="F2419" s="10">
        <v>45533</v>
      </c>
      <c r="G2419" s="9" t="s">
        <v>154</v>
      </c>
      <c r="H2419" s="9" t="s">
        <v>57</v>
      </c>
      <c r="I2419" s="9">
        <v>1</v>
      </c>
      <c r="J2419" s="9">
        <v>160</v>
      </c>
      <c r="K2419" s="9">
        <v>0.94</v>
      </c>
      <c r="L2419" s="9">
        <v>150.4</v>
      </c>
      <c r="M2419" s="9">
        <v>9.6000000000000014</v>
      </c>
      <c r="N2419" s="9" t="s">
        <v>49</v>
      </c>
      <c r="Q2419" s="9">
        <f>IF(Auction_Sales[[#This Row],[Payment Date]]=0,"",-1+WEEKNUM(Auction_Sales[[#This Row],[Payment Date]]))</f>
        <v>36</v>
      </c>
      <c r="R2419" s="9">
        <v>0</v>
      </c>
      <c r="S2419" s="9" t="s">
        <v>154</v>
      </c>
      <c r="T2419" s="9" t="s">
        <v>57</v>
      </c>
      <c r="U2419" s="9">
        <v>160</v>
      </c>
      <c r="V2419" s="13">
        <v>1.7375</v>
      </c>
      <c r="W2419" s="13">
        <v>278</v>
      </c>
      <c r="X2419" s="14">
        <v>-20.970000000000002</v>
      </c>
      <c r="Y2419" s="13">
        <v>257.02999999999997</v>
      </c>
      <c r="Z2419" s="10">
        <v>45546</v>
      </c>
      <c r="AA2419" s="9">
        <v>0</v>
      </c>
      <c r="AC2419" s="9">
        <v>453395</v>
      </c>
      <c r="AD2419" s="14">
        <v>45.154666666666678</v>
      </c>
      <c r="AF2419" s="14">
        <v>3.2</v>
      </c>
      <c r="AH2419" s="14">
        <v>48.354666666666681</v>
      </c>
      <c r="AI2419" s="13">
        <v>208.6753333333333</v>
      </c>
      <c r="AK2419" s="9">
        <v>160</v>
      </c>
    </row>
    <row r="2420" spans="1:37">
      <c r="A2420" s="9">
        <v>35</v>
      </c>
      <c r="B2420" s="9">
        <v>2024</v>
      </c>
      <c r="C2420" s="9" t="s">
        <v>46</v>
      </c>
      <c r="D2420" s="9" t="s">
        <v>47</v>
      </c>
      <c r="E2420" s="9" t="s">
        <v>47</v>
      </c>
      <c r="F2420" s="10">
        <v>45533</v>
      </c>
      <c r="G2420" s="9" t="s">
        <v>154</v>
      </c>
      <c r="H2420" s="9" t="s">
        <v>56</v>
      </c>
      <c r="J2420" s="9">
        <v>40</v>
      </c>
      <c r="K2420" s="9">
        <v>0.75</v>
      </c>
      <c r="L2420" s="9">
        <v>30</v>
      </c>
      <c r="M2420" s="9">
        <v>2.4000000000000004</v>
      </c>
      <c r="N2420" s="9" t="s">
        <v>49</v>
      </c>
      <c r="Q2420" s="9">
        <f>IF(Auction_Sales[[#This Row],[Payment Date]]=0,"",-1+WEEKNUM(Auction_Sales[[#This Row],[Payment Date]]))</f>
        <v>36</v>
      </c>
      <c r="R2420" s="9">
        <v>0</v>
      </c>
      <c r="S2420" s="9" t="s">
        <v>154</v>
      </c>
      <c r="T2420" s="9" t="s">
        <v>56</v>
      </c>
      <c r="U2420" s="9">
        <v>40</v>
      </c>
      <c r="V2420" s="13">
        <v>1.35</v>
      </c>
      <c r="W2420" s="13">
        <v>54</v>
      </c>
      <c r="X2420" s="14">
        <v>-5.2425000000000006</v>
      </c>
      <c r="Y2420" s="13">
        <v>48.7575</v>
      </c>
      <c r="Z2420" s="10">
        <v>45546</v>
      </c>
      <c r="AA2420" s="9">
        <v>0</v>
      </c>
      <c r="AC2420" s="9">
        <v>453395</v>
      </c>
      <c r="AD2420" s="14">
        <v>11.28866666666667</v>
      </c>
      <c r="AF2420" s="14">
        <v>0.8</v>
      </c>
      <c r="AH2420" s="14">
        <v>12.08866666666667</v>
      </c>
      <c r="AI2420" s="13">
        <v>36.668833333333332</v>
      </c>
      <c r="AK2420" s="9">
        <v>40</v>
      </c>
    </row>
    <row r="2421" spans="1:37">
      <c r="A2421" s="9">
        <v>35</v>
      </c>
      <c r="B2421" s="9">
        <v>2024</v>
      </c>
      <c r="C2421" s="9" t="s">
        <v>46</v>
      </c>
      <c r="D2421" s="9" t="s">
        <v>47</v>
      </c>
      <c r="E2421" s="9" t="s">
        <v>47</v>
      </c>
      <c r="F2421" s="10">
        <v>45533</v>
      </c>
      <c r="G2421" s="9" t="s">
        <v>153</v>
      </c>
      <c r="H2421" s="9" t="s">
        <v>52</v>
      </c>
      <c r="I2421" s="9">
        <v>1</v>
      </c>
      <c r="J2421" s="9">
        <v>40</v>
      </c>
      <c r="K2421" s="9">
        <v>0.28000000000000003</v>
      </c>
      <c r="L2421" s="9">
        <v>11.2</v>
      </c>
      <c r="M2421" s="9">
        <v>1.5</v>
      </c>
      <c r="N2421" s="9" t="s">
        <v>49</v>
      </c>
      <c r="Q2421" s="9">
        <f>IF(Auction_Sales[[#This Row],[Payment Date]]=0,"",-1+WEEKNUM(Auction_Sales[[#This Row],[Payment Date]]))</f>
        <v>36</v>
      </c>
      <c r="R2421" s="9">
        <v>0</v>
      </c>
      <c r="S2421" s="9" t="s">
        <v>153</v>
      </c>
      <c r="T2421" s="9" t="s">
        <v>52</v>
      </c>
      <c r="U2421" s="9">
        <v>40</v>
      </c>
      <c r="V2421" s="13">
        <v>0.62</v>
      </c>
      <c r="W2421" s="13">
        <v>24.8</v>
      </c>
      <c r="X2421" s="14">
        <v>-5.2425000000000006</v>
      </c>
      <c r="Y2421" s="13">
        <v>19.557500000000001</v>
      </c>
      <c r="Z2421" s="10">
        <v>45546</v>
      </c>
      <c r="AA2421" s="9">
        <v>0</v>
      </c>
      <c r="AC2421" s="9">
        <v>453395</v>
      </c>
      <c r="AD2421" s="14">
        <v>7.055416666666666</v>
      </c>
      <c r="AF2421" s="14">
        <v>0.8</v>
      </c>
      <c r="AH2421" s="14">
        <v>7.8554166666666658</v>
      </c>
      <c r="AI2421" s="13">
        <v>11.702083333333334</v>
      </c>
      <c r="AK2421" s="9">
        <v>40</v>
      </c>
    </row>
    <row r="2422" spans="1:37">
      <c r="A2422" s="9">
        <v>35</v>
      </c>
      <c r="B2422" s="9">
        <v>2024</v>
      </c>
      <c r="C2422" s="9" t="s">
        <v>46</v>
      </c>
      <c r="D2422" s="9" t="s">
        <v>47</v>
      </c>
      <c r="E2422" s="9" t="s">
        <v>47</v>
      </c>
      <c r="F2422" s="10">
        <v>45533</v>
      </c>
      <c r="G2422" s="9" t="s">
        <v>153</v>
      </c>
      <c r="H2422" s="9" t="s">
        <v>54</v>
      </c>
      <c r="J2422" s="9">
        <v>160</v>
      </c>
      <c r="K2422" s="9">
        <v>0.33</v>
      </c>
      <c r="L2422" s="9">
        <v>52.8</v>
      </c>
      <c r="M2422" s="9">
        <v>6</v>
      </c>
      <c r="N2422" s="9" t="s">
        <v>49</v>
      </c>
      <c r="Q2422" s="9">
        <f>IF(Auction_Sales[[#This Row],[Payment Date]]=0,"",-1+WEEKNUM(Auction_Sales[[#This Row],[Payment Date]]))</f>
        <v>36</v>
      </c>
      <c r="R2422" s="9">
        <v>0</v>
      </c>
      <c r="S2422" s="9" t="s">
        <v>153</v>
      </c>
      <c r="T2422" s="9" t="s">
        <v>54</v>
      </c>
      <c r="U2422" s="9">
        <v>160</v>
      </c>
      <c r="V2422" s="13">
        <v>0.65500000000000003</v>
      </c>
      <c r="W2422" s="13">
        <v>104.80000000000001</v>
      </c>
      <c r="X2422" s="14">
        <v>-20.970000000000002</v>
      </c>
      <c r="Y2422" s="13">
        <v>83.830000000000013</v>
      </c>
      <c r="Z2422" s="10">
        <v>45546</v>
      </c>
      <c r="AA2422" s="9">
        <v>0</v>
      </c>
      <c r="AC2422" s="9">
        <v>453395</v>
      </c>
      <c r="AD2422" s="14">
        <v>28.221666666666664</v>
      </c>
      <c r="AF2422" s="14">
        <v>3.2</v>
      </c>
      <c r="AH2422" s="14">
        <v>31.421666666666663</v>
      </c>
      <c r="AI2422" s="13">
        <v>52.408333333333346</v>
      </c>
      <c r="AK2422" s="9">
        <v>160</v>
      </c>
    </row>
    <row r="2423" spans="1:37">
      <c r="A2423" s="9">
        <v>35</v>
      </c>
      <c r="B2423" s="9">
        <v>2024</v>
      </c>
      <c r="C2423" s="9" t="s">
        <v>46</v>
      </c>
      <c r="D2423" s="9" t="s">
        <v>47</v>
      </c>
      <c r="E2423" s="9" t="s">
        <v>47</v>
      </c>
      <c r="F2423" s="10">
        <v>45533</v>
      </c>
      <c r="G2423" s="9" t="s">
        <v>153</v>
      </c>
      <c r="H2423" s="9" t="s">
        <v>56</v>
      </c>
      <c r="J2423" s="9">
        <v>80</v>
      </c>
      <c r="K2423" s="9">
        <v>0.38</v>
      </c>
      <c r="L2423" s="9">
        <v>30.4</v>
      </c>
      <c r="M2423" s="9">
        <v>3</v>
      </c>
      <c r="N2423" s="9" t="s">
        <v>49</v>
      </c>
      <c r="Q2423" s="9">
        <f>IF(Auction_Sales[[#This Row],[Payment Date]]=0,"",-1+WEEKNUM(Auction_Sales[[#This Row],[Payment Date]]))</f>
        <v>36</v>
      </c>
      <c r="R2423" s="9">
        <v>0</v>
      </c>
      <c r="S2423" s="9" t="s">
        <v>153</v>
      </c>
      <c r="T2423" s="9" t="s">
        <v>56</v>
      </c>
      <c r="U2423" s="9">
        <v>80</v>
      </c>
      <c r="V2423" s="13">
        <v>0.82</v>
      </c>
      <c r="W2423" s="13">
        <v>65.599999999999994</v>
      </c>
      <c r="X2423" s="14">
        <v>-10.485000000000001</v>
      </c>
      <c r="Y2423" s="13">
        <v>55.114999999999995</v>
      </c>
      <c r="Z2423" s="10">
        <v>45546</v>
      </c>
      <c r="AA2423" s="9">
        <v>0</v>
      </c>
      <c r="AC2423" s="9">
        <v>453395</v>
      </c>
      <c r="AD2423" s="14">
        <v>14.110833333333332</v>
      </c>
      <c r="AF2423" s="14">
        <v>1.6</v>
      </c>
      <c r="AH2423" s="14">
        <v>15.710833333333332</v>
      </c>
      <c r="AI2423" s="13">
        <v>39.404166666666661</v>
      </c>
      <c r="AK2423" s="9">
        <v>80</v>
      </c>
    </row>
    <row r="2424" spans="1:37">
      <c r="A2424" s="9">
        <v>35</v>
      </c>
      <c r="B2424" s="9">
        <v>2024</v>
      </c>
      <c r="C2424" s="9" t="s">
        <v>46</v>
      </c>
      <c r="D2424" s="9" t="s">
        <v>47</v>
      </c>
      <c r="E2424" s="9" t="s">
        <v>47</v>
      </c>
      <c r="F2424" s="10">
        <v>45533</v>
      </c>
      <c r="G2424" s="9" t="s">
        <v>153</v>
      </c>
      <c r="H2424" s="9" t="s">
        <v>57</v>
      </c>
      <c r="J2424" s="9">
        <v>40</v>
      </c>
      <c r="K2424" s="9">
        <v>0.47</v>
      </c>
      <c r="L2424" s="9">
        <v>18.8</v>
      </c>
      <c r="M2424" s="9">
        <v>1.5</v>
      </c>
      <c r="N2424" s="9" t="s">
        <v>49</v>
      </c>
      <c r="Q2424" s="9">
        <f>IF(Auction_Sales[[#This Row],[Payment Date]]=0,"",-1+WEEKNUM(Auction_Sales[[#This Row],[Payment Date]]))</f>
        <v>36</v>
      </c>
      <c r="R2424" s="9">
        <v>0</v>
      </c>
      <c r="S2424" s="9" t="s">
        <v>153</v>
      </c>
      <c r="T2424" s="9" t="s">
        <v>57</v>
      </c>
      <c r="U2424" s="9">
        <v>40</v>
      </c>
      <c r="V2424" s="13">
        <v>1.0699999999999998</v>
      </c>
      <c r="W2424" s="13">
        <v>42.8</v>
      </c>
      <c r="X2424" s="14">
        <v>-5.2425000000000006</v>
      </c>
      <c r="Y2424" s="13">
        <v>37.557499999999997</v>
      </c>
      <c r="Z2424" s="10">
        <v>45546</v>
      </c>
      <c r="AA2424" s="9">
        <v>0</v>
      </c>
      <c r="AC2424" s="9">
        <v>453395</v>
      </c>
      <c r="AD2424" s="14">
        <v>7.055416666666666</v>
      </c>
      <c r="AF2424" s="14">
        <v>0.8</v>
      </c>
      <c r="AH2424" s="14">
        <v>7.8554166666666658</v>
      </c>
      <c r="AI2424" s="13">
        <v>29.702083333333331</v>
      </c>
      <c r="AK2424" s="9">
        <v>40</v>
      </c>
    </row>
    <row r="2425" spans="1:37">
      <c r="A2425" s="9">
        <v>36</v>
      </c>
      <c r="B2425" s="9">
        <v>2024</v>
      </c>
      <c r="C2425" s="9" t="s">
        <v>46</v>
      </c>
      <c r="D2425" s="9" t="s">
        <v>47</v>
      </c>
      <c r="E2425" s="9" t="s">
        <v>47</v>
      </c>
      <c r="F2425" s="10">
        <v>45535</v>
      </c>
      <c r="G2425" s="9" t="s">
        <v>160</v>
      </c>
      <c r="H2425" s="9" t="s">
        <v>137</v>
      </c>
      <c r="I2425" s="9">
        <v>6</v>
      </c>
      <c r="J2425" s="9">
        <v>96</v>
      </c>
      <c r="K2425" s="9">
        <v>1.42</v>
      </c>
      <c r="L2425" s="9">
        <v>136.32</v>
      </c>
      <c r="M2425" s="9">
        <v>72</v>
      </c>
      <c r="N2425" s="9" t="s">
        <v>49</v>
      </c>
      <c r="Q2425" s="9">
        <f>IF(Auction_Sales[[#This Row],[Payment Date]]=0,"",-1+WEEKNUM(Auction_Sales[[#This Row],[Payment Date]]))</f>
        <v>36</v>
      </c>
      <c r="R2425" s="9">
        <v>0</v>
      </c>
      <c r="S2425" s="9" t="s">
        <v>160</v>
      </c>
      <c r="T2425" s="9" t="s">
        <v>137</v>
      </c>
      <c r="U2425" s="9">
        <v>96</v>
      </c>
      <c r="V2425" s="13">
        <v>8.1395833333333343</v>
      </c>
      <c r="W2425" s="13">
        <v>781.40000000000009</v>
      </c>
      <c r="X2425" s="14">
        <v>-16.470280373831791</v>
      </c>
      <c r="Y2425" s="13">
        <v>764.92971962616832</v>
      </c>
      <c r="Z2425" s="10">
        <v>45546</v>
      </c>
      <c r="AA2425" s="9">
        <v>0</v>
      </c>
      <c r="AC2425" s="9">
        <v>453396</v>
      </c>
      <c r="AD2425" s="14">
        <v>353.23333333333335</v>
      </c>
      <c r="AF2425" s="14">
        <v>5.76</v>
      </c>
      <c r="AH2425" s="14">
        <v>358.99333333333334</v>
      </c>
      <c r="AI2425" s="13">
        <v>405.93638629283498</v>
      </c>
      <c r="AK2425" s="9">
        <v>96</v>
      </c>
    </row>
    <row r="2426" spans="1:37">
      <c r="A2426" s="9">
        <v>36</v>
      </c>
      <c r="B2426" s="9">
        <v>2024</v>
      </c>
      <c r="C2426" s="9" t="s">
        <v>46</v>
      </c>
      <c r="D2426" s="9" t="s">
        <v>47</v>
      </c>
      <c r="E2426" s="9" t="s">
        <v>47</v>
      </c>
      <c r="F2426" s="10">
        <v>45535</v>
      </c>
      <c r="G2426" s="9" t="s">
        <v>154</v>
      </c>
      <c r="H2426" s="9" t="s">
        <v>57</v>
      </c>
      <c r="I2426" s="9">
        <v>1</v>
      </c>
      <c r="J2426" s="9">
        <v>200</v>
      </c>
      <c r="K2426" s="9">
        <v>0.94</v>
      </c>
      <c r="L2426" s="9">
        <v>188</v>
      </c>
      <c r="M2426" s="9">
        <v>12</v>
      </c>
      <c r="N2426" s="9" t="s">
        <v>49</v>
      </c>
      <c r="Q2426" s="9">
        <f>IF(Auction_Sales[[#This Row],[Payment Date]]=0,"",-1+WEEKNUM(Auction_Sales[[#This Row],[Payment Date]]))</f>
        <v>36</v>
      </c>
      <c r="R2426" s="9">
        <v>0</v>
      </c>
      <c r="S2426" s="9" t="s">
        <v>154</v>
      </c>
      <c r="T2426" s="9" t="s">
        <v>57</v>
      </c>
      <c r="U2426" s="9">
        <v>200</v>
      </c>
      <c r="V2426" s="13">
        <v>1.92</v>
      </c>
      <c r="W2426" s="13">
        <v>384</v>
      </c>
      <c r="X2426" s="14">
        <v>-34.313084112149561</v>
      </c>
      <c r="Y2426" s="13">
        <v>349.68691588785043</v>
      </c>
      <c r="Z2426" s="10">
        <v>45546</v>
      </c>
      <c r="AA2426" s="9">
        <v>0</v>
      </c>
      <c r="AC2426" s="9">
        <v>453396</v>
      </c>
      <c r="AD2426" s="14">
        <v>58.87222222222222</v>
      </c>
      <c r="AF2426" s="14">
        <v>4</v>
      </c>
      <c r="AH2426" s="14">
        <v>62.87222222222222</v>
      </c>
      <c r="AI2426" s="13">
        <v>286.81469366562823</v>
      </c>
      <c r="AK2426" s="9">
        <v>200</v>
      </c>
    </row>
    <row r="2427" spans="1:37">
      <c r="A2427" s="9">
        <v>36</v>
      </c>
      <c r="B2427" s="9">
        <v>2024</v>
      </c>
      <c r="C2427" s="9" t="s">
        <v>46</v>
      </c>
      <c r="D2427" s="9" t="s">
        <v>47</v>
      </c>
      <c r="E2427" s="9" t="s">
        <v>47</v>
      </c>
      <c r="F2427" s="10">
        <v>45535</v>
      </c>
      <c r="G2427" s="9" t="s">
        <v>156</v>
      </c>
      <c r="H2427" s="9" t="s">
        <v>57</v>
      </c>
      <c r="I2427" s="9">
        <v>1</v>
      </c>
      <c r="J2427" s="9">
        <v>120</v>
      </c>
      <c r="K2427" s="9">
        <v>1.04</v>
      </c>
      <c r="L2427" s="9">
        <v>124.8</v>
      </c>
      <c r="M2427" s="9">
        <v>7.1999999999999993</v>
      </c>
      <c r="N2427" s="9" t="s">
        <v>49</v>
      </c>
      <c r="Q2427" s="9">
        <f>IF(Auction_Sales[[#This Row],[Payment Date]]=0,"",-1+WEEKNUM(Auction_Sales[[#This Row],[Payment Date]]))</f>
        <v>36</v>
      </c>
      <c r="R2427" s="9">
        <v>0</v>
      </c>
      <c r="S2427" s="9" t="s">
        <v>156</v>
      </c>
      <c r="T2427" s="9" t="s">
        <v>57</v>
      </c>
      <c r="U2427" s="9">
        <v>120</v>
      </c>
      <c r="V2427" s="13">
        <v>1.3</v>
      </c>
      <c r="W2427" s="13">
        <v>156</v>
      </c>
      <c r="X2427" s="14">
        <v>-20.587850467289737</v>
      </c>
      <c r="Y2427" s="13">
        <v>135.41214953271026</v>
      </c>
      <c r="Z2427" s="10">
        <v>45546</v>
      </c>
      <c r="AA2427" s="9">
        <v>0</v>
      </c>
      <c r="AC2427" s="9">
        <v>453396</v>
      </c>
      <c r="AD2427" s="14">
        <v>35.323333333333338</v>
      </c>
      <c r="AF2427" s="14">
        <v>2.4</v>
      </c>
      <c r="AH2427" s="14">
        <v>37.723333333333336</v>
      </c>
      <c r="AI2427" s="13">
        <v>97.68881619937693</v>
      </c>
      <c r="AK2427" s="9">
        <v>120</v>
      </c>
    </row>
    <row r="2428" spans="1:37">
      <c r="A2428" s="9">
        <v>36</v>
      </c>
      <c r="B2428" s="9">
        <v>2024</v>
      </c>
      <c r="C2428" s="9" t="s">
        <v>46</v>
      </c>
      <c r="D2428" s="9" t="s">
        <v>47</v>
      </c>
      <c r="E2428" s="9" t="s">
        <v>47</v>
      </c>
      <c r="F2428" s="10">
        <v>45535</v>
      </c>
      <c r="G2428" s="9" t="s">
        <v>156</v>
      </c>
      <c r="H2428" s="9" t="s">
        <v>56</v>
      </c>
      <c r="J2428" s="9">
        <v>80</v>
      </c>
      <c r="K2428" s="9">
        <v>0.85</v>
      </c>
      <c r="L2428" s="9">
        <v>68</v>
      </c>
      <c r="M2428" s="9">
        <v>4.8000000000000007</v>
      </c>
      <c r="N2428" s="9" t="s">
        <v>49</v>
      </c>
      <c r="Q2428" s="9">
        <f>IF(Auction_Sales[[#This Row],[Payment Date]]=0,"",-1+WEEKNUM(Auction_Sales[[#This Row],[Payment Date]]))</f>
        <v>36</v>
      </c>
      <c r="R2428" s="9">
        <v>0</v>
      </c>
      <c r="S2428" s="9" t="s">
        <v>156</v>
      </c>
      <c r="T2428" s="9" t="s">
        <v>56</v>
      </c>
      <c r="U2428" s="9">
        <v>80</v>
      </c>
      <c r="V2428" s="13">
        <v>1.05</v>
      </c>
      <c r="W2428" s="13">
        <v>84</v>
      </c>
      <c r="X2428" s="14">
        <v>-13.725233644859825</v>
      </c>
      <c r="Y2428" s="13">
        <v>70.274766355140173</v>
      </c>
      <c r="Z2428" s="10">
        <v>45546</v>
      </c>
      <c r="AA2428" s="9">
        <v>0</v>
      </c>
      <c r="AC2428" s="9">
        <v>453396</v>
      </c>
      <c r="AD2428" s="14">
        <v>23.548888888888893</v>
      </c>
      <c r="AF2428" s="14">
        <v>1.6</v>
      </c>
      <c r="AH2428" s="14">
        <v>25.148888888888894</v>
      </c>
      <c r="AI2428" s="13">
        <v>45.125877466251282</v>
      </c>
      <c r="AK2428" s="9">
        <v>80</v>
      </c>
    </row>
    <row r="2429" spans="1:37">
      <c r="A2429" s="9">
        <v>36</v>
      </c>
      <c r="B2429" s="9">
        <v>2024</v>
      </c>
      <c r="C2429" s="9" t="s">
        <v>46</v>
      </c>
      <c r="D2429" s="9" t="s">
        <v>47</v>
      </c>
      <c r="E2429" s="9" t="s">
        <v>47</v>
      </c>
      <c r="F2429" s="10">
        <v>45535</v>
      </c>
      <c r="G2429" s="9" t="s">
        <v>153</v>
      </c>
      <c r="H2429" s="9" t="s">
        <v>52</v>
      </c>
      <c r="I2429" s="9">
        <v>1</v>
      </c>
      <c r="J2429" s="9">
        <v>120</v>
      </c>
      <c r="K2429" s="9">
        <v>0.28000000000000003</v>
      </c>
      <c r="L2429" s="9">
        <v>33.6</v>
      </c>
      <c r="M2429" s="9">
        <v>4</v>
      </c>
      <c r="N2429" s="9" t="s">
        <v>49</v>
      </c>
      <c r="Q2429" s="9">
        <f>IF(Auction_Sales[[#This Row],[Payment Date]]=0,"",-1+WEEKNUM(Auction_Sales[[#This Row],[Payment Date]]))</f>
        <v>36</v>
      </c>
      <c r="R2429" s="9">
        <v>0</v>
      </c>
      <c r="S2429" s="9" t="s">
        <v>153</v>
      </c>
      <c r="T2429" s="9" t="s">
        <v>52</v>
      </c>
      <c r="U2429" s="9">
        <v>120</v>
      </c>
      <c r="V2429" s="13">
        <v>0.66</v>
      </c>
      <c r="W2429" s="13">
        <v>79.2</v>
      </c>
      <c r="X2429" s="14">
        <v>-20.587850467289737</v>
      </c>
      <c r="Y2429" s="13">
        <v>58.612149532710262</v>
      </c>
      <c r="Z2429" s="10">
        <v>45546</v>
      </c>
      <c r="AA2429" s="9">
        <v>0</v>
      </c>
      <c r="AC2429" s="9">
        <v>453396</v>
      </c>
      <c r="AD2429" s="14">
        <v>19.624074074074073</v>
      </c>
      <c r="AF2429" s="14">
        <v>2.4</v>
      </c>
      <c r="AH2429" s="14">
        <v>22.024074074074072</v>
      </c>
      <c r="AI2429" s="13">
        <v>36.58807545863619</v>
      </c>
      <c r="AK2429" s="9">
        <v>120</v>
      </c>
    </row>
    <row r="2430" spans="1:37">
      <c r="A2430" s="9">
        <v>36</v>
      </c>
      <c r="B2430" s="9">
        <v>2024</v>
      </c>
      <c r="C2430" s="9" t="s">
        <v>46</v>
      </c>
      <c r="D2430" s="9" t="s">
        <v>47</v>
      </c>
      <c r="E2430" s="9" t="s">
        <v>47</v>
      </c>
      <c r="F2430" s="10">
        <v>45535</v>
      </c>
      <c r="G2430" s="9" t="s">
        <v>153</v>
      </c>
      <c r="H2430" s="9" t="s">
        <v>54</v>
      </c>
      <c r="J2430" s="9">
        <v>120</v>
      </c>
      <c r="K2430" s="9">
        <v>0.33</v>
      </c>
      <c r="L2430" s="9">
        <v>39.6</v>
      </c>
      <c r="M2430" s="9">
        <v>4</v>
      </c>
      <c r="N2430" s="9" t="s">
        <v>49</v>
      </c>
      <c r="Q2430" s="9">
        <f>IF(Auction_Sales[[#This Row],[Payment Date]]=0,"",-1+WEEKNUM(Auction_Sales[[#This Row],[Payment Date]]))</f>
        <v>36</v>
      </c>
      <c r="R2430" s="9">
        <v>0</v>
      </c>
      <c r="S2430" s="9" t="s">
        <v>153</v>
      </c>
      <c r="T2430" s="9" t="s">
        <v>54</v>
      </c>
      <c r="U2430" s="9">
        <v>120</v>
      </c>
      <c r="V2430" s="13">
        <v>0.64666666666666661</v>
      </c>
      <c r="W2430" s="13">
        <v>77.599999999999994</v>
      </c>
      <c r="X2430" s="14">
        <v>-20.587850467289737</v>
      </c>
      <c r="Y2430" s="13">
        <v>57.012149532710254</v>
      </c>
      <c r="Z2430" s="10">
        <v>45546</v>
      </c>
      <c r="AA2430" s="9">
        <v>0</v>
      </c>
      <c r="AC2430" s="9">
        <v>453396</v>
      </c>
      <c r="AD2430" s="14">
        <v>19.624074074074073</v>
      </c>
      <c r="AF2430" s="14">
        <v>2.4</v>
      </c>
      <c r="AH2430" s="14">
        <v>22.024074074074072</v>
      </c>
      <c r="AI2430" s="13">
        <v>34.988075458636182</v>
      </c>
      <c r="AK2430" s="9">
        <v>120</v>
      </c>
    </row>
    <row r="2431" spans="1:37">
      <c r="A2431" s="9">
        <v>36</v>
      </c>
      <c r="B2431" s="9">
        <v>2024</v>
      </c>
      <c r="C2431" s="9" t="s">
        <v>46</v>
      </c>
      <c r="D2431" s="9" t="s">
        <v>47</v>
      </c>
      <c r="E2431" s="9" t="s">
        <v>47</v>
      </c>
      <c r="F2431" s="10">
        <v>45535</v>
      </c>
      <c r="G2431" s="9" t="s">
        <v>153</v>
      </c>
      <c r="H2431" s="9" t="s">
        <v>56</v>
      </c>
      <c r="J2431" s="9">
        <v>80</v>
      </c>
      <c r="K2431" s="9">
        <v>0.38</v>
      </c>
      <c r="L2431" s="9">
        <v>30.4</v>
      </c>
      <c r="M2431" s="9">
        <v>2.6666666666666665</v>
      </c>
      <c r="N2431" s="9" t="s">
        <v>49</v>
      </c>
      <c r="Q2431" s="9">
        <f>IF(Auction_Sales[[#This Row],[Payment Date]]=0,"",-1+WEEKNUM(Auction_Sales[[#This Row],[Payment Date]]))</f>
        <v>36</v>
      </c>
      <c r="R2431" s="9">
        <v>0</v>
      </c>
      <c r="S2431" s="9" t="s">
        <v>153</v>
      </c>
      <c r="T2431" s="9" t="s">
        <v>56</v>
      </c>
      <c r="U2431" s="9">
        <v>80</v>
      </c>
      <c r="V2431" s="13">
        <v>0.79</v>
      </c>
      <c r="W2431" s="13">
        <v>63.2</v>
      </c>
      <c r="X2431" s="14">
        <v>-13.725233644859825</v>
      </c>
      <c r="Y2431" s="13">
        <v>49.474766355140176</v>
      </c>
      <c r="Z2431" s="10">
        <v>45546</v>
      </c>
      <c r="AA2431" s="9">
        <v>0</v>
      </c>
      <c r="AC2431" s="9">
        <v>453396</v>
      </c>
      <c r="AD2431" s="14">
        <v>13.082716049382716</v>
      </c>
      <c r="AF2431" s="14">
        <v>1.6</v>
      </c>
      <c r="AH2431" s="14">
        <v>14.682716049382716</v>
      </c>
      <c r="AI2431" s="13">
        <v>34.792050305757456</v>
      </c>
      <c r="AK2431" s="9">
        <v>80</v>
      </c>
    </row>
    <row r="2432" spans="1:37">
      <c r="A2432" s="9">
        <v>36</v>
      </c>
      <c r="B2432" s="9">
        <v>2024</v>
      </c>
      <c r="C2432" s="9" t="s">
        <v>46</v>
      </c>
      <c r="D2432" s="9" t="s">
        <v>47</v>
      </c>
      <c r="E2432" s="9" t="s">
        <v>47</v>
      </c>
      <c r="F2432" s="10">
        <v>45535</v>
      </c>
      <c r="G2432" s="9" t="s">
        <v>153</v>
      </c>
      <c r="H2432" s="9" t="s">
        <v>57</v>
      </c>
      <c r="J2432" s="9">
        <v>40</v>
      </c>
      <c r="K2432" s="9">
        <v>0.47</v>
      </c>
      <c r="L2432" s="9">
        <v>18.8</v>
      </c>
      <c r="M2432" s="9">
        <v>1.3333333333333333</v>
      </c>
      <c r="N2432" s="9" t="s">
        <v>49</v>
      </c>
      <c r="Q2432" s="9">
        <f>IF(Auction_Sales[[#This Row],[Payment Date]]=0,"",-1+WEEKNUM(Auction_Sales[[#This Row],[Payment Date]]))</f>
        <v>36</v>
      </c>
      <c r="R2432" s="9">
        <v>0</v>
      </c>
      <c r="S2432" s="9" t="s">
        <v>153</v>
      </c>
      <c r="T2432" s="9" t="s">
        <v>57</v>
      </c>
      <c r="U2432" s="9">
        <v>40</v>
      </c>
      <c r="V2432" s="13">
        <v>2.15</v>
      </c>
      <c r="W2432" s="13">
        <v>86</v>
      </c>
      <c r="X2432" s="14">
        <v>-6.8626168224299127</v>
      </c>
      <c r="Y2432" s="13">
        <v>79.137383177570086</v>
      </c>
      <c r="Z2432" s="10">
        <v>45546</v>
      </c>
      <c r="AA2432" s="9">
        <v>0</v>
      </c>
      <c r="AC2432" s="9">
        <v>453396</v>
      </c>
      <c r="AD2432" s="14">
        <v>6.5413580246913581</v>
      </c>
      <c r="AF2432" s="14">
        <v>0.8</v>
      </c>
      <c r="AH2432" s="14">
        <v>7.3413580246913579</v>
      </c>
      <c r="AI2432" s="13">
        <v>71.796025152878727</v>
      </c>
      <c r="AK2432" s="9">
        <v>40</v>
      </c>
    </row>
    <row r="2433" spans="1:37">
      <c r="A2433" s="9">
        <v>36</v>
      </c>
      <c r="B2433" s="9">
        <v>2024</v>
      </c>
      <c r="C2433" s="9" t="s">
        <v>46</v>
      </c>
      <c r="D2433" s="9" t="s">
        <v>47</v>
      </c>
      <c r="E2433" s="9" t="s">
        <v>47</v>
      </c>
      <c r="F2433" s="10">
        <v>45537</v>
      </c>
      <c r="G2433" s="9" t="s">
        <v>160</v>
      </c>
      <c r="H2433" s="9" t="s">
        <v>137</v>
      </c>
      <c r="I2433" s="9">
        <v>7</v>
      </c>
      <c r="J2433" s="9">
        <v>112</v>
      </c>
      <c r="K2433" s="9">
        <v>1.42</v>
      </c>
      <c r="L2433" s="9">
        <v>158.49</v>
      </c>
      <c r="M2433" s="9">
        <v>84</v>
      </c>
      <c r="N2433" s="9" t="s">
        <v>49</v>
      </c>
      <c r="Q2433" s="9">
        <f>IF(Auction_Sales[[#This Row],[Payment Date]]=0,"",-1+WEEKNUM(Auction_Sales[[#This Row],[Payment Date]]))</f>
        <v>36</v>
      </c>
      <c r="R2433" s="9">
        <v>56</v>
      </c>
      <c r="S2433" s="9" t="s">
        <v>160</v>
      </c>
      <c r="T2433" s="9" t="s">
        <v>137</v>
      </c>
      <c r="U2433" s="9">
        <v>56</v>
      </c>
      <c r="V2433" s="13">
        <v>8.0732142857142861</v>
      </c>
      <c r="W2433" s="13">
        <v>452.1</v>
      </c>
      <c r="X2433" s="14">
        <v>-6.1761904761904782</v>
      </c>
      <c r="Y2433" s="13">
        <v>445.92380952380955</v>
      </c>
      <c r="Z2433" s="10">
        <v>45546</v>
      </c>
      <c r="AA2433" s="9">
        <v>-56</v>
      </c>
      <c r="AC2433" s="9" t="s">
        <v>146</v>
      </c>
      <c r="AD2433" s="14">
        <v>449.79199999999992</v>
      </c>
      <c r="AF2433" s="14">
        <v>3.36</v>
      </c>
      <c r="AH2433" s="14">
        <v>453.15199999999993</v>
      </c>
      <c r="AI2433" s="13">
        <v>-7.2281904761903775</v>
      </c>
      <c r="AK2433" s="9">
        <v>56</v>
      </c>
    </row>
    <row r="2434" spans="1:37">
      <c r="A2434" s="9">
        <v>36</v>
      </c>
      <c r="B2434" s="9">
        <v>2024</v>
      </c>
      <c r="C2434" s="9" t="s">
        <v>46</v>
      </c>
      <c r="D2434" s="9" t="s">
        <v>47</v>
      </c>
      <c r="E2434" s="9" t="s">
        <v>47</v>
      </c>
      <c r="F2434" s="10">
        <v>45537</v>
      </c>
      <c r="G2434" s="9" t="s">
        <v>154</v>
      </c>
      <c r="H2434" s="9" t="s">
        <v>48</v>
      </c>
      <c r="I2434" s="9">
        <v>1</v>
      </c>
      <c r="J2434" s="9">
        <v>480</v>
      </c>
      <c r="K2434" s="9">
        <v>0.47</v>
      </c>
      <c r="L2434" s="9">
        <v>226.42</v>
      </c>
      <c r="M2434" s="9">
        <v>12</v>
      </c>
      <c r="N2434" s="9" t="s">
        <v>49</v>
      </c>
      <c r="Q2434" s="9">
        <f>IF(Auction_Sales[[#This Row],[Payment Date]]=0,"",-1+WEEKNUM(Auction_Sales[[#This Row],[Payment Date]]))</f>
        <v>36</v>
      </c>
      <c r="R2434" s="9">
        <v>0</v>
      </c>
      <c r="S2434" s="9" t="s">
        <v>154</v>
      </c>
      <c r="T2434" s="9" t="s">
        <v>48</v>
      </c>
      <c r="U2434" s="9">
        <v>480</v>
      </c>
      <c r="V2434" s="13">
        <v>0.84166666666666667</v>
      </c>
      <c r="W2434" s="13">
        <v>404</v>
      </c>
      <c r="X2434" s="14">
        <v>-52.938775510204103</v>
      </c>
      <c r="Y2434" s="13">
        <v>351.0612244897959</v>
      </c>
      <c r="Z2434" s="10">
        <v>45546</v>
      </c>
      <c r="AA2434" s="9">
        <v>0</v>
      </c>
      <c r="AC2434" s="9" t="s">
        <v>146</v>
      </c>
      <c r="AD2434" s="14">
        <v>64.256</v>
      </c>
      <c r="AF2434" s="14">
        <v>9.6</v>
      </c>
      <c r="AH2434" s="14">
        <v>73.855999999999995</v>
      </c>
      <c r="AI2434" s="13">
        <v>277.20522448979591</v>
      </c>
      <c r="AK2434" s="9">
        <v>480</v>
      </c>
    </row>
    <row r="2435" spans="1:37">
      <c r="A2435" s="9">
        <v>36</v>
      </c>
      <c r="B2435" s="9">
        <v>2024</v>
      </c>
      <c r="C2435" s="9" t="s">
        <v>46</v>
      </c>
      <c r="D2435" s="9" t="s">
        <v>47</v>
      </c>
      <c r="E2435" s="9" t="s">
        <v>47</v>
      </c>
      <c r="F2435" s="10">
        <v>45537</v>
      </c>
      <c r="G2435" s="9" t="s">
        <v>154</v>
      </c>
      <c r="H2435" s="9" t="s">
        <v>54</v>
      </c>
      <c r="I2435" s="9">
        <v>1</v>
      </c>
      <c r="J2435" s="9">
        <v>120</v>
      </c>
      <c r="K2435" s="9">
        <v>0.62</v>
      </c>
      <c r="L2435" s="9">
        <v>74.400000000000006</v>
      </c>
      <c r="M2435" s="9">
        <v>5.1428571428571423</v>
      </c>
      <c r="N2435" s="9" t="s">
        <v>49</v>
      </c>
      <c r="Q2435" s="9">
        <f>IF(Auction_Sales[[#This Row],[Payment Date]]=0,"",-1+WEEKNUM(Auction_Sales[[#This Row],[Payment Date]]))</f>
        <v>36</v>
      </c>
      <c r="R2435" s="9">
        <v>0</v>
      </c>
      <c r="S2435" s="9" t="s">
        <v>154</v>
      </c>
      <c r="T2435" s="9" t="s">
        <v>54</v>
      </c>
      <c r="U2435" s="9">
        <v>120</v>
      </c>
      <c r="V2435" s="13">
        <v>0.85</v>
      </c>
      <c r="W2435" s="13">
        <v>102</v>
      </c>
      <c r="X2435" s="14">
        <v>-13.234693877551026</v>
      </c>
      <c r="Y2435" s="13">
        <v>88.765306122448976</v>
      </c>
      <c r="Z2435" s="10">
        <v>45546</v>
      </c>
      <c r="AA2435" s="9">
        <v>0</v>
      </c>
      <c r="AC2435" s="9" t="s">
        <v>146</v>
      </c>
      <c r="AD2435" s="14">
        <v>27.538285714285706</v>
      </c>
      <c r="AF2435" s="14">
        <v>2.4</v>
      </c>
      <c r="AH2435" s="14">
        <v>29.938285714285705</v>
      </c>
      <c r="AI2435" s="13">
        <v>58.827020408163271</v>
      </c>
      <c r="AK2435" s="9">
        <v>120</v>
      </c>
    </row>
    <row r="2436" spans="1:37">
      <c r="A2436" s="9">
        <v>36</v>
      </c>
      <c r="B2436" s="9">
        <v>2024</v>
      </c>
      <c r="C2436" s="9" t="s">
        <v>46</v>
      </c>
      <c r="D2436" s="9" t="s">
        <v>47</v>
      </c>
      <c r="E2436" s="9" t="s">
        <v>47</v>
      </c>
      <c r="F2436" s="10">
        <v>45537</v>
      </c>
      <c r="G2436" s="9" t="s">
        <v>154</v>
      </c>
      <c r="H2436" s="9" t="s">
        <v>52</v>
      </c>
      <c r="J2436" s="9">
        <v>80</v>
      </c>
      <c r="K2436" s="9">
        <v>0.56999999999999995</v>
      </c>
      <c r="L2436" s="9">
        <v>45.6</v>
      </c>
      <c r="M2436" s="9">
        <v>3.4285714285714284</v>
      </c>
      <c r="N2436" s="9" t="s">
        <v>49</v>
      </c>
      <c r="Q2436" s="9">
        <f>IF(Auction_Sales[[#This Row],[Payment Date]]=0,"",-1+WEEKNUM(Auction_Sales[[#This Row],[Payment Date]]))</f>
        <v>36</v>
      </c>
      <c r="R2436" s="9">
        <v>0</v>
      </c>
      <c r="S2436" s="9" t="s">
        <v>154</v>
      </c>
      <c r="T2436" s="9" t="s">
        <v>52</v>
      </c>
      <c r="U2436" s="9">
        <v>80</v>
      </c>
      <c r="V2436" s="13">
        <v>0.93</v>
      </c>
      <c r="W2436" s="13">
        <v>74.400000000000006</v>
      </c>
      <c r="X2436" s="14">
        <v>-8.8231292517006832</v>
      </c>
      <c r="Y2436" s="13">
        <v>65.576870748299328</v>
      </c>
      <c r="Z2436" s="10">
        <v>45546</v>
      </c>
      <c r="AA2436" s="9">
        <v>0</v>
      </c>
      <c r="AC2436" s="9" t="s">
        <v>146</v>
      </c>
      <c r="AD2436" s="14">
        <v>18.35885714285714</v>
      </c>
      <c r="AF2436" s="14">
        <v>1.6</v>
      </c>
      <c r="AH2436" s="14">
        <v>19.958857142857141</v>
      </c>
      <c r="AI2436" s="13">
        <v>45.618013605442187</v>
      </c>
      <c r="AK2436" s="9">
        <v>80</v>
      </c>
    </row>
    <row r="2437" spans="1:37">
      <c r="A2437" s="9">
        <v>36</v>
      </c>
      <c r="B2437" s="9">
        <v>2024</v>
      </c>
      <c r="C2437" s="9" t="s">
        <v>46</v>
      </c>
      <c r="D2437" s="9" t="s">
        <v>47</v>
      </c>
      <c r="E2437" s="9" t="s">
        <v>47</v>
      </c>
      <c r="F2437" s="10">
        <v>45537</v>
      </c>
      <c r="G2437" s="9" t="s">
        <v>154</v>
      </c>
      <c r="H2437" s="9" t="s">
        <v>57</v>
      </c>
      <c r="J2437" s="9">
        <v>80</v>
      </c>
      <c r="K2437" s="9">
        <v>1.03</v>
      </c>
      <c r="L2437" s="9">
        <v>82.4</v>
      </c>
      <c r="M2437" s="9">
        <v>3.4285714285714284</v>
      </c>
      <c r="N2437" s="9" t="s">
        <v>49</v>
      </c>
      <c r="Q2437" s="9">
        <f>IF(Auction_Sales[[#This Row],[Payment Date]]=0,"",-1+WEEKNUM(Auction_Sales[[#This Row],[Payment Date]]))</f>
        <v>36</v>
      </c>
      <c r="R2437" s="9">
        <v>0</v>
      </c>
      <c r="S2437" s="9" t="s">
        <v>154</v>
      </c>
      <c r="T2437" s="9" t="s">
        <v>57</v>
      </c>
      <c r="U2437" s="9">
        <v>80</v>
      </c>
      <c r="V2437" s="13">
        <v>1.2</v>
      </c>
      <c r="W2437" s="13">
        <v>96</v>
      </c>
      <c r="X2437" s="14">
        <v>-8.8231292517006832</v>
      </c>
      <c r="Y2437" s="13">
        <v>87.176870748299322</v>
      </c>
      <c r="Z2437" s="10">
        <v>45546</v>
      </c>
      <c r="AA2437" s="9">
        <v>0</v>
      </c>
      <c r="AC2437" s="9" t="s">
        <v>146</v>
      </c>
      <c r="AD2437" s="14">
        <v>18.35885714285714</v>
      </c>
      <c r="AF2437" s="14">
        <v>1.6</v>
      </c>
      <c r="AH2437" s="14">
        <v>19.958857142857141</v>
      </c>
      <c r="AI2437" s="13">
        <v>67.218013605442181</v>
      </c>
      <c r="AK2437" s="9">
        <v>80</v>
      </c>
    </row>
    <row r="2438" spans="1:37">
      <c r="A2438" s="9">
        <v>36</v>
      </c>
      <c r="B2438" s="9">
        <v>2024</v>
      </c>
      <c r="C2438" s="9" t="s">
        <v>46</v>
      </c>
      <c r="D2438" s="9" t="s">
        <v>47</v>
      </c>
      <c r="E2438" s="9" t="s">
        <v>47</v>
      </c>
      <c r="F2438" s="10">
        <v>45537</v>
      </c>
      <c r="G2438" s="9" t="s">
        <v>156</v>
      </c>
      <c r="H2438" s="9" t="s">
        <v>51</v>
      </c>
      <c r="I2438" s="9">
        <v>1</v>
      </c>
      <c r="J2438" s="9">
        <v>120</v>
      </c>
      <c r="K2438" s="9">
        <v>0.42</v>
      </c>
      <c r="L2438" s="9">
        <v>50.94</v>
      </c>
      <c r="M2438" s="9">
        <v>4</v>
      </c>
      <c r="N2438" s="9" t="s">
        <v>49</v>
      </c>
      <c r="Q2438" s="9">
        <f>IF(Auction_Sales[[#This Row],[Payment Date]]=0,"",-1+WEEKNUM(Auction_Sales[[#This Row],[Payment Date]]))</f>
        <v>36</v>
      </c>
      <c r="R2438" s="9">
        <v>0</v>
      </c>
      <c r="S2438" s="9" t="s">
        <v>156</v>
      </c>
      <c r="T2438" s="9" t="s">
        <v>51</v>
      </c>
      <c r="U2438" s="9">
        <v>120</v>
      </c>
      <c r="V2438" s="13">
        <v>0.26</v>
      </c>
      <c r="W2438" s="13">
        <v>31.200000000000003</v>
      </c>
      <c r="X2438" s="14">
        <v>-13.234693877551026</v>
      </c>
      <c r="Y2438" s="13">
        <v>17.965306122448979</v>
      </c>
      <c r="Z2438" s="10">
        <v>45546</v>
      </c>
      <c r="AA2438" s="9">
        <v>0</v>
      </c>
      <c r="AC2438" s="9" t="s">
        <v>146</v>
      </c>
      <c r="AD2438" s="14">
        <v>21.418666666666663</v>
      </c>
      <c r="AF2438" s="14">
        <v>2.4</v>
      </c>
      <c r="AH2438" s="14">
        <v>23.818666666666662</v>
      </c>
      <c r="AI2438" s="13">
        <v>-5.8533605442176828</v>
      </c>
      <c r="AK2438" s="9">
        <v>120</v>
      </c>
    </row>
    <row r="2439" spans="1:37">
      <c r="A2439" s="9">
        <v>36</v>
      </c>
      <c r="B2439" s="9">
        <v>2024</v>
      </c>
      <c r="C2439" s="9" t="s">
        <v>46</v>
      </c>
      <c r="D2439" s="9" t="s">
        <v>47</v>
      </c>
      <c r="E2439" s="9" t="s">
        <v>47</v>
      </c>
      <c r="F2439" s="10">
        <v>45537</v>
      </c>
      <c r="G2439" s="9" t="s">
        <v>156</v>
      </c>
      <c r="H2439" s="9" t="s">
        <v>48</v>
      </c>
      <c r="J2439" s="9">
        <v>200</v>
      </c>
      <c r="K2439" s="9">
        <v>0.52</v>
      </c>
      <c r="L2439" s="9">
        <v>103.77</v>
      </c>
      <c r="M2439" s="9">
        <v>6.666666666666667</v>
      </c>
      <c r="N2439" s="9" t="s">
        <v>49</v>
      </c>
      <c r="Q2439" s="9">
        <f>IF(Auction_Sales[[#This Row],[Payment Date]]=0,"",-1+WEEKNUM(Auction_Sales[[#This Row],[Payment Date]]))</f>
        <v>36</v>
      </c>
      <c r="R2439" s="9">
        <v>0</v>
      </c>
      <c r="S2439" s="9" t="s">
        <v>156</v>
      </c>
      <c r="T2439" s="9" t="s">
        <v>48</v>
      </c>
      <c r="U2439" s="9">
        <v>200</v>
      </c>
      <c r="V2439" s="13">
        <v>0.35</v>
      </c>
      <c r="W2439" s="13">
        <v>70</v>
      </c>
      <c r="X2439" s="14">
        <v>-22.057823129251705</v>
      </c>
      <c r="Y2439" s="13">
        <v>47.942176870748298</v>
      </c>
      <c r="Z2439" s="10">
        <v>45546</v>
      </c>
      <c r="AA2439" s="9">
        <v>0</v>
      </c>
      <c r="AC2439" s="9" t="s">
        <v>146</v>
      </c>
      <c r="AD2439" s="14">
        <v>35.69777777777778</v>
      </c>
      <c r="AF2439" s="14">
        <v>4</v>
      </c>
      <c r="AH2439" s="14">
        <v>39.69777777777778</v>
      </c>
      <c r="AI2439" s="13">
        <v>8.244399092970518</v>
      </c>
      <c r="AK2439" s="9">
        <v>200</v>
      </c>
    </row>
    <row r="2440" spans="1:37">
      <c r="A2440" s="9">
        <v>36</v>
      </c>
      <c r="B2440" s="9">
        <v>2024</v>
      </c>
      <c r="C2440" s="9" t="s">
        <v>46</v>
      </c>
      <c r="D2440" s="9" t="s">
        <v>47</v>
      </c>
      <c r="E2440" s="9" t="s">
        <v>47</v>
      </c>
      <c r="F2440" s="10">
        <v>45537</v>
      </c>
      <c r="G2440" s="9" t="s">
        <v>156</v>
      </c>
      <c r="H2440" s="9" t="s">
        <v>54</v>
      </c>
      <c r="J2440" s="9">
        <v>40</v>
      </c>
      <c r="K2440" s="9">
        <v>0.72</v>
      </c>
      <c r="L2440" s="9">
        <v>28.8</v>
      </c>
      <c r="M2440" s="9">
        <v>1.3333333333333333</v>
      </c>
      <c r="N2440" s="9" t="s">
        <v>49</v>
      </c>
      <c r="Q2440" s="9">
        <f>IF(Auction_Sales[[#This Row],[Payment Date]]=0,"",-1+WEEKNUM(Auction_Sales[[#This Row],[Payment Date]]))</f>
        <v>36</v>
      </c>
      <c r="R2440" s="9">
        <v>0</v>
      </c>
      <c r="S2440" s="9" t="s">
        <v>156</v>
      </c>
      <c r="T2440" s="9" t="s">
        <v>54</v>
      </c>
      <c r="U2440" s="9">
        <v>40</v>
      </c>
      <c r="V2440" s="13">
        <v>0.8</v>
      </c>
      <c r="W2440" s="13">
        <v>32</v>
      </c>
      <c r="X2440" s="14">
        <v>-4.4115646258503416</v>
      </c>
      <c r="Y2440" s="13">
        <v>27.588435374149658</v>
      </c>
      <c r="Z2440" s="10">
        <v>45546</v>
      </c>
      <c r="AA2440" s="9">
        <v>0</v>
      </c>
      <c r="AC2440" s="9" t="s">
        <v>146</v>
      </c>
      <c r="AD2440" s="14">
        <v>7.1395555555555541</v>
      </c>
      <c r="AF2440" s="14">
        <v>0.8</v>
      </c>
      <c r="AH2440" s="14">
        <v>7.9395555555555539</v>
      </c>
      <c r="AI2440" s="13">
        <v>19.648879818594104</v>
      </c>
      <c r="AK2440" s="9">
        <v>40</v>
      </c>
    </row>
    <row r="2441" spans="1:37">
      <c r="A2441" s="9">
        <v>36</v>
      </c>
      <c r="B2441" s="9">
        <v>2024</v>
      </c>
      <c r="C2441" s="9" t="s">
        <v>46</v>
      </c>
      <c r="D2441" s="9" t="s">
        <v>47</v>
      </c>
      <c r="E2441" s="9" t="s">
        <v>47</v>
      </c>
      <c r="F2441" s="10">
        <v>45537</v>
      </c>
      <c r="G2441" s="9" t="s">
        <v>160</v>
      </c>
      <c r="H2441" s="9" t="s">
        <v>137</v>
      </c>
      <c r="M2441" s="9">
        <v>0</v>
      </c>
      <c r="N2441" s="9" t="s">
        <v>49</v>
      </c>
      <c r="Q2441" s="9">
        <f>IF(Auction_Sales[[#This Row],[Payment Date]]=0,"",-1+WEEKNUM(Auction_Sales[[#This Row],[Payment Date]]))</f>
        <v>36</v>
      </c>
      <c r="R2441" s="9">
        <v>-56</v>
      </c>
      <c r="S2441" s="9" t="s">
        <v>160</v>
      </c>
      <c r="T2441" s="9" t="s">
        <v>137</v>
      </c>
      <c r="U2441" s="9">
        <v>56</v>
      </c>
      <c r="V2441" s="13">
        <v>6.9553571428571432</v>
      </c>
      <c r="W2441" s="13">
        <v>389.5</v>
      </c>
      <c r="X2441" s="14">
        <v>-59.259999999999991</v>
      </c>
      <c r="Y2441" s="13">
        <v>330.24</v>
      </c>
      <c r="Z2441" s="10">
        <v>45546</v>
      </c>
      <c r="AA2441" s="9">
        <v>56</v>
      </c>
      <c r="AC2441" s="9" t="s">
        <v>146</v>
      </c>
      <c r="AD2441" s="14">
        <v>0</v>
      </c>
      <c r="AF2441" s="14">
        <v>3.36</v>
      </c>
      <c r="AH2441" s="14">
        <v>3.36</v>
      </c>
      <c r="AI2441" s="13">
        <v>326.88</v>
      </c>
      <c r="AK2441" s="9">
        <v>56</v>
      </c>
    </row>
    <row r="2442" spans="1:37">
      <c r="A2442" s="9">
        <v>36</v>
      </c>
      <c r="B2442" s="9">
        <v>2024</v>
      </c>
      <c r="C2442" s="9" t="s">
        <v>46</v>
      </c>
      <c r="D2442" s="9" t="s">
        <v>47</v>
      </c>
      <c r="E2442" s="9" t="s">
        <v>47</v>
      </c>
      <c r="F2442" s="10">
        <v>45540</v>
      </c>
      <c r="G2442" s="9" t="s">
        <v>160</v>
      </c>
      <c r="H2442" s="9" t="s">
        <v>137</v>
      </c>
      <c r="I2442" s="9">
        <v>7</v>
      </c>
      <c r="J2442" s="9">
        <v>112</v>
      </c>
      <c r="K2442" s="9">
        <v>1.42</v>
      </c>
      <c r="L2442" s="9">
        <v>158.49</v>
      </c>
      <c r="M2442" s="9">
        <v>84</v>
      </c>
      <c r="N2442" s="9" t="s">
        <v>49</v>
      </c>
      <c r="Q2442" s="9">
        <f>IF(Auction_Sales[[#This Row],[Payment Date]]=0,"",-1+WEEKNUM(Auction_Sales[[#This Row],[Payment Date]]))</f>
        <v>37</v>
      </c>
      <c r="R2442" s="9">
        <v>0</v>
      </c>
      <c r="S2442" s="9" t="s">
        <v>160</v>
      </c>
      <c r="T2442" s="9" t="s">
        <v>137</v>
      </c>
      <c r="U2442" s="9">
        <v>112</v>
      </c>
      <c r="V2442" s="13">
        <v>7.8812499999999996</v>
      </c>
      <c r="W2442" s="13">
        <v>882.69999999999993</v>
      </c>
      <c r="X2442" s="14">
        <v>-12.379019607843144</v>
      </c>
      <c r="Y2442" s="13">
        <v>870.3209803921568</v>
      </c>
      <c r="Z2442" s="10">
        <v>45553</v>
      </c>
      <c r="AA2442" s="9">
        <v>0</v>
      </c>
      <c r="AC2442" s="9">
        <v>454297</v>
      </c>
      <c r="AD2442" s="14">
        <v>398.32545454545459</v>
      </c>
      <c r="AF2442" s="14">
        <v>6.72</v>
      </c>
      <c r="AH2442" s="14">
        <v>405.04545454545462</v>
      </c>
      <c r="AI2442" s="13">
        <v>465.27552584670218</v>
      </c>
      <c r="AK2442" s="9">
        <v>112</v>
      </c>
    </row>
    <row r="2443" spans="1:37">
      <c r="A2443" s="9">
        <v>36</v>
      </c>
      <c r="B2443" s="9">
        <v>2024</v>
      </c>
      <c r="C2443" s="9" t="s">
        <v>46</v>
      </c>
      <c r="D2443" s="9" t="s">
        <v>47</v>
      </c>
      <c r="E2443" s="9" t="s">
        <v>47</v>
      </c>
      <c r="F2443" s="10">
        <v>45540</v>
      </c>
      <c r="G2443" s="9" t="s">
        <v>156</v>
      </c>
      <c r="H2443" s="9" t="s">
        <v>57</v>
      </c>
      <c r="I2443" s="9">
        <v>1</v>
      </c>
      <c r="J2443" s="9">
        <v>160</v>
      </c>
      <c r="K2443" s="9">
        <v>1.1399999999999999</v>
      </c>
      <c r="L2443" s="9">
        <v>182.4</v>
      </c>
      <c r="M2443" s="9">
        <v>12</v>
      </c>
      <c r="N2443" s="9" t="s">
        <v>49</v>
      </c>
      <c r="Q2443" s="9">
        <f>IF(Auction_Sales[[#This Row],[Payment Date]]=0,"",-1+WEEKNUM(Auction_Sales[[#This Row],[Payment Date]]))</f>
        <v>37</v>
      </c>
      <c r="R2443" s="9">
        <v>0</v>
      </c>
      <c r="S2443" s="9" t="s">
        <v>156</v>
      </c>
      <c r="T2443" s="9" t="s">
        <v>57</v>
      </c>
      <c r="U2443" s="9">
        <v>160</v>
      </c>
      <c r="V2443" s="13">
        <v>0.75</v>
      </c>
      <c r="W2443" s="13">
        <v>120</v>
      </c>
      <c r="X2443" s="14">
        <v>-17.684313725490206</v>
      </c>
      <c r="Y2443" s="13">
        <v>102.3156862745098</v>
      </c>
      <c r="Z2443" s="10">
        <v>45553</v>
      </c>
      <c r="AA2443" s="9">
        <v>0</v>
      </c>
      <c r="AC2443" s="9">
        <v>454297</v>
      </c>
      <c r="AD2443" s="14">
        <v>56.903636363636373</v>
      </c>
      <c r="AF2443" s="14">
        <v>3.2</v>
      </c>
      <c r="AH2443" s="14">
        <v>60.103636363636376</v>
      </c>
      <c r="AI2443" s="13">
        <v>42.212049910873425</v>
      </c>
      <c r="AK2443" s="9">
        <v>160</v>
      </c>
    </row>
    <row r="2444" spans="1:37">
      <c r="A2444" s="9">
        <v>36</v>
      </c>
      <c r="B2444" s="9">
        <v>2024</v>
      </c>
      <c r="C2444" s="9" t="s">
        <v>46</v>
      </c>
      <c r="D2444" s="9" t="s">
        <v>47</v>
      </c>
      <c r="E2444" s="9" t="s">
        <v>47</v>
      </c>
      <c r="F2444" s="10">
        <v>45540</v>
      </c>
      <c r="G2444" s="9" t="s">
        <v>156</v>
      </c>
      <c r="H2444" s="9" t="s">
        <v>48</v>
      </c>
      <c r="I2444" s="9">
        <v>1</v>
      </c>
      <c r="J2444" s="9">
        <v>160</v>
      </c>
      <c r="K2444" s="9">
        <v>0.52</v>
      </c>
      <c r="L2444" s="9">
        <v>83.2</v>
      </c>
      <c r="M2444" s="9">
        <v>6</v>
      </c>
      <c r="N2444" s="9" t="s">
        <v>49</v>
      </c>
      <c r="Q2444" s="9">
        <f>IF(Auction_Sales[[#This Row],[Payment Date]]=0,"",-1+WEEKNUM(Auction_Sales[[#This Row],[Payment Date]]))</f>
        <v>37</v>
      </c>
      <c r="R2444" s="9">
        <v>0</v>
      </c>
      <c r="S2444" s="9" t="s">
        <v>156</v>
      </c>
      <c r="T2444" s="9" t="s">
        <v>48</v>
      </c>
      <c r="U2444" s="9">
        <v>160</v>
      </c>
      <c r="V2444" s="13">
        <v>0.52</v>
      </c>
      <c r="W2444" s="13">
        <v>83.2</v>
      </c>
      <c r="X2444" s="14">
        <v>-17.684313725490206</v>
      </c>
      <c r="Y2444" s="13">
        <v>65.51568627450979</v>
      </c>
      <c r="Z2444" s="10">
        <v>45553</v>
      </c>
      <c r="AA2444" s="9">
        <v>0</v>
      </c>
      <c r="AC2444" s="9">
        <v>454297</v>
      </c>
      <c r="AD2444" s="14">
        <v>28.451818181818187</v>
      </c>
      <c r="AF2444" s="14">
        <v>3.2</v>
      </c>
      <c r="AH2444" s="14">
        <v>31.651818181818186</v>
      </c>
      <c r="AI2444" s="13">
        <v>33.863868092691604</v>
      </c>
      <c r="AK2444" s="9">
        <v>160</v>
      </c>
    </row>
    <row r="2445" spans="1:37">
      <c r="A2445" s="9">
        <v>36</v>
      </c>
      <c r="B2445" s="9">
        <v>2024</v>
      </c>
      <c r="C2445" s="9" t="s">
        <v>46</v>
      </c>
      <c r="D2445" s="9" t="s">
        <v>47</v>
      </c>
      <c r="E2445" s="9" t="s">
        <v>47</v>
      </c>
      <c r="F2445" s="10">
        <v>45540</v>
      </c>
      <c r="G2445" s="9" t="s">
        <v>156</v>
      </c>
      <c r="H2445" s="9" t="s">
        <v>52</v>
      </c>
      <c r="J2445" s="9">
        <v>160</v>
      </c>
      <c r="K2445" s="9">
        <v>0.67</v>
      </c>
      <c r="L2445" s="9">
        <v>107.2</v>
      </c>
      <c r="M2445" s="9">
        <v>6</v>
      </c>
      <c r="N2445" s="9" t="s">
        <v>49</v>
      </c>
      <c r="Q2445" s="9">
        <f>IF(Auction_Sales[[#This Row],[Payment Date]]=0,"",-1+WEEKNUM(Auction_Sales[[#This Row],[Payment Date]]))</f>
        <v>37</v>
      </c>
      <c r="R2445" s="9">
        <v>0</v>
      </c>
      <c r="S2445" s="9" t="s">
        <v>156</v>
      </c>
      <c r="T2445" s="9" t="s">
        <v>52</v>
      </c>
      <c r="U2445" s="9">
        <v>160</v>
      </c>
      <c r="V2445" s="13">
        <v>0.66249999999999998</v>
      </c>
      <c r="W2445" s="13">
        <v>106</v>
      </c>
      <c r="X2445" s="14">
        <v>-17.684313725490206</v>
      </c>
      <c r="Y2445" s="13">
        <v>88.315686274509801</v>
      </c>
      <c r="Z2445" s="10">
        <v>45553</v>
      </c>
      <c r="AA2445" s="9">
        <v>0</v>
      </c>
      <c r="AC2445" s="9">
        <v>454297</v>
      </c>
      <c r="AD2445" s="14">
        <v>28.451818181818187</v>
      </c>
      <c r="AF2445" s="14">
        <v>3.2</v>
      </c>
      <c r="AH2445" s="14">
        <v>31.651818181818186</v>
      </c>
      <c r="AI2445" s="13">
        <v>56.663868092691615</v>
      </c>
      <c r="AK2445" s="9">
        <v>160</v>
      </c>
    </row>
    <row r="2446" spans="1:37">
      <c r="A2446" s="9">
        <v>36</v>
      </c>
      <c r="B2446" s="9">
        <v>2024</v>
      </c>
      <c r="C2446" s="9" t="s">
        <v>46</v>
      </c>
      <c r="D2446" s="9" t="s">
        <v>47</v>
      </c>
      <c r="E2446" s="9" t="s">
        <v>47</v>
      </c>
      <c r="F2446" s="10">
        <v>45540</v>
      </c>
      <c r="G2446" s="9" t="s">
        <v>154</v>
      </c>
      <c r="H2446" s="9" t="s">
        <v>51</v>
      </c>
      <c r="I2446" s="9">
        <v>1</v>
      </c>
      <c r="J2446" s="9">
        <v>280</v>
      </c>
      <c r="K2446" s="9">
        <v>0.38</v>
      </c>
      <c r="L2446" s="9">
        <v>106.4</v>
      </c>
      <c r="M2446" s="9">
        <v>5.6</v>
      </c>
      <c r="N2446" s="9" t="s">
        <v>49</v>
      </c>
      <c r="Q2446" s="9">
        <f>IF(Auction_Sales[[#This Row],[Payment Date]]=0,"",-1+WEEKNUM(Auction_Sales[[#This Row],[Payment Date]]))</f>
        <v>37</v>
      </c>
      <c r="R2446" s="9">
        <v>0</v>
      </c>
      <c r="S2446" s="9" t="s">
        <v>154</v>
      </c>
      <c r="T2446" s="9" t="s">
        <v>51</v>
      </c>
      <c r="U2446" s="9">
        <v>280</v>
      </c>
      <c r="V2446" s="13">
        <v>0.64714285714285713</v>
      </c>
      <c r="W2446" s="13">
        <v>181.2</v>
      </c>
      <c r="X2446" s="14">
        <v>-30.947549019607862</v>
      </c>
      <c r="Y2446" s="13">
        <v>150.25245098039213</v>
      </c>
      <c r="Z2446" s="10">
        <v>45553</v>
      </c>
      <c r="AA2446" s="9">
        <v>0</v>
      </c>
      <c r="AC2446" s="9">
        <v>454297</v>
      </c>
      <c r="AD2446" s="14">
        <v>26.555030303030303</v>
      </c>
      <c r="AF2446" s="14">
        <v>5.6000000000000005</v>
      </c>
      <c r="AH2446" s="14">
        <v>32.155030303030301</v>
      </c>
      <c r="AI2446" s="13">
        <v>118.09742067736182</v>
      </c>
      <c r="AK2446" s="9">
        <v>280</v>
      </c>
    </row>
    <row r="2447" spans="1:37">
      <c r="A2447" s="9">
        <v>36</v>
      </c>
      <c r="B2447" s="9">
        <v>2024</v>
      </c>
      <c r="C2447" s="9" t="s">
        <v>46</v>
      </c>
      <c r="D2447" s="9" t="s">
        <v>47</v>
      </c>
      <c r="E2447" s="9" t="s">
        <v>47</v>
      </c>
      <c r="F2447" s="10">
        <v>45540</v>
      </c>
      <c r="G2447" s="9" t="s">
        <v>154</v>
      </c>
      <c r="H2447" s="9" t="s">
        <v>52</v>
      </c>
      <c r="J2447" s="9">
        <v>320</v>
      </c>
      <c r="K2447" s="9">
        <v>0.56999999999999995</v>
      </c>
      <c r="L2447" s="9">
        <v>182.4</v>
      </c>
      <c r="M2447" s="9">
        <v>6.4</v>
      </c>
      <c r="N2447" s="9" t="s">
        <v>49</v>
      </c>
      <c r="Q2447" s="9">
        <f>IF(Auction_Sales[[#This Row],[Payment Date]]=0,"",-1+WEEKNUM(Auction_Sales[[#This Row],[Payment Date]]))</f>
        <v>37</v>
      </c>
      <c r="R2447" s="9">
        <v>0</v>
      </c>
      <c r="S2447" s="9" t="s">
        <v>154</v>
      </c>
      <c r="T2447" s="9" t="s">
        <v>52</v>
      </c>
      <c r="U2447" s="9">
        <v>320</v>
      </c>
      <c r="V2447" s="13">
        <v>0.93874999999999997</v>
      </c>
      <c r="W2447" s="13">
        <v>300.39999999999998</v>
      </c>
      <c r="X2447" s="14">
        <v>-35.368627450980412</v>
      </c>
      <c r="Y2447" s="13">
        <v>265.03137254901958</v>
      </c>
      <c r="Z2447" s="10">
        <v>45553</v>
      </c>
      <c r="AA2447" s="9">
        <v>0</v>
      </c>
      <c r="AC2447" s="9">
        <v>454297</v>
      </c>
      <c r="AD2447" s="14">
        <v>30.348606060606063</v>
      </c>
      <c r="AF2447" s="14">
        <v>6.4</v>
      </c>
      <c r="AH2447" s="14">
        <v>36.748606060606065</v>
      </c>
      <c r="AI2447" s="13">
        <v>228.28276648841353</v>
      </c>
      <c r="AK2447" s="9">
        <v>320</v>
      </c>
    </row>
    <row r="2448" spans="1:37">
      <c r="A2448" s="9">
        <v>36</v>
      </c>
      <c r="B2448" s="9">
        <v>2024</v>
      </c>
      <c r="C2448" s="9" t="s">
        <v>46</v>
      </c>
      <c r="D2448" s="9" t="s">
        <v>47</v>
      </c>
      <c r="E2448" s="9" t="s">
        <v>47</v>
      </c>
      <c r="F2448" s="10">
        <v>45540</v>
      </c>
      <c r="G2448" s="9" t="s">
        <v>155</v>
      </c>
      <c r="H2448" s="9" t="s">
        <v>52</v>
      </c>
      <c r="I2448" s="9">
        <v>1</v>
      </c>
      <c r="J2448" s="9">
        <v>40</v>
      </c>
      <c r="K2448" s="9">
        <v>0.56999999999999995</v>
      </c>
      <c r="L2448" s="9">
        <v>22.8</v>
      </c>
      <c r="M2448" s="9">
        <v>1.0909090909090908</v>
      </c>
      <c r="N2448" s="9" t="s">
        <v>49</v>
      </c>
      <c r="Q2448" s="9">
        <f>IF(Auction_Sales[[#This Row],[Payment Date]]=0,"",-1+WEEKNUM(Auction_Sales[[#This Row],[Payment Date]]))</f>
        <v>37</v>
      </c>
      <c r="R2448" s="9">
        <v>0</v>
      </c>
      <c r="S2448" s="9" t="s">
        <v>155</v>
      </c>
      <c r="T2448" s="9" t="s">
        <v>52</v>
      </c>
      <c r="U2448" s="9">
        <v>40</v>
      </c>
      <c r="V2448" s="13">
        <v>1.01</v>
      </c>
      <c r="W2448" s="13">
        <v>40.4</v>
      </c>
      <c r="X2448" s="14">
        <v>-4.4210784313725515</v>
      </c>
      <c r="Y2448" s="13">
        <v>35.978921568627449</v>
      </c>
      <c r="Z2448" s="10">
        <v>45553</v>
      </c>
      <c r="AA2448" s="9">
        <v>0</v>
      </c>
      <c r="AC2448" s="9">
        <v>454297</v>
      </c>
      <c r="AD2448" s="14">
        <v>5.1730578512396699</v>
      </c>
      <c r="AF2448" s="14">
        <v>0.8</v>
      </c>
      <c r="AH2448" s="14">
        <v>5.9730578512396697</v>
      </c>
      <c r="AI2448" s="13">
        <v>30.005863717387779</v>
      </c>
      <c r="AK2448" s="9">
        <v>40</v>
      </c>
    </row>
    <row r="2449" spans="1:37">
      <c r="A2449" s="9">
        <v>36</v>
      </c>
      <c r="B2449" s="9">
        <v>2024</v>
      </c>
      <c r="C2449" s="9" t="s">
        <v>46</v>
      </c>
      <c r="D2449" s="9" t="s">
        <v>47</v>
      </c>
      <c r="E2449" s="9" t="s">
        <v>47</v>
      </c>
      <c r="F2449" s="10">
        <v>45540</v>
      </c>
      <c r="G2449" s="9" t="s">
        <v>155</v>
      </c>
      <c r="H2449" s="9" t="s">
        <v>48</v>
      </c>
      <c r="J2449" s="9">
        <v>400</v>
      </c>
      <c r="K2449" s="9">
        <v>0.47</v>
      </c>
      <c r="L2449" s="9">
        <v>188</v>
      </c>
      <c r="M2449" s="9">
        <v>10.909090909090908</v>
      </c>
      <c r="N2449" s="9" t="s">
        <v>49</v>
      </c>
      <c r="Q2449" s="9">
        <f>IF(Auction_Sales[[#This Row],[Payment Date]]=0,"",-1+WEEKNUM(Auction_Sales[[#This Row],[Payment Date]]))</f>
        <v>37</v>
      </c>
      <c r="R2449" s="9">
        <v>0</v>
      </c>
      <c r="S2449" s="9" t="s">
        <v>155</v>
      </c>
      <c r="T2449" s="9" t="s">
        <v>48</v>
      </c>
      <c r="U2449" s="9">
        <v>400</v>
      </c>
      <c r="V2449" s="13">
        <v>0.95499999999999996</v>
      </c>
      <c r="W2449" s="13">
        <v>382</v>
      </c>
      <c r="X2449" s="14">
        <v>-44.210784313725519</v>
      </c>
      <c r="Y2449" s="13">
        <v>337.78921568627447</v>
      </c>
      <c r="Z2449" s="10">
        <v>45553</v>
      </c>
      <c r="AA2449" s="9">
        <v>0</v>
      </c>
      <c r="AC2449" s="9">
        <v>454297</v>
      </c>
      <c r="AD2449" s="14">
        <v>51.73057851239669</v>
      </c>
      <c r="AF2449" s="14">
        <v>8</v>
      </c>
      <c r="AH2449" s="14">
        <v>59.73057851239669</v>
      </c>
      <c r="AI2449" s="13">
        <v>278.0586371738778</v>
      </c>
      <c r="AK2449" s="9">
        <v>400</v>
      </c>
    </row>
    <row r="2450" spans="1:37">
      <c r="A2450" s="9">
        <v>37</v>
      </c>
      <c r="B2450" s="9">
        <v>2024</v>
      </c>
      <c r="C2450" s="9" t="s">
        <v>46</v>
      </c>
      <c r="D2450" s="9" t="s">
        <v>47</v>
      </c>
      <c r="E2450" s="9" t="s">
        <v>47</v>
      </c>
      <c r="F2450" s="10">
        <v>45542</v>
      </c>
      <c r="G2450" s="9" t="s">
        <v>160</v>
      </c>
      <c r="H2450" s="9" t="s">
        <v>137</v>
      </c>
      <c r="I2450" s="9">
        <v>6</v>
      </c>
      <c r="J2450" s="9">
        <v>96</v>
      </c>
      <c r="K2450" s="9">
        <v>1.42</v>
      </c>
      <c r="L2450" s="9">
        <v>135.85</v>
      </c>
      <c r="M2450" s="9">
        <v>72</v>
      </c>
      <c r="N2450" s="9" t="s">
        <v>49</v>
      </c>
      <c r="Q2450" s="9">
        <f>IF(Auction_Sales[[#This Row],[Payment Date]]=0,"",-1+WEEKNUM(Auction_Sales[[#This Row],[Payment Date]]))</f>
        <v>37</v>
      </c>
      <c r="R2450" s="9">
        <v>0</v>
      </c>
      <c r="S2450" s="9" t="s">
        <v>160</v>
      </c>
      <c r="T2450" s="9" t="s">
        <v>137</v>
      </c>
      <c r="U2450" s="9">
        <v>96</v>
      </c>
      <c r="V2450" s="13">
        <v>7.5374999999999988</v>
      </c>
      <c r="W2450" s="13">
        <v>723.59999999999991</v>
      </c>
      <c r="X2450" s="14">
        <v>-12.437197452229302</v>
      </c>
      <c r="Y2450" s="13">
        <v>711.16280254777064</v>
      </c>
      <c r="Z2450" s="10">
        <v>45553</v>
      </c>
      <c r="AA2450" s="9">
        <v>0</v>
      </c>
      <c r="AC2450" s="9">
        <v>454536</v>
      </c>
      <c r="AD2450" s="14">
        <v>354.86400000000003</v>
      </c>
      <c r="AF2450" s="14">
        <v>5.76</v>
      </c>
      <c r="AH2450" s="14">
        <v>360.62400000000002</v>
      </c>
      <c r="AI2450" s="13">
        <v>350.53880254777062</v>
      </c>
      <c r="AK2450" s="9">
        <v>96</v>
      </c>
    </row>
    <row r="2451" spans="1:37">
      <c r="A2451" s="9">
        <v>37</v>
      </c>
      <c r="B2451" s="9">
        <v>2024</v>
      </c>
      <c r="C2451" s="9" t="s">
        <v>46</v>
      </c>
      <c r="D2451" s="9" t="s">
        <v>47</v>
      </c>
      <c r="E2451" s="9" t="s">
        <v>47</v>
      </c>
      <c r="F2451" s="10">
        <v>45542</v>
      </c>
      <c r="G2451" s="9" t="s">
        <v>154</v>
      </c>
      <c r="H2451" s="9" t="s">
        <v>57</v>
      </c>
      <c r="I2451" s="9">
        <v>1</v>
      </c>
      <c r="J2451" s="9">
        <v>200</v>
      </c>
      <c r="K2451" s="9">
        <v>1.03</v>
      </c>
      <c r="L2451" s="9">
        <v>206</v>
      </c>
      <c r="M2451" s="9">
        <v>12</v>
      </c>
      <c r="N2451" s="9" t="s">
        <v>49</v>
      </c>
      <c r="Q2451" s="9">
        <f>IF(Auction_Sales[[#This Row],[Payment Date]]=0,"",-1+WEEKNUM(Auction_Sales[[#This Row],[Payment Date]]))</f>
        <v>37</v>
      </c>
      <c r="R2451" s="9">
        <v>-160</v>
      </c>
      <c r="S2451" s="9" t="s">
        <v>154</v>
      </c>
      <c r="T2451" s="9" t="s">
        <v>57</v>
      </c>
      <c r="U2451" s="9">
        <v>360</v>
      </c>
      <c r="V2451" s="13">
        <v>1.0833333333333333</v>
      </c>
      <c r="W2451" s="13">
        <v>390</v>
      </c>
      <c r="X2451" s="14">
        <v>-46.639490445859884</v>
      </c>
      <c r="Y2451" s="13">
        <v>343.36050955414009</v>
      </c>
      <c r="Z2451" s="10">
        <v>45553</v>
      </c>
      <c r="AA2451" s="9">
        <v>160</v>
      </c>
      <c r="AC2451" s="9">
        <v>454536</v>
      </c>
      <c r="AD2451" s="14">
        <v>59.144000000000005</v>
      </c>
      <c r="AF2451" s="14">
        <v>7.2</v>
      </c>
      <c r="AH2451" s="14">
        <v>66.344000000000008</v>
      </c>
      <c r="AI2451" s="13">
        <v>277.0165095541401</v>
      </c>
      <c r="AK2451" s="9">
        <v>360</v>
      </c>
    </row>
    <row r="2452" spans="1:37">
      <c r="A2452" s="9">
        <v>37</v>
      </c>
      <c r="B2452" s="9">
        <v>2024</v>
      </c>
      <c r="C2452" s="9" t="s">
        <v>46</v>
      </c>
      <c r="D2452" s="9" t="s">
        <v>47</v>
      </c>
      <c r="E2452" s="9" t="s">
        <v>47</v>
      </c>
      <c r="F2452" s="10">
        <v>45542</v>
      </c>
      <c r="G2452" s="9" t="s">
        <v>156</v>
      </c>
      <c r="H2452" s="9" t="s">
        <v>57</v>
      </c>
      <c r="I2452" s="9">
        <v>1</v>
      </c>
      <c r="J2452" s="9">
        <v>160</v>
      </c>
      <c r="K2452" s="9">
        <v>1.1399999999999999</v>
      </c>
      <c r="L2452" s="9">
        <v>182.4</v>
      </c>
      <c r="M2452" s="9">
        <v>6.8571428571428568</v>
      </c>
      <c r="N2452" s="9" t="s">
        <v>49</v>
      </c>
      <c r="Q2452" s="9">
        <f>IF(Auction_Sales[[#This Row],[Payment Date]]=0,"",-1+WEEKNUM(Auction_Sales[[#This Row],[Payment Date]]))</f>
        <v>37</v>
      </c>
      <c r="R2452" s="9">
        <v>0</v>
      </c>
      <c r="S2452" s="9" t="s">
        <v>156</v>
      </c>
      <c r="T2452" s="9" t="s">
        <v>57</v>
      </c>
      <c r="U2452" s="9">
        <v>160</v>
      </c>
      <c r="V2452" s="13">
        <v>0.90250000000000008</v>
      </c>
      <c r="W2452" s="13">
        <v>144.4</v>
      </c>
      <c r="X2452" s="14">
        <v>-20.728662420382168</v>
      </c>
      <c r="Y2452" s="13">
        <v>123.67133757961784</v>
      </c>
      <c r="Z2452" s="10">
        <v>45553</v>
      </c>
      <c r="AA2452" s="9">
        <v>0</v>
      </c>
      <c r="AC2452" s="9">
        <v>454536</v>
      </c>
      <c r="AD2452" s="14">
        <v>33.796571428571433</v>
      </c>
      <c r="AF2452" s="14">
        <v>3.2</v>
      </c>
      <c r="AH2452" s="14">
        <v>36.996571428571436</v>
      </c>
      <c r="AI2452" s="13">
        <v>86.674766151046413</v>
      </c>
      <c r="AK2452" s="9">
        <v>160</v>
      </c>
    </row>
    <row r="2453" spans="1:37">
      <c r="A2453" s="9">
        <v>37</v>
      </c>
      <c r="B2453" s="9">
        <v>2024</v>
      </c>
      <c r="C2453" s="9" t="s">
        <v>46</v>
      </c>
      <c r="D2453" s="9" t="s">
        <v>47</v>
      </c>
      <c r="E2453" s="9" t="s">
        <v>47</v>
      </c>
      <c r="F2453" s="10">
        <v>45542</v>
      </c>
      <c r="G2453" s="9" t="s">
        <v>156</v>
      </c>
      <c r="H2453" s="9" t="s">
        <v>56</v>
      </c>
      <c r="J2453" s="9">
        <v>40</v>
      </c>
      <c r="K2453" s="9">
        <v>0.93</v>
      </c>
      <c r="L2453" s="9">
        <v>37.200000000000003</v>
      </c>
      <c r="M2453" s="9">
        <v>1.7142857142857142</v>
      </c>
      <c r="N2453" s="9" t="s">
        <v>49</v>
      </c>
      <c r="Q2453" s="9">
        <f>IF(Auction_Sales[[#This Row],[Payment Date]]=0,"",-1+WEEKNUM(Auction_Sales[[#This Row],[Payment Date]]))</f>
        <v>37</v>
      </c>
      <c r="R2453" s="9">
        <v>0</v>
      </c>
      <c r="S2453" s="9" t="s">
        <v>156</v>
      </c>
      <c r="T2453" s="9" t="s">
        <v>56</v>
      </c>
      <c r="U2453" s="9">
        <v>40</v>
      </c>
      <c r="V2453" s="13">
        <v>0.95</v>
      </c>
      <c r="W2453" s="13">
        <v>38</v>
      </c>
      <c r="X2453" s="14">
        <v>-5.182165605095542</v>
      </c>
      <c r="Y2453" s="13">
        <v>32.817834394904459</v>
      </c>
      <c r="Z2453" s="10">
        <v>45553</v>
      </c>
      <c r="AA2453" s="9">
        <v>0</v>
      </c>
      <c r="AC2453" s="9">
        <v>454536</v>
      </c>
      <c r="AD2453" s="14">
        <v>8.4491428571428582</v>
      </c>
      <c r="AF2453" s="14">
        <v>0.8</v>
      </c>
      <c r="AH2453" s="14">
        <v>9.2491428571428589</v>
      </c>
      <c r="AI2453" s="13">
        <v>23.568691537761602</v>
      </c>
      <c r="AK2453" s="9">
        <v>40</v>
      </c>
    </row>
    <row r="2454" spans="1:37">
      <c r="A2454" s="9">
        <v>37</v>
      </c>
      <c r="B2454" s="9">
        <v>2024</v>
      </c>
      <c r="C2454" s="9" t="s">
        <v>46</v>
      </c>
      <c r="D2454" s="9" t="s">
        <v>47</v>
      </c>
      <c r="E2454" s="9" t="s">
        <v>47</v>
      </c>
      <c r="F2454" s="10">
        <v>45542</v>
      </c>
      <c r="G2454" s="9" t="s">
        <v>156</v>
      </c>
      <c r="H2454" s="9" t="s">
        <v>54</v>
      </c>
      <c r="J2454" s="9">
        <v>40</v>
      </c>
      <c r="K2454" s="9">
        <v>0.72</v>
      </c>
      <c r="L2454" s="9">
        <v>28.8</v>
      </c>
      <c r="M2454" s="9">
        <v>1.7142857142857142</v>
      </c>
      <c r="N2454" s="9" t="s">
        <v>49</v>
      </c>
      <c r="Q2454" s="9">
        <f>IF(Auction_Sales[[#This Row],[Payment Date]]=0,"",-1+WEEKNUM(Auction_Sales[[#This Row],[Payment Date]]))</f>
        <v>37</v>
      </c>
      <c r="R2454" s="9">
        <v>0</v>
      </c>
      <c r="S2454" s="9" t="s">
        <v>156</v>
      </c>
      <c r="T2454" s="9" t="s">
        <v>54</v>
      </c>
      <c r="U2454" s="9">
        <v>40</v>
      </c>
      <c r="V2454" s="13">
        <v>0.8</v>
      </c>
      <c r="W2454" s="13">
        <v>32</v>
      </c>
      <c r="X2454" s="14">
        <v>-5.182165605095542</v>
      </c>
      <c r="Y2454" s="13">
        <v>26.817834394904459</v>
      </c>
      <c r="Z2454" s="10">
        <v>45553</v>
      </c>
      <c r="AA2454" s="9">
        <v>0</v>
      </c>
      <c r="AC2454" s="9">
        <v>454536</v>
      </c>
      <c r="AD2454" s="14">
        <v>8.4491428571428582</v>
      </c>
      <c r="AF2454" s="14">
        <v>0.8</v>
      </c>
      <c r="AH2454" s="14">
        <v>9.2491428571428589</v>
      </c>
      <c r="AI2454" s="13">
        <v>17.568691537761602</v>
      </c>
      <c r="AK2454" s="9">
        <v>40</v>
      </c>
    </row>
    <row r="2455" spans="1:37">
      <c r="A2455" s="9">
        <v>37</v>
      </c>
      <c r="B2455" s="9">
        <v>2024</v>
      </c>
      <c r="C2455" s="9" t="s">
        <v>46</v>
      </c>
      <c r="D2455" s="9" t="s">
        <v>47</v>
      </c>
      <c r="E2455" s="9" t="s">
        <v>47</v>
      </c>
      <c r="F2455" s="10">
        <v>45542</v>
      </c>
      <c r="G2455" s="9" t="s">
        <v>156</v>
      </c>
      <c r="H2455" s="9" t="s">
        <v>52</v>
      </c>
      <c r="J2455" s="9">
        <v>40</v>
      </c>
      <c r="K2455" s="9">
        <v>0.67</v>
      </c>
      <c r="L2455" s="9">
        <v>26.8</v>
      </c>
      <c r="M2455" s="9">
        <v>1.7142857142857142</v>
      </c>
      <c r="N2455" s="9" t="s">
        <v>49</v>
      </c>
      <c r="Q2455" s="9">
        <f>IF(Auction_Sales[[#This Row],[Payment Date]]=0,"",-1+WEEKNUM(Auction_Sales[[#This Row],[Payment Date]]))</f>
        <v>37</v>
      </c>
      <c r="R2455" s="9">
        <v>0</v>
      </c>
      <c r="S2455" s="9" t="s">
        <v>156</v>
      </c>
      <c r="T2455" s="9" t="s">
        <v>52</v>
      </c>
      <c r="U2455" s="9">
        <v>40</v>
      </c>
      <c r="V2455" s="13">
        <v>0.72</v>
      </c>
      <c r="W2455" s="13">
        <v>28.799999999999997</v>
      </c>
      <c r="X2455" s="14">
        <v>-5.182165605095542</v>
      </c>
      <c r="Y2455" s="13">
        <v>23.617834394904456</v>
      </c>
      <c r="Z2455" s="10">
        <v>45553</v>
      </c>
      <c r="AA2455" s="9">
        <v>0</v>
      </c>
      <c r="AC2455" s="9">
        <v>454536</v>
      </c>
      <c r="AD2455" s="14">
        <v>8.4491428571428582</v>
      </c>
      <c r="AF2455" s="14">
        <v>0.8</v>
      </c>
      <c r="AH2455" s="14">
        <v>9.2491428571428589</v>
      </c>
      <c r="AI2455" s="13">
        <v>14.368691537761597</v>
      </c>
      <c r="AK2455" s="9">
        <v>40</v>
      </c>
    </row>
    <row r="2456" spans="1:37">
      <c r="A2456" s="9">
        <v>37</v>
      </c>
      <c r="B2456" s="9">
        <v>2024</v>
      </c>
      <c r="C2456" s="9" t="s">
        <v>46</v>
      </c>
      <c r="D2456" s="9" t="s">
        <v>47</v>
      </c>
      <c r="E2456" s="9" t="s">
        <v>47</v>
      </c>
      <c r="F2456" s="10">
        <v>45542</v>
      </c>
      <c r="G2456" s="9" t="s">
        <v>154</v>
      </c>
      <c r="H2456" s="9" t="s">
        <v>56</v>
      </c>
      <c r="I2456" s="9">
        <v>1</v>
      </c>
      <c r="J2456" s="9">
        <v>40</v>
      </c>
      <c r="K2456" s="9">
        <v>0.83</v>
      </c>
      <c r="L2456" s="9">
        <v>33.200000000000003</v>
      </c>
      <c r="M2456" s="9">
        <v>2.4000000000000004</v>
      </c>
      <c r="N2456" s="9" t="s">
        <v>49</v>
      </c>
      <c r="Q2456" s="9">
        <f>IF(Auction_Sales[[#This Row],[Payment Date]]=0,"",-1+WEEKNUM(Auction_Sales[[#This Row],[Payment Date]]))</f>
        <v>37</v>
      </c>
      <c r="R2456" s="9">
        <v>0</v>
      </c>
      <c r="S2456" s="9" t="s">
        <v>154</v>
      </c>
      <c r="T2456" s="9" t="s">
        <v>56</v>
      </c>
      <c r="U2456" s="9">
        <v>40</v>
      </c>
      <c r="V2456" s="13">
        <v>1.1000000000000001</v>
      </c>
      <c r="W2456" s="13">
        <v>44</v>
      </c>
      <c r="X2456" s="14">
        <v>-5.182165605095542</v>
      </c>
      <c r="Y2456" s="13">
        <v>38.817834394904459</v>
      </c>
      <c r="Z2456" s="10">
        <v>45553</v>
      </c>
      <c r="AA2456" s="9">
        <v>0</v>
      </c>
      <c r="AC2456" s="9">
        <v>454536</v>
      </c>
      <c r="AD2456" s="14">
        <v>11.828800000000003</v>
      </c>
      <c r="AF2456" s="14">
        <v>0.8</v>
      </c>
      <c r="AH2456" s="14">
        <v>12.628800000000004</v>
      </c>
      <c r="AI2456" s="13">
        <v>26.189034394904454</v>
      </c>
      <c r="AK2456" s="9">
        <v>40</v>
      </c>
    </row>
    <row r="2457" spans="1:37">
      <c r="A2457" s="9">
        <v>37</v>
      </c>
      <c r="B2457" s="9">
        <v>2024</v>
      </c>
      <c r="C2457" s="9" t="s">
        <v>46</v>
      </c>
      <c r="D2457" s="9" t="s">
        <v>47</v>
      </c>
      <c r="E2457" s="9" t="s">
        <v>47</v>
      </c>
      <c r="F2457" s="10">
        <v>45542</v>
      </c>
      <c r="G2457" s="9" t="s">
        <v>154</v>
      </c>
      <c r="H2457" s="9" t="s">
        <v>57</v>
      </c>
      <c r="J2457" s="9">
        <v>160</v>
      </c>
      <c r="K2457" s="9">
        <v>1.03</v>
      </c>
      <c r="L2457" s="9">
        <v>164.8</v>
      </c>
      <c r="M2457" s="9">
        <v>9.6000000000000014</v>
      </c>
      <c r="N2457" s="9" t="s">
        <v>49</v>
      </c>
      <c r="Q2457" s="9">
        <f>IF(Auction_Sales[[#This Row],[Payment Date]]=0,"",-1+WEEKNUM(Auction_Sales[[#This Row],[Payment Date]]))</f>
        <v>37</v>
      </c>
      <c r="R2457" s="9">
        <v>160</v>
      </c>
      <c r="S2457" s="9" t="s">
        <v>154</v>
      </c>
      <c r="T2457" s="9" t="s">
        <v>57</v>
      </c>
      <c r="W2457" s="13">
        <v>0</v>
      </c>
      <c r="X2457" s="14">
        <v>0</v>
      </c>
      <c r="Y2457" s="13">
        <v>0</v>
      </c>
      <c r="Z2457" s="10">
        <v>45553</v>
      </c>
      <c r="AA2457" s="9">
        <v>-160</v>
      </c>
      <c r="AC2457" s="9">
        <v>454536</v>
      </c>
      <c r="AD2457" s="14">
        <v>47.315200000000011</v>
      </c>
      <c r="AF2457" s="14">
        <v>0</v>
      </c>
      <c r="AH2457" s="14">
        <v>47.315200000000011</v>
      </c>
      <c r="AI2457" s="13">
        <v>-47.315200000000011</v>
      </c>
      <c r="AK2457" s="9">
        <v>0</v>
      </c>
    </row>
    <row r="2458" spans="1:37">
      <c r="A2458" s="9">
        <v>37</v>
      </c>
      <c r="B2458" s="9">
        <v>2024</v>
      </c>
      <c r="C2458" s="9" t="s">
        <v>46</v>
      </c>
      <c r="D2458" s="9" t="s">
        <v>47</v>
      </c>
      <c r="E2458" s="9" t="s">
        <v>47</v>
      </c>
      <c r="F2458" s="10">
        <v>45542</v>
      </c>
      <c r="G2458" s="9" t="s">
        <v>153</v>
      </c>
      <c r="H2458" s="9" t="s">
        <v>52</v>
      </c>
      <c r="I2458" s="9">
        <v>1</v>
      </c>
      <c r="J2458" s="9">
        <v>160</v>
      </c>
      <c r="K2458" s="9">
        <v>0.28000000000000003</v>
      </c>
      <c r="L2458" s="9">
        <v>44.8</v>
      </c>
      <c r="M2458" s="9">
        <v>4</v>
      </c>
      <c r="N2458" s="9" t="s">
        <v>49</v>
      </c>
      <c r="Q2458" s="9">
        <f>IF(Auction_Sales[[#This Row],[Payment Date]]=0,"",-1+WEEKNUM(Auction_Sales[[#This Row],[Payment Date]]))</f>
        <v>37</v>
      </c>
      <c r="R2458" s="9">
        <v>0</v>
      </c>
      <c r="S2458" s="9" t="s">
        <v>153</v>
      </c>
      <c r="T2458" s="9" t="s">
        <v>52</v>
      </c>
      <c r="U2458" s="9">
        <v>160</v>
      </c>
      <c r="V2458" s="13">
        <v>0.32250000000000001</v>
      </c>
      <c r="W2458" s="13">
        <v>51.6</v>
      </c>
      <c r="X2458" s="14">
        <v>-20.728662420382168</v>
      </c>
      <c r="Y2458" s="13">
        <v>30.871337579617833</v>
      </c>
      <c r="Z2458" s="10">
        <v>45553</v>
      </c>
      <c r="AA2458" s="9">
        <v>0</v>
      </c>
      <c r="AC2458" s="9">
        <v>454536</v>
      </c>
      <c r="AD2458" s="14">
        <v>19.71466666666667</v>
      </c>
      <c r="AF2458" s="14">
        <v>3.2</v>
      </c>
      <c r="AH2458" s="14">
        <v>22.914666666666669</v>
      </c>
      <c r="AI2458" s="13">
        <v>7.9566709129511644</v>
      </c>
      <c r="AK2458" s="9">
        <v>160</v>
      </c>
    </row>
    <row r="2459" spans="1:37">
      <c r="A2459" s="9">
        <v>37</v>
      </c>
      <c r="B2459" s="9">
        <v>2024</v>
      </c>
      <c r="C2459" s="9" t="s">
        <v>46</v>
      </c>
      <c r="D2459" s="9" t="s">
        <v>47</v>
      </c>
      <c r="E2459" s="9" t="s">
        <v>47</v>
      </c>
      <c r="F2459" s="10">
        <v>45542</v>
      </c>
      <c r="G2459" s="9" t="s">
        <v>153</v>
      </c>
      <c r="H2459" s="9" t="s">
        <v>54</v>
      </c>
      <c r="J2459" s="9">
        <v>240</v>
      </c>
      <c r="K2459" s="9">
        <v>0.33</v>
      </c>
      <c r="L2459" s="9">
        <v>79.2</v>
      </c>
      <c r="M2459" s="9">
        <v>6</v>
      </c>
      <c r="N2459" s="9" t="s">
        <v>49</v>
      </c>
      <c r="Q2459" s="9">
        <f>IF(Auction_Sales[[#This Row],[Payment Date]]=0,"",-1+WEEKNUM(Auction_Sales[[#This Row],[Payment Date]]))</f>
        <v>37</v>
      </c>
      <c r="R2459" s="9">
        <v>0</v>
      </c>
      <c r="S2459" s="9" t="s">
        <v>153</v>
      </c>
      <c r="T2459" s="9" t="s">
        <v>54</v>
      </c>
      <c r="U2459" s="9">
        <v>240</v>
      </c>
      <c r="V2459" s="13">
        <v>0.49833333333333329</v>
      </c>
      <c r="W2459" s="13">
        <v>119.6</v>
      </c>
      <c r="X2459" s="14">
        <v>-31.09299363057325</v>
      </c>
      <c r="Y2459" s="13">
        <v>88.507006369426747</v>
      </c>
      <c r="Z2459" s="10">
        <v>45553</v>
      </c>
      <c r="AA2459" s="9">
        <v>0</v>
      </c>
      <c r="AC2459" s="9">
        <v>454536</v>
      </c>
      <c r="AD2459" s="14">
        <v>29.572000000000003</v>
      </c>
      <c r="AF2459" s="14">
        <v>4.8</v>
      </c>
      <c r="AH2459" s="14">
        <v>34.372</v>
      </c>
      <c r="AI2459" s="13">
        <v>54.135006369426748</v>
      </c>
      <c r="AK2459" s="9">
        <v>240</v>
      </c>
    </row>
    <row r="2460" spans="1:37">
      <c r="A2460" s="9">
        <v>37</v>
      </c>
      <c r="B2460" s="9">
        <v>2024</v>
      </c>
      <c r="C2460" s="9" t="s">
        <v>46</v>
      </c>
      <c r="D2460" s="9" t="s">
        <v>47</v>
      </c>
      <c r="E2460" s="9" t="s">
        <v>47</v>
      </c>
      <c r="F2460" s="10">
        <v>45542</v>
      </c>
      <c r="G2460" s="9" t="s">
        <v>153</v>
      </c>
      <c r="H2460" s="9" t="s">
        <v>57</v>
      </c>
      <c r="J2460" s="9">
        <v>80</v>
      </c>
      <c r="K2460" s="9">
        <v>0.47</v>
      </c>
      <c r="L2460" s="9">
        <v>37.6</v>
      </c>
      <c r="M2460" s="9">
        <v>2</v>
      </c>
      <c r="N2460" s="9" t="s">
        <v>49</v>
      </c>
      <c r="Q2460" s="9">
        <f>IF(Auction_Sales[[#This Row],[Payment Date]]=0,"",-1+WEEKNUM(Auction_Sales[[#This Row],[Payment Date]]))</f>
        <v>37</v>
      </c>
      <c r="R2460" s="9">
        <v>0</v>
      </c>
      <c r="S2460" s="9" t="s">
        <v>153</v>
      </c>
      <c r="T2460" s="9" t="s">
        <v>57</v>
      </c>
      <c r="U2460" s="9">
        <v>80</v>
      </c>
      <c r="V2460" s="13">
        <v>0.9</v>
      </c>
      <c r="W2460" s="13">
        <v>72</v>
      </c>
      <c r="X2460" s="14">
        <v>-10.364331210191084</v>
      </c>
      <c r="Y2460" s="13">
        <v>61.635668789808918</v>
      </c>
      <c r="Z2460" s="10">
        <v>45553</v>
      </c>
      <c r="AA2460" s="9">
        <v>0</v>
      </c>
      <c r="AC2460" s="9">
        <v>454536</v>
      </c>
      <c r="AD2460" s="14">
        <v>9.8573333333333348</v>
      </c>
      <c r="AF2460" s="14">
        <v>1.6</v>
      </c>
      <c r="AH2460" s="14">
        <v>11.457333333333334</v>
      </c>
      <c r="AI2460" s="13">
        <v>50.17833545647558</v>
      </c>
      <c r="AK2460" s="9">
        <v>80</v>
      </c>
    </row>
    <row r="2461" spans="1:37">
      <c r="A2461" s="9">
        <v>37</v>
      </c>
      <c r="B2461" s="9">
        <v>2024</v>
      </c>
      <c r="C2461" s="9" t="s">
        <v>46</v>
      </c>
      <c r="D2461" s="9" t="s">
        <v>47</v>
      </c>
      <c r="E2461" s="9" t="s">
        <v>47</v>
      </c>
      <c r="F2461" s="10">
        <v>45544</v>
      </c>
      <c r="G2461" s="9" t="s">
        <v>160</v>
      </c>
      <c r="H2461" s="9" t="s">
        <v>137</v>
      </c>
      <c r="I2461" s="9">
        <v>7</v>
      </c>
      <c r="J2461" s="9">
        <v>112</v>
      </c>
      <c r="K2461" s="9">
        <v>1.42</v>
      </c>
      <c r="L2461" s="9">
        <v>158.49</v>
      </c>
      <c r="M2461" s="9">
        <v>84</v>
      </c>
      <c r="N2461" s="9" t="s">
        <v>49</v>
      </c>
      <c r="Q2461" s="9">
        <f>IF(Auction_Sales[[#This Row],[Payment Date]]=0,"",-1+WEEKNUM(Auction_Sales[[#This Row],[Payment Date]]))</f>
        <v>37</v>
      </c>
      <c r="R2461" s="9">
        <v>56</v>
      </c>
      <c r="S2461" s="9" t="s">
        <v>160</v>
      </c>
      <c r="T2461" s="9" t="s">
        <v>137</v>
      </c>
      <c r="U2461" s="9">
        <v>56</v>
      </c>
      <c r="V2461" s="13">
        <v>7.8553571428571427</v>
      </c>
      <c r="W2461" s="13">
        <v>439.9</v>
      </c>
      <c r="X2461" s="14">
        <v>-4.9247181008902015</v>
      </c>
      <c r="Y2461" s="13">
        <v>434.9752818991098</v>
      </c>
      <c r="Z2461" s="10">
        <v>45553</v>
      </c>
      <c r="AA2461" s="9">
        <v>-56</v>
      </c>
      <c r="AC2461" s="9" t="s">
        <v>147</v>
      </c>
      <c r="AD2461" s="14">
        <v>387.30500000000001</v>
      </c>
      <c r="AF2461" s="14">
        <v>3.36</v>
      </c>
      <c r="AH2461" s="14">
        <v>390.66500000000002</v>
      </c>
      <c r="AI2461" s="13">
        <v>44.310281899109782</v>
      </c>
      <c r="AK2461" s="9">
        <v>56</v>
      </c>
    </row>
    <row r="2462" spans="1:37">
      <c r="A2462" s="9">
        <v>37</v>
      </c>
      <c r="B2462" s="9">
        <v>2024</v>
      </c>
      <c r="C2462" s="9" t="s">
        <v>46</v>
      </c>
      <c r="D2462" s="9" t="s">
        <v>47</v>
      </c>
      <c r="E2462" s="9" t="s">
        <v>47</v>
      </c>
      <c r="F2462" s="10">
        <v>45544</v>
      </c>
      <c r="G2462" s="9" t="s">
        <v>156</v>
      </c>
      <c r="H2462" s="9" t="s">
        <v>57</v>
      </c>
      <c r="I2462" s="9">
        <v>1</v>
      </c>
      <c r="J2462" s="9">
        <v>200</v>
      </c>
      <c r="K2462" s="9">
        <v>1.1399999999999999</v>
      </c>
      <c r="L2462" s="9">
        <v>228</v>
      </c>
      <c r="M2462" s="9">
        <v>12</v>
      </c>
      <c r="N2462" s="9" t="s">
        <v>49</v>
      </c>
      <c r="Q2462" s="9">
        <f>IF(Auction_Sales[[#This Row],[Payment Date]]=0,"",-1+WEEKNUM(Auction_Sales[[#This Row],[Payment Date]]))</f>
        <v>37</v>
      </c>
      <c r="R2462" s="9">
        <v>0</v>
      </c>
      <c r="S2462" s="9" t="s">
        <v>156</v>
      </c>
      <c r="T2462" s="9" t="s">
        <v>57</v>
      </c>
      <c r="U2462" s="9">
        <v>200</v>
      </c>
      <c r="V2462" s="13">
        <v>1.026</v>
      </c>
      <c r="W2462" s="13">
        <v>205.20000000000002</v>
      </c>
      <c r="X2462" s="14">
        <v>-17.588278931750722</v>
      </c>
      <c r="Y2462" s="13">
        <v>187.6117210682493</v>
      </c>
      <c r="Z2462" s="10">
        <v>45553</v>
      </c>
      <c r="AA2462" s="9">
        <v>0</v>
      </c>
      <c r="AC2462" s="9" t="s">
        <v>147</v>
      </c>
      <c r="AD2462" s="14">
        <v>55.32928571428571</v>
      </c>
      <c r="AF2462" s="14">
        <v>4</v>
      </c>
      <c r="AH2462" s="14">
        <v>59.32928571428571</v>
      </c>
      <c r="AI2462" s="13">
        <v>128.28243535396359</v>
      </c>
      <c r="AK2462" s="9">
        <v>200</v>
      </c>
    </row>
    <row r="2463" spans="1:37">
      <c r="A2463" s="9">
        <v>37</v>
      </c>
      <c r="B2463" s="9">
        <v>2024</v>
      </c>
      <c r="C2463" s="9" t="s">
        <v>46</v>
      </c>
      <c r="D2463" s="9" t="s">
        <v>47</v>
      </c>
      <c r="E2463" s="9" t="s">
        <v>47</v>
      </c>
      <c r="F2463" s="10">
        <v>45544</v>
      </c>
      <c r="G2463" s="9" t="s">
        <v>155</v>
      </c>
      <c r="H2463" s="9" t="s">
        <v>48</v>
      </c>
      <c r="I2463" s="9">
        <v>1</v>
      </c>
      <c r="J2463" s="9">
        <v>600</v>
      </c>
      <c r="K2463" s="9">
        <v>0.47</v>
      </c>
      <c r="L2463" s="9">
        <v>283.02</v>
      </c>
      <c r="M2463" s="9">
        <v>12</v>
      </c>
      <c r="N2463" s="9" t="s">
        <v>49</v>
      </c>
      <c r="Q2463" s="9">
        <f>IF(Auction_Sales[[#This Row],[Payment Date]]=0,"",-1+WEEKNUM(Auction_Sales[[#This Row],[Payment Date]]))</f>
        <v>37</v>
      </c>
      <c r="R2463" s="9">
        <v>0</v>
      </c>
      <c r="S2463" s="9" t="s">
        <v>155</v>
      </c>
      <c r="T2463" s="9" t="s">
        <v>48</v>
      </c>
      <c r="U2463" s="9">
        <v>600</v>
      </c>
      <c r="V2463" s="13">
        <v>0.74199999999999999</v>
      </c>
      <c r="W2463" s="13">
        <v>445.2</v>
      </c>
      <c r="X2463" s="14">
        <v>-52.764836795252158</v>
      </c>
      <c r="Y2463" s="13">
        <v>392.43516320474782</v>
      </c>
      <c r="Z2463" s="10">
        <v>45553</v>
      </c>
      <c r="AA2463" s="9">
        <v>0</v>
      </c>
      <c r="AC2463" s="9" t="s">
        <v>147</v>
      </c>
      <c r="AD2463" s="14">
        <v>55.32928571428571</v>
      </c>
      <c r="AF2463" s="14">
        <v>12</v>
      </c>
      <c r="AH2463" s="14">
        <v>67.329285714285703</v>
      </c>
      <c r="AI2463" s="13">
        <v>325.10587749046215</v>
      </c>
      <c r="AK2463" s="9">
        <v>600</v>
      </c>
    </row>
    <row r="2464" spans="1:37">
      <c r="A2464" s="9">
        <v>37</v>
      </c>
      <c r="B2464" s="9">
        <v>2024</v>
      </c>
      <c r="C2464" s="9" t="s">
        <v>46</v>
      </c>
      <c r="D2464" s="9" t="s">
        <v>47</v>
      </c>
      <c r="E2464" s="9" t="s">
        <v>47</v>
      </c>
      <c r="F2464" s="10">
        <v>45544</v>
      </c>
      <c r="G2464" s="9" t="s">
        <v>154</v>
      </c>
      <c r="H2464" s="9" t="s">
        <v>51</v>
      </c>
      <c r="I2464" s="9">
        <v>1</v>
      </c>
      <c r="J2464" s="9">
        <v>440</v>
      </c>
      <c r="K2464" s="9">
        <v>0.38</v>
      </c>
      <c r="L2464" s="9">
        <v>166.04</v>
      </c>
      <c r="M2464" s="9">
        <v>12</v>
      </c>
      <c r="N2464" s="9" t="s">
        <v>49</v>
      </c>
      <c r="Q2464" s="9">
        <f>IF(Auction_Sales[[#This Row],[Payment Date]]=0,"",-1+WEEKNUM(Auction_Sales[[#This Row],[Payment Date]]))</f>
        <v>37</v>
      </c>
      <c r="R2464" s="9">
        <v>0</v>
      </c>
      <c r="S2464" s="9" t="s">
        <v>154</v>
      </c>
      <c r="T2464" s="9" t="s">
        <v>51</v>
      </c>
      <c r="U2464" s="9">
        <v>440</v>
      </c>
      <c r="V2464" s="13">
        <v>0.63272727272727269</v>
      </c>
      <c r="W2464" s="13">
        <v>278.39999999999998</v>
      </c>
      <c r="X2464" s="14">
        <v>-38.694213649851584</v>
      </c>
      <c r="Y2464" s="13">
        <v>239.7057863501484</v>
      </c>
      <c r="Z2464" s="10">
        <v>45553</v>
      </c>
      <c r="AA2464" s="9">
        <v>0</v>
      </c>
      <c r="AC2464" s="9" t="s">
        <v>147</v>
      </c>
      <c r="AD2464" s="14">
        <v>55.32928571428571</v>
      </c>
      <c r="AF2464" s="14">
        <v>8.8000000000000007</v>
      </c>
      <c r="AH2464" s="14">
        <v>64.129285714285714</v>
      </c>
      <c r="AI2464" s="13">
        <v>175.57650063586269</v>
      </c>
      <c r="AK2464" s="9">
        <v>440</v>
      </c>
    </row>
    <row r="2465" spans="1:37">
      <c r="A2465" s="9">
        <v>37</v>
      </c>
      <c r="B2465" s="9">
        <v>2024</v>
      </c>
      <c r="C2465" s="9" t="s">
        <v>46</v>
      </c>
      <c r="D2465" s="9" t="s">
        <v>47</v>
      </c>
      <c r="E2465" s="9" t="s">
        <v>47</v>
      </c>
      <c r="F2465" s="10">
        <v>45544</v>
      </c>
      <c r="G2465" s="9" t="s">
        <v>154</v>
      </c>
      <c r="H2465" s="9" t="s">
        <v>56</v>
      </c>
      <c r="I2465" s="9">
        <v>1</v>
      </c>
      <c r="J2465" s="9">
        <v>80</v>
      </c>
      <c r="K2465" s="9">
        <v>0.83</v>
      </c>
      <c r="L2465" s="9">
        <v>66.400000000000006</v>
      </c>
      <c r="M2465" s="9">
        <v>4.8000000000000007</v>
      </c>
      <c r="N2465" s="9" t="s">
        <v>49</v>
      </c>
      <c r="Q2465" s="9">
        <f>IF(Auction_Sales[[#This Row],[Payment Date]]=0,"",-1+WEEKNUM(Auction_Sales[[#This Row],[Payment Date]]))</f>
        <v>37</v>
      </c>
      <c r="R2465" s="9">
        <v>0</v>
      </c>
      <c r="S2465" s="9" t="s">
        <v>154</v>
      </c>
      <c r="T2465" s="9" t="s">
        <v>56</v>
      </c>
      <c r="U2465" s="9">
        <v>80</v>
      </c>
      <c r="V2465" s="13">
        <v>1.9750000000000001</v>
      </c>
      <c r="W2465" s="13">
        <v>158</v>
      </c>
      <c r="X2465" s="14">
        <v>-7.0353115727002873</v>
      </c>
      <c r="Y2465" s="13">
        <v>150.96468842729971</v>
      </c>
      <c r="Z2465" s="10">
        <v>45553</v>
      </c>
      <c r="AA2465" s="9">
        <v>0</v>
      </c>
      <c r="AC2465" s="9" t="s">
        <v>147</v>
      </c>
      <c r="AD2465" s="14">
        <v>22.131714285714288</v>
      </c>
      <c r="AF2465" s="14">
        <v>1.6</v>
      </c>
      <c r="AH2465" s="14">
        <v>23.73171428571429</v>
      </c>
      <c r="AI2465" s="13">
        <v>127.23297414158542</v>
      </c>
      <c r="AK2465" s="9">
        <v>80</v>
      </c>
    </row>
    <row r="2466" spans="1:37">
      <c r="A2466" s="9">
        <v>37</v>
      </c>
      <c r="B2466" s="9">
        <v>2024</v>
      </c>
      <c r="C2466" s="9" t="s">
        <v>46</v>
      </c>
      <c r="D2466" s="9" t="s">
        <v>47</v>
      </c>
      <c r="E2466" s="9" t="s">
        <v>47</v>
      </c>
      <c r="F2466" s="10">
        <v>45544</v>
      </c>
      <c r="G2466" s="9" t="s">
        <v>154</v>
      </c>
      <c r="H2466" s="9" t="s">
        <v>57</v>
      </c>
      <c r="J2466" s="9">
        <v>120</v>
      </c>
      <c r="K2466" s="9">
        <v>1.03</v>
      </c>
      <c r="L2466" s="9">
        <v>123.6</v>
      </c>
      <c r="M2466" s="9">
        <v>7.1999999999999993</v>
      </c>
      <c r="N2466" s="9" t="s">
        <v>49</v>
      </c>
      <c r="Q2466" s="9">
        <f>IF(Auction_Sales[[#This Row],[Payment Date]]=0,"",-1+WEEKNUM(Auction_Sales[[#This Row],[Payment Date]]))</f>
        <v>37</v>
      </c>
      <c r="R2466" s="9">
        <v>0</v>
      </c>
      <c r="S2466" s="9" t="s">
        <v>154</v>
      </c>
      <c r="T2466" s="9" t="s">
        <v>57</v>
      </c>
      <c r="U2466" s="9">
        <v>120</v>
      </c>
      <c r="V2466" s="13">
        <v>1.85</v>
      </c>
      <c r="W2466" s="13">
        <v>222</v>
      </c>
      <c r="X2466" s="14">
        <v>-10.552967359050431</v>
      </c>
      <c r="Y2466" s="13">
        <v>211.44703264094957</v>
      </c>
      <c r="Z2466" s="10">
        <v>45553</v>
      </c>
      <c r="AA2466" s="9">
        <v>0</v>
      </c>
      <c r="AC2466" s="9" t="s">
        <v>147</v>
      </c>
      <c r="AD2466" s="14">
        <v>33.197571428571422</v>
      </c>
      <c r="AF2466" s="14">
        <v>2.4</v>
      </c>
      <c r="AH2466" s="14">
        <v>35.59757142857142</v>
      </c>
      <c r="AI2466" s="13">
        <v>175.84946121237815</v>
      </c>
      <c r="AK2466" s="9">
        <v>120</v>
      </c>
    </row>
    <row r="2467" spans="1:37">
      <c r="A2467" s="9">
        <v>37</v>
      </c>
      <c r="B2467" s="9">
        <v>2024</v>
      </c>
      <c r="C2467" s="9" t="s">
        <v>46</v>
      </c>
      <c r="D2467" s="9" t="s">
        <v>47</v>
      </c>
      <c r="E2467" s="9" t="s">
        <v>47</v>
      </c>
      <c r="F2467" s="10">
        <v>45544</v>
      </c>
      <c r="G2467" s="9" t="s">
        <v>156</v>
      </c>
      <c r="H2467" s="9" t="s">
        <v>51</v>
      </c>
      <c r="I2467" s="9">
        <v>1</v>
      </c>
      <c r="J2467" s="9">
        <v>200</v>
      </c>
      <c r="K2467" s="9">
        <v>0.42</v>
      </c>
      <c r="L2467" s="9">
        <v>84.91</v>
      </c>
      <c r="M2467" s="9">
        <v>6</v>
      </c>
      <c r="N2467" s="9" t="s">
        <v>49</v>
      </c>
      <c r="Q2467" s="9">
        <f>IF(Auction_Sales[[#This Row],[Payment Date]]=0,"",-1+WEEKNUM(Auction_Sales[[#This Row],[Payment Date]]))</f>
        <v>37</v>
      </c>
      <c r="R2467" s="9">
        <v>0</v>
      </c>
      <c r="S2467" s="9" t="s">
        <v>156</v>
      </c>
      <c r="T2467" s="9" t="s">
        <v>51</v>
      </c>
      <c r="U2467" s="9">
        <v>200</v>
      </c>
      <c r="V2467" s="13">
        <v>0.37</v>
      </c>
      <c r="W2467" s="13">
        <v>74</v>
      </c>
      <c r="X2467" s="14">
        <v>-17.588278931750722</v>
      </c>
      <c r="Y2467" s="13">
        <v>56.411721068249278</v>
      </c>
      <c r="Z2467" s="10">
        <v>45553</v>
      </c>
      <c r="AA2467" s="9">
        <v>0</v>
      </c>
      <c r="AC2467" s="9" t="s">
        <v>147</v>
      </c>
      <c r="AD2467" s="14">
        <v>27.664642857142855</v>
      </c>
      <c r="AF2467" s="14">
        <v>4</v>
      </c>
      <c r="AH2467" s="14">
        <v>31.664642857142855</v>
      </c>
      <c r="AI2467" s="13">
        <v>24.747078211106423</v>
      </c>
      <c r="AK2467" s="9">
        <v>200</v>
      </c>
    </row>
    <row r="2468" spans="1:37">
      <c r="A2468" s="9">
        <v>37</v>
      </c>
      <c r="B2468" s="9">
        <v>2024</v>
      </c>
      <c r="C2468" s="9" t="s">
        <v>46</v>
      </c>
      <c r="D2468" s="9" t="s">
        <v>47</v>
      </c>
      <c r="E2468" s="9" t="s">
        <v>47</v>
      </c>
      <c r="F2468" s="10">
        <v>45544</v>
      </c>
      <c r="G2468" s="9" t="s">
        <v>156</v>
      </c>
      <c r="H2468" s="9" t="s">
        <v>52</v>
      </c>
      <c r="J2468" s="9">
        <v>120</v>
      </c>
      <c r="K2468" s="9">
        <v>0.67</v>
      </c>
      <c r="L2468" s="9">
        <v>80.400000000000006</v>
      </c>
      <c r="M2468" s="9">
        <v>3.5999999999999996</v>
      </c>
      <c r="N2468" s="9" t="s">
        <v>49</v>
      </c>
      <c r="Q2468" s="9">
        <f>IF(Auction_Sales[[#This Row],[Payment Date]]=0,"",-1+WEEKNUM(Auction_Sales[[#This Row],[Payment Date]]))</f>
        <v>37</v>
      </c>
      <c r="R2468" s="9">
        <v>0</v>
      </c>
      <c r="S2468" s="9" t="s">
        <v>156</v>
      </c>
      <c r="T2468" s="9" t="s">
        <v>52</v>
      </c>
      <c r="U2468" s="9">
        <v>120</v>
      </c>
      <c r="V2468" s="13">
        <v>0.80666666666666664</v>
      </c>
      <c r="W2468" s="13">
        <v>96.8</v>
      </c>
      <c r="X2468" s="14">
        <v>-10.552967359050431</v>
      </c>
      <c r="Y2468" s="13">
        <v>86.24703264094957</v>
      </c>
      <c r="Z2468" s="10">
        <v>45553</v>
      </c>
      <c r="AA2468" s="9">
        <v>0</v>
      </c>
      <c r="AC2468" s="9" t="s">
        <v>147</v>
      </c>
      <c r="AD2468" s="14">
        <v>16.598785714285711</v>
      </c>
      <c r="AF2468" s="14">
        <v>2.4</v>
      </c>
      <c r="AH2468" s="14">
        <v>18.99878571428571</v>
      </c>
      <c r="AI2468" s="13">
        <v>67.248246926663853</v>
      </c>
      <c r="AK2468" s="9">
        <v>120</v>
      </c>
    </row>
    <row r="2469" spans="1:37">
      <c r="A2469" s="9">
        <v>37</v>
      </c>
      <c r="B2469" s="9">
        <v>2024</v>
      </c>
      <c r="C2469" s="9" t="s">
        <v>46</v>
      </c>
      <c r="D2469" s="9" t="s">
        <v>47</v>
      </c>
      <c r="E2469" s="9" t="s">
        <v>47</v>
      </c>
      <c r="F2469" s="10">
        <v>45544</v>
      </c>
      <c r="G2469" s="9" t="s">
        <v>156</v>
      </c>
      <c r="H2469" s="9" t="s">
        <v>54</v>
      </c>
      <c r="J2469" s="9">
        <v>80</v>
      </c>
      <c r="K2469" s="9">
        <v>0.72</v>
      </c>
      <c r="L2469" s="9">
        <v>57.6</v>
      </c>
      <c r="M2469" s="9">
        <v>2.4000000000000004</v>
      </c>
      <c r="N2469" s="9" t="s">
        <v>49</v>
      </c>
      <c r="Q2469" s="9">
        <f>IF(Auction_Sales[[#This Row],[Payment Date]]=0,"",-1+WEEKNUM(Auction_Sales[[#This Row],[Payment Date]]))</f>
        <v>37</v>
      </c>
      <c r="R2469" s="9">
        <v>0</v>
      </c>
      <c r="S2469" s="9" t="s">
        <v>156</v>
      </c>
      <c r="T2469" s="9" t="s">
        <v>54</v>
      </c>
      <c r="U2469" s="9">
        <v>80</v>
      </c>
      <c r="V2469" s="13">
        <v>0.80999999999999994</v>
      </c>
      <c r="W2469" s="13">
        <v>64.8</v>
      </c>
      <c r="X2469" s="14">
        <v>-7.0353115727002873</v>
      </c>
      <c r="Y2469" s="13">
        <v>57.76468842729971</v>
      </c>
      <c r="Z2469" s="10">
        <v>45553</v>
      </c>
      <c r="AA2469" s="9">
        <v>0</v>
      </c>
      <c r="AC2469" s="9" t="s">
        <v>147</v>
      </c>
      <c r="AD2469" s="14">
        <v>11.065857142857144</v>
      </c>
      <c r="AF2469" s="14">
        <v>1.6</v>
      </c>
      <c r="AH2469" s="14">
        <v>12.665857142857144</v>
      </c>
      <c r="AI2469" s="13">
        <v>45.098831284442568</v>
      </c>
      <c r="AK2469" s="9">
        <v>80</v>
      </c>
    </row>
    <row r="2470" spans="1:37">
      <c r="A2470" s="9">
        <v>37</v>
      </c>
      <c r="B2470" s="9">
        <v>2024</v>
      </c>
      <c r="C2470" s="9" t="s">
        <v>46</v>
      </c>
      <c r="D2470" s="9" t="s">
        <v>47</v>
      </c>
      <c r="E2470" s="9" t="s">
        <v>47</v>
      </c>
      <c r="F2470" s="10">
        <v>45544</v>
      </c>
      <c r="G2470" s="9" t="s">
        <v>154</v>
      </c>
      <c r="H2470" s="9" t="s">
        <v>48</v>
      </c>
      <c r="I2470" s="9">
        <v>1</v>
      </c>
      <c r="J2470" s="9">
        <v>240</v>
      </c>
      <c r="K2470" s="9">
        <v>0.47</v>
      </c>
      <c r="L2470" s="9">
        <v>113.21</v>
      </c>
      <c r="M2470" s="9">
        <v>6.545454545454545</v>
      </c>
      <c r="N2470" s="9" t="s">
        <v>49</v>
      </c>
      <c r="Q2470" s="9">
        <f>IF(Auction_Sales[[#This Row],[Payment Date]]=0,"",-1+WEEKNUM(Auction_Sales[[#This Row],[Payment Date]]))</f>
        <v>37</v>
      </c>
      <c r="R2470" s="9">
        <v>0</v>
      </c>
      <c r="S2470" s="9" t="s">
        <v>154</v>
      </c>
      <c r="T2470" s="9" t="s">
        <v>48</v>
      </c>
      <c r="U2470" s="9">
        <v>240</v>
      </c>
      <c r="V2470" s="13">
        <v>0.93500000000000005</v>
      </c>
      <c r="W2470" s="13">
        <v>224.4</v>
      </c>
      <c r="X2470" s="14">
        <v>-21.105934718100862</v>
      </c>
      <c r="Y2470" s="13">
        <v>203.29406528189915</v>
      </c>
      <c r="Z2470" s="10">
        <v>45553</v>
      </c>
      <c r="AA2470" s="9">
        <v>0</v>
      </c>
      <c r="AC2470" s="9" t="s">
        <v>147</v>
      </c>
      <c r="AD2470" s="14">
        <v>30.179610389610389</v>
      </c>
      <c r="AF2470" s="14">
        <v>4.8</v>
      </c>
      <c r="AH2470" s="14">
        <v>34.979610389610386</v>
      </c>
      <c r="AI2470" s="13">
        <v>168.31445489228878</v>
      </c>
      <c r="AK2470" s="9">
        <v>240</v>
      </c>
    </row>
    <row r="2471" spans="1:37">
      <c r="A2471" s="9">
        <v>37</v>
      </c>
      <c r="B2471" s="9">
        <v>2024</v>
      </c>
      <c r="C2471" s="9" t="s">
        <v>46</v>
      </c>
      <c r="D2471" s="9" t="s">
        <v>47</v>
      </c>
      <c r="E2471" s="9" t="s">
        <v>47</v>
      </c>
      <c r="F2471" s="10">
        <v>45544</v>
      </c>
      <c r="G2471" s="9" t="s">
        <v>154</v>
      </c>
      <c r="H2471" s="9" t="s">
        <v>52</v>
      </c>
      <c r="J2471" s="9">
        <v>200</v>
      </c>
      <c r="K2471" s="9">
        <v>0.56999999999999995</v>
      </c>
      <c r="L2471" s="9">
        <v>114</v>
      </c>
      <c r="M2471" s="9">
        <v>5.4545454545454541</v>
      </c>
      <c r="N2471" s="9" t="s">
        <v>49</v>
      </c>
      <c r="Q2471" s="9">
        <f>IF(Auction_Sales[[#This Row],[Payment Date]]=0,"",-1+WEEKNUM(Auction_Sales[[#This Row],[Payment Date]]))</f>
        <v>37</v>
      </c>
      <c r="R2471" s="9">
        <v>0</v>
      </c>
      <c r="S2471" s="9" t="s">
        <v>154</v>
      </c>
      <c r="T2471" s="9" t="s">
        <v>52</v>
      </c>
      <c r="U2471" s="9">
        <v>200</v>
      </c>
      <c r="V2471" s="13">
        <v>1.62</v>
      </c>
      <c r="W2471" s="13">
        <v>324</v>
      </c>
      <c r="X2471" s="14">
        <v>-17.588278931750722</v>
      </c>
      <c r="Y2471" s="13">
        <v>306.41172106824928</v>
      </c>
      <c r="Z2471" s="10">
        <v>45553</v>
      </c>
      <c r="AA2471" s="9">
        <v>0</v>
      </c>
      <c r="AC2471" s="9" t="s">
        <v>147</v>
      </c>
      <c r="AD2471" s="14">
        <v>25.149675324675322</v>
      </c>
      <c r="AF2471" s="14">
        <v>4</v>
      </c>
      <c r="AH2471" s="14">
        <v>29.149675324675322</v>
      </c>
      <c r="AI2471" s="13">
        <v>277.26204574357394</v>
      </c>
      <c r="AK2471" s="9">
        <v>200</v>
      </c>
    </row>
    <row r="2472" spans="1:37">
      <c r="A2472" s="9">
        <v>37</v>
      </c>
      <c r="B2472" s="9">
        <v>2024</v>
      </c>
      <c r="C2472" s="9" t="s">
        <v>46</v>
      </c>
      <c r="D2472" s="9" t="s">
        <v>47</v>
      </c>
      <c r="E2472" s="9" t="s">
        <v>47</v>
      </c>
      <c r="F2472" s="10">
        <v>45544</v>
      </c>
      <c r="G2472" s="9" t="s">
        <v>153</v>
      </c>
      <c r="H2472" s="9" t="s">
        <v>54</v>
      </c>
      <c r="I2472" s="9">
        <v>1</v>
      </c>
      <c r="J2472" s="9">
        <v>120</v>
      </c>
      <c r="K2472" s="9">
        <v>0.33</v>
      </c>
      <c r="L2472" s="9">
        <v>39.619999999999997</v>
      </c>
      <c r="M2472" s="9">
        <v>4</v>
      </c>
      <c r="N2472" s="9" t="s">
        <v>49</v>
      </c>
      <c r="Q2472" s="9">
        <f>IF(Auction_Sales[[#This Row],[Payment Date]]=0,"",-1+WEEKNUM(Auction_Sales[[#This Row],[Payment Date]]))</f>
        <v>37</v>
      </c>
      <c r="R2472" s="9">
        <v>0</v>
      </c>
      <c r="S2472" s="9" t="s">
        <v>153</v>
      </c>
      <c r="T2472" s="9" t="s">
        <v>54</v>
      </c>
      <c r="U2472" s="9">
        <v>120</v>
      </c>
      <c r="V2472" s="13">
        <v>0.69666666666666666</v>
      </c>
      <c r="W2472" s="13">
        <v>83.6</v>
      </c>
      <c r="X2472" s="14">
        <v>-10.552967359050431</v>
      </c>
      <c r="Y2472" s="13">
        <v>73.047032640949567</v>
      </c>
      <c r="Z2472" s="10">
        <v>45553</v>
      </c>
      <c r="AA2472" s="9">
        <v>0</v>
      </c>
      <c r="AC2472" s="9" t="s">
        <v>147</v>
      </c>
      <c r="AD2472" s="14">
        <v>18.443095238095239</v>
      </c>
      <c r="AF2472" s="14">
        <v>2.4</v>
      </c>
      <c r="AH2472" s="14">
        <v>20.843095238095238</v>
      </c>
      <c r="AI2472" s="13">
        <v>52.203937402854329</v>
      </c>
      <c r="AK2472" s="9">
        <v>120</v>
      </c>
    </row>
    <row r="2473" spans="1:37">
      <c r="A2473" s="9">
        <v>37</v>
      </c>
      <c r="B2473" s="9">
        <v>2024</v>
      </c>
      <c r="C2473" s="9" t="s">
        <v>46</v>
      </c>
      <c r="D2473" s="9" t="s">
        <v>47</v>
      </c>
      <c r="E2473" s="9" t="s">
        <v>47</v>
      </c>
      <c r="F2473" s="10">
        <v>45544</v>
      </c>
      <c r="G2473" s="9" t="s">
        <v>153</v>
      </c>
      <c r="H2473" s="9" t="s">
        <v>52</v>
      </c>
      <c r="J2473" s="9">
        <v>240</v>
      </c>
      <c r="K2473" s="9">
        <v>0.28000000000000003</v>
      </c>
      <c r="L2473" s="9">
        <v>67.92</v>
      </c>
      <c r="M2473" s="9">
        <v>8</v>
      </c>
      <c r="N2473" s="9" t="s">
        <v>49</v>
      </c>
      <c r="Q2473" s="9">
        <f>IF(Auction_Sales[[#This Row],[Payment Date]]=0,"",-1+WEEKNUM(Auction_Sales[[#This Row],[Payment Date]]))</f>
        <v>37</v>
      </c>
      <c r="R2473" s="9">
        <v>0</v>
      </c>
      <c r="S2473" s="9" t="s">
        <v>153</v>
      </c>
      <c r="T2473" s="9" t="s">
        <v>52</v>
      </c>
      <c r="U2473" s="9">
        <v>240</v>
      </c>
      <c r="V2473" s="13">
        <v>0.56000000000000005</v>
      </c>
      <c r="W2473" s="13">
        <v>134.4</v>
      </c>
      <c r="X2473" s="14">
        <v>-21.105934718100862</v>
      </c>
      <c r="Y2473" s="13">
        <v>113.29406528189915</v>
      </c>
      <c r="Z2473" s="10">
        <v>45553</v>
      </c>
      <c r="AA2473" s="9">
        <v>0</v>
      </c>
      <c r="AC2473" s="9" t="s">
        <v>147</v>
      </c>
      <c r="AD2473" s="14">
        <v>36.886190476190478</v>
      </c>
      <c r="AF2473" s="14">
        <v>4.8</v>
      </c>
      <c r="AH2473" s="14">
        <v>41.686190476190475</v>
      </c>
      <c r="AI2473" s="13">
        <v>71.607874805708676</v>
      </c>
      <c r="AK2473" s="9">
        <v>240</v>
      </c>
    </row>
    <row r="2474" spans="1:37">
      <c r="A2474" s="9">
        <v>37</v>
      </c>
      <c r="B2474" s="9">
        <v>2024</v>
      </c>
      <c r="C2474" s="9" t="s">
        <v>46</v>
      </c>
      <c r="D2474" s="9" t="s">
        <v>47</v>
      </c>
      <c r="E2474" s="9" t="s">
        <v>47</v>
      </c>
      <c r="F2474" s="10">
        <v>45544</v>
      </c>
      <c r="G2474" s="9" t="s">
        <v>160</v>
      </c>
      <c r="H2474" s="9" t="s">
        <v>137</v>
      </c>
      <c r="N2474" s="9" t="s">
        <v>49</v>
      </c>
      <c r="Q2474" s="9">
        <f>IF(Auction_Sales[[#This Row],[Payment Date]]=0,"",-1+WEEKNUM(Auction_Sales[[#This Row],[Payment Date]]))</f>
        <v>37</v>
      </c>
      <c r="R2474" s="9">
        <v>-56</v>
      </c>
      <c r="S2474" s="9" t="s">
        <v>160</v>
      </c>
      <c r="T2474" s="9" t="s">
        <v>137</v>
      </c>
      <c r="U2474" s="9">
        <v>56</v>
      </c>
      <c r="V2474" s="13">
        <v>7.6232142857142851</v>
      </c>
      <c r="W2474" s="13">
        <v>426.9</v>
      </c>
      <c r="X2474" s="14">
        <v>-60.919999999999959</v>
      </c>
      <c r="Y2474" s="13">
        <v>365.98</v>
      </c>
      <c r="Z2474" s="10">
        <v>45553</v>
      </c>
      <c r="AA2474" s="9">
        <v>56</v>
      </c>
      <c r="AC2474" s="9" t="s">
        <v>147</v>
      </c>
      <c r="AD2474" s="14">
        <v>0</v>
      </c>
      <c r="AF2474" s="14">
        <v>3.36</v>
      </c>
      <c r="AH2474" s="14">
        <v>3.36</v>
      </c>
      <c r="AI2474" s="13">
        <v>362.62</v>
      </c>
      <c r="AK2474" s="9">
        <v>56</v>
      </c>
    </row>
    <row r="2475" spans="1:37">
      <c r="A2475" s="9">
        <v>38</v>
      </c>
      <c r="B2475" s="9">
        <v>2024</v>
      </c>
      <c r="C2475" s="9" t="s">
        <v>46</v>
      </c>
      <c r="D2475" s="9" t="s">
        <v>47</v>
      </c>
      <c r="E2475" s="9" t="s">
        <v>47</v>
      </c>
      <c r="F2475" s="10">
        <v>45549</v>
      </c>
      <c r="G2475" s="9" t="s">
        <v>160</v>
      </c>
      <c r="H2475" s="9" t="s">
        <v>137</v>
      </c>
      <c r="I2475" s="9">
        <v>11</v>
      </c>
      <c r="J2475" s="9">
        <v>176</v>
      </c>
      <c r="K2475" s="9">
        <v>1.42</v>
      </c>
      <c r="L2475" s="9">
        <v>249.06</v>
      </c>
      <c r="M2475" s="9">
        <v>132</v>
      </c>
      <c r="N2475" s="9" t="s">
        <v>49</v>
      </c>
      <c r="Q2475" s="9">
        <f>IF(Auction_Sales[[#This Row],[Payment Date]]=0,"",-1+WEEKNUM(Auction_Sales[[#This Row],[Payment Date]]))</f>
        <v>38</v>
      </c>
      <c r="R2475" s="9">
        <v>88</v>
      </c>
      <c r="S2475" s="9" t="s">
        <v>160</v>
      </c>
      <c r="T2475" s="9" t="s">
        <v>137</v>
      </c>
      <c r="U2475" s="9">
        <v>88</v>
      </c>
      <c r="V2475" s="13">
        <v>7.9681818181818187</v>
      </c>
      <c r="W2475" s="13">
        <v>701.2</v>
      </c>
      <c r="X2475" s="14">
        <v>-8.9379421221864881</v>
      </c>
      <c r="Y2475" s="13">
        <v>692.2620578778135</v>
      </c>
      <c r="Z2475" s="10">
        <v>45560</v>
      </c>
      <c r="AA2475" s="9">
        <v>-88</v>
      </c>
      <c r="AC2475" s="9">
        <v>455386</v>
      </c>
      <c r="AD2475" s="14">
        <v>638.45833333333337</v>
      </c>
      <c r="AF2475" s="14">
        <v>5.2799999999999994</v>
      </c>
      <c r="AH2475" s="14">
        <v>643.73833333333334</v>
      </c>
      <c r="AI2475" s="13">
        <v>48.52372454448016</v>
      </c>
      <c r="AK2475" s="9">
        <v>88</v>
      </c>
    </row>
    <row r="2476" spans="1:37">
      <c r="A2476" s="9">
        <v>38</v>
      </c>
      <c r="B2476" s="9">
        <v>2024</v>
      </c>
      <c r="C2476" s="9" t="s">
        <v>46</v>
      </c>
      <c r="D2476" s="9" t="s">
        <v>47</v>
      </c>
      <c r="E2476" s="9" t="s">
        <v>47</v>
      </c>
      <c r="F2476" s="10">
        <v>45549</v>
      </c>
      <c r="G2476" s="9" t="s">
        <v>154</v>
      </c>
      <c r="H2476" s="9" t="s">
        <v>57</v>
      </c>
      <c r="I2476" s="9">
        <v>1</v>
      </c>
      <c r="J2476" s="9">
        <v>200</v>
      </c>
      <c r="K2476" s="9">
        <v>1.03</v>
      </c>
      <c r="L2476" s="9">
        <v>206</v>
      </c>
      <c r="M2476" s="9">
        <v>12</v>
      </c>
      <c r="N2476" s="9" t="s">
        <v>49</v>
      </c>
      <c r="Q2476" s="9">
        <f>IF(Auction_Sales[[#This Row],[Payment Date]]=0,"",-1+WEEKNUM(Auction_Sales[[#This Row],[Payment Date]]))</f>
        <v>38</v>
      </c>
      <c r="R2476" s="9">
        <v>-80</v>
      </c>
      <c r="S2476" s="9" t="s">
        <v>154</v>
      </c>
      <c r="T2476" s="9" t="s">
        <v>57</v>
      </c>
      <c r="U2476" s="9">
        <v>280</v>
      </c>
      <c r="V2476" s="13">
        <v>1.4785714285714286</v>
      </c>
      <c r="W2476" s="13">
        <v>414</v>
      </c>
      <c r="X2476" s="14">
        <v>-28.438906752411551</v>
      </c>
      <c r="Y2476" s="13">
        <v>385.56109324758847</v>
      </c>
      <c r="Z2476" s="10">
        <v>45560</v>
      </c>
      <c r="AA2476" s="9">
        <v>80</v>
      </c>
      <c r="AC2476" s="9">
        <v>455386</v>
      </c>
      <c r="AD2476" s="14">
        <v>58.041666666666664</v>
      </c>
      <c r="AF2476" s="14">
        <v>5.6000000000000005</v>
      </c>
      <c r="AH2476" s="14">
        <v>63.641666666666666</v>
      </c>
      <c r="AI2476" s="13">
        <v>321.91942658092182</v>
      </c>
      <c r="AK2476" s="9">
        <v>280</v>
      </c>
    </row>
    <row r="2477" spans="1:37">
      <c r="A2477" s="9">
        <v>38</v>
      </c>
      <c r="B2477" s="9">
        <v>2024</v>
      </c>
      <c r="C2477" s="9" t="s">
        <v>46</v>
      </c>
      <c r="D2477" s="9" t="s">
        <v>47</v>
      </c>
      <c r="E2477" s="9" t="s">
        <v>47</v>
      </c>
      <c r="F2477" s="10">
        <v>45549</v>
      </c>
      <c r="G2477" s="9" t="s">
        <v>155</v>
      </c>
      <c r="H2477" s="9" t="s">
        <v>48</v>
      </c>
      <c r="I2477" s="9">
        <v>1</v>
      </c>
      <c r="J2477" s="9">
        <v>520</v>
      </c>
      <c r="K2477" s="9">
        <v>0.47</v>
      </c>
      <c r="L2477" s="9">
        <v>244.4</v>
      </c>
      <c r="M2477" s="9">
        <v>12</v>
      </c>
      <c r="N2477" s="9" t="s">
        <v>49</v>
      </c>
      <c r="Q2477" s="9">
        <f>IF(Auction_Sales[[#This Row],[Payment Date]]=0,"",-1+WEEKNUM(Auction_Sales[[#This Row],[Payment Date]]))</f>
        <v>38</v>
      </c>
      <c r="R2477" s="9">
        <v>-280</v>
      </c>
      <c r="S2477" s="9" t="s">
        <v>155</v>
      </c>
      <c r="T2477" s="9" t="s">
        <v>48</v>
      </c>
      <c r="U2477" s="9">
        <v>800</v>
      </c>
      <c r="V2477" s="13">
        <v>0.79749999999999999</v>
      </c>
      <c r="W2477" s="13">
        <v>638</v>
      </c>
      <c r="X2477" s="14">
        <v>-81.25401929260444</v>
      </c>
      <c r="Y2477" s="13">
        <v>556.74598070739557</v>
      </c>
      <c r="Z2477" s="10">
        <v>45560</v>
      </c>
      <c r="AA2477" s="9">
        <v>280</v>
      </c>
      <c r="AC2477" s="9">
        <v>455386</v>
      </c>
      <c r="AD2477" s="14">
        <v>58.041666666666664</v>
      </c>
      <c r="AF2477" s="14">
        <v>16</v>
      </c>
      <c r="AH2477" s="14">
        <v>74.041666666666657</v>
      </c>
      <c r="AI2477" s="13">
        <v>482.70431404072895</v>
      </c>
      <c r="AK2477" s="9">
        <v>800</v>
      </c>
    </row>
    <row r="2478" spans="1:37">
      <c r="A2478" s="9">
        <v>38</v>
      </c>
      <c r="B2478" s="9">
        <v>2024</v>
      </c>
      <c r="C2478" s="9" t="s">
        <v>46</v>
      </c>
      <c r="D2478" s="9" t="s">
        <v>47</v>
      </c>
      <c r="E2478" s="9" t="s">
        <v>47</v>
      </c>
      <c r="F2478" s="10">
        <v>45549</v>
      </c>
      <c r="G2478" s="9" t="s">
        <v>156</v>
      </c>
      <c r="H2478" s="9" t="s">
        <v>57</v>
      </c>
      <c r="I2478" s="9">
        <v>1</v>
      </c>
      <c r="J2478" s="9">
        <v>200</v>
      </c>
      <c r="K2478" s="9">
        <v>1.1399999999999999</v>
      </c>
      <c r="L2478" s="9">
        <v>228</v>
      </c>
      <c r="M2478" s="9">
        <v>12</v>
      </c>
      <c r="N2478" s="9" t="s">
        <v>49</v>
      </c>
      <c r="Q2478" s="9">
        <f>IF(Auction_Sales[[#This Row],[Payment Date]]=0,"",-1+WEEKNUM(Auction_Sales[[#This Row],[Payment Date]]))</f>
        <v>38</v>
      </c>
      <c r="R2478" s="9">
        <v>0</v>
      </c>
      <c r="S2478" s="9" t="s">
        <v>156</v>
      </c>
      <c r="T2478" s="9" t="s">
        <v>57</v>
      </c>
      <c r="U2478" s="9">
        <v>200</v>
      </c>
      <c r="V2478" s="13">
        <v>0.94799999999999995</v>
      </c>
      <c r="W2478" s="13">
        <v>189.6</v>
      </c>
      <c r="X2478" s="14">
        <v>-20.31350482315111</v>
      </c>
      <c r="Y2478" s="13">
        <v>169.28649517684889</v>
      </c>
      <c r="Z2478" s="10">
        <v>45560</v>
      </c>
      <c r="AA2478" s="9">
        <v>0</v>
      </c>
      <c r="AC2478" s="9">
        <v>455386</v>
      </c>
      <c r="AD2478" s="14">
        <v>58.041666666666664</v>
      </c>
      <c r="AF2478" s="14">
        <v>4</v>
      </c>
      <c r="AH2478" s="14">
        <v>62.041666666666664</v>
      </c>
      <c r="AI2478" s="13">
        <v>107.24482851018223</v>
      </c>
      <c r="AK2478" s="9">
        <v>200</v>
      </c>
    </row>
    <row r="2479" spans="1:37">
      <c r="A2479" s="9">
        <v>38</v>
      </c>
      <c r="B2479" s="9">
        <v>2024</v>
      </c>
      <c r="C2479" s="9" t="s">
        <v>46</v>
      </c>
      <c r="D2479" s="9" t="s">
        <v>47</v>
      </c>
      <c r="E2479" s="9" t="s">
        <v>47</v>
      </c>
      <c r="F2479" s="10">
        <v>45549</v>
      </c>
      <c r="G2479" s="9" t="s">
        <v>154</v>
      </c>
      <c r="H2479" s="9" t="s">
        <v>48</v>
      </c>
      <c r="I2479" s="9">
        <v>1</v>
      </c>
      <c r="J2479" s="9">
        <v>200</v>
      </c>
      <c r="K2479" s="9">
        <v>0.47</v>
      </c>
      <c r="L2479" s="9">
        <v>94</v>
      </c>
      <c r="M2479" s="9">
        <v>6</v>
      </c>
      <c r="N2479" s="9" t="s">
        <v>49</v>
      </c>
      <c r="Q2479" s="9">
        <f>IF(Auction_Sales[[#This Row],[Payment Date]]=0,"",-1+WEEKNUM(Auction_Sales[[#This Row],[Payment Date]]))</f>
        <v>38</v>
      </c>
      <c r="R2479" s="9">
        <v>0</v>
      </c>
      <c r="S2479" s="9" t="s">
        <v>154</v>
      </c>
      <c r="T2479" s="9" t="s">
        <v>48</v>
      </c>
      <c r="U2479" s="9">
        <v>200</v>
      </c>
      <c r="V2479" s="13">
        <v>1.46</v>
      </c>
      <c r="W2479" s="13">
        <v>292</v>
      </c>
      <c r="X2479" s="14">
        <v>-20.31350482315111</v>
      </c>
      <c r="Y2479" s="13">
        <v>271.68649517684889</v>
      </c>
      <c r="Z2479" s="10">
        <v>45560</v>
      </c>
      <c r="AA2479" s="9">
        <v>0</v>
      </c>
      <c r="AC2479" s="9">
        <v>455386</v>
      </c>
      <c r="AD2479" s="14">
        <v>29.020833333333332</v>
      </c>
      <c r="AF2479" s="14">
        <v>4</v>
      </c>
      <c r="AH2479" s="14">
        <v>33.020833333333329</v>
      </c>
      <c r="AI2479" s="13">
        <v>238.66566184351558</v>
      </c>
      <c r="AK2479" s="9">
        <v>200</v>
      </c>
    </row>
    <row r="2480" spans="1:37">
      <c r="A2480" s="9">
        <v>38</v>
      </c>
      <c r="B2480" s="9">
        <v>2024</v>
      </c>
      <c r="C2480" s="9" t="s">
        <v>46</v>
      </c>
      <c r="D2480" s="9" t="s">
        <v>47</v>
      </c>
      <c r="E2480" s="9" t="s">
        <v>47</v>
      </c>
      <c r="F2480" s="10">
        <v>45549</v>
      </c>
      <c r="G2480" s="9" t="s">
        <v>154</v>
      </c>
      <c r="H2480" s="9" t="s">
        <v>52</v>
      </c>
      <c r="J2480" s="9">
        <v>120</v>
      </c>
      <c r="K2480" s="9">
        <v>0.56999999999999995</v>
      </c>
      <c r="L2480" s="9">
        <v>68.400000000000006</v>
      </c>
      <c r="M2480" s="9">
        <v>3.5999999999999996</v>
      </c>
      <c r="N2480" s="9" t="s">
        <v>49</v>
      </c>
      <c r="Q2480" s="9">
        <f>IF(Auction_Sales[[#This Row],[Payment Date]]=0,"",-1+WEEKNUM(Auction_Sales[[#This Row],[Payment Date]]))</f>
        <v>38</v>
      </c>
      <c r="R2480" s="9">
        <v>0</v>
      </c>
      <c r="S2480" s="9" t="s">
        <v>154</v>
      </c>
      <c r="T2480" s="9" t="s">
        <v>52</v>
      </c>
      <c r="U2480" s="9">
        <v>120</v>
      </c>
      <c r="V2480" s="13">
        <v>1.95</v>
      </c>
      <c r="W2480" s="13">
        <v>234</v>
      </c>
      <c r="X2480" s="14">
        <v>-12.188102893890667</v>
      </c>
      <c r="Y2480" s="13">
        <v>221.81189710610934</v>
      </c>
      <c r="Z2480" s="10">
        <v>45560</v>
      </c>
      <c r="AA2480" s="9">
        <v>0</v>
      </c>
      <c r="AC2480" s="9">
        <v>455386</v>
      </c>
      <c r="AD2480" s="14">
        <v>17.412500000000001</v>
      </c>
      <c r="AF2480" s="14">
        <v>2.4</v>
      </c>
      <c r="AH2480" s="14">
        <v>19.8125</v>
      </c>
      <c r="AI2480" s="13">
        <v>201.99939710610934</v>
      </c>
      <c r="AK2480" s="9">
        <v>120</v>
      </c>
    </row>
    <row r="2481" spans="1:37">
      <c r="A2481" s="9">
        <v>38</v>
      </c>
      <c r="B2481" s="9">
        <v>2024</v>
      </c>
      <c r="C2481" s="9" t="s">
        <v>46</v>
      </c>
      <c r="D2481" s="9" t="s">
        <v>47</v>
      </c>
      <c r="E2481" s="9" t="s">
        <v>47</v>
      </c>
      <c r="F2481" s="10">
        <v>45549</v>
      </c>
      <c r="G2481" s="9" t="s">
        <v>154</v>
      </c>
      <c r="H2481" s="9" t="s">
        <v>54</v>
      </c>
      <c r="J2481" s="9">
        <v>80</v>
      </c>
      <c r="K2481" s="9">
        <v>0.62</v>
      </c>
      <c r="L2481" s="9">
        <v>49.6</v>
      </c>
      <c r="M2481" s="9">
        <v>2.4000000000000004</v>
      </c>
      <c r="N2481" s="9" t="s">
        <v>49</v>
      </c>
      <c r="Q2481" s="9">
        <f>IF(Auction_Sales[[#This Row],[Payment Date]]=0,"",-1+WEEKNUM(Auction_Sales[[#This Row],[Payment Date]]))</f>
        <v>38</v>
      </c>
      <c r="R2481" s="9">
        <v>0</v>
      </c>
      <c r="S2481" s="9" t="s">
        <v>154</v>
      </c>
      <c r="T2481" s="9" t="s">
        <v>54</v>
      </c>
      <c r="U2481" s="9">
        <v>80</v>
      </c>
      <c r="V2481" s="13">
        <v>1.4</v>
      </c>
      <c r="W2481" s="13">
        <v>112</v>
      </c>
      <c r="X2481" s="14">
        <v>-8.1254019292604447</v>
      </c>
      <c r="Y2481" s="13">
        <v>103.87459807073955</v>
      </c>
      <c r="Z2481" s="10">
        <v>45560</v>
      </c>
      <c r="AA2481" s="9">
        <v>0</v>
      </c>
      <c r="AC2481" s="9">
        <v>455386</v>
      </c>
      <c r="AD2481" s="14">
        <v>11.608333333333336</v>
      </c>
      <c r="AF2481" s="14">
        <v>1.6</v>
      </c>
      <c r="AH2481" s="14">
        <v>13.208333333333336</v>
      </c>
      <c r="AI2481" s="13">
        <v>90.666264737406209</v>
      </c>
      <c r="AK2481" s="9">
        <v>80</v>
      </c>
    </row>
    <row r="2482" spans="1:37">
      <c r="A2482" s="9">
        <v>38</v>
      </c>
      <c r="B2482" s="9">
        <v>2024</v>
      </c>
      <c r="C2482" s="9" t="s">
        <v>46</v>
      </c>
      <c r="D2482" s="9" t="s">
        <v>47</v>
      </c>
      <c r="E2482" s="9" t="s">
        <v>47</v>
      </c>
      <c r="F2482" s="10">
        <v>45549</v>
      </c>
      <c r="G2482" s="9" t="s">
        <v>154</v>
      </c>
      <c r="H2482" s="9" t="s">
        <v>56</v>
      </c>
      <c r="I2482" s="9">
        <v>1</v>
      </c>
      <c r="J2482" s="9">
        <v>120</v>
      </c>
      <c r="K2482" s="9">
        <v>0.83</v>
      </c>
      <c r="L2482" s="9">
        <v>99.6</v>
      </c>
      <c r="M2482" s="9">
        <v>7.1999999999999993</v>
      </c>
      <c r="N2482" s="9" t="s">
        <v>49</v>
      </c>
      <c r="Q2482" s="9">
        <f>IF(Auction_Sales[[#This Row],[Payment Date]]=0,"",-1+WEEKNUM(Auction_Sales[[#This Row],[Payment Date]]))</f>
        <v>38</v>
      </c>
      <c r="R2482" s="9">
        <v>0</v>
      </c>
      <c r="S2482" s="9" t="s">
        <v>154</v>
      </c>
      <c r="T2482" s="9" t="s">
        <v>56</v>
      </c>
      <c r="U2482" s="9">
        <v>120</v>
      </c>
      <c r="V2482" s="13">
        <v>1.45</v>
      </c>
      <c r="W2482" s="13">
        <v>174</v>
      </c>
      <c r="X2482" s="14">
        <v>-12.188102893890667</v>
      </c>
      <c r="Y2482" s="13">
        <v>161.81189710610934</v>
      </c>
      <c r="Z2482" s="10">
        <v>45560</v>
      </c>
      <c r="AA2482" s="9">
        <v>0</v>
      </c>
      <c r="AC2482" s="9">
        <v>455386</v>
      </c>
      <c r="AD2482" s="14">
        <v>34.825000000000003</v>
      </c>
      <c r="AF2482" s="14">
        <v>2.4</v>
      </c>
      <c r="AH2482" s="14">
        <v>37.225000000000001</v>
      </c>
      <c r="AI2482" s="13">
        <v>124.58689710610935</v>
      </c>
      <c r="AK2482" s="9">
        <v>120</v>
      </c>
    </row>
    <row r="2483" spans="1:37">
      <c r="A2483" s="9">
        <v>38</v>
      </c>
      <c r="B2483" s="9">
        <v>2024</v>
      </c>
      <c r="C2483" s="9" t="s">
        <v>46</v>
      </c>
      <c r="D2483" s="9" t="s">
        <v>47</v>
      </c>
      <c r="E2483" s="9" t="s">
        <v>47</v>
      </c>
      <c r="F2483" s="10">
        <v>45549</v>
      </c>
      <c r="G2483" s="9" t="s">
        <v>154</v>
      </c>
      <c r="H2483" s="9" t="s">
        <v>57</v>
      </c>
      <c r="J2483" s="9">
        <v>80</v>
      </c>
      <c r="K2483" s="9">
        <v>1.03</v>
      </c>
      <c r="L2483" s="9">
        <v>82.4</v>
      </c>
      <c r="M2483" s="9">
        <v>4.8000000000000007</v>
      </c>
      <c r="N2483" s="9" t="s">
        <v>49</v>
      </c>
      <c r="Q2483" s="9">
        <f>IF(Auction_Sales[[#This Row],[Payment Date]]=0,"",-1+WEEKNUM(Auction_Sales[[#This Row],[Payment Date]]))</f>
        <v>38</v>
      </c>
      <c r="R2483" s="9">
        <v>80</v>
      </c>
      <c r="S2483" s="9" t="s">
        <v>154</v>
      </c>
      <c r="T2483" s="9" t="s">
        <v>57</v>
      </c>
      <c r="W2483" s="13">
        <v>0</v>
      </c>
      <c r="X2483" s="14">
        <v>0</v>
      </c>
      <c r="Y2483" s="13">
        <v>0</v>
      </c>
      <c r="Z2483" s="10">
        <v>45560</v>
      </c>
      <c r="AA2483" s="9">
        <v>-80</v>
      </c>
      <c r="AC2483" s="9">
        <v>455386</v>
      </c>
      <c r="AD2483" s="14">
        <v>23.216666666666672</v>
      </c>
      <c r="AF2483" s="14">
        <v>0</v>
      </c>
      <c r="AH2483" s="14">
        <v>23.216666666666672</v>
      </c>
      <c r="AI2483" s="13">
        <v>-23.216666666666672</v>
      </c>
      <c r="AK2483" s="9">
        <v>0</v>
      </c>
    </row>
    <row r="2484" spans="1:37">
      <c r="A2484" s="9">
        <v>38</v>
      </c>
      <c r="B2484" s="9">
        <v>2024</v>
      </c>
      <c r="C2484" s="9" t="s">
        <v>46</v>
      </c>
      <c r="D2484" s="9" t="s">
        <v>47</v>
      </c>
      <c r="E2484" s="9" t="s">
        <v>47</v>
      </c>
      <c r="F2484" s="10">
        <v>45549</v>
      </c>
      <c r="G2484" s="9" t="s">
        <v>153</v>
      </c>
      <c r="H2484" s="9" t="s">
        <v>52</v>
      </c>
      <c r="I2484" s="9">
        <v>1</v>
      </c>
      <c r="J2484" s="9">
        <v>120</v>
      </c>
      <c r="K2484" s="9">
        <v>0.28000000000000003</v>
      </c>
      <c r="L2484" s="9">
        <v>33.6</v>
      </c>
      <c r="M2484" s="9">
        <v>3.2727272727272725</v>
      </c>
      <c r="N2484" s="9" t="s">
        <v>49</v>
      </c>
      <c r="Q2484" s="9">
        <f>IF(Auction_Sales[[#This Row],[Payment Date]]=0,"",-1+WEEKNUM(Auction_Sales[[#This Row],[Payment Date]]))</f>
        <v>38</v>
      </c>
      <c r="R2484" s="9">
        <v>0</v>
      </c>
      <c r="S2484" s="9" t="s">
        <v>153</v>
      </c>
      <c r="T2484" s="9" t="s">
        <v>52</v>
      </c>
      <c r="U2484" s="9">
        <v>120</v>
      </c>
      <c r="V2484" s="13">
        <v>0.38999999999999996</v>
      </c>
      <c r="W2484" s="13">
        <v>46.8</v>
      </c>
      <c r="X2484" s="14">
        <v>-12.188102893890667</v>
      </c>
      <c r="Y2484" s="13">
        <v>34.611897106109332</v>
      </c>
      <c r="Z2484" s="10">
        <v>45560</v>
      </c>
      <c r="AA2484" s="9">
        <v>0</v>
      </c>
      <c r="AC2484" s="9">
        <v>455386</v>
      </c>
      <c r="AD2484" s="14">
        <v>15.829545454545453</v>
      </c>
      <c r="AF2484" s="14">
        <v>2.4</v>
      </c>
      <c r="AH2484" s="14">
        <v>18.229545454545452</v>
      </c>
      <c r="AI2484" s="13">
        <v>16.38235165156388</v>
      </c>
      <c r="AK2484" s="9">
        <v>120</v>
      </c>
    </row>
    <row r="2485" spans="1:37">
      <c r="A2485" s="9">
        <v>38</v>
      </c>
      <c r="B2485" s="9">
        <v>2024</v>
      </c>
      <c r="C2485" s="9" t="s">
        <v>46</v>
      </c>
      <c r="D2485" s="9" t="s">
        <v>47</v>
      </c>
      <c r="E2485" s="9" t="s">
        <v>47</v>
      </c>
      <c r="F2485" s="10">
        <v>45549</v>
      </c>
      <c r="G2485" s="9" t="s">
        <v>153</v>
      </c>
      <c r="H2485" s="9" t="s">
        <v>54</v>
      </c>
      <c r="J2485" s="9">
        <v>320</v>
      </c>
      <c r="K2485" s="9">
        <v>0.33</v>
      </c>
      <c r="L2485" s="9">
        <v>105.6</v>
      </c>
      <c r="M2485" s="9">
        <v>8.7272727272727266</v>
      </c>
      <c r="N2485" s="9" t="s">
        <v>49</v>
      </c>
      <c r="Q2485" s="9">
        <f>IF(Auction_Sales[[#This Row],[Payment Date]]=0,"",-1+WEEKNUM(Auction_Sales[[#This Row],[Payment Date]]))</f>
        <v>38</v>
      </c>
      <c r="R2485" s="9">
        <v>0</v>
      </c>
      <c r="S2485" s="9" t="s">
        <v>153</v>
      </c>
      <c r="T2485" s="9" t="s">
        <v>54</v>
      </c>
      <c r="U2485" s="9">
        <v>320</v>
      </c>
      <c r="V2485" s="13">
        <v>0.4375</v>
      </c>
      <c r="W2485" s="13">
        <v>140</v>
      </c>
      <c r="X2485" s="14">
        <v>-32.501607717041779</v>
      </c>
      <c r="Y2485" s="13">
        <v>107.49839228295822</v>
      </c>
      <c r="Z2485" s="10">
        <v>45560</v>
      </c>
      <c r="AA2485" s="9">
        <v>0</v>
      </c>
      <c r="AC2485" s="9">
        <v>455386</v>
      </c>
      <c r="AD2485" s="14">
        <v>42.212121212121211</v>
      </c>
      <c r="AF2485" s="14">
        <v>6.4</v>
      </c>
      <c r="AH2485" s="14">
        <v>48.61212121212121</v>
      </c>
      <c r="AI2485" s="13">
        <v>58.886271070837012</v>
      </c>
      <c r="AK2485" s="9">
        <v>320</v>
      </c>
    </row>
    <row r="2486" spans="1:37">
      <c r="A2486" s="9">
        <v>38</v>
      </c>
      <c r="B2486" s="9">
        <v>2024</v>
      </c>
      <c r="C2486" s="9" t="s">
        <v>46</v>
      </c>
      <c r="D2486" s="9" t="s">
        <v>47</v>
      </c>
      <c r="E2486" s="9" t="s">
        <v>47</v>
      </c>
      <c r="F2486" s="10">
        <v>45549</v>
      </c>
      <c r="G2486" s="9" t="s">
        <v>155</v>
      </c>
      <c r="H2486" s="9" t="s">
        <v>48</v>
      </c>
      <c r="I2486" s="9">
        <v>1</v>
      </c>
      <c r="J2486" s="9">
        <v>280</v>
      </c>
      <c r="K2486" s="9">
        <v>0.47</v>
      </c>
      <c r="L2486" s="9">
        <v>131.6</v>
      </c>
      <c r="M2486" s="9">
        <v>7.6363636363636367</v>
      </c>
      <c r="N2486" s="9" t="s">
        <v>49</v>
      </c>
      <c r="Q2486" s="9">
        <f>IF(Auction_Sales[[#This Row],[Payment Date]]=0,"",-1+WEEKNUM(Auction_Sales[[#This Row],[Payment Date]]))</f>
        <v>38</v>
      </c>
      <c r="R2486" s="9">
        <v>280</v>
      </c>
      <c r="S2486" s="9" t="s">
        <v>155</v>
      </c>
      <c r="T2486" s="9" t="s">
        <v>48</v>
      </c>
      <c r="W2486" s="13">
        <v>0</v>
      </c>
      <c r="X2486" s="14">
        <v>0</v>
      </c>
      <c r="Y2486" s="13">
        <v>0</v>
      </c>
      <c r="Z2486" s="10">
        <v>45560</v>
      </c>
      <c r="AA2486" s="9">
        <v>-280</v>
      </c>
      <c r="AC2486" s="9">
        <v>455386</v>
      </c>
      <c r="AD2486" s="14">
        <v>36.935606060606062</v>
      </c>
      <c r="AF2486" s="14">
        <v>0</v>
      </c>
      <c r="AH2486" s="14">
        <v>36.935606060606062</v>
      </c>
      <c r="AI2486" s="13">
        <v>-36.935606060606062</v>
      </c>
      <c r="AK2486" s="9">
        <v>0</v>
      </c>
    </row>
    <row r="2487" spans="1:37">
      <c r="A2487" s="9">
        <v>38</v>
      </c>
      <c r="B2487" s="9">
        <v>2024</v>
      </c>
      <c r="C2487" s="9" t="s">
        <v>46</v>
      </c>
      <c r="D2487" s="9" t="s">
        <v>47</v>
      </c>
      <c r="E2487" s="9" t="s">
        <v>47</v>
      </c>
      <c r="F2487" s="10">
        <v>45549</v>
      </c>
      <c r="G2487" s="9" t="s">
        <v>155</v>
      </c>
      <c r="H2487" s="9" t="s">
        <v>56</v>
      </c>
      <c r="J2487" s="9">
        <v>40</v>
      </c>
      <c r="K2487" s="9">
        <v>0.83</v>
      </c>
      <c r="L2487" s="9">
        <v>33.200000000000003</v>
      </c>
      <c r="M2487" s="9">
        <v>1.0909090909090908</v>
      </c>
      <c r="N2487" s="9" t="s">
        <v>49</v>
      </c>
      <c r="Q2487" s="9">
        <f>IF(Auction_Sales[[#This Row],[Payment Date]]=0,"",-1+WEEKNUM(Auction_Sales[[#This Row],[Payment Date]]))</f>
        <v>38</v>
      </c>
      <c r="R2487" s="9">
        <v>0</v>
      </c>
      <c r="S2487" s="9" t="s">
        <v>155</v>
      </c>
      <c r="T2487" s="9" t="s">
        <v>56</v>
      </c>
      <c r="U2487" s="9">
        <v>40</v>
      </c>
      <c r="V2487" s="13">
        <v>1.4</v>
      </c>
      <c r="W2487" s="13">
        <v>56</v>
      </c>
      <c r="X2487" s="14">
        <v>-4.0627009646302223</v>
      </c>
      <c r="Y2487" s="13">
        <v>51.937299035369776</v>
      </c>
      <c r="Z2487" s="10">
        <v>45560</v>
      </c>
      <c r="AA2487" s="9">
        <v>0</v>
      </c>
      <c r="AC2487" s="9">
        <v>455386</v>
      </c>
      <c r="AD2487" s="14">
        <v>5.2765151515151514</v>
      </c>
      <c r="AF2487" s="14">
        <v>0.8</v>
      </c>
      <c r="AH2487" s="14">
        <v>6.0765151515151512</v>
      </c>
      <c r="AI2487" s="13">
        <v>45.860783883854623</v>
      </c>
      <c r="AK2487" s="9">
        <v>40</v>
      </c>
    </row>
    <row r="2488" spans="1:37">
      <c r="A2488" s="9">
        <v>38</v>
      </c>
      <c r="B2488" s="9">
        <v>2024</v>
      </c>
      <c r="C2488" s="9" t="s">
        <v>46</v>
      </c>
      <c r="D2488" s="9" t="s">
        <v>47</v>
      </c>
      <c r="E2488" s="9" t="s">
        <v>47</v>
      </c>
      <c r="F2488" s="10">
        <v>45549</v>
      </c>
      <c r="G2488" s="9" t="s">
        <v>155</v>
      </c>
      <c r="H2488" s="9" t="s">
        <v>54</v>
      </c>
      <c r="J2488" s="9">
        <v>120</v>
      </c>
      <c r="K2488" s="9">
        <v>0.62</v>
      </c>
      <c r="L2488" s="9">
        <v>74.400000000000006</v>
      </c>
      <c r="M2488" s="9">
        <v>3.2727272727272725</v>
      </c>
      <c r="N2488" s="9" t="s">
        <v>49</v>
      </c>
      <c r="Q2488" s="9">
        <f>IF(Auction_Sales[[#This Row],[Payment Date]]=0,"",-1+WEEKNUM(Auction_Sales[[#This Row],[Payment Date]]))</f>
        <v>38</v>
      </c>
      <c r="R2488" s="9">
        <v>0</v>
      </c>
      <c r="S2488" s="9" t="s">
        <v>155</v>
      </c>
      <c r="T2488" s="9" t="s">
        <v>54</v>
      </c>
      <c r="U2488" s="9">
        <v>120</v>
      </c>
      <c r="V2488" s="13">
        <v>1.45</v>
      </c>
      <c r="W2488" s="13">
        <v>174</v>
      </c>
      <c r="X2488" s="14">
        <v>-12.188102893890667</v>
      </c>
      <c r="Y2488" s="13">
        <v>161.81189710610934</v>
      </c>
      <c r="Z2488" s="10">
        <v>45560</v>
      </c>
      <c r="AA2488" s="9">
        <v>0</v>
      </c>
      <c r="AC2488" s="9">
        <v>455386</v>
      </c>
      <c r="AD2488" s="14">
        <v>15.829545454545453</v>
      </c>
      <c r="AF2488" s="14">
        <v>2.4</v>
      </c>
      <c r="AH2488" s="14">
        <v>18.229545454545452</v>
      </c>
      <c r="AI2488" s="13">
        <v>143.5823516515639</v>
      </c>
      <c r="AK2488" s="9">
        <v>120</v>
      </c>
    </row>
    <row r="2489" spans="1:37">
      <c r="A2489" s="9">
        <v>38</v>
      </c>
      <c r="B2489" s="9">
        <v>2024</v>
      </c>
      <c r="C2489" s="9" t="s">
        <v>46</v>
      </c>
      <c r="D2489" s="9" t="s">
        <v>47</v>
      </c>
      <c r="E2489" s="9" t="s">
        <v>47</v>
      </c>
      <c r="F2489" s="10">
        <v>45549</v>
      </c>
      <c r="G2489" s="9" t="s">
        <v>160</v>
      </c>
      <c r="H2489" s="9" t="s">
        <v>137</v>
      </c>
      <c r="N2489" s="9" t="s">
        <v>49</v>
      </c>
      <c r="Q2489" s="9">
        <f>IF(Auction_Sales[[#This Row],[Payment Date]]=0,"",-1+WEEKNUM(Auction_Sales[[#This Row],[Payment Date]]))</f>
        <v>38</v>
      </c>
      <c r="R2489" s="9">
        <v>-88</v>
      </c>
      <c r="S2489" s="9" t="s">
        <v>160</v>
      </c>
      <c r="T2489" s="9" t="s">
        <v>137</v>
      </c>
      <c r="U2489" s="9">
        <v>88</v>
      </c>
      <c r="V2489" s="13">
        <v>8.0250000000000004</v>
      </c>
      <c r="W2489" s="13">
        <v>706.2</v>
      </c>
      <c r="X2489" s="14">
        <v>-9.4726548672566313</v>
      </c>
      <c r="Y2489" s="13">
        <v>696.72734513274338</v>
      </c>
      <c r="Z2489" s="10">
        <v>45560</v>
      </c>
      <c r="AA2489" s="9">
        <v>88</v>
      </c>
      <c r="AC2489" s="9">
        <v>455386</v>
      </c>
      <c r="AD2489" s="14">
        <v>0</v>
      </c>
      <c r="AF2489" s="14">
        <v>5.2799999999999994</v>
      </c>
      <c r="AH2489" s="14">
        <v>5.2799999999999994</v>
      </c>
      <c r="AI2489" s="13">
        <v>691.44734513274341</v>
      </c>
      <c r="AK2489" s="9">
        <v>88</v>
      </c>
    </row>
    <row r="2490" spans="1:37">
      <c r="A2490" s="9">
        <v>38</v>
      </c>
      <c r="B2490" s="9">
        <v>2024</v>
      </c>
      <c r="C2490" s="9" t="s">
        <v>46</v>
      </c>
      <c r="D2490" s="9" t="s">
        <v>47</v>
      </c>
      <c r="E2490" s="9" t="s">
        <v>47</v>
      </c>
      <c r="F2490" s="10">
        <v>45551</v>
      </c>
      <c r="G2490" s="9" t="s">
        <v>160</v>
      </c>
      <c r="H2490" s="9" t="s">
        <v>137</v>
      </c>
      <c r="I2490" s="9">
        <v>6</v>
      </c>
      <c r="J2490" s="9">
        <v>96</v>
      </c>
      <c r="K2490" s="9">
        <v>1.42</v>
      </c>
      <c r="L2490" s="9">
        <v>135.85</v>
      </c>
      <c r="M2490" s="9">
        <v>72</v>
      </c>
      <c r="N2490" s="9" t="s">
        <v>49</v>
      </c>
      <c r="Q2490" s="9">
        <f>IF(Auction_Sales[[#This Row],[Payment Date]]=0,"",-1+WEEKNUM(Auction_Sales[[#This Row],[Payment Date]]))</f>
        <v>38</v>
      </c>
      <c r="R2490" s="9">
        <v>0</v>
      </c>
      <c r="S2490" s="9" t="s">
        <v>160</v>
      </c>
      <c r="T2490" s="9" t="s">
        <v>137</v>
      </c>
      <c r="U2490" s="9">
        <v>96</v>
      </c>
      <c r="V2490" s="13">
        <v>7.588541666666667</v>
      </c>
      <c r="W2490" s="13">
        <v>728.5</v>
      </c>
      <c r="X2490" s="14">
        <v>-74.07000000000005</v>
      </c>
      <c r="Y2490" s="13">
        <v>654.42999999999995</v>
      </c>
      <c r="Z2490" s="10">
        <v>45560</v>
      </c>
      <c r="AA2490" s="9">
        <v>0</v>
      </c>
      <c r="AC2490" s="9" t="s">
        <v>148</v>
      </c>
      <c r="AD2490" s="14">
        <v>339.93230769230769</v>
      </c>
      <c r="AF2490" s="14">
        <v>5.76</v>
      </c>
      <c r="AH2490" s="14">
        <v>345.69230769230768</v>
      </c>
      <c r="AI2490" s="13">
        <v>308.73769230769227</v>
      </c>
      <c r="AK2490" s="9">
        <v>96</v>
      </c>
    </row>
    <row r="2491" spans="1:37">
      <c r="A2491" s="9">
        <v>38</v>
      </c>
      <c r="B2491" s="9">
        <v>2024</v>
      </c>
      <c r="C2491" s="9" t="s">
        <v>46</v>
      </c>
      <c r="D2491" s="9" t="s">
        <v>47</v>
      </c>
      <c r="E2491" s="9" t="s">
        <v>47</v>
      </c>
      <c r="F2491" s="10">
        <v>45551</v>
      </c>
      <c r="G2491" s="9" t="s">
        <v>154</v>
      </c>
      <c r="H2491" s="9" t="s">
        <v>57</v>
      </c>
      <c r="I2491" s="9">
        <v>1</v>
      </c>
      <c r="J2491" s="9">
        <v>200</v>
      </c>
      <c r="K2491" s="9">
        <v>1.03</v>
      </c>
      <c r="L2491" s="9">
        <v>206</v>
      </c>
      <c r="M2491" s="9">
        <v>12</v>
      </c>
      <c r="N2491" s="9" t="s">
        <v>49</v>
      </c>
      <c r="Q2491" s="9">
        <f>IF(Auction_Sales[[#This Row],[Payment Date]]=0,"",-1+WEEKNUM(Auction_Sales[[#This Row],[Payment Date]]))</f>
        <v>38</v>
      </c>
      <c r="R2491" s="9">
        <v>-120</v>
      </c>
      <c r="S2491" s="9" t="s">
        <v>154</v>
      </c>
      <c r="T2491" s="9" t="s">
        <v>57</v>
      </c>
      <c r="U2491" s="9">
        <v>320</v>
      </c>
      <c r="V2491" s="13">
        <v>1.45</v>
      </c>
      <c r="W2491" s="13">
        <v>464</v>
      </c>
      <c r="X2491" s="14">
        <v>-34.446017699115025</v>
      </c>
      <c r="Y2491" s="13">
        <v>429.55398230088497</v>
      </c>
      <c r="Z2491" s="10">
        <v>45560</v>
      </c>
      <c r="AA2491" s="9">
        <v>120</v>
      </c>
      <c r="AC2491" s="9" t="s">
        <v>147</v>
      </c>
      <c r="AD2491" s="14">
        <v>56.655384615384619</v>
      </c>
      <c r="AF2491" s="14">
        <v>6.4</v>
      </c>
      <c r="AH2491" s="14">
        <v>63.055384615384618</v>
      </c>
      <c r="AI2491" s="13">
        <v>366.49859768550033</v>
      </c>
      <c r="AK2491" s="9">
        <v>320</v>
      </c>
    </row>
    <row r="2492" spans="1:37">
      <c r="A2492" s="9">
        <v>38</v>
      </c>
      <c r="B2492" s="9">
        <v>2024</v>
      </c>
      <c r="C2492" s="9" t="s">
        <v>46</v>
      </c>
      <c r="D2492" s="9" t="s">
        <v>47</v>
      </c>
      <c r="E2492" s="9" t="s">
        <v>47</v>
      </c>
      <c r="F2492" s="10">
        <v>45551</v>
      </c>
      <c r="G2492" s="9" t="s">
        <v>155</v>
      </c>
      <c r="H2492" s="9" t="s">
        <v>51</v>
      </c>
      <c r="I2492" s="9">
        <v>1</v>
      </c>
      <c r="J2492" s="9">
        <v>280</v>
      </c>
      <c r="K2492" s="9">
        <v>0.38</v>
      </c>
      <c r="L2492" s="9">
        <v>105.66</v>
      </c>
      <c r="M2492" s="9">
        <v>5.6</v>
      </c>
      <c r="N2492" s="9" t="s">
        <v>49</v>
      </c>
      <c r="Q2492" s="9">
        <f>IF(Auction_Sales[[#This Row],[Payment Date]]=0,"",-1+WEEKNUM(Auction_Sales[[#This Row],[Payment Date]]))</f>
        <v>38</v>
      </c>
      <c r="R2492" s="9">
        <v>280</v>
      </c>
      <c r="S2492" s="9" t="s">
        <v>155</v>
      </c>
      <c r="T2492" s="9" t="s">
        <v>51</v>
      </c>
      <c r="W2492" s="13">
        <v>0</v>
      </c>
      <c r="X2492" s="14">
        <v>0</v>
      </c>
      <c r="Y2492" s="13">
        <v>0</v>
      </c>
      <c r="Z2492" s="10">
        <v>45560</v>
      </c>
      <c r="AA2492" s="9">
        <v>-280</v>
      </c>
      <c r="AC2492" s="9" t="s">
        <v>147</v>
      </c>
      <c r="AD2492" s="14">
        <v>26.439179487179484</v>
      </c>
      <c r="AF2492" s="14">
        <v>0</v>
      </c>
      <c r="AH2492" s="14">
        <v>26.439179487179484</v>
      </c>
      <c r="AI2492" s="13">
        <v>-26.439179487179484</v>
      </c>
      <c r="AK2492" s="9">
        <v>0</v>
      </c>
    </row>
    <row r="2493" spans="1:37">
      <c r="A2493" s="9">
        <v>38</v>
      </c>
      <c r="B2493" s="9">
        <v>2024</v>
      </c>
      <c r="C2493" s="9" t="s">
        <v>46</v>
      </c>
      <c r="D2493" s="9" t="s">
        <v>47</v>
      </c>
      <c r="E2493" s="9" t="s">
        <v>47</v>
      </c>
      <c r="F2493" s="10">
        <v>45551</v>
      </c>
      <c r="G2493" s="9" t="s">
        <v>155</v>
      </c>
      <c r="H2493" s="9" t="s">
        <v>48</v>
      </c>
      <c r="J2493" s="9">
        <v>320</v>
      </c>
      <c r="K2493" s="9">
        <v>0.47</v>
      </c>
      <c r="L2493" s="9">
        <v>150.94</v>
      </c>
      <c r="M2493" s="9">
        <v>6.4</v>
      </c>
      <c r="N2493" s="9" t="s">
        <v>49</v>
      </c>
      <c r="Q2493" s="9">
        <f>IF(Auction_Sales[[#This Row],[Payment Date]]=0,"",-1+WEEKNUM(Auction_Sales[[#This Row],[Payment Date]]))</f>
        <v>38</v>
      </c>
      <c r="R2493" s="9">
        <v>320</v>
      </c>
      <c r="S2493" s="9" t="s">
        <v>155</v>
      </c>
      <c r="T2493" s="9" t="s">
        <v>48</v>
      </c>
      <c r="W2493" s="13">
        <v>0</v>
      </c>
      <c r="X2493" s="14">
        <v>0</v>
      </c>
      <c r="Y2493" s="13">
        <v>0</v>
      </c>
      <c r="Z2493" s="10">
        <v>45560</v>
      </c>
      <c r="AA2493" s="9">
        <v>-320</v>
      </c>
      <c r="AC2493" s="9" t="s">
        <v>147</v>
      </c>
      <c r="AD2493" s="14">
        <v>30.216205128205129</v>
      </c>
      <c r="AF2493" s="14">
        <v>0</v>
      </c>
      <c r="AH2493" s="14">
        <v>30.216205128205129</v>
      </c>
      <c r="AI2493" s="13">
        <v>-30.216205128205129</v>
      </c>
      <c r="AK2493" s="9">
        <v>0</v>
      </c>
    </row>
    <row r="2494" spans="1:37">
      <c r="A2494" s="9">
        <v>38</v>
      </c>
      <c r="B2494" s="9">
        <v>2024</v>
      </c>
      <c r="C2494" s="9" t="s">
        <v>46</v>
      </c>
      <c r="D2494" s="9" t="s">
        <v>47</v>
      </c>
      <c r="E2494" s="9" t="s">
        <v>47</v>
      </c>
      <c r="F2494" s="10">
        <v>45551</v>
      </c>
      <c r="G2494" s="9" t="s">
        <v>154</v>
      </c>
      <c r="H2494" s="9" t="s">
        <v>51</v>
      </c>
      <c r="I2494" s="9">
        <v>1</v>
      </c>
      <c r="J2494" s="9">
        <v>320</v>
      </c>
      <c r="K2494" s="9">
        <v>0.38</v>
      </c>
      <c r="L2494" s="9">
        <v>120.75</v>
      </c>
      <c r="M2494" s="9">
        <v>6.4</v>
      </c>
      <c r="N2494" s="9" t="s">
        <v>49</v>
      </c>
      <c r="Q2494" s="9">
        <f>IF(Auction_Sales[[#This Row],[Payment Date]]=0,"",-1+WEEKNUM(Auction_Sales[[#This Row],[Payment Date]]))</f>
        <v>38</v>
      </c>
      <c r="R2494" s="9">
        <v>0</v>
      </c>
      <c r="S2494" s="9" t="s">
        <v>154</v>
      </c>
      <c r="T2494" s="9" t="s">
        <v>51</v>
      </c>
      <c r="U2494" s="9">
        <v>320</v>
      </c>
      <c r="V2494" s="13">
        <v>0.73250000000000004</v>
      </c>
      <c r="W2494" s="13">
        <v>234.4</v>
      </c>
      <c r="X2494" s="14">
        <v>-34.446017699115025</v>
      </c>
      <c r="Y2494" s="13">
        <v>199.95398230088497</v>
      </c>
      <c r="Z2494" s="10">
        <v>45560</v>
      </c>
      <c r="AA2494" s="9">
        <v>0</v>
      </c>
      <c r="AC2494" s="9" t="s">
        <v>147</v>
      </c>
      <c r="AD2494" s="14">
        <v>30.216205128205129</v>
      </c>
      <c r="AF2494" s="14">
        <v>6.4</v>
      </c>
      <c r="AH2494" s="14">
        <v>36.616205128205131</v>
      </c>
      <c r="AI2494" s="13">
        <v>163.33777717267984</v>
      </c>
      <c r="AK2494" s="9">
        <v>320</v>
      </c>
    </row>
    <row r="2495" spans="1:37">
      <c r="A2495" s="9">
        <v>38</v>
      </c>
      <c r="B2495" s="9">
        <v>2024</v>
      </c>
      <c r="C2495" s="9" t="s">
        <v>46</v>
      </c>
      <c r="D2495" s="9" t="s">
        <v>47</v>
      </c>
      <c r="E2495" s="9" t="s">
        <v>47</v>
      </c>
      <c r="F2495" s="10">
        <v>45551</v>
      </c>
      <c r="G2495" s="9" t="s">
        <v>154</v>
      </c>
      <c r="H2495" s="9" t="s">
        <v>48</v>
      </c>
      <c r="J2495" s="9">
        <v>280</v>
      </c>
      <c r="K2495" s="9">
        <v>0.47</v>
      </c>
      <c r="L2495" s="9">
        <v>132.08000000000001</v>
      </c>
      <c r="M2495" s="9">
        <v>5.6</v>
      </c>
      <c r="N2495" s="9" t="s">
        <v>49</v>
      </c>
      <c r="Q2495" s="9">
        <f>IF(Auction_Sales[[#This Row],[Payment Date]]=0,"",-1+WEEKNUM(Auction_Sales[[#This Row],[Payment Date]]))</f>
        <v>38</v>
      </c>
      <c r="R2495" s="9">
        <v>0</v>
      </c>
      <c r="S2495" s="9" t="s">
        <v>154</v>
      </c>
      <c r="T2495" s="9" t="s">
        <v>48</v>
      </c>
      <c r="U2495" s="9">
        <v>280</v>
      </c>
      <c r="V2495" s="13">
        <v>0.78</v>
      </c>
      <c r="W2495" s="13">
        <v>218.4</v>
      </c>
      <c r="X2495" s="14">
        <v>-30.140265486725646</v>
      </c>
      <c r="Y2495" s="13">
        <v>188.25973451327437</v>
      </c>
      <c r="Z2495" s="10">
        <v>45560</v>
      </c>
      <c r="AA2495" s="9">
        <v>0</v>
      </c>
      <c r="AC2495" s="9" t="s">
        <v>147</v>
      </c>
      <c r="AD2495" s="14">
        <v>26.439179487179484</v>
      </c>
      <c r="AF2495" s="14">
        <v>5.6000000000000005</v>
      </c>
      <c r="AH2495" s="14">
        <v>32.039179487179481</v>
      </c>
      <c r="AI2495" s="13">
        <v>156.22055502609487</v>
      </c>
      <c r="AK2495" s="9">
        <v>280</v>
      </c>
    </row>
    <row r="2496" spans="1:37">
      <c r="A2496" s="9">
        <v>38</v>
      </c>
      <c r="B2496" s="9">
        <v>2024</v>
      </c>
      <c r="C2496" s="9" t="s">
        <v>46</v>
      </c>
      <c r="D2496" s="9" t="s">
        <v>47</v>
      </c>
      <c r="E2496" s="9" t="s">
        <v>47</v>
      </c>
      <c r="F2496" s="10">
        <v>45551</v>
      </c>
      <c r="G2496" s="9" t="s">
        <v>156</v>
      </c>
      <c r="H2496" s="9" t="s">
        <v>51</v>
      </c>
      <c r="I2496" s="9">
        <v>1</v>
      </c>
      <c r="J2496" s="9">
        <v>240</v>
      </c>
      <c r="K2496" s="9">
        <v>0.42</v>
      </c>
      <c r="L2496" s="9">
        <v>101.89</v>
      </c>
      <c r="M2496" s="9">
        <v>6.545454545454545</v>
      </c>
      <c r="N2496" s="9" t="s">
        <v>49</v>
      </c>
      <c r="Q2496" s="9">
        <f>IF(Auction_Sales[[#This Row],[Payment Date]]=0,"",-1+WEEKNUM(Auction_Sales[[#This Row],[Payment Date]]))</f>
        <v>38</v>
      </c>
      <c r="R2496" s="9">
        <v>0</v>
      </c>
      <c r="S2496" s="9" t="s">
        <v>156</v>
      </c>
      <c r="T2496" s="9" t="s">
        <v>51</v>
      </c>
      <c r="U2496" s="9">
        <v>240</v>
      </c>
      <c r="V2496" s="13">
        <v>0.38</v>
      </c>
      <c r="W2496" s="13">
        <v>91.2</v>
      </c>
      <c r="X2496" s="14">
        <v>-25.83451327433627</v>
      </c>
      <c r="Y2496" s="13">
        <v>65.365486725663729</v>
      </c>
      <c r="Z2496" s="10">
        <v>45560</v>
      </c>
      <c r="AA2496" s="9">
        <v>0</v>
      </c>
      <c r="AC2496" s="9" t="s">
        <v>147</v>
      </c>
      <c r="AD2496" s="14">
        <v>30.90293706293706</v>
      </c>
      <c r="AF2496" s="14">
        <v>4.8</v>
      </c>
      <c r="AH2496" s="14">
        <v>35.70293706293706</v>
      </c>
      <c r="AI2496" s="13">
        <v>29.662549662726668</v>
      </c>
      <c r="AK2496" s="9">
        <v>240</v>
      </c>
    </row>
    <row r="2497" spans="1:37">
      <c r="A2497" s="9">
        <v>38</v>
      </c>
      <c r="B2497" s="9">
        <v>2024</v>
      </c>
      <c r="C2497" s="9" t="s">
        <v>46</v>
      </c>
      <c r="D2497" s="9" t="s">
        <v>47</v>
      </c>
      <c r="E2497" s="9" t="s">
        <v>47</v>
      </c>
      <c r="F2497" s="10">
        <v>45551</v>
      </c>
      <c r="G2497" s="9" t="s">
        <v>156</v>
      </c>
      <c r="H2497" s="9" t="s">
        <v>48</v>
      </c>
      <c r="J2497" s="9">
        <v>200</v>
      </c>
      <c r="K2497" s="9">
        <v>0.52</v>
      </c>
      <c r="L2497" s="9">
        <v>103.77</v>
      </c>
      <c r="M2497" s="9">
        <v>5.4545454545454541</v>
      </c>
      <c r="N2497" s="9" t="s">
        <v>49</v>
      </c>
      <c r="Q2497" s="9">
        <f>IF(Auction_Sales[[#This Row],[Payment Date]]=0,"",-1+WEEKNUM(Auction_Sales[[#This Row],[Payment Date]]))</f>
        <v>38</v>
      </c>
      <c r="R2497" s="9">
        <v>0</v>
      </c>
      <c r="S2497" s="9" t="s">
        <v>156</v>
      </c>
      <c r="T2497" s="9" t="s">
        <v>48</v>
      </c>
      <c r="U2497" s="9">
        <v>200</v>
      </c>
      <c r="V2497" s="13">
        <v>0.54</v>
      </c>
      <c r="W2497" s="13">
        <v>108</v>
      </c>
      <c r="X2497" s="14">
        <v>-21.528761061946891</v>
      </c>
      <c r="Y2497" s="13">
        <v>86.471238938053105</v>
      </c>
      <c r="Z2497" s="10">
        <v>45560</v>
      </c>
      <c r="AA2497" s="9">
        <v>0</v>
      </c>
      <c r="AC2497" s="9" t="s">
        <v>147</v>
      </c>
      <c r="AD2497" s="14">
        <v>25.752447552447549</v>
      </c>
      <c r="AF2497" s="14">
        <v>4</v>
      </c>
      <c r="AH2497" s="14">
        <v>29.752447552447549</v>
      </c>
      <c r="AI2497" s="13">
        <v>56.718791385605556</v>
      </c>
      <c r="AK2497" s="9">
        <v>200</v>
      </c>
    </row>
    <row r="2498" spans="1:37">
      <c r="A2498" s="9">
        <v>38</v>
      </c>
      <c r="B2498" s="9">
        <v>2024</v>
      </c>
      <c r="C2498" s="9" t="s">
        <v>46</v>
      </c>
      <c r="D2498" s="9" t="s">
        <v>47</v>
      </c>
      <c r="E2498" s="9" t="s">
        <v>47</v>
      </c>
      <c r="F2498" s="10">
        <v>45551</v>
      </c>
      <c r="G2498" s="9" t="s">
        <v>154</v>
      </c>
      <c r="H2498" s="9" t="s">
        <v>56</v>
      </c>
      <c r="I2498" s="9">
        <v>1</v>
      </c>
      <c r="J2498" s="9">
        <v>80</v>
      </c>
      <c r="K2498" s="9">
        <v>0.83</v>
      </c>
      <c r="L2498" s="9">
        <v>66.400000000000006</v>
      </c>
      <c r="M2498" s="9">
        <v>4.8000000000000007</v>
      </c>
      <c r="N2498" s="9" t="s">
        <v>49</v>
      </c>
      <c r="Q2498" s="9">
        <f>IF(Auction_Sales[[#This Row],[Payment Date]]=0,"",-1+WEEKNUM(Auction_Sales[[#This Row],[Payment Date]]))</f>
        <v>38</v>
      </c>
      <c r="R2498" s="9">
        <v>-80</v>
      </c>
      <c r="S2498" s="9" t="s">
        <v>154</v>
      </c>
      <c r="T2498" s="9" t="s">
        <v>56</v>
      </c>
      <c r="U2498" s="9">
        <v>160</v>
      </c>
      <c r="V2498" s="13">
        <v>1.4</v>
      </c>
      <c r="W2498" s="13">
        <v>224</v>
      </c>
      <c r="X2498" s="14">
        <v>-17.223008849557512</v>
      </c>
      <c r="Y2498" s="13">
        <v>206.77699115044248</v>
      </c>
      <c r="Z2498" s="10">
        <v>45560</v>
      </c>
      <c r="AA2498" s="9">
        <v>80</v>
      </c>
      <c r="AC2498" s="9" t="s">
        <v>147</v>
      </c>
      <c r="AD2498" s="14">
        <v>22.662153846153849</v>
      </c>
      <c r="AF2498" s="14">
        <v>3.2</v>
      </c>
      <c r="AH2498" s="14">
        <v>25.862153846153848</v>
      </c>
      <c r="AI2498" s="13">
        <v>180.91483730428862</v>
      </c>
      <c r="AK2498" s="9">
        <v>160</v>
      </c>
    </row>
    <row r="2499" spans="1:37">
      <c r="A2499" s="9">
        <v>38</v>
      </c>
      <c r="B2499" s="9">
        <v>2024</v>
      </c>
      <c r="C2499" s="9" t="s">
        <v>46</v>
      </c>
      <c r="D2499" s="9" t="s">
        <v>47</v>
      </c>
      <c r="E2499" s="9" t="s">
        <v>47</v>
      </c>
      <c r="F2499" s="10">
        <v>45551</v>
      </c>
      <c r="G2499" s="9" t="s">
        <v>154</v>
      </c>
      <c r="H2499" s="9" t="s">
        <v>57</v>
      </c>
      <c r="J2499" s="9">
        <v>120</v>
      </c>
      <c r="K2499" s="9">
        <v>1.03</v>
      </c>
      <c r="L2499" s="9">
        <v>123.6</v>
      </c>
      <c r="M2499" s="9">
        <v>7.1999999999999993</v>
      </c>
      <c r="N2499" s="9" t="s">
        <v>49</v>
      </c>
      <c r="Q2499" s="9">
        <f>IF(Auction_Sales[[#This Row],[Payment Date]]=0,"",-1+WEEKNUM(Auction_Sales[[#This Row],[Payment Date]]))</f>
        <v>38</v>
      </c>
      <c r="R2499" s="9">
        <v>120</v>
      </c>
      <c r="S2499" s="9" t="s">
        <v>154</v>
      </c>
      <c r="T2499" s="9" t="s">
        <v>57</v>
      </c>
      <c r="W2499" s="13">
        <v>0</v>
      </c>
      <c r="X2499" s="14">
        <v>0</v>
      </c>
      <c r="Y2499" s="13">
        <v>0</v>
      </c>
      <c r="Z2499" s="10">
        <v>45560</v>
      </c>
      <c r="AA2499" s="9">
        <v>-120</v>
      </c>
      <c r="AC2499" s="9" t="s">
        <v>147</v>
      </c>
      <c r="AD2499" s="14">
        <v>33.993230769230763</v>
      </c>
      <c r="AF2499" s="14">
        <v>0</v>
      </c>
      <c r="AH2499" s="14">
        <v>33.993230769230763</v>
      </c>
      <c r="AI2499" s="13">
        <v>-33.993230769230763</v>
      </c>
      <c r="AK2499" s="9">
        <v>0</v>
      </c>
    </row>
    <row r="2500" spans="1:37">
      <c r="A2500" s="9">
        <v>38</v>
      </c>
      <c r="B2500" s="9">
        <v>2024</v>
      </c>
      <c r="C2500" s="9" t="s">
        <v>46</v>
      </c>
      <c r="D2500" s="9" t="s">
        <v>47</v>
      </c>
      <c r="E2500" s="9" t="s">
        <v>47</v>
      </c>
      <c r="F2500" s="10">
        <v>45551</v>
      </c>
      <c r="G2500" s="9" t="s">
        <v>153</v>
      </c>
      <c r="H2500" s="9" t="s">
        <v>54</v>
      </c>
      <c r="I2500" s="9">
        <v>1</v>
      </c>
      <c r="J2500" s="9">
        <v>80</v>
      </c>
      <c r="K2500" s="9">
        <v>0.33</v>
      </c>
      <c r="L2500" s="9">
        <v>26.42</v>
      </c>
      <c r="M2500" s="9">
        <v>2.4000000000000004</v>
      </c>
      <c r="N2500" s="9" t="s">
        <v>49</v>
      </c>
      <c r="Q2500" s="9">
        <f>IF(Auction_Sales[[#This Row],[Payment Date]]=0,"",-1+WEEKNUM(Auction_Sales[[#This Row],[Payment Date]]))</f>
        <v>38</v>
      </c>
      <c r="R2500" s="9">
        <v>80</v>
      </c>
      <c r="S2500" s="9" t="s">
        <v>153</v>
      </c>
      <c r="T2500" s="9" t="s">
        <v>54</v>
      </c>
      <c r="W2500" s="13">
        <v>0</v>
      </c>
      <c r="X2500" s="14">
        <v>0</v>
      </c>
      <c r="Y2500" s="13">
        <v>0</v>
      </c>
      <c r="Z2500" s="10">
        <v>45560</v>
      </c>
      <c r="AA2500" s="9">
        <v>-80</v>
      </c>
      <c r="AC2500" s="9" t="s">
        <v>147</v>
      </c>
      <c r="AD2500" s="14">
        <v>11.331076923076925</v>
      </c>
      <c r="AF2500" s="14">
        <v>0</v>
      </c>
      <c r="AH2500" s="14">
        <v>11.331076923076925</v>
      </c>
      <c r="AI2500" s="13">
        <v>-11.331076923076925</v>
      </c>
      <c r="AK2500" s="9">
        <v>0</v>
      </c>
    </row>
    <row r="2501" spans="1:37">
      <c r="A2501" s="9">
        <v>38</v>
      </c>
      <c r="B2501" s="9">
        <v>2024</v>
      </c>
      <c r="C2501" s="9" t="s">
        <v>46</v>
      </c>
      <c r="D2501" s="9" t="s">
        <v>47</v>
      </c>
      <c r="E2501" s="9" t="s">
        <v>47</v>
      </c>
      <c r="F2501" s="10">
        <v>45551</v>
      </c>
      <c r="G2501" s="9" t="s">
        <v>153</v>
      </c>
      <c r="H2501" s="9" t="s">
        <v>56</v>
      </c>
      <c r="J2501" s="9">
        <v>120</v>
      </c>
      <c r="K2501" s="9">
        <v>0.38</v>
      </c>
      <c r="L2501" s="9">
        <v>45.28</v>
      </c>
      <c r="M2501" s="9">
        <v>3.5999999999999996</v>
      </c>
      <c r="N2501" s="9" t="s">
        <v>49</v>
      </c>
      <c r="Q2501" s="9">
        <f>IF(Auction_Sales[[#This Row],[Payment Date]]=0,"",-1+WEEKNUM(Auction_Sales[[#This Row],[Payment Date]]))</f>
        <v>38</v>
      </c>
      <c r="R2501" s="9">
        <v>120</v>
      </c>
      <c r="S2501" s="9" t="s">
        <v>153</v>
      </c>
      <c r="T2501" s="9" t="s">
        <v>56</v>
      </c>
      <c r="W2501" s="13">
        <v>0</v>
      </c>
      <c r="X2501" s="14">
        <v>0</v>
      </c>
      <c r="Y2501" s="13">
        <v>0</v>
      </c>
      <c r="Z2501" s="10">
        <v>45560</v>
      </c>
      <c r="AA2501" s="9">
        <v>-120</v>
      </c>
      <c r="AC2501" s="9" t="s">
        <v>147</v>
      </c>
      <c r="AD2501" s="14">
        <v>16.996615384615382</v>
      </c>
      <c r="AF2501" s="14">
        <v>0</v>
      </c>
      <c r="AH2501" s="14">
        <v>16.996615384615382</v>
      </c>
      <c r="AI2501" s="13">
        <v>-16.996615384615382</v>
      </c>
      <c r="AK2501" s="9">
        <v>0</v>
      </c>
    </row>
    <row r="2502" spans="1:37">
      <c r="A2502" s="9">
        <v>38</v>
      </c>
      <c r="B2502" s="9">
        <v>2024</v>
      </c>
      <c r="C2502" s="9" t="s">
        <v>46</v>
      </c>
      <c r="D2502" s="9" t="s">
        <v>47</v>
      </c>
      <c r="E2502" s="9" t="s">
        <v>47</v>
      </c>
      <c r="F2502" s="10">
        <v>45551</v>
      </c>
      <c r="G2502" s="9" t="s">
        <v>153</v>
      </c>
      <c r="H2502" s="9" t="s">
        <v>52</v>
      </c>
      <c r="J2502" s="9">
        <v>200</v>
      </c>
      <c r="K2502" s="9">
        <v>0.28000000000000003</v>
      </c>
      <c r="L2502" s="9">
        <v>56.6</v>
      </c>
      <c r="M2502" s="9">
        <v>6</v>
      </c>
      <c r="N2502" s="9" t="s">
        <v>49</v>
      </c>
      <c r="Q2502" s="9">
        <f>IF(Auction_Sales[[#This Row],[Payment Date]]=0,"",-1+WEEKNUM(Auction_Sales[[#This Row],[Payment Date]]))</f>
        <v>38</v>
      </c>
      <c r="R2502" s="9">
        <v>200</v>
      </c>
      <c r="S2502" s="9" t="s">
        <v>153</v>
      </c>
      <c r="T2502" s="9" t="s">
        <v>52</v>
      </c>
      <c r="W2502" s="13">
        <v>0</v>
      </c>
      <c r="X2502" s="14">
        <v>0</v>
      </c>
      <c r="Y2502" s="13">
        <v>0</v>
      </c>
      <c r="Z2502" s="10">
        <v>45560</v>
      </c>
      <c r="AA2502" s="9">
        <v>-200</v>
      </c>
      <c r="AC2502" s="9" t="s">
        <v>147</v>
      </c>
      <c r="AD2502" s="14">
        <v>28.32769230769231</v>
      </c>
      <c r="AF2502" s="14">
        <v>0</v>
      </c>
      <c r="AH2502" s="14">
        <v>28.32769230769231</v>
      </c>
      <c r="AI2502" s="13">
        <v>-28.32769230769231</v>
      </c>
      <c r="AK2502" s="9">
        <v>0</v>
      </c>
    </row>
    <row r="2503" spans="1:37">
      <c r="A2503" s="9">
        <v>38</v>
      </c>
      <c r="B2503" s="9">
        <v>2024</v>
      </c>
      <c r="C2503" s="9" t="s">
        <v>46</v>
      </c>
      <c r="D2503" s="9" t="s">
        <v>47</v>
      </c>
      <c r="E2503" s="9" t="s">
        <v>47</v>
      </c>
      <c r="F2503" s="10">
        <v>45551</v>
      </c>
      <c r="G2503" s="9" t="s">
        <v>154</v>
      </c>
      <c r="H2503" s="9" t="s">
        <v>54</v>
      </c>
      <c r="I2503" s="9">
        <v>1</v>
      </c>
      <c r="J2503" s="9">
        <v>120</v>
      </c>
      <c r="K2503" s="9">
        <v>0.62</v>
      </c>
      <c r="L2503" s="9">
        <v>74.400000000000006</v>
      </c>
      <c r="M2503" s="9">
        <v>5.1428571428571423</v>
      </c>
      <c r="N2503" s="9" t="s">
        <v>49</v>
      </c>
      <c r="Q2503" s="9">
        <f>IF(Auction_Sales[[#This Row],[Payment Date]]=0,"",-1+WEEKNUM(Auction_Sales[[#This Row],[Payment Date]]))</f>
        <v>38</v>
      </c>
      <c r="R2503" s="9">
        <v>-40</v>
      </c>
      <c r="S2503" s="9" t="s">
        <v>154</v>
      </c>
      <c r="T2503" s="9" t="s">
        <v>54</v>
      </c>
      <c r="U2503" s="9">
        <v>160</v>
      </c>
      <c r="V2503" s="13">
        <v>1.6625000000000001</v>
      </c>
      <c r="W2503" s="13">
        <v>266</v>
      </c>
      <c r="X2503" s="14">
        <v>-17.223008849557512</v>
      </c>
      <c r="Y2503" s="13">
        <v>248.77699115044248</v>
      </c>
      <c r="Z2503" s="10">
        <v>45560</v>
      </c>
      <c r="AA2503" s="9">
        <v>40</v>
      </c>
      <c r="AC2503" s="9" t="s">
        <v>147</v>
      </c>
      <c r="AD2503" s="14">
        <v>24.280879120879117</v>
      </c>
      <c r="AF2503" s="14">
        <v>3.2</v>
      </c>
      <c r="AH2503" s="14">
        <v>27.480879120879116</v>
      </c>
      <c r="AI2503" s="13">
        <v>221.29611202956337</v>
      </c>
      <c r="AK2503" s="9">
        <v>160</v>
      </c>
    </row>
    <row r="2504" spans="1:37">
      <c r="A2504" s="9">
        <v>38</v>
      </c>
      <c r="B2504" s="9">
        <v>2024</v>
      </c>
      <c r="C2504" s="9" t="s">
        <v>46</v>
      </c>
      <c r="D2504" s="9" t="s">
        <v>47</v>
      </c>
      <c r="E2504" s="9" t="s">
        <v>47</v>
      </c>
      <c r="F2504" s="10">
        <v>45551</v>
      </c>
      <c r="G2504" s="9" t="s">
        <v>154</v>
      </c>
      <c r="H2504" s="9" t="s">
        <v>56</v>
      </c>
      <c r="J2504" s="9">
        <v>120</v>
      </c>
      <c r="K2504" s="9">
        <v>0.83</v>
      </c>
      <c r="L2504" s="9">
        <v>99.6</v>
      </c>
      <c r="M2504" s="9">
        <v>5.1428571428571423</v>
      </c>
      <c r="N2504" s="9" t="s">
        <v>49</v>
      </c>
      <c r="Q2504" s="9">
        <f>IF(Auction_Sales[[#This Row],[Payment Date]]=0,"",-1+WEEKNUM(Auction_Sales[[#This Row],[Payment Date]]))</f>
        <v>38</v>
      </c>
      <c r="R2504" s="9">
        <v>120</v>
      </c>
      <c r="S2504" s="9" t="s">
        <v>154</v>
      </c>
      <c r="T2504" s="9" t="s">
        <v>56</v>
      </c>
      <c r="W2504" s="13">
        <v>0</v>
      </c>
      <c r="X2504" s="14">
        <v>0</v>
      </c>
      <c r="Y2504" s="13">
        <v>0</v>
      </c>
      <c r="Z2504" s="10">
        <v>45560</v>
      </c>
      <c r="AA2504" s="9">
        <v>-120</v>
      </c>
      <c r="AC2504" s="9" t="s">
        <v>147</v>
      </c>
      <c r="AD2504" s="14">
        <v>24.280879120879117</v>
      </c>
      <c r="AF2504" s="14">
        <v>0</v>
      </c>
      <c r="AH2504" s="14">
        <v>24.280879120879117</v>
      </c>
      <c r="AI2504" s="13">
        <v>-24.280879120879117</v>
      </c>
      <c r="AK2504" s="9">
        <v>0</v>
      </c>
    </row>
    <row r="2505" spans="1:37">
      <c r="A2505" s="9">
        <v>38</v>
      </c>
      <c r="B2505" s="9">
        <v>2024</v>
      </c>
      <c r="C2505" s="9" t="s">
        <v>46</v>
      </c>
      <c r="D2505" s="9" t="s">
        <v>47</v>
      </c>
      <c r="E2505" s="9" t="s">
        <v>47</v>
      </c>
      <c r="F2505" s="10">
        <v>45551</v>
      </c>
      <c r="G2505" s="9" t="s">
        <v>154</v>
      </c>
      <c r="H2505" s="9" t="s">
        <v>52</v>
      </c>
      <c r="J2505" s="9">
        <v>40</v>
      </c>
      <c r="K2505" s="9">
        <v>0.56999999999999995</v>
      </c>
      <c r="L2505" s="9">
        <v>22.8</v>
      </c>
      <c r="M2505" s="9">
        <v>1.7142857142857142</v>
      </c>
      <c r="N2505" s="9" t="s">
        <v>49</v>
      </c>
      <c r="Q2505" s="9">
        <f>IF(Auction_Sales[[#This Row],[Payment Date]]=0,"",-1+WEEKNUM(Auction_Sales[[#This Row],[Payment Date]]))</f>
        <v>38</v>
      </c>
      <c r="R2505" s="9">
        <v>0</v>
      </c>
      <c r="S2505" s="9" t="s">
        <v>154</v>
      </c>
      <c r="T2505" s="9" t="s">
        <v>52</v>
      </c>
      <c r="U2505" s="9">
        <v>40</v>
      </c>
      <c r="V2505" s="13">
        <v>1.1499999999999999</v>
      </c>
      <c r="W2505" s="13">
        <v>46</v>
      </c>
      <c r="X2505" s="14">
        <v>-4.3057522123893781</v>
      </c>
      <c r="Y2505" s="13">
        <v>41.694247787610621</v>
      </c>
      <c r="Z2505" s="10">
        <v>45560</v>
      </c>
      <c r="AA2505" s="9">
        <v>0</v>
      </c>
      <c r="AC2505" s="9" t="s">
        <v>147</v>
      </c>
      <c r="AD2505" s="14">
        <v>8.0936263736263729</v>
      </c>
      <c r="AF2505" s="14">
        <v>0.8</v>
      </c>
      <c r="AH2505" s="14">
        <v>8.8936263736263736</v>
      </c>
      <c r="AI2505" s="13">
        <v>32.800621413984246</v>
      </c>
      <c r="AK2505" s="9">
        <v>40</v>
      </c>
    </row>
    <row r="2506" spans="1:37">
      <c r="A2506" s="9">
        <v>38</v>
      </c>
      <c r="B2506" s="9">
        <v>2024</v>
      </c>
      <c r="C2506" s="9" t="s">
        <v>46</v>
      </c>
      <c r="D2506" s="9" t="s">
        <v>47</v>
      </c>
      <c r="E2506" s="9" t="s">
        <v>47</v>
      </c>
      <c r="F2506" s="10">
        <v>45554</v>
      </c>
      <c r="G2506" s="9" t="s">
        <v>160</v>
      </c>
      <c r="H2506" s="9" t="s">
        <v>137</v>
      </c>
      <c r="I2506" s="9">
        <v>7</v>
      </c>
      <c r="J2506" s="9">
        <v>112</v>
      </c>
      <c r="K2506" s="9">
        <v>1.42</v>
      </c>
      <c r="L2506" s="9">
        <v>158.49</v>
      </c>
      <c r="M2506" s="9">
        <v>84</v>
      </c>
      <c r="N2506" s="9" t="s">
        <v>49</v>
      </c>
      <c r="Q2506" s="9">
        <f>IF(Auction_Sales[[#This Row],[Payment Date]]=0,"",-1+WEEKNUM(Auction_Sales[[#This Row],[Payment Date]]))</f>
        <v>39</v>
      </c>
      <c r="R2506" s="9">
        <v>56</v>
      </c>
      <c r="S2506" s="9" t="s">
        <v>160</v>
      </c>
      <c r="T2506" s="9" t="s">
        <v>137</v>
      </c>
      <c r="U2506" s="9">
        <v>56</v>
      </c>
      <c r="V2506" s="13">
        <v>8.1714285714285726</v>
      </c>
      <c r="W2506" s="13">
        <v>457.60000000000008</v>
      </c>
      <c r="X2506" s="14">
        <v>-4.5326605504587203</v>
      </c>
      <c r="Y2506" s="13">
        <v>453.06733944954135</v>
      </c>
      <c r="Z2506" s="10">
        <v>45567</v>
      </c>
      <c r="AA2506" s="9">
        <v>-56</v>
      </c>
      <c r="AC2506" s="9">
        <v>455817</v>
      </c>
      <c r="AD2506" s="14">
        <v>390.32583333333338</v>
      </c>
      <c r="AF2506" s="14">
        <v>3.36</v>
      </c>
      <c r="AH2506" s="14">
        <v>393.68583333333339</v>
      </c>
      <c r="AI2506" s="13">
        <v>59.381506116207959</v>
      </c>
      <c r="AK2506" s="9">
        <v>56</v>
      </c>
    </row>
    <row r="2507" spans="1:37">
      <c r="A2507" s="9">
        <v>38</v>
      </c>
      <c r="B2507" s="9">
        <v>2024</v>
      </c>
      <c r="C2507" s="9" t="s">
        <v>46</v>
      </c>
      <c r="D2507" s="9" t="s">
        <v>47</v>
      </c>
      <c r="E2507" s="9" t="s">
        <v>47</v>
      </c>
      <c r="F2507" s="10">
        <v>45554</v>
      </c>
      <c r="G2507" s="9" t="s">
        <v>155</v>
      </c>
      <c r="H2507" s="9" t="s">
        <v>51</v>
      </c>
      <c r="I2507" s="9">
        <v>1</v>
      </c>
      <c r="J2507" s="9">
        <v>760</v>
      </c>
      <c r="K2507" s="9">
        <v>0.38</v>
      </c>
      <c r="L2507" s="9">
        <v>288.8</v>
      </c>
      <c r="M2507" s="9">
        <v>12</v>
      </c>
      <c r="N2507" s="9" t="s">
        <v>49</v>
      </c>
      <c r="Q2507" s="9">
        <f>IF(Auction_Sales[[#This Row],[Payment Date]]=0,"",-1+WEEKNUM(Auction_Sales[[#This Row],[Payment Date]]))</f>
        <v>39</v>
      </c>
      <c r="R2507" s="9">
        <v>0</v>
      </c>
      <c r="S2507" s="9" t="s">
        <v>155</v>
      </c>
      <c r="T2507" s="9" t="s">
        <v>51</v>
      </c>
      <c r="U2507" s="9">
        <v>760</v>
      </c>
      <c r="V2507" s="13">
        <v>0.66578947368421049</v>
      </c>
      <c r="W2507" s="13">
        <v>505.99999999999994</v>
      </c>
      <c r="X2507" s="14">
        <v>-61.514678899082632</v>
      </c>
      <c r="Y2507" s="13">
        <v>444.4853211009173</v>
      </c>
      <c r="Z2507" s="10">
        <v>45567</v>
      </c>
      <c r="AA2507" s="9">
        <v>0</v>
      </c>
      <c r="AC2507" s="9">
        <v>455817</v>
      </c>
      <c r="AD2507" s="14">
        <v>55.760833333333331</v>
      </c>
      <c r="AF2507" s="14">
        <v>15.200000000000001</v>
      </c>
      <c r="AH2507" s="14">
        <v>70.960833333333326</v>
      </c>
      <c r="AI2507" s="13">
        <v>373.52448776758399</v>
      </c>
      <c r="AK2507" s="9">
        <v>760</v>
      </c>
    </row>
    <row r="2508" spans="1:37">
      <c r="A2508" s="9">
        <v>38</v>
      </c>
      <c r="B2508" s="9">
        <v>2024</v>
      </c>
      <c r="C2508" s="9" t="s">
        <v>46</v>
      </c>
      <c r="D2508" s="9" t="s">
        <v>47</v>
      </c>
      <c r="E2508" s="9" t="s">
        <v>47</v>
      </c>
      <c r="F2508" s="10">
        <v>45554</v>
      </c>
      <c r="G2508" s="9" t="s">
        <v>155</v>
      </c>
      <c r="H2508" s="9" t="s">
        <v>48</v>
      </c>
      <c r="I2508" s="9">
        <v>1</v>
      </c>
      <c r="J2508" s="9">
        <v>520</v>
      </c>
      <c r="K2508" s="9">
        <v>0.47</v>
      </c>
      <c r="L2508" s="9">
        <v>244.4</v>
      </c>
      <c r="M2508" s="9">
        <v>12</v>
      </c>
      <c r="N2508" s="9" t="s">
        <v>49</v>
      </c>
      <c r="Q2508" s="9">
        <f>IF(Auction_Sales[[#This Row],[Payment Date]]=0,"",-1+WEEKNUM(Auction_Sales[[#This Row],[Payment Date]]))</f>
        <v>39</v>
      </c>
      <c r="R2508" s="9">
        <v>0</v>
      </c>
      <c r="S2508" s="9" t="s">
        <v>155</v>
      </c>
      <c r="T2508" s="9" t="s">
        <v>48</v>
      </c>
      <c r="U2508" s="9">
        <v>520</v>
      </c>
      <c r="V2508" s="13">
        <v>1.3038461538461539</v>
      </c>
      <c r="W2508" s="13">
        <v>678</v>
      </c>
      <c r="X2508" s="14">
        <v>-42.088990825688121</v>
      </c>
      <c r="Y2508" s="13">
        <v>635.91100917431186</v>
      </c>
      <c r="Z2508" s="10">
        <v>45567</v>
      </c>
      <c r="AA2508" s="9">
        <v>0</v>
      </c>
      <c r="AC2508" s="9">
        <v>455817</v>
      </c>
      <c r="AD2508" s="14">
        <v>55.760833333333331</v>
      </c>
      <c r="AF2508" s="14">
        <v>10.4</v>
      </c>
      <c r="AH2508" s="14">
        <v>66.160833333333329</v>
      </c>
      <c r="AI2508" s="13">
        <v>569.7501758409785</v>
      </c>
      <c r="AK2508" s="9">
        <v>520</v>
      </c>
    </row>
    <row r="2509" spans="1:37">
      <c r="A2509" s="9">
        <v>38</v>
      </c>
      <c r="B2509" s="9">
        <v>2024</v>
      </c>
      <c r="C2509" s="9" t="s">
        <v>46</v>
      </c>
      <c r="D2509" s="9" t="s">
        <v>47</v>
      </c>
      <c r="E2509" s="9" t="s">
        <v>47</v>
      </c>
      <c r="F2509" s="10">
        <v>45554</v>
      </c>
      <c r="G2509" s="9" t="s">
        <v>153</v>
      </c>
      <c r="H2509" s="9" t="s">
        <v>52</v>
      </c>
      <c r="I2509" s="9">
        <v>1</v>
      </c>
      <c r="J2509" s="9">
        <v>520</v>
      </c>
      <c r="K2509" s="9">
        <v>0.28000000000000003</v>
      </c>
      <c r="L2509" s="9">
        <v>145.6</v>
      </c>
      <c r="M2509" s="9">
        <v>12</v>
      </c>
      <c r="N2509" s="9" t="s">
        <v>49</v>
      </c>
      <c r="Q2509" s="9">
        <f>IF(Auction_Sales[[#This Row],[Payment Date]]=0,"",-1+WEEKNUM(Auction_Sales[[#This Row],[Payment Date]]))</f>
        <v>39</v>
      </c>
      <c r="R2509" s="9">
        <v>0</v>
      </c>
      <c r="S2509" s="9" t="s">
        <v>153</v>
      </c>
      <c r="T2509" s="9" t="s">
        <v>52</v>
      </c>
      <c r="U2509" s="9">
        <v>520</v>
      </c>
      <c r="V2509" s="13">
        <v>0.50076923076923074</v>
      </c>
      <c r="W2509" s="13">
        <v>260.39999999999998</v>
      </c>
      <c r="X2509" s="14">
        <v>-42.088990825688121</v>
      </c>
      <c r="Y2509" s="13">
        <v>218.31100917431186</v>
      </c>
      <c r="Z2509" s="10">
        <v>45567</v>
      </c>
      <c r="AA2509" s="9">
        <v>0</v>
      </c>
      <c r="AC2509" s="9">
        <v>455817</v>
      </c>
      <c r="AD2509" s="14">
        <v>55.760833333333331</v>
      </c>
      <c r="AF2509" s="14">
        <v>10.4</v>
      </c>
      <c r="AH2509" s="14">
        <v>66.160833333333329</v>
      </c>
      <c r="AI2509" s="13">
        <v>152.15017584097853</v>
      </c>
      <c r="AK2509" s="9">
        <v>520</v>
      </c>
    </row>
    <row r="2510" spans="1:37">
      <c r="A2510" s="9">
        <v>38</v>
      </c>
      <c r="B2510" s="9">
        <v>2024</v>
      </c>
      <c r="C2510" s="9" t="s">
        <v>46</v>
      </c>
      <c r="D2510" s="9" t="s">
        <v>47</v>
      </c>
      <c r="E2510" s="9" t="s">
        <v>47</v>
      </c>
      <c r="F2510" s="10">
        <v>45554</v>
      </c>
      <c r="G2510" s="9" t="s">
        <v>153</v>
      </c>
      <c r="H2510" s="9" t="s">
        <v>54</v>
      </c>
      <c r="I2510" s="9">
        <v>1</v>
      </c>
      <c r="J2510" s="9">
        <v>280</v>
      </c>
      <c r="K2510" s="9">
        <v>0.33</v>
      </c>
      <c r="L2510" s="9">
        <v>92.4</v>
      </c>
      <c r="M2510" s="9">
        <v>8.3999999999999986</v>
      </c>
      <c r="N2510" s="9" t="s">
        <v>49</v>
      </c>
      <c r="Q2510" s="9">
        <f>IF(Auction_Sales[[#This Row],[Payment Date]]=0,"",-1+WEEKNUM(Auction_Sales[[#This Row],[Payment Date]]))</f>
        <v>39</v>
      </c>
      <c r="R2510" s="9">
        <v>0</v>
      </c>
      <c r="S2510" s="9" t="s">
        <v>153</v>
      </c>
      <c r="T2510" s="9" t="s">
        <v>54</v>
      </c>
      <c r="U2510" s="9">
        <v>280</v>
      </c>
      <c r="V2510" s="13">
        <v>0.20571428571428571</v>
      </c>
      <c r="W2510" s="13">
        <v>57.6</v>
      </c>
      <c r="X2510" s="14">
        <v>-22.663302752293603</v>
      </c>
      <c r="Y2510" s="13">
        <v>34.936697247706398</v>
      </c>
      <c r="Z2510" s="10">
        <v>45567</v>
      </c>
      <c r="AA2510" s="9">
        <v>0</v>
      </c>
      <c r="AC2510" s="9">
        <v>455817</v>
      </c>
      <c r="AD2510" s="14">
        <v>39.032583333333328</v>
      </c>
      <c r="AF2510" s="14">
        <v>5.6000000000000005</v>
      </c>
      <c r="AH2510" s="14">
        <v>44.632583333333329</v>
      </c>
      <c r="AI2510" s="13">
        <v>-9.6958860856269311</v>
      </c>
      <c r="AK2510" s="9">
        <v>280</v>
      </c>
    </row>
    <row r="2511" spans="1:37">
      <c r="A2511" s="9">
        <v>38</v>
      </c>
      <c r="B2511" s="9">
        <v>2024</v>
      </c>
      <c r="C2511" s="9" t="s">
        <v>46</v>
      </c>
      <c r="D2511" s="9" t="s">
        <v>47</v>
      </c>
      <c r="E2511" s="9" t="s">
        <v>47</v>
      </c>
      <c r="F2511" s="10">
        <v>45554</v>
      </c>
      <c r="G2511" s="9" t="s">
        <v>153</v>
      </c>
      <c r="H2511" s="9" t="s">
        <v>56</v>
      </c>
      <c r="J2511" s="9">
        <v>120</v>
      </c>
      <c r="K2511" s="9">
        <v>0.38</v>
      </c>
      <c r="L2511" s="9">
        <v>45.6</v>
      </c>
      <c r="M2511" s="9">
        <v>3.5999999999999996</v>
      </c>
      <c r="N2511" s="9" t="s">
        <v>49</v>
      </c>
      <c r="Q2511" s="9">
        <f>IF(Auction_Sales[[#This Row],[Payment Date]]=0,"",-1+WEEKNUM(Auction_Sales[[#This Row],[Payment Date]]))</f>
        <v>39</v>
      </c>
      <c r="R2511" s="9">
        <v>0</v>
      </c>
      <c r="S2511" s="9" t="s">
        <v>153</v>
      </c>
      <c r="T2511" s="9" t="s">
        <v>56</v>
      </c>
      <c r="U2511" s="9">
        <v>120</v>
      </c>
      <c r="V2511" s="13">
        <v>0.28999999999999998</v>
      </c>
      <c r="W2511" s="13">
        <v>34.799999999999997</v>
      </c>
      <c r="X2511" s="14">
        <v>-9.712844036697259</v>
      </c>
      <c r="Y2511" s="13">
        <v>25.087155963302738</v>
      </c>
      <c r="Z2511" s="10">
        <v>45567</v>
      </c>
      <c r="AA2511" s="9">
        <v>0</v>
      </c>
      <c r="AC2511" s="9">
        <v>455817</v>
      </c>
      <c r="AD2511" s="14">
        <v>16.728249999999999</v>
      </c>
      <c r="AF2511" s="14">
        <v>2.4</v>
      </c>
      <c r="AH2511" s="14">
        <v>19.128249999999998</v>
      </c>
      <c r="AI2511" s="13">
        <v>5.9589059633027404</v>
      </c>
      <c r="AK2511" s="9">
        <v>120</v>
      </c>
    </row>
    <row r="2512" spans="1:37">
      <c r="A2512" s="9">
        <v>38</v>
      </c>
      <c r="B2512" s="9">
        <v>2024</v>
      </c>
      <c r="C2512" s="9" t="s">
        <v>46</v>
      </c>
      <c r="D2512" s="9" t="s">
        <v>47</v>
      </c>
      <c r="E2512" s="9" t="s">
        <v>47</v>
      </c>
      <c r="F2512" s="10">
        <v>45554</v>
      </c>
      <c r="G2512" s="9" t="s">
        <v>154</v>
      </c>
      <c r="H2512" s="9" t="s">
        <v>51</v>
      </c>
      <c r="I2512" s="9">
        <v>1</v>
      </c>
      <c r="J2512" s="9">
        <v>40</v>
      </c>
      <c r="K2512" s="9">
        <v>0.38</v>
      </c>
      <c r="L2512" s="9">
        <v>15.2</v>
      </c>
      <c r="M2512" s="9">
        <v>1.3333333333333333</v>
      </c>
      <c r="N2512" s="9" t="s">
        <v>49</v>
      </c>
      <c r="Q2512" s="9">
        <f>IF(Auction_Sales[[#This Row],[Payment Date]]=0,"",-1+WEEKNUM(Auction_Sales[[#This Row],[Payment Date]]))</f>
        <v>39</v>
      </c>
      <c r="R2512" s="9">
        <v>0</v>
      </c>
      <c r="S2512" s="9" t="s">
        <v>154</v>
      </c>
      <c r="T2512" s="9" t="s">
        <v>51</v>
      </c>
      <c r="U2512" s="9">
        <v>40</v>
      </c>
      <c r="V2512" s="13">
        <v>0.27</v>
      </c>
      <c r="W2512" s="13">
        <v>10.8</v>
      </c>
      <c r="X2512" s="14">
        <v>-3.2376146788990861</v>
      </c>
      <c r="Y2512" s="13">
        <v>7.5623853211009147</v>
      </c>
      <c r="Z2512" s="10">
        <v>45567</v>
      </c>
      <c r="AA2512" s="9">
        <v>0</v>
      </c>
      <c r="AC2512" s="9">
        <v>455817</v>
      </c>
      <c r="AD2512" s="14">
        <v>6.1956481481481473</v>
      </c>
      <c r="AF2512" s="14">
        <v>0.8</v>
      </c>
      <c r="AH2512" s="14">
        <v>6.9956481481481472</v>
      </c>
      <c r="AI2512" s="13">
        <v>0.56673717295276749</v>
      </c>
      <c r="AK2512" s="9">
        <v>40</v>
      </c>
    </row>
    <row r="2513" spans="1:37">
      <c r="A2513" s="9">
        <v>38</v>
      </c>
      <c r="B2513" s="9">
        <v>2024</v>
      </c>
      <c r="C2513" s="9" t="s">
        <v>46</v>
      </c>
      <c r="D2513" s="9" t="s">
        <v>47</v>
      </c>
      <c r="E2513" s="9" t="s">
        <v>47</v>
      </c>
      <c r="F2513" s="10">
        <v>45554</v>
      </c>
      <c r="G2513" s="9" t="s">
        <v>154</v>
      </c>
      <c r="H2513" s="9" t="s">
        <v>48</v>
      </c>
      <c r="J2513" s="9">
        <v>40</v>
      </c>
      <c r="K2513" s="9">
        <v>0.47</v>
      </c>
      <c r="L2513" s="9">
        <v>18.8</v>
      </c>
      <c r="M2513" s="9">
        <v>1.3333333333333333</v>
      </c>
      <c r="N2513" s="9" t="s">
        <v>49</v>
      </c>
      <c r="Q2513" s="9">
        <f>IF(Auction_Sales[[#This Row],[Payment Date]]=0,"",-1+WEEKNUM(Auction_Sales[[#This Row],[Payment Date]]))</f>
        <v>39</v>
      </c>
      <c r="R2513" s="9">
        <v>0</v>
      </c>
      <c r="S2513" s="9" t="s">
        <v>154</v>
      </c>
      <c r="T2513" s="9" t="s">
        <v>48</v>
      </c>
      <c r="U2513" s="9">
        <v>40</v>
      </c>
      <c r="V2513" s="13">
        <v>0.32999999999999996</v>
      </c>
      <c r="W2513" s="13">
        <v>13.2</v>
      </c>
      <c r="X2513" s="14">
        <v>-3.2376146788990861</v>
      </c>
      <c r="Y2513" s="13">
        <v>9.9623853211009141</v>
      </c>
      <c r="Z2513" s="10">
        <v>45567</v>
      </c>
      <c r="AA2513" s="9">
        <v>0</v>
      </c>
      <c r="AC2513" s="9">
        <v>455817</v>
      </c>
      <c r="AD2513" s="14">
        <v>6.1956481481481473</v>
      </c>
      <c r="AF2513" s="14">
        <v>0.8</v>
      </c>
      <c r="AH2513" s="14">
        <v>6.9956481481481472</v>
      </c>
      <c r="AI2513" s="13">
        <v>2.966737172952767</v>
      </c>
      <c r="AK2513" s="9">
        <v>40</v>
      </c>
    </row>
    <row r="2514" spans="1:37">
      <c r="A2514" s="9">
        <v>38</v>
      </c>
      <c r="B2514" s="9">
        <v>2024</v>
      </c>
      <c r="C2514" s="9" t="s">
        <v>46</v>
      </c>
      <c r="D2514" s="9" t="s">
        <v>47</v>
      </c>
      <c r="E2514" s="9" t="s">
        <v>47</v>
      </c>
      <c r="F2514" s="10">
        <v>45554</v>
      </c>
      <c r="G2514" s="9" t="s">
        <v>154</v>
      </c>
      <c r="H2514" s="9" t="s">
        <v>52</v>
      </c>
      <c r="J2514" s="9">
        <v>200</v>
      </c>
      <c r="K2514" s="9">
        <v>0.56999999999999995</v>
      </c>
      <c r="L2514" s="9">
        <v>114</v>
      </c>
      <c r="M2514" s="9">
        <v>6.666666666666667</v>
      </c>
      <c r="N2514" s="9" t="s">
        <v>49</v>
      </c>
      <c r="Q2514" s="9">
        <f>IF(Auction_Sales[[#This Row],[Payment Date]]=0,"",-1+WEEKNUM(Auction_Sales[[#This Row],[Payment Date]]))</f>
        <v>39</v>
      </c>
      <c r="R2514" s="9">
        <v>0</v>
      </c>
      <c r="S2514" s="9" t="s">
        <v>154</v>
      </c>
      <c r="T2514" s="9" t="s">
        <v>52</v>
      </c>
      <c r="U2514" s="9">
        <v>200</v>
      </c>
      <c r="V2514" s="13">
        <v>1.02</v>
      </c>
      <c r="W2514" s="13">
        <v>204</v>
      </c>
      <c r="X2514" s="14">
        <v>-16.188073394495429</v>
      </c>
      <c r="Y2514" s="13">
        <v>187.81192660550457</v>
      </c>
      <c r="Z2514" s="10">
        <v>45567</v>
      </c>
      <c r="AA2514" s="9">
        <v>0</v>
      </c>
      <c r="AC2514" s="9">
        <v>455817</v>
      </c>
      <c r="AD2514" s="14">
        <v>30.978240740740745</v>
      </c>
      <c r="AF2514" s="14">
        <v>4</v>
      </c>
      <c r="AH2514" s="14">
        <v>34.978240740740745</v>
      </c>
      <c r="AI2514" s="13">
        <v>152.83368586476382</v>
      </c>
      <c r="AK2514" s="9">
        <v>200</v>
      </c>
    </row>
    <row r="2515" spans="1:37">
      <c r="A2515" s="9">
        <v>38</v>
      </c>
      <c r="B2515" s="9">
        <v>2024</v>
      </c>
      <c r="C2515" s="9" t="s">
        <v>46</v>
      </c>
      <c r="D2515" s="9" t="s">
        <v>47</v>
      </c>
      <c r="E2515" s="9" t="s">
        <v>47</v>
      </c>
      <c r="F2515" s="10">
        <v>45554</v>
      </c>
      <c r="G2515" s="9" t="s">
        <v>154</v>
      </c>
      <c r="H2515" s="9" t="s">
        <v>56</v>
      </c>
      <c r="J2515" s="9">
        <v>40</v>
      </c>
      <c r="K2515" s="9">
        <v>0.83</v>
      </c>
      <c r="L2515" s="9">
        <v>33.200000000000003</v>
      </c>
      <c r="M2515" s="9">
        <v>1.3333333333333333</v>
      </c>
      <c r="N2515" s="9" t="s">
        <v>49</v>
      </c>
      <c r="Q2515" s="9">
        <f>IF(Auction_Sales[[#This Row],[Payment Date]]=0,"",-1+WEEKNUM(Auction_Sales[[#This Row],[Payment Date]]))</f>
        <v>39</v>
      </c>
      <c r="R2515" s="9">
        <v>0</v>
      </c>
      <c r="S2515" s="9" t="s">
        <v>154</v>
      </c>
      <c r="T2515" s="9" t="s">
        <v>56</v>
      </c>
      <c r="U2515" s="9">
        <v>40</v>
      </c>
      <c r="V2515" s="13">
        <v>0.36</v>
      </c>
      <c r="W2515" s="13">
        <v>14.399999999999999</v>
      </c>
      <c r="X2515" s="14">
        <v>-3.2376146788990861</v>
      </c>
      <c r="Y2515" s="13">
        <v>11.162385321100913</v>
      </c>
      <c r="Z2515" s="10">
        <v>45567</v>
      </c>
      <c r="AA2515" s="9">
        <v>0</v>
      </c>
      <c r="AC2515" s="9">
        <v>455817</v>
      </c>
      <c r="AD2515" s="14">
        <v>6.1956481481481473</v>
      </c>
      <c r="AF2515" s="14">
        <v>0.8</v>
      </c>
      <c r="AH2515" s="14">
        <v>6.9956481481481472</v>
      </c>
      <c r="AI2515" s="13">
        <v>4.1667371729527662</v>
      </c>
      <c r="AK2515" s="9">
        <v>40</v>
      </c>
    </row>
    <row r="2516" spans="1:37">
      <c r="A2516" s="9">
        <v>38</v>
      </c>
      <c r="B2516" s="9">
        <v>2024</v>
      </c>
      <c r="C2516" s="9" t="s">
        <v>46</v>
      </c>
      <c r="D2516" s="9" t="s">
        <v>47</v>
      </c>
      <c r="E2516" s="9" t="s">
        <v>47</v>
      </c>
      <c r="F2516" s="10">
        <v>45554</v>
      </c>
      <c r="G2516" s="9" t="s">
        <v>154</v>
      </c>
      <c r="H2516" s="9" t="s">
        <v>57</v>
      </c>
      <c r="J2516" s="9">
        <v>40</v>
      </c>
      <c r="K2516" s="9">
        <v>1.03</v>
      </c>
      <c r="L2516" s="9">
        <v>41.2</v>
      </c>
      <c r="M2516" s="9">
        <v>1.3333333333333333</v>
      </c>
      <c r="N2516" s="9" t="s">
        <v>49</v>
      </c>
      <c r="Q2516" s="9">
        <f>IF(Auction_Sales[[#This Row],[Payment Date]]=0,"",-1+WEEKNUM(Auction_Sales[[#This Row],[Payment Date]]))</f>
        <v>39</v>
      </c>
      <c r="R2516" s="9">
        <v>0</v>
      </c>
      <c r="S2516" s="9" t="s">
        <v>154</v>
      </c>
      <c r="T2516" s="9" t="s">
        <v>57</v>
      </c>
      <c r="U2516" s="9">
        <v>40</v>
      </c>
      <c r="V2516" s="13">
        <v>0.59000000000000008</v>
      </c>
      <c r="W2516" s="13">
        <v>23.6</v>
      </c>
      <c r="X2516" s="14">
        <v>-3.2376146788990861</v>
      </c>
      <c r="Y2516" s="13">
        <v>20.362385321100916</v>
      </c>
      <c r="Z2516" s="10">
        <v>45567</v>
      </c>
      <c r="AA2516" s="9">
        <v>0</v>
      </c>
      <c r="AC2516" s="9">
        <v>455817</v>
      </c>
      <c r="AD2516" s="14">
        <v>6.1956481481481473</v>
      </c>
      <c r="AF2516" s="14">
        <v>0.8</v>
      </c>
      <c r="AH2516" s="14">
        <v>6.9956481481481472</v>
      </c>
      <c r="AI2516" s="13">
        <v>13.366737172952769</v>
      </c>
      <c r="AK2516" s="9">
        <v>40</v>
      </c>
    </row>
    <row r="2517" spans="1:37">
      <c r="A2517" s="9">
        <v>38</v>
      </c>
      <c r="B2517" s="9">
        <v>2024</v>
      </c>
      <c r="C2517" s="9" t="s">
        <v>46</v>
      </c>
      <c r="D2517" s="9" t="s">
        <v>47</v>
      </c>
      <c r="E2517" s="9" t="s">
        <v>47</v>
      </c>
      <c r="F2517" s="10">
        <v>45554</v>
      </c>
      <c r="G2517" s="9" t="s">
        <v>160</v>
      </c>
      <c r="H2517" s="9" t="s">
        <v>137</v>
      </c>
      <c r="N2517" s="9" t="s">
        <v>49</v>
      </c>
      <c r="Q2517" s="9">
        <f>IF(Auction_Sales[[#This Row],[Payment Date]]=0,"",-1+WEEKNUM(Auction_Sales[[#This Row],[Payment Date]]))</f>
        <v>39</v>
      </c>
      <c r="R2517" s="9">
        <v>-56</v>
      </c>
      <c r="S2517" s="9" t="s">
        <v>160</v>
      </c>
      <c r="T2517" s="9" t="s">
        <v>137</v>
      </c>
      <c r="U2517" s="9">
        <v>56</v>
      </c>
      <c r="V2517" s="13">
        <v>8.3357142857142854</v>
      </c>
      <c r="W2517" s="13">
        <v>466.79999999999995</v>
      </c>
      <c r="X2517" s="14">
        <v>-62.79000000000002</v>
      </c>
      <c r="Y2517" s="13">
        <v>404.00999999999993</v>
      </c>
      <c r="Z2517" s="10">
        <v>45567</v>
      </c>
      <c r="AA2517" s="9">
        <v>56</v>
      </c>
      <c r="AC2517" s="9">
        <v>455817</v>
      </c>
      <c r="AD2517" s="14">
        <v>0</v>
      </c>
      <c r="AF2517" s="14">
        <v>3.36</v>
      </c>
      <c r="AH2517" s="14">
        <v>3.36</v>
      </c>
      <c r="AI2517" s="13">
        <v>400.64999999999992</v>
      </c>
      <c r="AK2517" s="9">
        <v>56</v>
      </c>
    </row>
    <row r="2518" spans="1:37">
      <c r="A2518" s="9">
        <v>39</v>
      </c>
      <c r="B2518" s="9">
        <v>2024</v>
      </c>
      <c r="C2518" s="9" t="s">
        <v>46</v>
      </c>
      <c r="D2518" s="9" t="s">
        <v>47</v>
      </c>
      <c r="E2518" s="9" t="s">
        <v>47</v>
      </c>
      <c r="F2518" s="10">
        <v>45556</v>
      </c>
      <c r="G2518" s="9" t="s">
        <v>160</v>
      </c>
      <c r="H2518" s="9" t="s">
        <v>137</v>
      </c>
      <c r="I2518" s="9">
        <v>4</v>
      </c>
      <c r="J2518" s="9">
        <v>64</v>
      </c>
      <c r="K2518" s="9">
        <v>1.42</v>
      </c>
      <c r="L2518" s="9">
        <v>90.57</v>
      </c>
      <c r="M2518" s="9">
        <v>48</v>
      </c>
      <c r="N2518" s="9" t="s">
        <v>49</v>
      </c>
      <c r="Q2518" s="9">
        <f>IF(Auction_Sales[[#This Row],[Payment Date]]=0,"",-1+WEEKNUM(Auction_Sales[[#This Row],[Payment Date]]))</f>
        <v>39</v>
      </c>
      <c r="R2518" s="9">
        <v>-12</v>
      </c>
      <c r="S2518" s="9" t="s">
        <v>160</v>
      </c>
      <c r="T2518" s="9" t="s">
        <v>137</v>
      </c>
      <c r="U2518" s="9">
        <v>76</v>
      </c>
      <c r="V2518" s="13">
        <v>8.3697368421052634</v>
      </c>
      <c r="W2518" s="13">
        <v>636.1</v>
      </c>
      <c r="X2518" s="14">
        <v>-5.3245754119138171</v>
      </c>
      <c r="Y2518" s="13">
        <v>630.77542458808625</v>
      </c>
      <c r="Z2518" s="10">
        <v>45567</v>
      </c>
      <c r="AA2518" s="9">
        <v>12</v>
      </c>
      <c r="AC2518" s="9">
        <v>456320</v>
      </c>
      <c r="AD2518" s="14">
        <v>201.07</v>
      </c>
      <c r="AF2518" s="14">
        <v>4.5599999999999996</v>
      </c>
      <c r="AH2518" s="14">
        <v>205.63</v>
      </c>
      <c r="AI2518" s="13">
        <v>425.14542458808626</v>
      </c>
      <c r="AK2518" s="9">
        <v>76</v>
      </c>
    </row>
    <row r="2519" spans="1:37">
      <c r="A2519" s="9">
        <v>39</v>
      </c>
      <c r="B2519" s="9">
        <v>2024</v>
      </c>
      <c r="C2519" s="9" t="s">
        <v>46</v>
      </c>
      <c r="D2519" s="9" t="s">
        <v>47</v>
      </c>
      <c r="E2519" s="9" t="s">
        <v>47</v>
      </c>
      <c r="F2519" s="10">
        <v>45556</v>
      </c>
      <c r="G2519" s="9" t="s">
        <v>160</v>
      </c>
      <c r="H2519" s="9" t="s">
        <v>137</v>
      </c>
      <c r="I2519" s="9">
        <v>1</v>
      </c>
      <c r="J2519" s="9">
        <v>12</v>
      </c>
      <c r="K2519" s="9">
        <v>1.42</v>
      </c>
      <c r="L2519" s="9">
        <v>16.98</v>
      </c>
      <c r="M2519" s="9">
        <v>12</v>
      </c>
      <c r="N2519" s="9" t="s">
        <v>49</v>
      </c>
      <c r="Q2519" s="9">
        <f>IF(Auction_Sales[[#This Row],[Payment Date]]=0,"",-1+WEEKNUM(Auction_Sales[[#This Row],[Payment Date]]))</f>
        <v>39</v>
      </c>
      <c r="R2519" s="9">
        <v>12</v>
      </c>
      <c r="S2519" s="9" t="s">
        <v>160</v>
      </c>
      <c r="T2519" s="9" t="s">
        <v>137</v>
      </c>
      <c r="W2519" s="13">
        <v>0</v>
      </c>
      <c r="X2519" s="14">
        <v>0</v>
      </c>
      <c r="Y2519" s="13">
        <v>0</v>
      </c>
      <c r="Z2519" s="10">
        <v>45567</v>
      </c>
      <c r="AA2519" s="9">
        <v>-12</v>
      </c>
      <c r="AC2519" s="9">
        <v>456320</v>
      </c>
      <c r="AD2519" s="14">
        <v>50.267499999999998</v>
      </c>
      <c r="AF2519" s="14">
        <v>0</v>
      </c>
      <c r="AH2519" s="14">
        <v>50.267499999999998</v>
      </c>
      <c r="AI2519" s="13">
        <v>-50.267499999999998</v>
      </c>
      <c r="AK2519" s="9">
        <v>0</v>
      </c>
    </row>
    <row r="2520" spans="1:37">
      <c r="A2520" s="9">
        <v>39</v>
      </c>
      <c r="B2520" s="9">
        <v>2024</v>
      </c>
      <c r="C2520" s="9" t="s">
        <v>46</v>
      </c>
      <c r="D2520" s="9" t="s">
        <v>47</v>
      </c>
      <c r="E2520" s="9" t="s">
        <v>47</v>
      </c>
      <c r="F2520" s="10">
        <v>45556</v>
      </c>
      <c r="G2520" s="9" t="s">
        <v>154</v>
      </c>
      <c r="H2520" s="9" t="s">
        <v>57</v>
      </c>
      <c r="I2520" s="9">
        <v>1</v>
      </c>
      <c r="J2520" s="9">
        <v>200</v>
      </c>
      <c r="K2520" s="9">
        <v>1.03</v>
      </c>
      <c r="L2520" s="9">
        <v>206</v>
      </c>
      <c r="M2520" s="9">
        <v>12</v>
      </c>
      <c r="N2520" s="9" t="s">
        <v>49</v>
      </c>
      <c r="Q2520" s="9">
        <f>IF(Auction_Sales[[#This Row],[Payment Date]]=0,"",-1+WEEKNUM(Auction_Sales[[#This Row],[Payment Date]]))</f>
        <v>39</v>
      </c>
      <c r="R2520" s="9">
        <v>0</v>
      </c>
      <c r="S2520" s="9" t="s">
        <v>154</v>
      </c>
      <c r="T2520" s="9" t="s">
        <v>57</v>
      </c>
      <c r="U2520" s="9">
        <v>200</v>
      </c>
      <c r="V2520" s="13">
        <v>0.86599999999999999</v>
      </c>
      <c r="W2520" s="13">
        <v>173.2</v>
      </c>
      <c r="X2520" s="14">
        <v>-14.012040557667943</v>
      </c>
      <c r="Y2520" s="13">
        <v>159.18795944233204</v>
      </c>
      <c r="Z2520" s="10">
        <v>45567</v>
      </c>
      <c r="AA2520" s="9">
        <v>0</v>
      </c>
      <c r="AC2520" s="9">
        <v>456320</v>
      </c>
      <c r="AD2520" s="14">
        <v>50.267499999999998</v>
      </c>
      <c r="AF2520" s="14">
        <v>4</v>
      </c>
      <c r="AH2520" s="14">
        <v>54.267499999999998</v>
      </c>
      <c r="AI2520" s="13">
        <v>104.92045944233205</v>
      </c>
      <c r="AK2520" s="9">
        <v>200</v>
      </c>
    </row>
    <row r="2521" spans="1:37">
      <c r="A2521" s="9">
        <v>39</v>
      </c>
      <c r="B2521" s="9">
        <v>2024</v>
      </c>
      <c r="C2521" s="9" t="s">
        <v>46</v>
      </c>
      <c r="D2521" s="9" t="s">
        <v>47</v>
      </c>
      <c r="E2521" s="9" t="s">
        <v>47</v>
      </c>
      <c r="F2521" s="10">
        <v>45556</v>
      </c>
      <c r="G2521" s="9" t="s">
        <v>153</v>
      </c>
      <c r="H2521" s="9" t="s">
        <v>48</v>
      </c>
      <c r="I2521" s="9">
        <v>2</v>
      </c>
      <c r="J2521" s="9">
        <v>1440</v>
      </c>
      <c r="K2521" s="9">
        <v>0.24</v>
      </c>
      <c r="L2521" s="9">
        <v>339.62</v>
      </c>
      <c r="M2521" s="9">
        <v>24</v>
      </c>
      <c r="N2521" s="9" t="s">
        <v>49</v>
      </c>
      <c r="Q2521" s="9">
        <f>IF(Auction_Sales[[#This Row],[Payment Date]]=0,"",-1+WEEKNUM(Auction_Sales[[#This Row],[Payment Date]]))</f>
        <v>39</v>
      </c>
      <c r="R2521" s="9">
        <v>0</v>
      </c>
      <c r="S2521" s="9" t="s">
        <v>153</v>
      </c>
      <c r="T2521" s="9" t="s">
        <v>48</v>
      </c>
      <c r="U2521" s="9">
        <v>1440</v>
      </c>
      <c r="V2521" s="13">
        <v>0.26305555555555554</v>
      </c>
      <c r="W2521" s="13">
        <v>378.79999999999995</v>
      </c>
      <c r="X2521" s="14">
        <v>-100.88669201520919</v>
      </c>
      <c r="Y2521" s="13">
        <v>277.91330798479078</v>
      </c>
      <c r="Z2521" s="10">
        <v>45567</v>
      </c>
      <c r="AA2521" s="9">
        <v>0</v>
      </c>
      <c r="AC2521" s="9">
        <v>456320</v>
      </c>
      <c r="AD2521" s="14">
        <v>100.535</v>
      </c>
      <c r="AF2521" s="14">
        <v>28.8</v>
      </c>
      <c r="AH2521" s="14">
        <v>129.33500000000001</v>
      </c>
      <c r="AI2521" s="13">
        <v>148.57830798479077</v>
      </c>
      <c r="AK2521" s="9">
        <v>1440</v>
      </c>
    </row>
    <row r="2522" spans="1:37">
      <c r="A2522" s="9">
        <v>39</v>
      </c>
      <c r="B2522" s="9">
        <v>2024</v>
      </c>
      <c r="C2522" s="9" t="s">
        <v>46</v>
      </c>
      <c r="D2522" s="9" t="s">
        <v>47</v>
      </c>
      <c r="E2522" s="9" t="s">
        <v>47</v>
      </c>
      <c r="F2522" s="10">
        <v>45556</v>
      </c>
      <c r="G2522" s="9" t="s">
        <v>153</v>
      </c>
      <c r="H2522" s="9" t="s">
        <v>52</v>
      </c>
      <c r="I2522" s="9">
        <v>1</v>
      </c>
      <c r="J2522" s="9">
        <v>520</v>
      </c>
      <c r="K2522" s="9">
        <v>0.28000000000000003</v>
      </c>
      <c r="L2522" s="9">
        <v>147.16999999999999</v>
      </c>
      <c r="M2522" s="9">
        <v>12</v>
      </c>
      <c r="N2522" s="9" t="s">
        <v>49</v>
      </c>
      <c r="Q2522" s="9">
        <f>IF(Auction_Sales[[#This Row],[Payment Date]]=0,"",-1+WEEKNUM(Auction_Sales[[#This Row],[Payment Date]]))</f>
        <v>39</v>
      </c>
      <c r="R2522" s="9">
        <v>0</v>
      </c>
      <c r="S2522" s="9" t="s">
        <v>153</v>
      </c>
      <c r="T2522" s="9" t="s">
        <v>52</v>
      </c>
      <c r="U2522" s="9">
        <v>520</v>
      </c>
      <c r="V2522" s="13">
        <v>0.31</v>
      </c>
      <c r="W2522" s="13">
        <v>161.19999999999999</v>
      </c>
      <c r="X2522" s="14">
        <v>-36.431305449936652</v>
      </c>
      <c r="Y2522" s="13">
        <v>124.76869455006334</v>
      </c>
      <c r="Z2522" s="10">
        <v>45567</v>
      </c>
      <c r="AA2522" s="9">
        <v>0</v>
      </c>
      <c r="AC2522" s="9">
        <v>456320</v>
      </c>
      <c r="AD2522" s="14">
        <v>50.267499999999998</v>
      </c>
      <c r="AF2522" s="14">
        <v>10.4</v>
      </c>
      <c r="AH2522" s="14">
        <v>60.667499999999997</v>
      </c>
      <c r="AI2522" s="13">
        <v>64.101194550063354</v>
      </c>
      <c r="AK2522" s="9">
        <v>520</v>
      </c>
    </row>
    <row r="2523" spans="1:37">
      <c r="A2523" s="9">
        <v>39</v>
      </c>
      <c r="B2523" s="9">
        <v>2024</v>
      </c>
      <c r="C2523" s="9" t="s">
        <v>46</v>
      </c>
      <c r="D2523" s="9" t="s">
        <v>47</v>
      </c>
      <c r="E2523" s="9" t="s">
        <v>47</v>
      </c>
      <c r="F2523" s="10">
        <v>45556</v>
      </c>
      <c r="G2523" s="9" t="s">
        <v>153</v>
      </c>
      <c r="H2523" s="9" t="s">
        <v>54</v>
      </c>
      <c r="I2523" s="9">
        <v>1</v>
      </c>
      <c r="J2523" s="9">
        <v>320</v>
      </c>
      <c r="K2523" s="9">
        <v>0.33</v>
      </c>
      <c r="L2523" s="9">
        <v>105.66</v>
      </c>
      <c r="M2523" s="9">
        <v>9.6000000000000014</v>
      </c>
      <c r="N2523" s="9" t="s">
        <v>49</v>
      </c>
      <c r="Q2523" s="9">
        <f>IF(Auction_Sales[[#This Row],[Payment Date]]=0,"",-1+WEEKNUM(Auction_Sales[[#This Row],[Payment Date]]))</f>
        <v>39</v>
      </c>
      <c r="R2523" s="9">
        <v>0</v>
      </c>
      <c r="S2523" s="9" t="s">
        <v>153</v>
      </c>
      <c r="T2523" s="9" t="s">
        <v>54</v>
      </c>
      <c r="U2523" s="9">
        <v>320</v>
      </c>
      <c r="V2523" s="13">
        <v>0.36</v>
      </c>
      <c r="W2523" s="13">
        <v>115.19999999999999</v>
      </c>
      <c r="X2523" s="14">
        <v>-22.419264892268707</v>
      </c>
      <c r="Y2523" s="13">
        <v>92.780735107731289</v>
      </c>
      <c r="Z2523" s="10">
        <v>45567</v>
      </c>
      <c r="AA2523" s="9">
        <v>0</v>
      </c>
      <c r="AC2523" s="9">
        <v>456320</v>
      </c>
      <c r="AD2523" s="14">
        <v>40.214000000000013</v>
      </c>
      <c r="AF2523" s="14">
        <v>6.4</v>
      </c>
      <c r="AH2523" s="14">
        <v>46.614000000000011</v>
      </c>
      <c r="AI2523" s="13">
        <v>46.166735107731277</v>
      </c>
      <c r="AK2523" s="9">
        <v>320</v>
      </c>
    </row>
    <row r="2524" spans="1:37">
      <c r="A2524" s="9">
        <v>39</v>
      </c>
      <c r="B2524" s="9">
        <v>2024</v>
      </c>
      <c r="C2524" s="9" t="s">
        <v>46</v>
      </c>
      <c r="D2524" s="9" t="s">
        <v>47</v>
      </c>
      <c r="E2524" s="9" t="s">
        <v>47</v>
      </c>
      <c r="F2524" s="10">
        <v>45556</v>
      </c>
      <c r="G2524" s="9" t="s">
        <v>153</v>
      </c>
      <c r="H2524" s="9" t="s">
        <v>57</v>
      </c>
      <c r="J2524" s="9">
        <v>40</v>
      </c>
      <c r="K2524" s="9">
        <v>0.47</v>
      </c>
      <c r="L2524" s="9">
        <v>18.87</v>
      </c>
      <c r="M2524" s="9">
        <v>1.2000000000000002</v>
      </c>
      <c r="N2524" s="9" t="s">
        <v>49</v>
      </c>
      <c r="Q2524" s="9">
        <f>IF(Auction_Sales[[#This Row],[Payment Date]]=0,"",-1+WEEKNUM(Auction_Sales[[#This Row],[Payment Date]]))</f>
        <v>39</v>
      </c>
      <c r="R2524" s="9">
        <v>0</v>
      </c>
      <c r="S2524" s="9" t="s">
        <v>153</v>
      </c>
      <c r="T2524" s="9" t="s">
        <v>57</v>
      </c>
      <c r="U2524" s="9">
        <v>40</v>
      </c>
      <c r="V2524" s="13">
        <v>0.55999999999999994</v>
      </c>
      <c r="W2524" s="13">
        <v>22.4</v>
      </c>
      <c r="X2524" s="14">
        <v>-2.8024081115335884</v>
      </c>
      <c r="Y2524" s="13">
        <v>19.597591888466411</v>
      </c>
      <c r="Z2524" s="10">
        <v>45567</v>
      </c>
      <c r="AA2524" s="9">
        <v>0</v>
      </c>
      <c r="AC2524" s="9">
        <v>456320</v>
      </c>
      <c r="AD2524" s="14">
        <v>5.0267500000000016</v>
      </c>
      <c r="AF2524" s="14">
        <v>0.8</v>
      </c>
      <c r="AH2524" s="14">
        <v>5.8267500000000014</v>
      </c>
      <c r="AI2524" s="13">
        <v>13.770841888466411</v>
      </c>
      <c r="AK2524" s="9">
        <v>40</v>
      </c>
    </row>
    <row r="2525" spans="1:37">
      <c r="A2525" s="9">
        <v>39</v>
      </c>
      <c r="B2525" s="9">
        <v>2024</v>
      </c>
      <c r="C2525" s="9" t="s">
        <v>46</v>
      </c>
      <c r="D2525" s="9" t="s">
        <v>47</v>
      </c>
      <c r="E2525" s="9" t="s">
        <v>47</v>
      </c>
      <c r="F2525" s="10">
        <v>45556</v>
      </c>
      <c r="G2525" s="9" t="s">
        <v>153</v>
      </c>
      <c r="H2525" s="9" t="s">
        <v>56</v>
      </c>
      <c r="J2525" s="9">
        <v>40</v>
      </c>
      <c r="K2525" s="9">
        <v>0.38</v>
      </c>
      <c r="L2525" s="9">
        <v>15.09</v>
      </c>
      <c r="M2525" s="9">
        <v>1.2000000000000002</v>
      </c>
      <c r="N2525" s="9" t="s">
        <v>49</v>
      </c>
      <c r="Q2525" s="9">
        <f>IF(Auction_Sales[[#This Row],[Payment Date]]=0,"",-1+WEEKNUM(Auction_Sales[[#This Row],[Payment Date]]))</f>
        <v>39</v>
      </c>
      <c r="R2525" s="9">
        <v>-40</v>
      </c>
      <c r="S2525" s="9" t="s">
        <v>153</v>
      </c>
      <c r="T2525" s="9" t="s">
        <v>56</v>
      </c>
      <c r="U2525" s="9">
        <v>80</v>
      </c>
      <c r="V2525" s="13">
        <v>0.52</v>
      </c>
      <c r="W2525" s="13">
        <v>41.6</v>
      </c>
      <c r="X2525" s="14">
        <v>-5.6048162230671768</v>
      </c>
      <c r="Y2525" s="13">
        <v>35.995183776932826</v>
      </c>
      <c r="Z2525" s="10">
        <v>45567</v>
      </c>
      <c r="AA2525" s="9">
        <v>40</v>
      </c>
      <c r="AC2525" s="9">
        <v>456320</v>
      </c>
      <c r="AD2525" s="14">
        <v>5.0267500000000016</v>
      </c>
      <c r="AF2525" s="14">
        <v>1.6</v>
      </c>
      <c r="AH2525" s="14">
        <v>6.6267500000000013</v>
      </c>
      <c r="AI2525" s="13">
        <v>29.368433776932825</v>
      </c>
      <c r="AK2525" s="9">
        <v>80</v>
      </c>
    </row>
    <row r="2526" spans="1:37">
      <c r="A2526" s="9">
        <v>39</v>
      </c>
      <c r="B2526" s="9">
        <v>2024</v>
      </c>
      <c r="C2526" s="9" t="s">
        <v>46</v>
      </c>
      <c r="D2526" s="9" t="s">
        <v>47</v>
      </c>
      <c r="E2526" s="9" t="s">
        <v>47</v>
      </c>
      <c r="F2526" s="10">
        <v>45556</v>
      </c>
      <c r="G2526" s="9" t="s">
        <v>155</v>
      </c>
      <c r="H2526" s="9" t="s">
        <v>54</v>
      </c>
      <c r="I2526" s="9">
        <v>1</v>
      </c>
      <c r="J2526" s="9">
        <v>40</v>
      </c>
      <c r="K2526" s="9">
        <v>0.62</v>
      </c>
      <c r="L2526" s="9">
        <v>24.8</v>
      </c>
      <c r="M2526" s="9">
        <v>2</v>
      </c>
      <c r="N2526" s="9" t="s">
        <v>49</v>
      </c>
      <c r="Q2526" s="9">
        <f>IF(Auction_Sales[[#This Row],[Payment Date]]=0,"",-1+WEEKNUM(Auction_Sales[[#This Row],[Payment Date]]))</f>
        <v>39</v>
      </c>
      <c r="R2526" s="9">
        <v>0</v>
      </c>
      <c r="S2526" s="9" t="s">
        <v>155</v>
      </c>
      <c r="T2526" s="9" t="s">
        <v>54</v>
      </c>
      <c r="U2526" s="9">
        <v>40</v>
      </c>
      <c r="V2526" s="13">
        <v>0.95</v>
      </c>
      <c r="W2526" s="13">
        <v>38</v>
      </c>
      <c r="X2526" s="14">
        <v>-2.8024081115335884</v>
      </c>
      <c r="Y2526" s="13">
        <v>35.197591888466413</v>
      </c>
      <c r="Z2526" s="10">
        <v>45567</v>
      </c>
      <c r="AA2526" s="9">
        <v>0</v>
      </c>
      <c r="AC2526" s="9">
        <v>456320</v>
      </c>
      <c r="AD2526" s="14">
        <v>8.3779166666666676</v>
      </c>
      <c r="AF2526" s="14">
        <v>0.8</v>
      </c>
      <c r="AH2526" s="14">
        <v>9.1779166666666683</v>
      </c>
      <c r="AI2526" s="13">
        <v>26.019675221799744</v>
      </c>
      <c r="AK2526" s="9">
        <v>40</v>
      </c>
    </row>
    <row r="2527" spans="1:37">
      <c r="A2527" s="9">
        <v>39</v>
      </c>
      <c r="B2527" s="9">
        <v>2024</v>
      </c>
      <c r="C2527" s="9" t="s">
        <v>46</v>
      </c>
      <c r="D2527" s="9" t="s">
        <v>47</v>
      </c>
      <c r="E2527" s="9" t="s">
        <v>47</v>
      </c>
      <c r="F2527" s="10">
        <v>45556</v>
      </c>
      <c r="G2527" s="9" t="s">
        <v>155</v>
      </c>
      <c r="H2527" s="9" t="s">
        <v>57</v>
      </c>
      <c r="J2527" s="9">
        <v>40</v>
      </c>
      <c r="K2527" s="9">
        <v>1.03</v>
      </c>
      <c r="L2527" s="9">
        <v>41.2</v>
      </c>
      <c r="M2527" s="9">
        <v>2</v>
      </c>
      <c r="N2527" s="9" t="s">
        <v>49</v>
      </c>
      <c r="Q2527" s="9">
        <f>IF(Auction_Sales[[#This Row],[Payment Date]]=0,"",-1+WEEKNUM(Auction_Sales[[#This Row],[Payment Date]]))</f>
        <v>39</v>
      </c>
      <c r="R2527" s="9">
        <v>0</v>
      </c>
      <c r="S2527" s="9" t="s">
        <v>155</v>
      </c>
      <c r="T2527" s="9" t="s">
        <v>57</v>
      </c>
      <c r="U2527" s="9">
        <v>40</v>
      </c>
      <c r="V2527" s="13">
        <v>0.91999999999999993</v>
      </c>
      <c r="W2527" s="13">
        <v>36.799999999999997</v>
      </c>
      <c r="X2527" s="14">
        <v>-2.8024081115335884</v>
      </c>
      <c r="Y2527" s="13">
        <v>33.99759188846641</v>
      </c>
      <c r="Z2527" s="10">
        <v>45567</v>
      </c>
      <c r="AA2527" s="9">
        <v>0</v>
      </c>
      <c r="AC2527" s="9">
        <v>456320</v>
      </c>
      <c r="AD2527" s="14">
        <v>8.3779166666666676</v>
      </c>
      <c r="AF2527" s="14">
        <v>0.8</v>
      </c>
      <c r="AH2527" s="14">
        <v>9.1779166666666683</v>
      </c>
      <c r="AI2527" s="13">
        <v>24.819675221799741</v>
      </c>
      <c r="AK2527" s="9">
        <v>40</v>
      </c>
    </row>
    <row r="2528" spans="1:37">
      <c r="A2528" s="9">
        <v>39</v>
      </c>
      <c r="B2528" s="9">
        <v>2024</v>
      </c>
      <c r="C2528" s="9" t="s">
        <v>46</v>
      </c>
      <c r="D2528" s="9" t="s">
        <v>47</v>
      </c>
      <c r="E2528" s="9" t="s">
        <v>47</v>
      </c>
      <c r="F2528" s="10">
        <v>45556</v>
      </c>
      <c r="G2528" s="9" t="s">
        <v>155</v>
      </c>
      <c r="H2528" s="9" t="s">
        <v>56</v>
      </c>
      <c r="J2528" s="9">
        <v>160</v>
      </c>
      <c r="K2528" s="9">
        <v>0.83</v>
      </c>
      <c r="L2528" s="9">
        <v>132.80000000000001</v>
      </c>
      <c r="M2528" s="9">
        <v>8</v>
      </c>
      <c r="N2528" s="9" t="s">
        <v>49</v>
      </c>
      <c r="Q2528" s="9">
        <f>IF(Auction_Sales[[#This Row],[Payment Date]]=0,"",-1+WEEKNUM(Auction_Sales[[#This Row],[Payment Date]]))</f>
        <v>39</v>
      </c>
      <c r="R2528" s="9">
        <v>0</v>
      </c>
      <c r="S2528" s="9" t="s">
        <v>155</v>
      </c>
      <c r="T2528" s="9" t="s">
        <v>56</v>
      </c>
      <c r="U2528" s="9">
        <v>160</v>
      </c>
      <c r="V2528" s="13">
        <v>0.97499999999999998</v>
      </c>
      <c r="W2528" s="13">
        <v>156</v>
      </c>
      <c r="X2528" s="14">
        <v>-11.209632446134354</v>
      </c>
      <c r="Y2528" s="13">
        <v>144.79036755386565</v>
      </c>
      <c r="Z2528" s="10">
        <v>45567</v>
      </c>
      <c r="AA2528" s="9">
        <v>0</v>
      </c>
      <c r="AC2528" s="9">
        <v>456320</v>
      </c>
      <c r="AD2528" s="14">
        <v>33.51166666666667</v>
      </c>
      <c r="AF2528" s="14">
        <v>3.2</v>
      </c>
      <c r="AH2528" s="14">
        <v>36.711666666666673</v>
      </c>
      <c r="AI2528" s="13">
        <v>108.07870088719898</v>
      </c>
      <c r="AK2528" s="9">
        <v>160</v>
      </c>
    </row>
    <row r="2529" spans="1:37">
      <c r="A2529" s="9">
        <v>39</v>
      </c>
      <c r="B2529" s="9">
        <v>2024</v>
      </c>
      <c r="C2529" s="9" t="s">
        <v>46</v>
      </c>
      <c r="D2529" s="9" t="s">
        <v>47</v>
      </c>
      <c r="E2529" s="9" t="s">
        <v>47</v>
      </c>
      <c r="F2529" s="10">
        <v>45556</v>
      </c>
      <c r="G2529" s="9" t="s">
        <v>156</v>
      </c>
      <c r="H2529" s="9" t="s">
        <v>52</v>
      </c>
      <c r="I2529" s="9">
        <v>1</v>
      </c>
      <c r="J2529" s="9">
        <v>80</v>
      </c>
      <c r="K2529" s="9">
        <v>0.67</v>
      </c>
      <c r="L2529" s="9">
        <v>53.6</v>
      </c>
      <c r="M2529" s="9">
        <v>4</v>
      </c>
      <c r="N2529" s="9" t="s">
        <v>49</v>
      </c>
      <c r="Q2529" s="9">
        <f>IF(Auction_Sales[[#This Row],[Payment Date]]=0,"",-1+WEEKNUM(Auction_Sales[[#This Row],[Payment Date]]))</f>
        <v>39</v>
      </c>
      <c r="R2529" s="9">
        <v>0</v>
      </c>
      <c r="S2529" s="9" t="s">
        <v>156</v>
      </c>
      <c r="T2529" s="9" t="s">
        <v>52</v>
      </c>
      <c r="U2529" s="9">
        <v>80</v>
      </c>
      <c r="V2529" s="13">
        <v>0.98000000000000009</v>
      </c>
      <c r="W2529" s="13">
        <v>78.400000000000006</v>
      </c>
      <c r="X2529" s="14">
        <v>-5.6048162230671768</v>
      </c>
      <c r="Y2529" s="13">
        <v>72.795183776932831</v>
      </c>
      <c r="Z2529" s="10">
        <v>45567</v>
      </c>
      <c r="AA2529" s="9">
        <v>0</v>
      </c>
      <c r="AC2529" s="9">
        <v>456320</v>
      </c>
      <c r="AD2529" s="14">
        <v>16.755833333333335</v>
      </c>
      <c r="AF2529" s="14">
        <v>1.6</v>
      </c>
      <c r="AH2529" s="14">
        <v>18.355833333333337</v>
      </c>
      <c r="AI2529" s="13">
        <v>54.439350443599494</v>
      </c>
      <c r="AK2529" s="9">
        <v>80</v>
      </c>
    </row>
    <row r="2530" spans="1:37">
      <c r="A2530" s="9">
        <v>39</v>
      </c>
      <c r="B2530" s="9">
        <v>2024</v>
      </c>
      <c r="C2530" s="9" t="s">
        <v>46</v>
      </c>
      <c r="D2530" s="9" t="s">
        <v>47</v>
      </c>
      <c r="E2530" s="9" t="s">
        <v>47</v>
      </c>
      <c r="F2530" s="10">
        <v>45556</v>
      </c>
      <c r="G2530" s="9" t="s">
        <v>156</v>
      </c>
      <c r="H2530" s="9" t="s">
        <v>56</v>
      </c>
      <c r="J2530" s="9">
        <v>40</v>
      </c>
      <c r="K2530" s="9">
        <v>0.93</v>
      </c>
      <c r="L2530" s="9">
        <v>37.200000000000003</v>
      </c>
      <c r="M2530" s="9">
        <v>2</v>
      </c>
      <c r="N2530" s="9" t="s">
        <v>49</v>
      </c>
      <c r="Q2530" s="9">
        <f>IF(Auction_Sales[[#This Row],[Payment Date]]=0,"",-1+WEEKNUM(Auction_Sales[[#This Row],[Payment Date]]))</f>
        <v>39</v>
      </c>
      <c r="R2530" s="9">
        <v>0</v>
      </c>
      <c r="S2530" s="9" t="s">
        <v>156</v>
      </c>
      <c r="T2530" s="9" t="s">
        <v>56</v>
      </c>
      <c r="U2530" s="9">
        <v>40</v>
      </c>
      <c r="V2530" s="13">
        <v>1.03</v>
      </c>
      <c r="W2530" s="13">
        <v>41.2</v>
      </c>
      <c r="X2530" s="14">
        <v>-2.8024081115335884</v>
      </c>
      <c r="Y2530" s="13">
        <v>38.397591888466415</v>
      </c>
      <c r="Z2530" s="10">
        <v>45567</v>
      </c>
      <c r="AA2530" s="9">
        <v>0</v>
      </c>
      <c r="AC2530" s="9">
        <v>456320</v>
      </c>
      <c r="AD2530" s="14">
        <v>8.3779166666666676</v>
      </c>
      <c r="AF2530" s="14">
        <v>0.8</v>
      </c>
      <c r="AH2530" s="14">
        <v>9.1779166666666683</v>
      </c>
      <c r="AI2530" s="13">
        <v>29.219675221799747</v>
      </c>
      <c r="AK2530" s="9">
        <v>40</v>
      </c>
    </row>
    <row r="2531" spans="1:37">
      <c r="A2531" s="9">
        <v>39</v>
      </c>
      <c r="B2531" s="9">
        <v>2024</v>
      </c>
      <c r="C2531" s="9" t="s">
        <v>46</v>
      </c>
      <c r="D2531" s="9" t="s">
        <v>47</v>
      </c>
      <c r="E2531" s="9" t="s">
        <v>47</v>
      </c>
      <c r="F2531" s="10">
        <v>45556</v>
      </c>
      <c r="G2531" s="9" t="s">
        <v>156</v>
      </c>
      <c r="H2531" s="9" t="s">
        <v>57</v>
      </c>
      <c r="J2531" s="9">
        <v>120</v>
      </c>
      <c r="K2531" s="9">
        <v>1.1399999999999999</v>
      </c>
      <c r="L2531" s="9">
        <v>136.80000000000001</v>
      </c>
      <c r="M2531" s="9">
        <v>6</v>
      </c>
      <c r="N2531" s="9" t="s">
        <v>49</v>
      </c>
      <c r="Q2531" s="9">
        <f>IF(Auction_Sales[[#This Row],[Payment Date]]=0,"",-1+WEEKNUM(Auction_Sales[[#This Row],[Payment Date]]))</f>
        <v>39</v>
      </c>
      <c r="R2531" s="9">
        <v>0</v>
      </c>
      <c r="S2531" s="9" t="s">
        <v>156</v>
      </c>
      <c r="T2531" s="9" t="s">
        <v>57</v>
      </c>
      <c r="U2531" s="9">
        <v>120</v>
      </c>
      <c r="V2531" s="13">
        <v>1.0566666666666666</v>
      </c>
      <c r="W2531" s="13">
        <v>126.8</v>
      </c>
      <c r="X2531" s="14">
        <v>-8.407224334600766</v>
      </c>
      <c r="Y2531" s="13">
        <v>118.39277566539923</v>
      </c>
      <c r="Z2531" s="10">
        <v>45567</v>
      </c>
      <c r="AA2531" s="9">
        <v>0</v>
      </c>
      <c r="AC2531" s="9">
        <v>456320</v>
      </c>
      <c r="AD2531" s="14">
        <v>25.133749999999999</v>
      </c>
      <c r="AF2531" s="14">
        <v>2.4</v>
      </c>
      <c r="AH2531" s="14">
        <v>27.533749999999998</v>
      </c>
      <c r="AI2531" s="13">
        <v>90.85902566539923</v>
      </c>
      <c r="AK2531" s="9">
        <v>120</v>
      </c>
    </row>
    <row r="2532" spans="1:37">
      <c r="A2532" s="9">
        <v>39</v>
      </c>
      <c r="B2532" s="9">
        <v>2024</v>
      </c>
      <c r="C2532" s="9" t="s">
        <v>46</v>
      </c>
      <c r="D2532" s="9" t="s">
        <v>47</v>
      </c>
      <c r="E2532" s="9" t="s">
        <v>47</v>
      </c>
      <c r="F2532" s="10">
        <v>45558</v>
      </c>
      <c r="G2532" s="9" t="s">
        <v>160</v>
      </c>
      <c r="H2532" s="9" t="s">
        <v>137</v>
      </c>
      <c r="I2532" s="9">
        <v>3</v>
      </c>
      <c r="J2532" s="9">
        <v>48</v>
      </c>
      <c r="K2532" s="9">
        <v>1.42</v>
      </c>
      <c r="L2532" s="9">
        <v>67.92</v>
      </c>
      <c r="M2532" s="9">
        <v>36</v>
      </c>
      <c r="N2532" s="9" t="s">
        <v>49</v>
      </c>
      <c r="Q2532" s="9">
        <f>IF(Auction_Sales[[#This Row],[Payment Date]]=0,"",-1+WEEKNUM(Auction_Sales[[#This Row],[Payment Date]]))</f>
        <v>39</v>
      </c>
      <c r="R2532" s="9">
        <v>-10</v>
      </c>
      <c r="S2532" s="9" t="s">
        <v>160</v>
      </c>
      <c r="T2532" s="9" t="s">
        <v>137</v>
      </c>
      <c r="U2532" s="9">
        <v>58</v>
      </c>
      <c r="V2532" s="13">
        <v>8.7862068965517235</v>
      </c>
      <c r="W2532" s="13">
        <v>509.59999999999997</v>
      </c>
      <c r="X2532" s="14">
        <v>-3.7909683666881859</v>
      </c>
      <c r="Y2532" s="13">
        <v>505.8090316333118</v>
      </c>
      <c r="Z2532" s="10">
        <v>45567</v>
      </c>
      <c r="AA2532" s="9">
        <v>10</v>
      </c>
      <c r="AC2532" s="9" t="s">
        <v>151</v>
      </c>
      <c r="AD2532" s="14">
        <v>157.53299999999999</v>
      </c>
      <c r="AF2532" s="14">
        <v>3.48</v>
      </c>
      <c r="AH2532" s="14">
        <v>161.01299999999998</v>
      </c>
      <c r="AI2532" s="13">
        <v>344.79603163331183</v>
      </c>
      <c r="AK2532" s="9">
        <v>58</v>
      </c>
    </row>
    <row r="2533" spans="1:37">
      <c r="A2533" s="9">
        <v>39</v>
      </c>
      <c r="B2533" s="9">
        <v>2024</v>
      </c>
      <c r="C2533" s="9" t="s">
        <v>46</v>
      </c>
      <c r="D2533" s="9" t="s">
        <v>47</v>
      </c>
      <c r="E2533" s="9" t="s">
        <v>47</v>
      </c>
      <c r="F2533" s="10">
        <v>45558</v>
      </c>
      <c r="G2533" s="9" t="s">
        <v>160</v>
      </c>
      <c r="H2533" s="9" t="s">
        <v>137</v>
      </c>
      <c r="I2533" s="9">
        <v>1</v>
      </c>
      <c r="J2533" s="9">
        <v>10</v>
      </c>
      <c r="K2533" s="9">
        <v>1.42</v>
      </c>
      <c r="L2533" s="9">
        <v>14.15</v>
      </c>
      <c r="M2533" s="9">
        <v>12</v>
      </c>
      <c r="N2533" s="9" t="s">
        <v>49</v>
      </c>
      <c r="Q2533" s="9">
        <f>IF(Auction_Sales[[#This Row],[Payment Date]]=0,"",-1+WEEKNUM(Auction_Sales[[#This Row],[Payment Date]]))</f>
        <v>39</v>
      </c>
      <c r="R2533" s="9">
        <v>10</v>
      </c>
      <c r="S2533" s="9" t="s">
        <v>160</v>
      </c>
      <c r="T2533" s="9" t="s">
        <v>137</v>
      </c>
      <c r="W2533" s="13">
        <v>0</v>
      </c>
      <c r="X2533" s="14">
        <v>0</v>
      </c>
      <c r="Y2533" s="13">
        <v>0</v>
      </c>
      <c r="Z2533" s="10">
        <v>45567</v>
      </c>
      <c r="AA2533" s="9">
        <v>-10</v>
      </c>
      <c r="AC2533" s="9" t="s">
        <v>151</v>
      </c>
      <c r="AD2533" s="14">
        <v>52.511000000000003</v>
      </c>
      <c r="AF2533" s="14">
        <v>0</v>
      </c>
      <c r="AH2533" s="14">
        <v>52.511000000000003</v>
      </c>
      <c r="AI2533" s="13">
        <v>-52.511000000000003</v>
      </c>
      <c r="AK2533" s="9">
        <v>0</v>
      </c>
    </row>
    <row r="2534" spans="1:37">
      <c r="A2534" s="9">
        <v>39</v>
      </c>
      <c r="B2534" s="9">
        <v>2024</v>
      </c>
      <c r="C2534" s="9" t="s">
        <v>46</v>
      </c>
      <c r="D2534" s="9" t="s">
        <v>47</v>
      </c>
      <c r="E2534" s="9" t="s">
        <v>47</v>
      </c>
      <c r="F2534" s="10">
        <v>45558</v>
      </c>
      <c r="G2534" s="9" t="s">
        <v>153</v>
      </c>
      <c r="H2534" s="9" t="s">
        <v>48</v>
      </c>
      <c r="I2534" s="9">
        <v>1</v>
      </c>
      <c r="J2534" s="9">
        <v>720</v>
      </c>
      <c r="K2534" s="9">
        <v>0.24</v>
      </c>
      <c r="L2534" s="9">
        <v>169.81</v>
      </c>
      <c r="M2534" s="9">
        <v>12</v>
      </c>
      <c r="N2534" s="9" t="s">
        <v>49</v>
      </c>
      <c r="Q2534" s="9">
        <f>IF(Auction_Sales[[#This Row],[Payment Date]]=0,"",-1+WEEKNUM(Auction_Sales[[#This Row],[Payment Date]]))</f>
        <v>39</v>
      </c>
      <c r="R2534" s="9">
        <v>120</v>
      </c>
      <c r="S2534" s="9" t="s">
        <v>153</v>
      </c>
      <c r="T2534" s="9" t="s">
        <v>48</v>
      </c>
      <c r="U2534" s="9">
        <v>600</v>
      </c>
      <c r="V2534" s="13">
        <v>0.26</v>
      </c>
      <c r="W2534" s="13">
        <v>156</v>
      </c>
      <c r="X2534" s="14">
        <v>-39.216914138153648</v>
      </c>
      <c r="Y2534" s="13">
        <v>116.78308586184636</v>
      </c>
      <c r="Z2534" s="10">
        <v>45567</v>
      </c>
      <c r="AA2534" s="9">
        <v>-120</v>
      </c>
      <c r="AC2534" s="9" t="s">
        <v>151</v>
      </c>
      <c r="AD2534" s="14">
        <v>52.511000000000003</v>
      </c>
      <c r="AF2534" s="14">
        <v>12</v>
      </c>
      <c r="AH2534" s="14">
        <v>64.510999999999996</v>
      </c>
      <c r="AI2534" s="13">
        <v>52.272085861846364</v>
      </c>
      <c r="AK2534" s="9">
        <v>600</v>
      </c>
    </row>
    <row r="2535" spans="1:37">
      <c r="A2535" s="9">
        <v>39</v>
      </c>
      <c r="B2535" s="9">
        <v>2024</v>
      </c>
      <c r="C2535" s="9" t="s">
        <v>46</v>
      </c>
      <c r="D2535" s="9" t="s">
        <v>47</v>
      </c>
      <c r="E2535" s="9" t="s">
        <v>47</v>
      </c>
      <c r="F2535" s="10">
        <v>45558</v>
      </c>
      <c r="G2535" s="9" t="s">
        <v>153</v>
      </c>
      <c r="H2535" s="9" t="s">
        <v>52</v>
      </c>
      <c r="I2535" s="9">
        <v>1</v>
      </c>
      <c r="J2535" s="9">
        <v>520</v>
      </c>
      <c r="K2535" s="9">
        <v>0.28000000000000003</v>
      </c>
      <c r="L2535" s="9">
        <v>147.16999999999999</v>
      </c>
      <c r="M2535" s="9">
        <v>12</v>
      </c>
      <c r="N2535" s="9" t="s">
        <v>49</v>
      </c>
      <c r="Q2535" s="9">
        <f>IF(Auction_Sales[[#This Row],[Payment Date]]=0,"",-1+WEEKNUM(Auction_Sales[[#This Row],[Payment Date]]))</f>
        <v>39</v>
      </c>
      <c r="R2535" s="9">
        <v>-120</v>
      </c>
      <c r="S2535" s="9" t="s">
        <v>153</v>
      </c>
      <c r="T2535" s="9" t="s">
        <v>52</v>
      </c>
      <c r="U2535" s="9">
        <v>640</v>
      </c>
      <c r="V2535" s="13">
        <v>0.31</v>
      </c>
      <c r="W2535" s="13">
        <v>198.4</v>
      </c>
      <c r="X2535" s="14">
        <v>-41.831375080697228</v>
      </c>
      <c r="Y2535" s="13">
        <v>156.56862491930278</v>
      </c>
      <c r="Z2535" s="10">
        <v>45567</v>
      </c>
      <c r="AA2535" s="9">
        <v>120</v>
      </c>
      <c r="AC2535" s="9" t="s">
        <v>151</v>
      </c>
      <c r="AD2535" s="14">
        <v>52.511000000000003</v>
      </c>
      <c r="AF2535" s="14">
        <v>12.8</v>
      </c>
      <c r="AH2535" s="14">
        <v>65.311000000000007</v>
      </c>
      <c r="AI2535" s="13">
        <v>91.257624919302771</v>
      </c>
      <c r="AK2535" s="9">
        <v>640</v>
      </c>
    </row>
    <row r="2536" spans="1:37">
      <c r="A2536" s="9">
        <v>39</v>
      </c>
      <c r="B2536" s="9">
        <v>2024</v>
      </c>
      <c r="C2536" s="9" t="s">
        <v>46</v>
      </c>
      <c r="D2536" s="9" t="s">
        <v>47</v>
      </c>
      <c r="E2536" s="9" t="s">
        <v>47</v>
      </c>
      <c r="F2536" s="10">
        <v>45558</v>
      </c>
      <c r="G2536" s="9" t="s">
        <v>153</v>
      </c>
      <c r="H2536" s="9" t="s">
        <v>54</v>
      </c>
      <c r="I2536" s="9">
        <v>1</v>
      </c>
      <c r="J2536" s="9">
        <v>320</v>
      </c>
      <c r="K2536" s="9">
        <v>0.33</v>
      </c>
      <c r="L2536" s="9">
        <v>105.66</v>
      </c>
      <c r="M2536" s="9">
        <v>8</v>
      </c>
      <c r="N2536" s="9" t="s">
        <v>49</v>
      </c>
      <c r="Q2536" s="9">
        <f>IF(Auction_Sales[[#This Row],[Payment Date]]=0,"",-1+WEEKNUM(Auction_Sales[[#This Row],[Payment Date]]))</f>
        <v>39</v>
      </c>
      <c r="R2536" s="9">
        <v>0</v>
      </c>
      <c r="S2536" s="9" t="s">
        <v>153</v>
      </c>
      <c r="T2536" s="9" t="s">
        <v>54</v>
      </c>
      <c r="U2536" s="9">
        <v>320</v>
      </c>
      <c r="V2536" s="13">
        <v>0.47249999999999998</v>
      </c>
      <c r="W2536" s="13">
        <v>151.19999999999999</v>
      </c>
      <c r="X2536" s="14">
        <v>-20.915687540348614</v>
      </c>
      <c r="Y2536" s="13">
        <v>130.28431245965137</v>
      </c>
      <c r="Z2536" s="10">
        <v>45567</v>
      </c>
      <c r="AA2536" s="9">
        <v>0</v>
      </c>
      <c r="AC2536" s="9" t="s">
        <v>151</v>
      </c>
      <c r="AD2536" s="14">
        <v>35.007333333333335</v>
      </c>
      <c r="AF2536" s="14">
        <v>6.4</v>
      </c>
      <c r="AH2536" s="14">
        <v>41.407333333333334</v>
      </c>
      <c r="AI2536" s="13">
        <v>88.876979126318048</v>
      </c>
      <c r="AK2536" s="9">
        <v>320</v>
      </c>
    </row>
    <row r="2537" spans="1:37">
      <c r="A2537" s="9">
        <v>39</v>
      </c>
      <c r="B2537" s="9">
        <v>2024</v>
      </c>
      <c r="C2537" s="9" t="s">
        <v>46</v>
      </c>
      <c r="D2537" s="9" t="s">
        <v>47</v>
      </c>
      <c r="E2537" s="9" t="s">
        <v>47</v>
      </c>
      <c r="F2537" s="10">
        <v>45558</v>
      </c>
      <c r="G2537" s="9" t="s">
        <v>153</v>
      </c>
      <c r="H2537" s="9" t="s">
        <v>56</v>
      </c>
      <c r="J2537" s="9">
        <v>160</v>
      </c>
      <c r="K2537" s="9">
        <v>0.38</v>
      </c>
      <c r="L2537" s="9">
        <v>60.38</v>
      </c>
      <c r="M2537" s="9">
        <v>4</v>
      </c>
      <c r="N2537" s="9" t="s">
        <v>49</v>
      </c>
      <c r="Q2537" s="9">
        <f>IF(Auction_Sales[[#This Row],[Payment Date]]=0,"",-1+WEEKNUM(Auction_Sales[[#This Row],[Payment Date]]))</f>
        <v>39</v>
      </c>
      <c r="R2537" s="9">
        <v>0</v>
      </c>
      <c r="S2537" s="9" t="s">
        <v>153</v>
      </c>
      <c r="T2537" s="9" t="s">
        <v>56</v>
      </c>
      <c r="U2537" s="9">
        <v>160</v>
      </c>
      <c r="V2537" s="13">
        <v>0.2</v>
      </c>
      <c r="W2537" s="13">
        <v>32</v>
      </c>
      <c r="X2537" s="14">
        <v>-10.457843770174307</v>
      </c>
      <c r="Y2537" s="13">
        <v>21.542156229825693</v>
      </c>
      <c r="Z2537" s="10">
        <v>45567</v>
      </c>
      <c r="AA2537" s="9">
        <v>0</v>
      </c>
      <c r="AC2537" s="9" t="s">
        <v>151</v>
      </c>
      <c r="AD2537" s="14">
        <v>17.503666666666668</v>
      </c>
      <c r="AF2537" s="14">
        <v>3.2</v>
      </c>
      <c r="AH2537" s="14">
        <v>20.703666666666667</v>
      </c>
      <c r="AI2537" s="13">
        <v>0.83848956315902612</v>
      </c>
      <c r="AK2537" s="9">
        <v>160</v>
      </c>
    </row>
    <row r="2538" spans="1:37">
      <c r="A2538" s="9">
        <v>39</v>
      </c>
      <c r="B2538" s="9">
        <v>2024</v>
      </c>
      <c r="C2538" s="9" t="s">
        <v>46</v>
      </c>
      <c r="D2538" s="9" t="s">
        <v>47</v>
      </c>
      <c r="E2538" s="9" t="s">
        <v>47</v>
      </c>
      <c r="F2538" s="10">
        <v>45558</v>
      </c>
      <c r="G2538" s="9" t="s">
        <v>155</v>
      </c>
      <c r="H2538" s="9" t="s">
        <v>48</v>
      </c>
      <c r="I2538" s="9">
        <v>1</v>
      </c>
      <c r="J2538" s="9">
        <v>280</v>
      </c>
      <c r="K2538" s="9">
        <v>0.47</v>
      </c>
      <c r="L2538" s="9">
        <v>132.08000000000001</v>
      </c>
      <c r="M2538" s="9">
        <v>8.3999999999999986</v>
      </c>
      <c r="N2538" s="9" t="s">
        <v>49</v>
      </c>
      <c r="Q2538" s="9">
        <f>IF(Auction_Sales[[#This Row],[Payment Date]]=0,"",-1+WEEKNUM(Auction_Sales[[#This Row],[Payment Date]]))</f>
        <v>39</v>
      </c>
      <c r="R2538" s="9">
        <v>0</v>
      </c>
      <c r="S2538" s="9" t="s">
        <v>155</v>
      </c>
      <c r="T2538" s="9" t="s">
        <v>48</v>
      </c>
      <c r="U2538" s="9">
        <v>280</v>
      </c>
      <c r="V2538" s="13">
        <v>0.82428571428571429</v>
      </c>
      <c r="W2538" s="13">
        <v>230.8</v>
      </c>
      <c r="X2538" s="14">
        <v>-18.301226597805037</v>
      </c>
      <c r="Y2538" s="13">
        <v>212.49877340219498</v>
      </c>
      <c r="Z2538" s="10">
        <v>45567</v>
      </c>
      <c r="AA2538" s="9">
        <v>0</v>
      </c>
      <c r="AC2538" s="9" t="s">
        <v>151</v>
      </c>
      <c r="AD2538" s="14">
        <v>36.7577</v>
      </c>
      <c r="AF2538" s="14">
        <v>5.6000000000000005</v>
      </c>
      <c r="AH2538" s="14">
        <v>42.357700000000001</v>
      </c>
      <c r="AI2538" s="13">
        <v>170.14107340219499</v>
      </c>
      <c r="AK2538" s="9">
        <v>280</v>
      </c>
    </row>
    <row r="2539" spans="1:37">
      <c r="A2539" s="9">
        <v>39</v>
      </c>
      <c r="B2539" s="9">
        <v>2024</v>
      </c>
      <c r="C2539" s="9" t="s">
        <v>46</v>
      </c>
      <c r="D2539" s="9" t="s">
        <v>47</v>
      </c>
      <c r="E2539" s="9" t="s">
        <v>47</v>
      </c>
      <c r="F2539" s="10">
        <v>45558</v>
      </c>
      <c r="G2539" s="9" t="s">
        <v>155</v>
      </c>
      <c r="H2539" s="9" t="s">
        <v>52</v>
      </c>
      <c r="J2539" s="9">
        <v>120</v>
      </c>
      <c r="K2539" s="9">
        <v>0.56999999999999995</v>
      </c>
      <c r="L2539" s="9">
        <v>68.400000000000006</v>
      </c>
      <c r="M2539" s="9">
        <v>3.5999999999999996</v>
      </c>
      <c r="N2539" s="9" t="s">
        <v>49</v>
      </c>
      <c r="Q2539" s="9">
        <f>IF(Auction_Sales[[#This Row],[Payment Date]]=0,"",-1+WEEKNUM(Auction_Sales[[#This Row],[Payment Date]]))</f>
        <v>39</v>
      </c>
      <c r="R2539" s="9">
        <v>0</v>
      </c>
      <c r="S2539" s="9" t="s">
        <v>155</v>
      </c>
      <c r="T2539" s="9" t="s">
        <v>52</v>
      </c>
      <c r="U2539" s="9">
        <v>120</v>
      </c>
      <c r="V2539" s="13">
        <v>0.77999999999999992</v>
      </c>
      <c r="W2539" s="13">
        <v>93.6</v>
      </c>
      <c r="X2539" s="14">
        <v>-7.8433828276307302</v>
      </c>
      <c r="Y2539" s="13">
        <v>85.756617172369261</v>
      </c>
      <c r="Z2539" s="10">
        <v>45567</v>
      </c>
      <c r="AA2539" s="9">
        <v>0</v>
      </c>
      <c r="AC2539" s="9" t="s">
        <v>151</v>
      </c>
      <c r="AD2539" s="14">
        <v>15.753299999999998</v>
      </c>
      <c r="AF2539" s="14">
        <v>2.4</v>
      </c>
      <c r="AH2539" s="14">
        <v>18.153299999999998</v>
      </c>
      <c r="AI2539" s="13">
        <v>67.603317172369259</v>
      </c>
      <c r="AK2539" s="9">
        <v>120</v>
      </c>
    </row>
    <row r="2540" spans="1:37">
      <c r="A2540" s="9">
        <v>39</v>
      </c>
      <c r="B2540" s="9">
        <v>2024</v>
      </c>
      <c r="C2540" s="9" t="s">
        <v>46</v>
      </c>
      <c r="D2540" s="9" t="s">
        <v>47</v>
      </c>
      <c r="E2540" s="9" t="s">
        <v>47</v>
      </c>
      <c r="F2540" s="10">
        <v>45558</v>
      </c>
      <c r="G2540" s="9" t="s">
        <v>156</v>
      </c>
      <c r="H2540" s="9" t="s">
        <v>51</v>
      </c>
      <c r="I2540" s="9">
        <v>1</v>
      </c>
      <c r="J2540" s="9">
        <v>160</v>
      </c>
      <c r="K2540" s="9">
        <v>0.42</v>
      </c>
      <c r="L2540" s="9">
        <v>67.92</v>
      </c>
      <c r="M2540" s="9">
        <v>4</v>
      </c>
      <c r="N2540" s="9" t="s">
        <v>49</v>
      </c>
      <c r="Q2540" s="9">
        <f>IF(Auction_Sales[[#This Row],[Payment Date]]=0,"",-1+WEEKNUM(Auction_Sales[[#This Row],[Payment Date]]))</f>
        <v>39</v>
      </c>
      <c r="R2540" s="9">
        <v>0</v>
      </c>
      <c r="S2540" s="9" t="s">
        <v>156</v>
      </c>
      <c r="T2540" s="9" t="s">
        <v>51</v>
      </c>
      <c r="U2540" s="9">
        <v>160</v>
      </c>
      <c r="V2540" s="13">
        <v>0.24249999999999999</v>
      </c>
      <c r="W2540" s="13">
        <v>38.799999999999997</v>
      </c>
      <c r="X2540" s="14">
        <v>-10.457843770174307</v>
      </c>
      <c r="Y2540" s="13">
        <v>28.34215622982569</v>
      </c>
      <c r="Z2540" s="10">
        <v>45567</v>
      </c>
      <c r="AA2540" s="9">
        <v>0</v>
      </c>
      <c r="AC2540" s="9" t="s">
        <v>151</v>
      </c>
      <c r="AD2540" s="14">
        <v>17.503666666666668</v>
      </c>
      <c r="AF2540" s="14">
        <v>3.2</v>
      </c>
      <c r="AH2540" s="14">
        <v>20.703666666666667</v>
      </c>
      <c r="AI2540" s="13">
        <v>7.6384895631590233</v>
      </c>
      <c r="AK2540" s="9">
        <v>160</v>
      </c>
    </row>
    <row r="2541" spans="1:37">
      <c r="A2541" s="9">
        <v>39</v>
      </c>
      <c r="B2541" s="9">
        <v>2024</v>
      </c>
      <c r="C2541" s="9" t="s">
        <v>46</v>
      </c>
      <c r="D2541" s="9" t="s">
        <v>47</v>
      </c>
      <c r="E2541" s="9" t="s">
        <v>47</v>
      </c>
      <c r="F2541" s="10">
        <v>45558</v>
      </c>
      <c r="G2541" s="9" t="s">
        <v>156</v>
      </c>
      <c r="H2541" s="9" t="s">
        <v>48</v>
      </c>
      <c r="J2541" s="9">
        <v>280</v>
      </c>
      <c r="K2541" s="9">
        <v>0.52</v>
      </c>
      <c r="L2541" s="9">
        <v>145.28</v>
      </c>
      <c r="M2541" s="9">
        <v>7</v>
      </c>
      <c r="N2541" s="9" t="s">
        <v>49</v>
      </c>
      <c r="Q2541" s="9">
        <f>IF(Auction_Sales[[#This Row],[Payment Date]]=0,"",-1+WEEKNUM(Auction_Sales[[#This Row],[Payment Date]]))</f>
        <v>39</v>
      </c>
      <c r="R2541" s="9">
        <v>0</v>
      </c>
      <c r="S2541" s="9" t="s">
        <v>156</v>
      </c>
      <c r="T2541" s="9" t="s">
        <v>48</v>
      </c>
      <c r="U2541" s="9">
        <v>280</v>
      </c>
      <c r="V2541" s="13">
        <v>0.45142857142857146</v>
      </c>
      <c r="W2541" s="13">
        <v>126.4</v>
      </c>
      <c r="X2541" s="14">
        <v>-18.301226597805037</v>
      </c>
      <c r="Y2541" s="13">
        <v>108.09877340219496</v>
      </c>
      <c r="Z2541" s="10">
        <v>45567</v>
      </c>
      <c r="AA2541" s="9">
        <v>0</v>
      </c>
      <c r="AC2541" s="9" t="s">
        <v>151</v>
      </c>
      <c r="AD2541" s="14">
        <v>30.631416666666667</v>
      </c>
      <c r="AF2541" s="14">
        <v>5.6000000000000005</v>
      </c>
      <c r="AH2541" s="14">
        <v>36.231416666666668</v>
      </c>
      <c r="AI2541" s="13">
        <v>71.86735673552829</v>
      </c>
      <c r="AK2541" s="9">
        <v>280</v>
      </c>
    </row>
    <row r="2542" spans="1:37">
      <c r="A2542" s="9">
        <v>39</v>
      </c>
      <c r="B2542" s="9">
        <v>2024</v>
      </c>
      <c r="C2542" s="9" t="s">
        <v>46</v>
      </c>
      <c r="D2542" s="9" t="s">
        <v>47</v>
      </c>
      <c r="E2542" s="9" t="s">
        <v>47</v>
      </c>
      <c r="F2542" s="10">
        <v>45558</v>
      </c>
      <c r="G2542" s="9" t="s">
        <v>156</v>
      </c>
      <c r="H2542" s="9" t="s">
        <v>56</v>
      </c>
      <c r="J2542" s="9">
        <v>40</v>
      </c>
      <c r="K2542" s="9">
        <v>0.93</v>
      </c>
      <c r="L2542" s="9">
        <v>37.200000000000003</v>
      </c>
      <c r="M2542" s="9">
        <v>1</v>
      </c>
      <c r="N2542" s="9" t="s">
        <v>49</v>
      </c>
      <c r="Q2542" s="9">
        <f>IF(Auction_Sales[[#This Row],[Payment Date]]=0,"",-1+WEEKNUM(Auction_Sales[[#This Row],[Payment Date]]))</f>
        <v>39</v>
      </c>
      <c r="R2542" s="9">
        <v>0</v>
      </c>
      <c r="S2542" s="9" t="s">
        <v>156</v>
      </c>
      <c r="T2542" s="9" t="s">
        <v>56</v>
      </c>
      <c r="U2542" s="9">
        <v>40</v>
      </c>
      <c r="V2542" s="13">
        <v>1.03</v>
      </c>
      <c r="W2542" s="13">
        <v>41.2</v>
      </c>
      <c r="X2542" s="14">
        <v>-2.6144609425435767</v>
      </c>
      <c r="Y2542" s="13">
        <v>38.58553905745643</v>
      </c>
      <c r="Z2542" s="10">
        <v>45567</v>
      </c>
      <c r="AA2542" s="9">
        <v>0</v>
      </c>
      <c r="AC2542" s="9" t="s">
        <v>151</v>
      </c>
      <c r="AD2542" s="14">
        <v>4.3759166666666669</v>
      </c>
      <c r="AF2542" s="14">
        <v>0.8</v>
      </c>
      <c r="AH2542" s="14">
        <v>5.1759166666666667</v>
      </c>
      <c r="AI2542" s="13">
        <v>33.409622390789764</v>
      </c>
      <c r="AK2542" s="9">
        <v>40</v>
      </c>
    </row>
    <row r="2543" spans="1:37">
      <c r="A2543" s="9">
        <v>39</v>
      </c>
      <c r="B2543" s="9">
        <v>2024</v>
      </c>
      <c r="C2543" s="9" t="s">
        <v>46</v>
      </c>
      <c r="D2543" s="9" t="s">
        <v>47</v>
      </c>
      <c r="E2543" s="9" t="s">
        <v>47</v>
      </c>
      <c r="F2543" s="10">
        <v>45558</v>
      </c>
      <c r="G2543" s="9" t="s">
        <v>154</v>
      </c>
      <c r="H2543" s="9" t="s">
        <v>51</v>
      </c>
      <c r="I2543" s="9">
        <v>1</v>
      </c>
      <c r="J2543" s="9">
        <v>120</v>
      </c>
      <c r="K2543" s="9">
        <v>0.38</v>
      </c>
      <c r="L2543" s="9">
        <v>45.28</v>
      </c>
      <c r="M2543" s="9">
        <v>3.2727272727272725</v>
      </c>
      <c r="N2543" s="9" t="s">
        <v>49</v>
      </c>
      <c r="Q2543" s="9">
        <f>IF(Auction_Sales[[#This Row],[Payment Date]]=0,"",-1+WEEKNUM(Auction_Sales[[#This Row],[Payment Date]]))</f>
        <v>39</v>
      </c>
      <c r="R2543" s="9">
        <v>0</v>
      </c>
      <c r="S2543" s="9" t="s">
        <v>154</v>
      </c>
      <c r="T2543" s="9" t="s">
        <v>51</v>
      </c>
      <c r="U2543" s="9">
        <v>120</v>
      </c>
      <c r="V2543" s="13">
        <v>0.32</v>
      </c>
      <c r="W2543" s="13">
        <v>38.4</v>
      </c>
      <c r="X2543" s="14">
        <v>-7.8433828276307302</v>
      </c>
      <c r="Y2543" s="13">
        <v>30.556617172369268</v>
      </c>
      <c r="Z2543" s="10">
        <v>45567</v>
      </c>
      <c r="AA2543" s="9">
        <v>0</v>
      </c>
      <c r="AC2543" s="9" t="s">
        <v>151</v>
      </c>
      <c r="AD2543" s="14">
        <v>14.321181818181818</v>
      </c>
      <c r="AF2543" s="14">
        <v>2.4</v>
      </c>
      <c r="AH2543" s="14">
        <v>16.721181818181819</v>
      </c>
      <c r="AI2543" s="13">
        <v>13.83543535418745</v>
      </c>
      <c r="AK2543" s="9">
        <v>120</v>
      </c>
    </row>
    <row r="2544" spans="1:37">
      <c r="A2544" s="9">
        <v>39</v>
      </c>
      <c r="B2544" s="9">
        <v>2024</v>
      </c>
      <c r="C2544" s="9" t="s">
        <v>46</v>
      </c>
      <c r="D2544" s="9" t="s">
        <v>47</v>
      </c>
      <c r="E2544" s="9" t="s">
        <v>47</v>
      </c>
      <c r="F2544" s="10">
        <v>45558</v>
      </c>
      <c r="G2544" s="9" t="s">
        <v>154</v>
      </c>
      <c r="H2544" s="9" t="s">
        <v>48</v>
      </c>
      <c r="J2544" s="9">
        <v>80</v>
      </c>
      <c r="K2544" s="9">
        <v>0.47</v>
      </c>
      <c r="L2544" s="9">
        <v>37.74</v>
      </c>
      <c r="M2544" s="9">
        <v>2.1818181818181817</v>
      </c>
      <c r="N2544" s="9" t="s">
        <v>49</v>
      </c>
      <c r="Q2544" s="9">
        <f>IF(Auction_Sales[[#This Row],[Payment Date]]=0,"",-1+WEEKNUM(Auction_Sales[[#This Row],[Payment Date]]))</f>
        <v>39</v>
      </c>
      <c r="R2544" s="9">
        <v>0</v>
      </c>
      <c r="S2544" s="9" t="s">
        <v>154</v>
      </c>
      <c r="T2544" s="9" t="s">
        <v>48</v>
      </c>
      <c r="U2544" s="9">
        <v>80</v>
      </c>
      <c r="V2544" s="13">
        <v>0.79</v>
      </c>
      <c r="W2544" s="13">
        <v>63.2</v>
      </c>
      <c r="X2544" s="14">
        <v>-5.2289218850871535</v>
      </c>
      <c r="Y2544" s="13">
        <v>57.971078114912849</v>
      </c>
      <c r="Z2544" s="10">
        <v>45567</v>
      </c>
      <c r="AA2544" s="9">
        <v>0</v>
      </c>
      <c r="AC2544" s="9" t="s">
        <v>151</v>
      </c>
      <c r="AD2544" s="14">
        <v>9.5474545454545456</v>
      </c>
      <c r="AF2544" s="14">
        <v>1.6</v>
      </c>
      <c r="AH2544" s="14">
        <v>11.147454545454545</v>
      </c>
      <c r="AI2544" s="13">
        <v>46.823623569458306</v>
      </c>
      <c r="AK2544" s="9">
        <v>80</v>
      </c>
    </row>
    <row r="2545" spans="1:37">
      <c r="A2545" s="9">
        <v>39</v>
      </c>
      <c r="B2545" s="9">
        <v>2024</v>
      </c>
      <c r="C2545" s="9" t="s">
        <v>46</v>
      </c>
      <c r="D2545" s="9" t="s">
        <v>47</v>
      </c>
      <c r="E2545" s="9" t="s">
        <v>47</v>
      </c>
      <c r="F2545" s="10">
        <v>45558</v>
      </c>
      <c r="G2545" s="9" t="s">
        <v>154</v>
      </c>
      <c r="H2545" s="9" t="s">
        <v>52</v>
      </c>
      <c r="J2545" s="9">
        <v>120</v>
      </c>
      <c r="K2545" s="9">
        <v>0.56999999999999995</v>
      </c>
      <c r="L2545" s="9">
        <v>68.400000000000006</v>
      </c>
      <c r="M2545" s="9">
        <v>3.2727272727272725</v>
      </c>
      <c r="N2545" s="9" t="s">
        <v>49</v>
      </c>
      <c r="Q2545" s="9">
        <f>IF(Auction_Sales[[#This Row],[Payment Date]]=0,"",-1+WEEKNUM(Auction_Sales[[#This Row],[Payment Date]]))</f>
        <v>39</v>
      </c>
      <c r="R2545" s="9">
        <v>0</v>
      </c>
      <c r="S2545" s="9" t="s">
        <v>154</v>
      </c>
      <c r="T2545" s="9" t="s">
        <v>52</v>
      </c>
      <c r="U2545" s="9">
        <v>120</v>
      </c>
      <c r="V2545" s="13">
        <v>0.59</v>
      </c>
      <c r="W2545" s="13">
        <v>70.8</v>
      </c>
      <c r="X2545" s="14">
        <v>-7.8433828276307302</v>
      </c>
      <c r="Y2545" s="13">
        <v>62.956617172369263</v>
      </c>
      <c r="Z2545" s="10">
        <v>45567</v>
      </c>
      <c r="AA2545" s="9">
        <v>0</v>
      </c>
      <c r="AC2545" s="9" t="s">
        <v>151</v>
      </c>
      <c r="AD2545" s="14">
        <v>14.321181818181818</v>
      </c>
      <c r="AF2545" s="14">
        <v>2.4</v>
      </c>
      <c r="AH2545" s="14">
        <v>16.721181818181819</v>
      </c>
      <c r="AI2545" s="13">
        <v>46.235435354187445</v>
      </c>
      <c r="AK2545" s="9">
        <v>120</v>
      </c>
    </row>
    <row r="2546" spans="1:37">
      <c r="A2546" s="9">
        <v>39</v>
      </c>
      <c r="B2546" s="9">
        <v>2024</v>
      </c>
      <c r="C2546" s="9" t="s">
        <v>46</v>
      </c>
      <c r="D2546" s="9" t="s">
        <v>47</v>
      </c>
      <c r="E2546" s="9" t="s">
        <v>47</v>
      </c>
      <c r="F2546" s="10">
        <v>45558</v>
      </c>
      <c r="G2546" s="9" t="s">
        <v>154</v>
      </c>
      <c r="H2546" s="9" t="s">
        <v>54</v>
      </c>
      <c r="J2546" s="9">
        <v>120</v>
      </c>
      <c r="K2546" s="9">
        <v>0.62</v>
      </c>
      <c r="L2546" s="9">
        <v>74.400000000000006</v>
      </c>
      <c r="M2546" s="9">
        <v>3.2727272727272725</v>
      </c>
      <c r="N2546" s="9" t="s">
        <v>49</v>
      </c>
      <c r="Q2546" s="9">
        <f>IF(Auction_Sales[[#This Row],[Payment Date]]=0,"",-1+WEEKNUM(Auction_Sales[[#This Row],[Payment Date]]))</f>
        <v>39</v>
      </c>
      <c r="R2546" s="9">
        <v>0</v>
      </c>
      <c r="S2546" s="9" t="s">
        <v>154</v>
      </c>
      <c r="T2546" s="9" t="s">
        <v>54</v>
      </c>
      <c r="U2546" s="9">
        <v>120</v>
      </c>
      <c r="V2546" s="13">
        <v>0.61</v>
      </c>
      <c r="W2546" s="13">
        <v>73.2</v>
      </c>
      <c r="X2546" s="14">
        <v>-7.8433828276307302</v>
      </c>
      <c r="Y2546" s="13">
        <v>65.356617172369269</v>
      </c>
      <c r="Z2546" s="10">
        <v>45567</v>
      </c>
      <c r="AA2546" s="9">
        <v>0</v>
      </c>
      <c r="AC2546" s="9" t="s">
        <v>151</v>
      </c>
      <c r="AD2546" s="14">
        <v>14.321181818181818</v>
      </c>
      <c r="AF2546" s="14">
        <v>2.4</v>
      </c>
      <c r="AH2546" s="14">
        <v>16.721181818181819</v>
      </c>
      <c r="AI2546" s="13">
        <v>48.63543535418745</v>
      </c>
      <c r="AK2546" s="9">
        <v>120</v>
      </c>
    </row>
  </sheetData>
  <conditionalFormatting sqref="BC2:BC55">
    <cfRule type="top10" dxfId="10" priority="57" percent="1" bottom="1" rank="15"/>
    <cfRule type="top10" dxfId="9" priority="58" percent="1" rank="15"/>
  </conditionalFormatting>
  <conditionalFormatting sqref="BE2:BE57">
    <cfRule type="dataBar" priority="61">
      <dataBar>
        <cfvo type="percent" val="0"/>
        <cfvo type="percent" val="100"/>
        <color rgb="FF92D050"/>
      </dataBar>
      <extLst>
        <ext xmlns:x14="http://schemas.microsoft.com/office/spreadsheetml/2009/9/main" uri="{B025F937-C7B1-47D3-B67F-A62EFF666E3E}">
          <x14:id>{90153602-F794-42AC-A5C2-F431E9D632CA}</x14:id>
        </ext>
      </extLst>
    </cfRule>
  </conditionalFormatting>
  <pageMargins left="0.7" right="0.7" top="0.75" bottom="0.75" header="0.3" footer="0.3"/>
  <pageSetup paperSize="262" orientation="landscape" horizontalDpi="360" verticalDpi="36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153602-F794-42AC-A5C2-F431E9D632CA}">
            <x14:dataBar minLength="0" maxLength="100" gradient="0" direction="leftToRight">
              <x14:cfvo type="percent">
                <xm:f>0</xm:f>
              </x14:cfvo>
              <x14:cfvo type="percent">
                <xm:f>100</xm:f>
              </x14:cfvo>
              <x14:negativeFillColor rgb="FFFF0000"/>
              <x14:axisColor rgb="FF000000"/>
            </x14:dataBar>
          </x14:cfRule>
          <xm:sqref>BE2:BE57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7E84-60D4-482C-97AC-179213BD10E0}">
  <dimension ref="A2:O43"/>
  <sheetViews>
    <sheetView topLeftCell="G3" workbookViewId="0">
      <selection activeCell="M28" sqref="M28"/>
    </sheetView>
  </sheetViews>
  <sheetFormatPr defaultRowHeight="13.8"/>
  <cols>
    <col min="1" max="1" width="16.5" bestFit="1" customWidth="1"/>
    <col min="2" max="2" width="27.625" bestFit="1" customWidth="1"/>
    <col min="3" max="3" width="26.875" bestFit="1" customWidth="1"/>
    <col min="4" max="4" width="26.875" customWidth="1"/>
    <col min="5" max="5" width="13.25" bestFit="1" customWidth="1"/>
    <col min="6" max="6" width="26.875" bestFit="1" customWidth="1"/>
    <col min="7" max="8" width="26.875" customWidth="1"/>
    <col min="9" max="9" width="16.5" bestFit="1" customWidth="1"/>
    <col min="10" max="10" width="17.25" bestFit="1" customWidth="1"/>
    <col min="11" max="11" width="10.75" bestFit="1" customWidth="1"/>
    <col min="12" max="12" width="26.875" customWidth="1"/>
    <col min="13" max="13" width="15.375" bestFit="1" customWidth="1"/>
    <col min="14" max="14" width="30.25" bestFit="1" customWidth="1"/>
    <col min="15" max="15" width="13.125" bestFit="1" customWidth="1"/>
    <col min="16" max="23" width="50.75" bestFit="1" customWidth="1"/>
    <col min="24" max="24" width="11.125" bestFit="1" customWidth="1"/>
    <col min="25" max="27" width="12.5" bestFit="1" customWidth="1"/>
    <col min="28" max="28" width="11.5" bestFit="1" customWidth="1"/>
    <col min="29" max="31" width="12.5" bestFit="1" customWidth="1"/>
    <col min="32" max="32" width="6.5" bestFit="1" customWidth="1"/>
    <col min="33" max="36" width="12.5" bestFit="1" customWidth="1"/>
    <col min="37" max="37" width="7.5" bestFit="1" customWidth="1"/>
    <col min="38" max="38" width="6.5" bestFit="1" customWidth="1"/>
    <col min="39" max="39" width="5.5" bestFit="1" customWidth="1"/>
    <col min="40" max="40" width="12.5" bestFit="1" customWidth="1"/>
    <col min="41" max="42" width="7.5" bestFit="1" customWidth="1"/>
    <col min="43" max="43" width="8.5" bestFit="1" customWidth="1"/>
    <col min="44" max="45" width="12.5" bestFit="1" customWidth="1"/>
    <col min="46" max="46" width="7.5" bestFit="1" customWidth="1"/>
    <col min="47" max="50" width="12.5" bestFit="1" customWidth="1"/>
    <col min="51" max="51" width="5.5" bestFit="1" customWidth="1"/>
    <col min="52" max="52" width="12.5" bestFit="1" customWidth="1"/>
    <col min="53" max="53" width="8.5" bestFit="1" customWidth="1"/>
    <col min="54" max="57" width="12.5" bestFit="1" customWidth="1"/>
    <col min="58" max="58" width="9.5" bestFit="1" customWidth="1"/>
    <col min="59" max="59" width="7.5" bestFit="1" customWidth="1"/>
    <col min="60" max="60" width="12.5" bestFit="1" customWidth="1"/>
    <col min="61" max="61" width="6.5" bestFit="1" customWidth="1"/>
    <col min="62" max="70" width="12.5" bestFit="1" customWidth="1"/>
    <col min="71" max="71" width="9.5" bestFit="1" customWidth="1"/>
    <col min="72" max="79" width="12.5" bestFit="1" customWidth="1"/>
    <col min="80" max="80" width="7.5" bestFit="1" customWidth="1"/>
    <col min="81" max="83" width="12.5" bestFit="1" customWidth="1"/>
    <col min="84" max="84" width="7.5" bestFit="1" customWidth="1"/>
    <col min="85" max="88" width="12.5" bestFit="1" customWidth="1"/>
    <col min="89" max="89" width="11.5" bestFit="1" customWidth="1"/>
    <col min="90" max="90" width="12.5" bestFit="1" customWidth="1"/>
    <col min="91" max="91" width="9.5" bestFit="1" customWidth="1"/>
    <col min="92" max="95" width="12.5" bestFit="1" customWidth="1"/>
    <col min="96" max="96" width="5.5" bestFit="1" customWidth="1"/>
    <col min="97" max="97" width="12.5" bestFit="1" customWidth="1"/>
    <col min="98" max="98" width="7.5" bestFit="1" customWidth="1"/>
    <col min="99" max="99" width="11.5" bestFit="1" customWidth="1"/>
    <col min="100" max="103" width="12.5" bestFit="1" customWidth="1"/>
    <col min="104" max="104" width="5.5" bestFit="1" customWidth="1"/>
    <col min="105" max="110" width="12.5" bestFit="1" customWidth="1"/>
    <col min="111" max="111" width="11.5" bestFit="1" customWidth="1"/>
    <col min="112" max="123" width="12.5" bestFit="1" customWidth="1"/>
    <col min="124" max="124" width="3.5" bestFit="1" customWidth="1"/>
    <col min="125" max="125" width="12.5" bestFit="1" customWidth="1"/>
    <col min="126" max="126" width="9.5" bestFit="1" customWidth="1"/>
    <col min="127" max="132" width="12.5" bestFit="1" customWidth="1"/>
    <col min="133" max="133" width="9.5" bestFit="1" customWidth="1"/>
    <col min="134" max="134" width="12.5" bestFit="1" customWidth="1"/>
    <col min="135" max="135" width="11.5" bestFit="1" customWidth="1"/>
    <col min="136" max="139" width="12.5" bestFit="1" customWidth="1"/>
    <col min="140" max="140" width="11.5" bestFit="1" customWidth="1"/>
    <col min="141" max="141" width="12.5" bestFit="1" customWidth="1"/>
    <col min="142" max="142" width="8.5" bestFit="1" customWidth="1"/>
    <col min="143" max="155" width="12.5" bestFit="1" customWidth="1"/>
    <col min="156" max="156" width="7.5" bestFit="1" customWidth="1"/>
    <col min="157" max="157" width="8.5" bestFit="1" customWidth="1"/>
    <col min="158" max="168" width="12.5" bestFit="1" customWidth="1"/>
    <col min="169" max="169" width="7.5" bestFit="1" customWidth="1"/>
    <col min="170" max="171" width="12.5" bestFit="1" customWidth="1"/>
    <col min="172" max="172" width="7.5" bestFit="1" customWidth="1"/>
    <col min="173" max="173" width="12.5" bestFit="1" customWidth="1"/>
    <col min="174" max="174" width="11.5" bestFit="1" customWidth="1"/>
    <col min="175" max="180" width="12.5" bestFit="1" customWidth="1"/>
    <col min="181" max="181" width="6.5" bestFit="1" customWidth="1"/>
    <col min="182" max="182" width="12.5" bestFit="1" customWidth="1"/>
    <col min="183" max="183" width="9.5" bestFit="1" customWidth="1"/>
    <col min="184" max="188" width="12.5" bestFit="1" customWidth="1"/>
    <col min="189" max="189" width="8.5" bestFit="1" customWidth="1"/>
    <col min="190" max="192" width="12.5" bestFit="1" customWidth="1"/>
    <col min="193" max="194" width="9.5" bestFit="1" customWidth="1"/>
    <col min="195" max="201" width="12.5" bestFit="1" customWidth="1"/>
    <col min="202" max="202" width="10.5" bestFit="1" customWidth="1"/>
    <col min="203" max="203" width="11.5" bestFit="1" customWidth="1"/>
    <col min="204" max="206" width="12.5" bestFit="1" customWidth="1"/>
    <col min="207" max="207" width="9.5" bestFit="1" customWidth="1"/>
    <col min="208" max="213" width="12.5" bestFit="1" customWidth="1"/>
    <col min="214" max="214" width="10.5" bestFit="1" customWidth="1"/>
    <col min="215" max="218" width="12.5" bestFit="1" customWidth="1"/>
    <col min="219" max="219" width="11.5" bestFit="1" customWidth="1"/>
    <col min="220" max="220" width="7.5" bestFit="1" customWidth="1"/>
    <col min="221" max="228" width="12.5" bestFit="1" customWidth="1"/>
    <col min="229" max="231" width="11.5" bestFit="1" customWidth="1"/>
    <col min="232" max="236" width="12.5" bestFit="1" customWidth="1"/>
    <col min="237" max="237" width="8.5" bestFit="1" customWidth="1"/>
    <col min="238" max="239" width="12.5" bestFit="1" customWidth="1"/>
    <col min="240" max="240" width="8.5" bestFit="1" customWidth="1"/>
    <col min="241" max="242" width="12.5" bestFit="1" customWidth="1"/>
    <col min="243" max="243" width="7.5" bestFit="1" customWidth="1"/>
    <col min="244" max="254" width="12.5" bestFit="1" customWidth="1"/>
    <col min="255" max="255" width="10.5" bestFit="1" customWidth="1"/>
    <col min="256" max="256" width="8.5" bestFit="1" customWidth="1"/>
    <col min="257" max="259" width="12.5" bestFit="1" customWidth="1"/>
    <col min="260" max="260" width="6.5" bestFit="1" customWidth="1"/>
    <col min="261" max="261" width="12.5" bestFit="1" customWidth="1"/>
    <col min="262" max="262" width="11.5" bestFit="1" customWidth="1"/>
    <col min="263" max="272" width="12.5" bestFit="1" customWidth="1"/>
    <col min="273" max="273" width="6.5" bestFit="1" customWidth="1"/>
    <col min="274" max="275" width="12.5" bestFit="1" customWidth="1"/>
    <col min="276" max="276" width="6.5" bestFit="1" customWidth="1"/>
    <col min="277" max="286" width="12.5" bestFit="1" customWidth="1"/>
    <col min="287" max="287" width="11.5" bestFit="1" customWidth="1"/>
    <col min="288" max="291" width="12.5" bestFit="1" customWidth="1"/>
    <col min="292" max="292" width="11.5" bestFit="1" customWidth="1"/>
    <col min="293" max="299" width="12.5" bestFit="1" customWidth="1"/>
    <col min="300" max="300" width="11.5" bestFit="1" customWidth="1"/>
    <col min="301" max="304" width="12.5" bestFit="1" customWidth="1"/>
    <col min="305" max="305" width="8.5" bestFit="1" customWidth="1"/>
    <col min="306" max="312" width="12.5" bestFit="1" customWidth="1"/>
    <col min="313" max="313" width="7.5" bestFit="1" customWidth="1"/>
    <col min="314" max="318" width="12.5" bestFit="1" customWidth="1"/>
    <col min="319" max="319" width="5.5" bestFit="1" customWidth="1"/>
    <col min="320" max="325" width="12.5" bestFit="1" customWidth="1"/>
    <col min="326" max="326" width="7.5" bestFit="1" customWidth="1"/>
    <col min="327" max="330" width="12.5" bestFit="1" customWidth="1"/>
    <col min="331" max="331" width="1.875" bestFit="1" customWidth="1"/>
    <col min="332" max="347" width="11.875" bestFit="1" customWidth="1"/>
    <col min="348" max="349" width="10.875" bestFit="1" customWidth="1"/>
    <col min="350" max="359" width="11.875" bestFit="1" customWidth="1"/>
    <col min="360" max="360" width="9.875" bestFit="1" customWidth="1"/>
    <col min="361" max="382" width="11.875" bestFit="1" customWidth="1"/>
    <col min="383" max="383" width="10.875" bestFit="1" customWidth="1"/>
    <col min="384" max="397" width="11.875" bestFit="1" customWidth="1"/>
    <col min="398" max="398" width="10.875" bestFit="1" customWidth="1"/>
    <col min="399" max="404" width="11.875" bestFit="1" customWidth="1"/>
    <col min="405" max="405" width="6.875" bestFit="1" customWidth="1"/>
    <col min="406" max="408" width="11.875" bestFit="1" customWidth="1"/>
    <col min="409" max="409" width="10.875" bestFit="1" customWidth="1"/>
    <col min="410" max="418" width="11.875" bestFit="1" customWidth="1"/>
    <col min="419" max="419" width="10.875" bestFit="1" customWidth="1"/>
    <col min="420" max="421" width="11.875" bestFit="1" customWidth="1"/>
    <col min="422" max="422" width="10.875" bestFit="1" customWidth="1"/>
    <col min="423" max="452" width="11.875" bestFit="1" customWidth="1"/>
    <col min="453" max="453" width="10.875" bestFit="1" customWidth="1"/>
    <col min="454" max="456" width="11.875" bestFit="1" customWidth="1"/>
    <col min="457" max="457" width="7.875" bestFit="1" customWidth="1"/>
    <col min="458" max="461" width="11.875" bestFit="1" customWidth="1"/>
    <col min="462" max="462" width="10.875" bestFit="1" customWidth="1"/>
    <col min="463" max="465" width="11.875" bestFit="1" customWidth="1"/>
    <col min="466" max="466" width="10.875" bestFit="1" customWidth="1"/>
    <col min="467" max="477" width="11.875" bestFit="1" customWidth="1"/>
    <col min="478" max="478" width="10.875" bestFit="1" customWidth="1"/>
    <col min="479" max="480" width="11.875" bestFit="1" customWidth="1"/>
    <col min="481" max="481" width="10.875" bestFit="1" customWidth="1"/>
    <col min="482" max="486" width="11.875" bestFit="1" customWidth="1"/>
    <col min="487" max="487" width="10.875" bestFit="1" customWidth="1"/>
    <col min="488" max="495" width="11.875" bestFit="1" customWidth="1"/>
    <col min="496" max="496" width="10.875" bestFit="1" customWidth="1"/>
    <col min="497" max="497" width="6.875" bestFit="1" customWidth="1"/>
    <col min="498" max="500" width="11.875" bestFit="1" customWidth="1"/>
    <col min="501" max="501" width="10.875" bestFit="1" customWidth="1"/>
    <col min="502" max="504" width="11.875" bestFit="1" customWidth="1"/>
    <col min="505" max="505" width="10.875" bestFit="1" customWidth="1"/>
    <col min="506" max="522" width="11.875" bestFit="1" customWidth="1"/>
    <col min="523" max="523" width="10.875" bestFit="1" customWidth="1"/>
    <col min="524" max="525" width="11.875" bestFit="1" customWidth="1"/>
    <col min="526" max="526" width="10.875" bestFit="1" customWidth="1"/>
    <col min="527" max="533" width="11.875" bestFit="1" customWidth="1"/>
    <col min="534" max="534" width="7.875" bestFit="1" customWidth="1"/>
    <col min="535" max="537" width="11.875" bestFit="1" customWidth="1"/>
    <col min="538" max="538" width="10.875" bestFit="1" customWidth="1"/>
    <col min="539" max="543" width="11.875" bestFit="1" customWidth="1"/>
    <col min="544" max="544" width="6.875" bestFit="1" customWidth="1"/>
    <col min="545" max="553" width="11.875" bestFit="1" customWidth="1"/>
    <col min="554" max="554" width="9.875" bestFit="1" customWidth="1"/>
    <col min="555" max="556" width="11.875" bestFit="1" customWidth="1"/>
    <col min="557" max="557" width="10.875" bestFit="1" customWidth="1"/>
    <col min="558" max="563" width="11.875" bestFit="1" customWidth="1"/>
    <col min="564" max="564" width="10.875" bestFit="1" customWidth="1"/>
    <col min="565" max="586" width="11.875" bestFit="1" customWidth="1"/>
    <col min="587" max="587" width="10.875" bestFit="1" customWidth="1"/>
    <col min="588" max="592" width="11.875" bestFit="1" customWidth="1"/>
    <col min="593" max="593" width="10.875" bestFit="1" customWidth="1"/>
    <col min="594" max="604" width="11.875" bestFit="1" customWidth="1"/>
    <col min="605" max="605" width="9.875" bestFit="1" customWidth="1"/>
    <col min="606" max="643" width="11.875" bestFit="1" customWidth="1"/>
    <col min="644" max="644" width="10.875" bestFit="1" customWidth="1"/>
    <col min="645" max="648" width="11.875" bestFit="1" customWidth="1"/>
    <col min="649" max="649" width="10.875" bestFit="1" customWidth="1"/>
    <col min="650" max="653" width="11.875" bestFit="1" customWidth="1"/>
    <col min="654" max="654" width="9.875" bestFit="1" customWidth="1"/>
    <col min="655" max="661" width="11.875" bestFit="1" customWidth="1"/>
    <col min="662" max="662" width="7.875" bestFit="1" customWidth="1"/>
    <col min="663" max="675" width="11.875" bestFit="1" customWidth="1"/>
    <col min="676" max="677" width="10.875" bestFit="1" customWidth="1"/>
    <col min="678" max="697" width="11.875" bestFit="1" customWidth="1"/>
    <col min="698" max="698" width="10.875" bestFit="1" customWidth="1"/>
    <col min="699" max="706" width="11.875" bestFit="1" customWidth="1"/>
    <col min="707" max="707" width="9.875" bestFit="1" customWidth="1"/>
    <col min="708" max="715" width="11.875" bestFit="1" customWidth="1"/>
    <col min="716" max="716" width="10.875" bestFit="1" customWidth="1"/>
    <col min="717" max="735" width="11.875" bestFit="1" customWidth="1"/>
    <col min="736" max="736" width="10.875" bestFit="1" customWidth="1"/>
    <col min="737" max="746" width="11.875" bestFit="1" customWidth="1"/>
    <col min="747" max="747" width="6.875" bestFit="1" customWidth="1"/>
    <col min="748" max="750" width="11.875" bestFit="1" customWidth="1"/>
    <col min="751" max="751" width="10.875" bestFit="1" customWidth="1"/>
    <col min="752" max="759" width="11.875" bestFit="1" customWidth="1"/>
    <col min="760" max="760" width="10.875" bestFit="1" customWidth="1"/>
    <col min="761" max="761" width="11.875" bestFit="1" customWidth="1"/>
    <col min="762" max="762" width="10.875" bestFit="1" customWidth="1"/>
    <col min="763" max="763" width="7.875" bestFit="1" customWidth="1"/>
    <col min="764" max="787" width="11.875" bestFit="1" customWidth="1"/>
    <col min="788" max="788" width="10.875" bestFit="1" customWidth="1"/>
    <col min="789" max="812" width="11.875" bestFit="1" customWidth="1"/>
    <col min="813" max="813" width="10.875" bestFit="1" customWidth="1"/>
    <col min="814" max="816" width="11.875" bestFit="1" customWidth="1"/>
    <col min="817" max="817" width="10.875" bestFit="1" customWidth="1"/>
    <col min="818" max="818" width="11.875" bestFit="1" customWidth="1"/>
    <col min="819" max="819" width="7.875" bestFit="1" customWidth="1"/>
    <col min="820" max="832" width="11.875" bestFit="1" customWidth="1"/>
    <col min="833" max="833" width="7.875" bestFit="1" customWidth="1"/>
    <col min="834" max="847" width="11.875" bestFit="1" customWidth="1"/>
    <col min="848" max="848" width="10.875" bestFit="1" customWidth="1"/>
    <col min="849" max="853" width="11.875" bestFit="1" customWidth="1"/>
    <col min="854" max="854" width="9.875" bestFit="1" customWidth="1"/>
    <col min="855" max="856" width="11.875" bestFit="1" customWidth="1"/>
    <col min="857" max="857" width="10.875" bestFit="1" customWidth="1"/>
    <col min="858" max="859" width="11.875" bestFit="1" customWidth="1"/>
    <col min="860" max="860" width="10.875" bestFit="1" customWidth="1"/>
    <col min="861" max="877" width="11.875" bestFit="1" customWidth="1"/>
    <col min="878" max="878" width="10.875" bestFit="1" customWidth="1"/>
    <col min="879" max="891" width="11.875" bestFit="1" customWidth="1"/>
    <col min="892" max="892" width="10.875" bestFit="1" customWidth="1"/>
    <col min="893" max="903" width="11.875" bestFit="1" customWidth="1"/>
    <col min="904" max="904" width="10.875" bestFit="1" customWidth="1"/>
    <col min="905" max="913" width="11.875" bestFit="1" customWidth="1"/>
    <col min="914" max="914" width="7.875" bestFit="1" customWidth="1"/>
    <col min="915" max="917" width="11.875" bestFit="1" customWidth="1"/>
    <col min="918" max="918" width="10.875" bestFit="1" customWidth="1"/>
    <col min="919" max="955" width="11.875" bestFit="1" customWidth="1"/>
    <col min="956" max="956" width="9.875" bestFit="1" customWidth="1"/>
    <col min="957" max="984" width="11.875" bestFit="1" customWidth="1"/>
    <col min="985" max="985" width="10.875" bestFit="1" customWidth="1"/>
    <col min="986" max="989" width="11.875" bestFit="1" customWidth="1"/>
    <col min="990" max="990" width="10.875" bestFit="1" customWidth="1"/>
    <col min="991" max="997" width="11.875" bestFit="1" customWidth="1"/>
    <col min="998" max="998" width="10.875" bestFit="1" customWidth="1"/>
    <col min="999" max="1004" width="11.875" bestFit="1" customWidth="1"/>
    <col min="1005" max="1005" width="10.875" bestFit="1" customWidth="1"/>
    <col min="1006" max="1014" width="11.875" bestFit="1" customWidth="1"/>
    <col min="1015" max="1015" width="10.875" bestFit="1" customWidth="1"/>
    <col min="1016" max="1021" width="11.875" bestFit="1" customWidth="1"/>
    <col min="1022" max="1022" width="10.875" bestFit="1" customWidth="1"/>
    <col min="1023" max="1023" width="11.875" bestFit="1" customWidth="1"/>
    <col min="1024" max="1024" width="9.875" bestFit="1" customWidth="1"/>
    <col min="1025" max="1034" width="11.875" bestFit="1" customWidth="1"/>
    <col min="1035" max="1035" width="10.875" bestFit="1" customWidth="1"/>
    <col min="1036" max="1041" width="11.875" bestFit="1" customWidth="1"/>
    <col min="1042" max="1042" width="10.875" bestFit="1" customWidth="1"/>
    <col min="1043" max="1049" width="11.875" bestFit="1" customWidth="1"/>
    <col min="1050" max="1050" width="10.875" bestFit="1" customWidth="1"/>
    <col min="1051" max="1051" width="8.875" bestFit="1" customWidth="1"/>
    <col min="1052" max="1053" width="11.875" bestFit="1" customWidth="1"/>
    <col min="1054" max="1054" width="10.875" bestFit="1" customWidth="1"/>
    <col min="1055" max="1057" width="11.875" bestFit="1" customWidth="1"/>
    <col min="1058" max="1058" width="10.875" bestFit="1" customWidth="1"/>
    <col min="1059" max="1060" width="11.875" bestFit="1" customWidth="1"/>
    <col min="1061" max="1061" width="10.875" bestFit="1" customWidth="1"/>
    <col min="1062" max="1072" width="11.875" bestFit="1" customWidth="1"/>
    <col min="1073" max="1073" width="10.875" bestFit="1" customWidth="1"/>
    <col min="1074" max="1095" width="11.875" bestFit="1" customWidth="1"/>
    <col min="1096" max="1097" width="10.875" bestFit="1" customWidth="1"/>
    <col min="1098" max="1100" width="11.875" bestFit="1" customWidth="1"/>
    <col min="1101" max="1101" width="10.875" bestFit="1" customWidth="1"/>
    <col min="1102" max="1106" width="11.875" bestFit="1" customWidth="1"/>
    <col min="1107" max="1107" width="7.875" bestFit="1" customWidth="1"/>
    <col min="1108" max="1108" width="11.875" bestFit="1" customWidth="1"/>
    <col min="1109" max="1109" width="10.875" bestFit="1" customWidth="1"/>
    <col min="1110" max="1117" width="11.875" bestFit="1" customWidth="1"/>
    <col min="1118" max="1118" width="10.875" bestFit="1" customWidth="1"/>
    <col min="1119" max="1150" width="11.875" bestFit="1" customWidth="1"/>
    <col min="1151" max="1151" width="10.875" bestFit="1" customWidth="1"/>
    <col min="1152" max="1160" width="11.875" bestFit="1" customWidth="1"/>
    <col min="1161" max="1161" width="10.875" bestFit="1" customWidth="1"/>
    <col min="1162" max="1168" width="11.875" bestFit="1" customWidth="1"/>
    <col min="1169" max="1169" width="10.875" bestFit="1" customWidth="1"/>
    <col min="1170" max="1172" width="11.875" bestFit="1" customWidth="1"/>
    <col min="1173" max="1173" width="7.875" bestFit="1" customWidth="1"/>
    <col min="1174" max="1177" width="11.875" bestFit="1" customWidth="1"/>
    <col min="1178" max="1178" width="10.875" bestFit="1" customWidth="1"/>
    <col min="1179" max="1179" width="11.875" bestFit="1" customWidth="1"/>
    <col min="1180" max="1180" width="10.875" bestFit="1" customWidth="1"/>
    <col min="1181" max="1189" width="11.875" bestFit="1" customWidth="1"/>
    <col min="1190" max="1190" width="7.875" bestFit="1" customWidth="1"/>
    <col min="1191" max="1194" width="11.875" bestFit="1" customWidth="1"/>
    <col min="1195" max="1195" width="10.875" bestFit="1" customWidth="1"/>
    <col min="1196" max="1206" width="11.875" bestFit="1" customWidth="1"/>
    <col min="1207" max="1207" width="10.875" bestFit="1" customWidth="1"/>
    <col min="1208" max="1217" width="11.875" bestFit="1" customWidth="1"/>
    <col min="1218" max="1218" width="10.875" bestFit="1" customWidth="1"/>
    <col min="1219" max="1222" width="11.875" bestFit="1" customWidth="1"/>
    <col min="1223" max="1223" width="10.875" bestFit="1" customWidth="1"/>
    <col min="1224" max="1227" width="11.875" bestFit="1" customWidth="1"/>
    <col min="1228" max="1228" width="10.875" bestFit="1" customWidth="1"/>
    <col min="1229" max="1235" width="11.875" bestFit="1" customWidth="1"/>
    <col min="1236" max="1236" width="8.875" bestFit="1" customWidth="1"/>
    <col min="1237" max="1237" width="11.875" bestFit="1" customWidth="1"/>
    <col min="1238" max="1238" width="10.875" bestFit="1" customWidth="1"/>
    <col min="1239" max="1256" width="11.875" bestFit="1" customWidth="1"/>
    <col min="1257" max="1257" width="10.875" bestFit="1" customWidth="1"/>
    <col min="1258" max="1260" width="11.875" bestFit="1" customWidth="1"/>
    <col min="1261" max="1261" width="10.875" bestFit="1" customWidth="1"/>
    <col min="1262" max="1276" width="11.875" bestFit="1" customWidth="1"/>
    <col min="1277" max="1277" width="9.875" bestFit="1" customWidth="1"/>
    <col min="1278" max="1282" width="11.875" bestFit="1" customWidth="1"/>
    <col min="1283" max="1283" width="8.875" bestFit="1" customWidth="1"/>
    <col min="1284" max="1290" width="11.875" bestFit="1" customWidth="1"/>
    <col min="1291" max="1291" width="10.875" bestFit="1" customWidth="1"/>
    <col min="1292" max="1310" width="11.875" bestFit="1" customWidth="1"/>
    <col min="1311" max="1311" width="10.875" bestFit="1" customWidth="1"/>
    <col min="1312" max="1319" width="11.875" bestFit="1" customWidth="1"/>
    <col min="1320" max="1320" width="6.875" bestFit="1" customWidth="1"/>
    <col min="1321" max="1329" width="11.875" bestFit="1" customWidth="1"/>
    <col min="1330" max="1330" width="10.875" bestFit="1" customWidth="1"/>
    <col min="1331" max="1332" width="11.875" bestFit="1" customWidth="1"/>
    <col min="1333" max="1333" width="10.875" bestFit="1" customWidth="1"/>
    <col min="1334" max="1343" width="11.875" bestFit="1" customWidth="1"/>
    <col min="1344" max="1344" width="10.875" bestFit="1" customWidth="1"/>
    <col min="1345" max="1382" width="11.875" bestFit="1" customWidth="1"/>
    <col min="1383" max="1383" width="10.875" bestFit="1" customWidth="1"/>
    <col min="1384" max="1388" width="11.875" bestFit="1" customWidth="1"/>
    <col min="1389" max="1389" width="10.875" bestFit="1" customWidth="1"/>
    <col min="1390" max="1390" width="11.875" bestFit="1" customWidth="1"/>
    <col min="1391" max="1391" width="10.875" bestFit="1" customWidth="1"/>
    <col min="1392" max="1425" width="11.875" bestFit="1" customWidth="1"/>
    <col min="1426" max="1426" width="10.875" bestFit="1" customWidth="1"/>
    <col min="1427" max="1427" width="11.875" bestFit="1" customWidth="1"/>
    <col min="1428" max="1428" width="8.875" bestFit="1" customWidth="1"/>
    <col min="1429" max="1443" width="11.875" bestFit="1" customWidth="1"/>
    <col min="1444" max="1444" width="10.875" bestFit="1" customWidth="1"/>
    <col min="1445" max="1454" width="11.875" bestFit="1" customWidth="1"/>
    <col min="1455" max="1455" width="10.875" bestFit="1" customWidth="1"/>
    <col min="1456" max="1469" width="11.875" bestFit="1" customWidth="1"/>
    <col min="1470" max="1470" width="10.875" bestFit="1" customWidth="1"/>
    <col min="1471" max="1473" width="11.875" bestFit="1" customWidth="1"/>
    <col min="1474" max="1474" width="10.875" bestFit="1" customWidth="1"/>
    <col min="1475" max="1503" width="11.875" bestFit="1" customWidth="1"/>
    <col min="1504" max="1504" width="10.875" bestFit="1" customWidth="1"/>
    <col min="1505" max="1524" width="11.875" bestFit="1" customWidth="1"/>
    <col min="1525" max="1526" width="10.875" bestFit="1" customWidth="1"/>
    <col min="1527" max="1564" width="11.875" bestFit="1" customWidth="1"/>
    <col min="1565" max="1565" width="6.875" bestFit="1" customWidth="1"/>
    <col min="1566" max="1566" width="11.125" bestFit="1" customWidth="1"/>
  </cols>
  <sheetData>
    <row r="2" spans="1:15" ht="18">
      <c r="A2" s="35" t="s">
        <v>143</v>
      </c>
      <c r="B2" s="36"/>
      <c r="E2" s="35" t="s">
        <v>145</v>
      </c>
      <c r="F2" s="36"/>
      <c r="I2" s="35" t="s">
        <v>134</v>
      </c>
      <c r="J2" s="36"/>
      <c r="M2" s="35" t="s">
        <v>122</v>
      </c>
    </row>
    <row r="3" spans="1:15">
      <c r="A3" s="30" t="s">
        <v>103</v>
      </c>
      <c r="B3" t="s">
        <v>105</v>
      </c>
      <c r="E3" s="30" t="s">
        <v>144</v>
      </c>
      <c r="F3" t="s">
        <v>131</v>
      </c>
      <c r="I3" s="30" t="s">
        <v>103</v>
      </c>
      <c r="J3" t="s">
        <v>149</v>
      </c>
      <c r="K3" t="s">
        <v>150</v>
      </c>
      <c r="M3" s="30" t="s">
        <v>111</v>
      </c>
      <c r="N3" t="s">
        <v>104</v>
      </c>
      <c r="O3" t="s">
        <v>112</v>
      </c>
    </row>
    <row r="4" spans="1:15">
      <c r="A4" s="9" t="s">
        <v>106</v>
      </c>
      <c r="B4" s="32">
        <v>38014.790000000008</v>
      </c>
      <c r="D4" s="32"/>
      <c r="E4" s="9">
        <v>1</v>
      </c>
      <c r="F4" s="32">
        <v>0.17161585940946103</v>
      </c>
      <c r="H4" s="32"/>
      <c r="I4" s="9" t="s">
        <v>106</v>
      </c>
      <c r="J4" s="32">
        <v>0.24539919953521405</v>
      </c>
      <c r="K4" s="38">
        <v>154910</v>
      </c>
      <c r="L4" s="32"/>
      <c r="M4" s="9" t="s">
        <v>48</v>
      </c>
      <c r="N4" s="32">
        <v>82501.796743055675</v>
      </c>
      <c r="O4" s="32">
        <v>0.33611370068629126</v>
      </c>
    </row>
    <row r="5" spans="1:15">
      <c r="A5" s="9" t="s">
        <v>107</v>
      </c>
      <c r="B5" s="32">
        <v>51965.651590909089</v>
      </c>
      <c r="D5" s="32"/>
      <c r="E5" s="9">
        <v>2</v>
      </c>
      <c r="F5" s="32">
        <v>0.2125226520413544</v>
      </c>
      <c r="H5" s="32"/>
      <c r="I5" s="9" t="s">
        <v>107</v>
      </c>
      <c r="J5" s="32">
        <v>0.37208686517907125</v>
      </c>
      <c r="K5" s="38">
        <v>139660</v>
      </c>
      <c r="L5" s="32"/>
      <c r="M5" s="9" t="s">
        <v>52</v>
      </c>
      <c r="N5" s="32">
        <v>62768.535535451425</v>
      </c>
      <c r="O5" s="32">
        <v>0.35575003137299605</v>
      </c>
    </row>
    <row r="6" spans="1:15">
      <c r="A6" s="9" t="s">
        <v>108</v>
      </c>
      <c r="B6" s="32">
        <v>54247.670521915607</v>
      </c>
      <c r="D6" s="32"/>
      <c r="E6" s="9">
        <v>3</v>
      </c>
      <c r="F6" s="32">
        <v>0.28784435401831132</v>
      </c>
      <c r="H6" s="32"/>
      <c r="I6" s="9" t="s">
        <v>108</v>
      </c>
      <c r="J6" s="32">
        <v>0.34944389668845405</v>
      </c>
      <c r="K6" s="38">
        <v>154680</v>
      </c>
      <c r="L6" s="32"/>
      <c r="M6" s="9" t="s">
        <v>54</v>
      </c>
      <c r="N6" s="32">
        <v>40862.265837742954</v>
      </c>
      <c r="O6" s="32">
        <v>0.3937013762187393</v>
      </c>
    </row>
    <row r="7" spans="1:15">
      <c r="A7" s="9" t="s">
        <v>109</v>
      </c>
      <c r="B7" s="32">
        <v>37683.890000000007</v>
      </c>
      <c r="D7" s="32"/>
      <c r="E7" s="9">
        <v>4</v>
      </c>
      <c r="F7" s="32">
        <v>0.30983851113716282</v>
      </c>
      <c r="H7" s="32"/>
      <c r="I7" s="9" t="s">
        <v>109</v>
      </c>
      <c r="J7" s="32">
        <v>0.37384811507936516</v>
      </c>
      <c r="K7" s="38">
        <v>100800</v>
      </c>
      <c r="L7" s="32"/>
      <c r="M7" s="9" t="s">
        <v>51</v>
      </c>
      <c r="N7" s="32">
        <v>34026.608598219987</v>
      </c>
      <c r="O7" s="32">
        <v>0.22116742670276235</v>
      </c>
    </row>
    <row r="8" spans="1:15">
      <c r="A8" s="9" t="s">
        <v>110</v>
      </c>
      <c r="B8" s="32">
        <v>25546.080000000002</v>
      </c>
      <c r="D8" s="32"/>
      <c r="E8" s="9">
        <v>5</v>
      </c>
      <c r="F8" s="32">
        <v>0.40416360858767397</v>
      </c>
      <c r="H8" s="32"/>
      <c r="I8" s="9" t="s">
        <v>110</v>
      </c>
      <c r="J8" s="32">
        <v>0.31761879895561362</v>
      </c>
      <c r="K8" s="38">
        <v>80430</v>
      </c>
      <c r="L8" s="32"/>
      <c r="M8" s="9" t="s">
        <v>56</v>
      </c>
      <c r="N8" s="32">
        <v>31111.11785573954</v>
      </c>
      <c r="O8" s="32">
        <v>0.41409713637347983</v>
      </c>
    </row>
    <row r="9" spans="1:15">
      <c r="A9" s="9" t="s">
        <v>118</v>
      </c>
      <c r="B9" s="32">
        <v>32754.720909090913</v>
      </c>
      <c r="D9" s="32"/>
      <c r="E9" s="9">
        <v>6</v>
      </c>
      <c r="F9" s="32">
        <v>0.39967003188097755</v>
      </c>
      <c r="H9" s="32"/>
      <c r="I9" s="9" t="s">
        <v>118</v>
      </c>
      <c r="J9" s="32">
        <v>0.47224222763971901</v>
      </c>
      <c r="K9" s="38">
        <v>69360</v>
      </c>
      <c r="L9" s="32"/>
      <c r="M9" s="9" t="s">
        <v>57</v>
      </c>
      <c r="N9" s="32">
        <v>24846.105786284854</v>
      </c>
      <c r="O9" s="32">
        <v>0.48048937896509097</v>
      </c>
    </row>
    <row r="10" spans="1:15">
      <c r="A10" s="9" t="s">
        <v>126</v>
      </c>
      <c r="B10" s="32">
        <v>21503.484272727277</v>
      </c>
      <c r="D10" s="32"/>
      <c r="E10" s="9">
        <v>7</v>
      </c>
      <c r="F10" s="32">
        <v>0.33839673913043461</v>
      </c>
      <c r="H10" s="32"/>
      <c r="I10" s="9" t="s">
        <v>126</v>
      </c>
      <c r="J10" s="32">
        <v>0.3360444487064741</v>
      </c>
      <c r="K10" s="38">
        <v>63990</v>
      </c>
      <c r="L10" s="32"/>
      <c r="M10" s="9" t="s">
        <v>60</v>
      </c>
      <c r="N10" s="32">
        <v>2840.6028579157278</v>
      </c>
      <c r="O10" s="32">
        <v>0.43701582429472735</v>
      </c>
    </row>
    <row r="11" spans="1:15">
      <c r="A11" s="9" t="s">
        <v>140</v>
      </c>
      <c r="B11" s="32">
        <v>6322.7599999999984</v>
      </c>
      <c r="D11" s="32"/>
      <c r="E11" s="9">
        <v>8</v>
      </c>
      <c r="F11" s="32">
        <v>0.35290239551478086</v>
      </c>
      <c r="H11" s="32"/>
      <c r="I11" s="9" t="s">
        <v>140</v>
      </c>
      <c r="J11" s="32">
        <v>0.25565097848940638</v>
      </c>
      <c r="K11" s="38">
        <v>24732</v>
      </c>
      <c r="L11" s="32"/>
      <c r="M11" s="9" t="s">
        <v>101</v>
      </c>
      <c r="N11" s="32">
        <v>278957.03321441018</v>
      </c>
      <c r="O11" s="32">
        <v>0.34317207897668506</v>
      </c>
    </row>
    <row r="12" spans="1:15">
      <c r="A12" s="9" t="s">
        <v>142</v>
      </c>
      <c r="B12" s="32">
        <v>12984.749999999998</v>
      </c>
      <c r="D12" s="32"/>
      <c r="E12" s="9">
        <v>9</v>
      </c>
      <c r="F12" s="32">
        <v>0.37960633311470693</v>
      </c>
      <c r="I12" s="9" t="s">
        <v>142</v>
      </c>
      <c r="J12" s="32">
        <v>0.76380882352941171</v>
      </c>
      <c r="K12" s="38">
        <v>17000</v>
      </c>
    </row>
    <row r="13" spans="1:15" ht="18">
      <c r="A13" s="9" t="s">
        <v>152</v>
      </c>
      <c r="B13" s="32">
        <v>3872.5599999999995</v>
      </c>
      <c r="D13" s="32"/>
      <c r="E13" s="9">
        <v>10</v>
      </c>
      <c r="F13" s="32">
        <v>0.35916235223597631</v>
      </c>
      <c r="I13" s="9" t="s">
        <v>152</v>
      </c>
      <c r="J13" s="32">
        <v>0.43385166928075281</v>
      </c>
      <c r="K13" s="38">
        <v>8926</v>
      </c>
      <c r="M13" s="35" t="s">
        <v>123</v>
      </c>
    </row>
    <row r="14" spans="1:15">
      <c r="A14" s="9" t="s">
        <v>101</v>
      </c>
      <c r="B14" s="32">
        <v>284896.35729464289</v>
      </c>
      <c r="E14" s="9">
        <v>11</v>
      </c>
      <c r="F14" s="32">
        <v>0.31572535211267605</v>
      </c>
      <c r="I14" s="9" t="s">
        <v>101</v>
      </c>
      <c r="J14" s="32">
        <v>0.34954549584152528</v>
      </c>
      <c r="K14" s="38">
        <v>814488</v>
      </c>
      <c r="M14" s="30" t="s">
        <v>43</v>
      </c>
      <c r="N14" t="s">
        <v>102</v>
      </c>
      <c r="O14" t="s">
        <v>112</v>
      </c>
    </row>
    <row r="15" spans="1:15">
      <c r="E15" s="9">
        <v>12</v>
      </c>
      <c r="F15" s="32">
        <v>0.29125899107588538</v>
      </c>
      <c r="M15" s="9" t="s">
        <v>155</v>
      </c>
      <c r="N15" s="33">
        <v>117647.17918219337</v>
      </c>
      <c r="O15" s="33">
        <v>0.37000622462634725</v>
      </c>
    </row>
    <row r="16" spans="1:15">
      <c r="E16" s="9">
        <v>13</v>
      </c>
      <c r="F16" s="32">
        <v>0.28671916971916966</v>
      </c>
      <c r="M16" s="9" t="s">
        <v>153</v>
      </c>
      <c r="N16" s="33">
        <v>72149.151267374502</v>
      </c>
      <c r="O16" s="33">
        <v>0.29216096888995546</v>
      </c>
    </row>
    <row r="17" spans="5:15">
      <c r="E17" s="9">
        <v>14</v>
      </c>
      <c r="F17" s="32">
        <v>0.42739578163771708</v>
      </c>
      <c r="M17" s="9" t="s">
        <v>154</v>
      </c>
      <c r="N17" s="33">
        <v>69140.703466837149</v>
      </c>
      <c r="O17" s="33">
        <v>0.36526723018277518</v>
      </c>
    </row>
    <row r="18" spans="5:15">
      <c r="E18" s="9">
        <v>15</v>
      </c>
      <c r="F18" s="32">
        <v>0.39311764705882357</v>
      </c>
      <c r="M18" s="9" t="s">
        <v>156</v>
      </c>
      <c r="N18" s="33">
        <v>16978.129795819659</v>
      </c>
      <c r="O18" s="33">
        <v>0.35400604244828315</v>
      </c>
    </row>
    <row r="19" spans="5:15">
      <c r="E19" s="9">
        <v>16</v>
      </c>
      <c r="F19" s="32">
        <v>0.42324787104622857</v>
      </c>
      <c r="M19" s="9" t="s">
        <v>160</v>
      </c>
      <c r="N19" s="33">
        <v>5939.3240802328328</v>
      </c>
      <c r="O19" s="33">
        <v>3.6890211678464802</v>
      </c>
    </row>
    <row r="20" spans="5:15">
      <c r="E20" s="9">
        <v>17</v>
      </c>
      <c r="F20" s="32">
        <v>0.30315403422982889</v>
      </c>
      <c r="M20" s="9" t="s">
        <v>157</v>
      </c>
      <c r="N20" s="33">
        <v>2571.0811087679749</v>
      </c>
      <c r="O20" s="33">
        <v>0.40173142324499606</v>
      </c>
    </row>
    <row r="21" spans="5:15">
      <c r="E21" s="9">
        <v>18</v>
      </c>
      <c r="F21" s="32">
        <v>0.35041187739463608</v>
      </c>
      <c r="M21" s="9" t="s">
        <v>159</v>
      </c>
      <c r="N21" s="33">
        <v>708.57034538204778</v>
      </c>
      <c r="O21" s="33">
        <v>0.63835166250634934</v>
      </c>
    </row>
    <row r="22" spans="5:15">
      <c r="E22" s="9">
        <v>19</v>
      </c>
      <c r="F22" s="32">
        <v>0.46753734939759034</v>
      </c>
      <c r="M22" s="9" t="s">
        <v>101</v>
      </c>
      <c r="N22" s="33">
        <v>285134.13924660743</v>
      </c>
      <c r="O22" s="33">
        <v>0.35146292546649532</v>
      </c>
    </row>
    <row r="23" spans="5:15">
      <c r="E23" s="9">
        <v>20</v>
      </c>
      <c r="F23" s="32">
        <v>0.25205070656691603</v>
      </c>
    </row>
    <row r="24" spans="5:15">
      <c r="E24" s="9">
        <v>21</v>
      </c>
      <c r="F24" s="32">
        <v>0.29406963470319647</v>
      </c>
    </row>
    <row r="25" spans="5:15" ht="18">
      <c r="E25" s="9">
        <v>22</v>
      </c>
      <c r="F25" s="32">
        <v>0.31745833333333329</v>
      </c>
      <c r="M25" s="35" t="s">
        <v>124</v>
      </c>
    </row>
    <row r="26" spans="5:15">
      <c r="E26" s="9">
        <v>23</v>
      </c>
      <c r="F26" s="32">
        <v>0.37105952171619477</v>
      </c>
      <c r="M26" s="30" t="s">
        <v>111</v>
      </c>
      <c r="N26" t="s">
        <v>114</v>
      </c>
    </row>
    <row r="27" spans="5:15">
      <c r="E27" s="9">
        <v>24</v>
      </c>
      <c r="F27" s="32">
        <v>0.52117335766423356</v>
      </c>
    </row>
    <row r="28" spans="5:15">
      <c r="E28" s="9">
        <v>25</v>
      </c>
      <c r="F28" s="32">
        <v>0.75104005524861861</v>
      </c>
      <c r="M28" s="30" t="s">
        <v>43</v>
      </c>
      <c r="N28" t="s">
        <v>113</v>
      </c>
    </row>
    <row r="29" spans="5:15">
      <c r="E29" s="9">
        <v>26</v>
      </c>
      <c r="F29" s="32">
        <v>0.60932986111111098</v>
      </c>
      <c r="M29" s="9" t="s">
        <v>158</v>
      </c>
      <c r="N29" s="33">
        <v>9.744495528087628E-2</v>
      </c>
    </row>
    <row r="30" spans="5:15">
      <c r="E30" s="9">
        <v>27</v>
      </c>
      <c r="F30" s="32">
        <v>0.41740332031249994</v>
      </c>
      <c r="M30" s="9" t="s">
        <v>154</v>
      </c>
      <c r="N30" s="33">
        <v>0.13980273303097093</v>
      </c>
    </row>
    <row r="31" spans="5:15">
      <c r="E31" s="9">
        <v>28</v>
      </c>
      <c r="F31" s="32">
        <v>0.28264745777098715</v>
      </c>
      <c r="M31" s="9" t="s">
        <v>155</v>
      </c>
      <c r="N31" s="33">
        <v>0.12425364952410727</v>
      </c>
    </row>
    <row r="32" spans="5:15">
      <c r="E32" s="9">
        <v>29</v>
      </c>
      <c r="F32" s="32">
        <v>0.30876060070671374</v>
      </c>
      <c r="M32" s="9" t="s">
        <v>153</v>
      </c>
      <c r="N32" s="33">
        <v>0.10125151729852586</v>
      </c>
    </row>
    <row r="33" spans="5:14">
      <c r="E33" s="9">
        <v>30</v>
      </c>
      <c r="F33" s="32">
        <v>0.11158198614318707</v>
      </c>
      <c r="M33" s="9" t="s">
        <v>159</v>
      </c>
      <c r="N33" s="33">
        <v>8.8309582410800613E-2</v>
      </c>
    </row>
    <row r="34" spans="5:14">
      <c r="E34" s="9">
        <v>31</v>
      </c>
      <c r="F34" s="32">
        <v>0.17903941908713683</v>
      </c>
      <c r="M34" s="9" t="s">
        <v>157</v>
      </c>
      <c r="N34" s="33">
        <v>0.11270974535775437</v>
      </c>
    </row>
    <row r="35" spans="5:14">
      <c r="E35" s="9">
        <v>32</v>
      </c>
      <c r="F35" s="32">
        <v>0.35538707799767177</v>
      </c>
      <c r="M35" s="9" t="s">
        <v>156</v>
      </c>
      <c r="N35" s="33">
        <v>0.15001042273350501</v>
      </c>
    </row>
    <row r="36" spans="5:14">
      <c r="E36" s="9">
        <v>33</v>
      </c>
      <c r="F36" s="32">
        <v>0.20510327022375222</v>
      </c>
      <c r="M36" s="9" t="s">
        <v>101</v>
      </c>
      <c r="N36" s="33">
        <v>0.12217394106555689</v>
      </c>
    </row>
    <row r="37" spans="5:14">
      <c r="E37" s="9">
        <v>34</v>
      </c>
      <c r="F37" s="32">
        <v>0.33630459126539775</v>
      </c>
    </row>
    <row r="38" spans="5:14">
      <c r="E38" s="9">
        <v>35</v>
      </c>
      <c r="F38" s="32">
        <v>0.50118023255813959</v>
      </c>
    </row>
    <row r="39" spans="5:14">
      <c r="E39" s="9">
        <v>36</v>
      </c>
      <c r="F39" s="32">
        <v>0.91977607709750586</v>
      </c>
    </row>
    <row r="40" spans="5:14">
      <c r="E40" s="9">
        <v>37</v>
      </c>
      <c r="F40" s="32">
        <v>0.73737588652482289</v>
      </c>
    </row>
    <row r="41" spans="5:14">
      <c r="E41" s="9">
        <v>38</v>
      </c>
      <c r="F41" s="32">
        <v>0.87816939890710399</v>
      </c>
    </row>
    <row r="42" spans="5:14">
      <c r="E42" s="9">
        <v>39</v>
      </c>
      <c r="F42" s="32">
        <v>0.43385166928075281</v>
      </c>
    </row>
    <row r="43" spans="5:14">
      <c r="E43" s="9" t="s">
        <v>101</v>
      </c>
      <c r="F43" s="32">
        <v>0.34954549584152544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 Kizito</dc:creator>
  <cp:lastModifiedBy>Lyon Kizito</cp:lastModifiedBy>
  <cp:lastPrinted>2024-06-21T17:07:08Z</cp:lastPrinted>
  <dcterms:created xsi:type="dcterms:W3CDTF">2024-03-25T08:59:58Z</dcterms:created>
  <dcterms:modified xsi:type="dcterms:W3CDTF">2024-10-23T17:18:29Z</dcterms:modified>
</cp:coreProperties>
</file>