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rk\ColorsofWater\matlab\"/>
    </mc:Choice>
  </mc:AlternateContent>
  <bookViews>
    <workbookView xWindow="-120" yWindow="-120" windowWidth="20730" windowHeight="11160"/>
  </bookViews>
  <sheets>
    <sheet name="SR" sheetId="13" r:id="rId1"/>
    <sheet name="stagedischarge" sheetId="14" r:id="rId2"/>
    <sheet name="defaultmethod" sheetId="7" r:id="rId3"/>
    <sheet name="evapfactors" sheetId="16" r:id="rId4"/>
    <sheet name="evap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8" i="13" l="1"/>
  <c r="AC48" i="13" s="1"/>
  <c r="T45" i="13"/>
  <c r="V46" i="13" s="1"/>
  <c r="W46" i="13" s="1"/>
  <c r="U46" i="13"/>
  <c r="F46" i="13"/>
  <c r="G46" i="13"/>
  <c r="AA50" i="13"/>
  <c r="AA49" i="13"/>
  <c r="T49" i="13" s="1"/>
  <c r="U49" i="13" s="1"/>
  <c r="AB48" i="13"/>
  <c r="T48" i="13" l="1"/>
  <c r="AC50" i="13"/>
  <c r="U45" i="13"/>
  <c r="V45" i="13"/>
  <c r="W45" i="13" s="1"/>
  <c r="AC49" i="13"/>
  <c r="T50" i="13"/>
  <c r="V50" i="13" l="1"/>
  <c r="W50" i="13" s="1"/>
  <c r="U50" i="13"/>
  <c r="U48" i="13"/>
  <c r="V49" i="13"/>
  <c r="W49" i="13" s="1"/>
  <c r="V48" i="13"/>
  <c r="W48" i="13" s="1"/>
  <c r="A46" i="13"/>
  <c r="J46" i="13"/>
  <c r="J50" i="13"/>
  <c r="J49" i="13"/>
  <c r="AB49" i="13"/>
  <c r="J48" i="13"/>
  <c r="AB50" i="13" l="1"/>
  <c r="AT3" i="13"/>
  <c r="AC69" i="13" l="1"/>
  <c r="V69" i="13" s="1"/>
  <c r="AB69" i="13"/>
  <c r="U69" i="13" s="1"/>
  <c r="AA69" i="13"/>
  <c r="T69" i="13" s="1"/>
  <c r="AC68" i="13"/>
  <c r="V68" i="13" s="1"/>
  <c r="AB68" i="13"/>
  <c r="U68" i="13" s="1"/>
  <c r="AA68" i="13"/>
  <c r="T68" i="13" s="1"/>
  <c r="L14" i="16"/>
  <c r="L13" i="16"/>
  <c r="L12" i="16"/>
  <c r="L11" i="16"/>
  <c r="L10" i="16"/>
  <c r="L9" i="16"/>
  <c r="L8" i="16"/>
  <c r="L7" i="16"/>
  <c r="M7" i="16" s="1"/>
  <c r="E13" i="16"/>
  <c r="E9" i="16" s="1"/>
  <c r="D13" i="16"/>
  <c r="E8" i="16" s="1"/>
  <c r="M9" i="16" l="1"/>
  <c r="M8" i="16"/>
  <c r="M13" i="16"/>
  <c r="M14" i="16"/>
  <c r="M12" i="16"/>
  <c r="M11" i="16"/>
  <c r="M10" i="16"/>
  <c r="E66" i="13" l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D71" i="13"/>
  <c r="D72" i="13" s="1"/>
  <c r="D73" i="13" s="1"/>
  <c r="D74" i="13" s="1"/>
  <c r="D76" i="13" s="1"/>
  <c r="D77" i="13" s="1"/>
  <c r="D66" i="13"/>
  <c r="D67" i="13" s="1"/>
  <c r="D68" i="13" s="1"/>
  <c r="D69" i="13" s="1"/>
  <c r="J64" i="13"/>
  <c r="G65" i="13"/>
  <c r="F65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G78" i="13"/>
  <c r="F78" i="13"/>
  <c r="G77" i="13" l="1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AA62" i="13" l="1"/>
  <c r="T62" i="13" s="1"/>
  <c r="U62" i="13" s="1"/>
  <c r="J62" i="13"/>
  <c r="AA61" i="13"/>
  <c r="T61" i="13" s="1"/>
  <c r="U61" i="13" s="1"/>
  <c r="J61" i="13"/>
  <c r="AA60" i="13"/>
  <c r="J60" i="13"/>
  <c r="AA59" i="13"/>
  <c r="J59" i="13"/>
  <c r="J57" i="13"/>
  <c r="E56" i="13"/>
  <c r="E57" i="13" s="1"/>
  <c r="J56" i="13"/>
  <c r="J55" i="13"/>
  <c r="AA53" i="13"/>
  <c r="T53" i="13" s="1"/>
  <c r="U53" i="13" s="1"/>
  <c r="J53" i="13"/>
  <c r="AA52" i="13"/>
  <c r="T52" i="13" s="1"/>
  <c r="U52" i="13" s="1"/>
  <c r="J52" i="13"/>
  <c r="J45" i="13"/>
  <c r="AC43" i="13"/>
  <c r="W43" i="13"/>
  <c r="U43" i="13"/>
  <c r="T43" i="13"/>
  <c r="J43" i="13"/>
  <c r="G43" i="13"/>
  <c r="F43" i="13"/>
  <c r="AT42" i="13"/>
  <c r="AT43" i="13" s="1"/>
  <c r="AC42" i="13"/>
  <c r="W42" i="13"/>
  <c r="U42" i="13"/>
  <c r="T42" i="13"/>
  <c r="J42" i="13"/>
  <c r="G42" i="13"/>
  <c r="F42" i="13"/>
  <c r="AC41" i="13"/>
  <c r="W41" i="13"/>
  <c r="U41" i="13"/>
  <c r="T41" i="13"/>
  <c r="J41" i="13"/>
  <c r="G41" i="13"/>
  <c r="F41" i="13"/>
  <c r="AC40" i="13"/>
  <c r="W40" i="13"/>
  <c r="U40" i="13"/>
  <c r="T40" i="13"/>
  <c r="J40" i="13"/>
  <c r="G40" i="13"/>
  <c r="F40" i="13"/>
  <c r="AC39" i="13"/>
  <c r="W39" i="13"/>
  <c r="U39" i="13"/>
  <c r="T39" i="13"/>
  <c r="J39" i="13"/>
  <c r="G39" i="13"/>
  <c r="F39" i="13"/>
  <c r="AC38" i="13"/>
  <c r="W38" i="13"/>
  <c r="U38" i="13"/>
  <c r="T38" i="13"/>
  <c r="J38" i="13"/>
  <c r="G38" i="13"/>
  <c r="F38" i="13"/>
  <c r="U37" i="13"/>
  <c r="T37" i="13"/>
  <c r="J37" i="13"/>
  <c r="G37" i="13"/>
  <c r="F37" i="13"/>
  <c r="U36" i="13"/>
  <c r="T36" i="13"/>
  <c r="J36" i="13"/>
  <c r="G36" i="13"/>
  <c r="F36" i="13"/>
  <c r="J35" i="13"/>
  <c r="G35" i="13"/>
  <c r="F35" i="13"/>
  <c r="D34" i="13"/>
  <c r="D35" i="13" s="1"/>
  <c r="D36" i="13" s="1"/>
  <c r="D37" i="13" s="1"/>
  <c r="J34" i="13"/>
  <c r="G34" i="13"/>
  <c r="Z33" i="13"/>
  <c r="U33" i="13"/>
  <c r="T33" i="13"/>
  <c r="J33" i="13"/>
  <c r="G33" i="13"/>
  <c r="F33" i="13"/>
  <c r="J32" i="13"/>
  <c r="G32" i="13"/>
  <c r="F32" i="13"/>
  <c r="Z31" i="13"/>
  <c r="AB32" i="13" s="1"/>
  <c r="U32" i="13" s="1"/>
  <c r="J31" i="13"/>
  <c r="G31" i="13"/>
  <c r="F31" i="13"/>
  <c r="Z30" i="13"/>
  <c r="J30" i="13"/>
  <c r="G30" i="13"/>
  <c r="F30" i="13"/>
  <c r="U29" i="13"/>
  <c r="T29" i="13"/>
  <c r="J29" i="13"/>
  <c r="G29" i="13"/>
  <c r="F29" i="13"/>
  <c r="U28" i="13"/>
  <c r="T28" i="13"/>
  <c r="D28" i="13"/>
  <c r="D29" i="13" s="1"/>
  <c r="D30" i="13" s="1"/>
  <c r="D31" i="13" s="1"/>
  <c r="D32" i="13" s="1"/>
  <c r="J28" i="13"/>
  <c r="G28" i="13"/>
  <c r="F28" i="13"/>
  <c r="U27" i="13"/>
  <c r="T27" i="13"/>
  <c r="J27" i="13"/>
  <c r="G27" i="13"/>
  <c r="F27" i="13"/>
  <c r="AC26" i="13"/>
  <c r="U26" i="13"/>
  <c r="T26" i="13"/>
  <c r="J26" i="13"/>
  <c r="G26" i="13"/>
  <c r="F26" i="13"/>
  <c r="U25" i="13"/>
  <c r="T25" i="13"/>
  <c r="J25" i="13"/>
  <c r="G25" i="13"/>
  <c r="F25" i="13"/>
  <c r="AC24" i="13"/>
  <c r="U24" i="13"/>
  <c r="T24" i="13"/>
  <c r="D24" i="13"/>
  <c r="D25" i="13" s="1"/>
  <c r="D26" i="13" s="1"/>
  <c r="J24" i="13"/>
  <c r="G24" i="13"/>
  <c r="F24" i="13"/>
  <c r="AC23" i="13"/>
  <c r="U23" i="13"/>
  <c r="T23" i="13"/>
  <c r="J23" i="13"/>
  <c r="G23" i="13"/>
  <c r="F23" i="13"/>
  <c r="AC22" i="13"/>
  <c r="U22" i="13"/>
  <c r="T22" i="13"/>
  <c r="J22" i="13"/>
  <c r="G22" i="13"/>
  <c r="F22" i="13"/>
  <c r="AC21" i="13"/>
  <c r="U21" i="13"/>
  <c r="T21" i="13"/>
  <c r="J21" i="13"/>
  <c r="G21" i="13"/>
  <c r="F21" i="13"/>
  <c r="AC20" i="13"/>
  <c r="U20" i="13"/>
  <c r="T20" i="13"/>
  <c r="J20" i="13"/>
  <c r="G20" i="13"/>
  <c r="F20" i="13"/>
  <c r="AC19" i="13"/>
  <c r="U19" i="13"/>
  <c r="T19" i="13"/>
  <c r="J19" i="13"/>
  <c r="G19" i="13"/>
  <c r="F19" i="13"/>
  <c r="AC18" i="13"/>
  <c r="U18" i="13"/>
  <c r="T18" i="13"/>
  <c r="J18" i="13"/>
  <c r="G18" i="13"/>
  <c r="F18" i="13"/>
  <c r="AC17" i="13"/>
  <c r="U17" i="13"/>
  <c r="T17" i="13"/>
  <c r="J17" i="13"/>
  <c r="G17" i="13"/>
  <c r="F17" i="13"/>
  <c r="AC16" i="13"/>
  <c r="U16" i="13"/>
  <c r="T16" i="13"/>
  <c r="J16" i="13"/>
  <c r="G16" i="13"/>
  <c r="F16" i="13"/>
  <c r="U15" i="13"/>
  <c r="T15" i="13"/>
  <c r="J15" i="13"/>
  <c r="G15" i="13"/>
  <c r="F15" i="13"/>
  <c r="U14" i="13"/>
  <c r="T14" i="13"/>
  <c r="J14" i="13"/>
  <c r="G14" i="13"/>
  <c r="F14" i="13"/>
  <c r="U13" i="13"/>
  <c r="T13" i="13"/>
  <c r="J13" i="13"/>
  <c r="G13" i="13"/>
  <c r="F13" i="13"/>
  <c r="J12" i="13"/>
  <c r="G12" i="13"/>
  <c r="F12" i="13"/>
  <c r="J11" i="13"/>
  <c r="G11" i="13"/>
  <c r="Z10" i="13"/>
  <c r="AB10" i="13" s="1"/>
  <c r="U10" i="13" s="1"/>
  <c r="J10" i="13"/>
  <c r="G10" i="13"/>
  <c r="F10" i="13"/>
  <c r="J9" i="13"/>
  <c r="G9" i="13"/>
  <c r="F9" i="13"/>
  <c r="J8" i="13"/>
  <c r="G8" i="13"/>
  <c r="F8" i="13"/>
  <c r="Z7" i="13"/>
  <c r="AA8" i="13" s="1"/>
  <c r="J7" i="13"/>
  <c r="G7" i="13"/>
  <c r="F7" i="13"/>
  <c r="U6" i="13"/>
  <c r="T6" i="13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J6" i="13"/>
  <c r="G6" i="13"/>
  <c r="F6" i="13"/>
  <c r="U5" i="13"/>
  <c r="T5" i="13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J5" i="13"/>
  <c r="G5" i="13"/>
  <c r="F5" i="13"/>
  <c r="AC4" i="13"/>
  <c r="U4" i="13"/>
  <c r="T4" i="13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J4" i="13"/>
  <c r="G4" i="13"/>
  <c r="F4" i="13"/>
  <c r="AC3" i="13"/>
  <c r="U3" i="13"/>
  <c r="T3" i="13"/>
  <c r="J3" i="13"/>
  <c r="AB7" i="13" l="1"/>
  <c r="U7" i="13" s="1"/>
  <c r="AC59" i="13"/>
  <c r="V59" i="13" s="1"/>
  <c r="T59" i="13"/>
  <c r="U59" i="13" s="1"/>
  <c r="AA32" i="13"/>
  <c r="T32" i="13" s="1"/>
  <c r="AC60" i="13"/>
  <c r="V60" i="13" s="1"/>
  <c r="AB31" i="13"/>
  <c r="U31" i="13" s="1"/>
  <c r="T60" i="13"/>
  <c r="U60" i="13" s="1"/>
  <c r="T8" i="13"/>
  <c r="AB9" i="13"/>
  <c r="U9" i="13" s="1"/>
  <c r="AB8" i="13"/>
  <c r="U8" i="13" s="1"/>
  <c r="Z34" i="13"/>
  <c r="AA34" i="13" s="1"/>
  <c r="AA7" i="13"/>
  <c r="AA30" i="13"/>
  <c r="Z12" i="13"/>
  <c r="AA11" i="13" s="1"/>
  <c r="AB30" i="13"/>
  <c r="U30" i="13" s="1"/>
  <c r="AA31" i="13"/>
  <c r="AA10" i="13"/>
  <c r="AA9" i="13"/>
  <c r="AC32" i="13" l="1"/>
  <c r="T34" i="13"/>
  <c r="T10" i="13"/>
  <c r="T11" i="13"/>
  <c r="AB12" i="13"/>
  <c r="U12" i="13" s="1"/>
  <c r="AA12" i="13"/>
  <c r="AC11" i="13" s="1"/>
  <c r="V11" i="13" s="1"/>
  <c r="W11" i="13" s="1"/>
  <c r="AB11" i="13"/>
  <c r="U11" i="13" s="1"/>
  <c r="AC29" i="13"/>
  <c r="AC30" i="13"/>
  <c r="AC27" i="13"/>
  <c r="V27" i="13" s="1"/>
  <c r="T30" i="13"/>
  <c r="AC28" i="13"/>
  <c r="AC31" i="13"/>
  <c r="T31" i="13"/>
  <c r="T7" i="13"/>
  <c r="T9" i="13"/>
  <c r="AA35" i="13"/>
  <c r="W31" i="13" s="1"/>
  <c r="AB34" i="13"/>
  <c r="U34" i="13" s="1"/>
  <c r="AB35" i="13"/>
  <c r="U35" i="13" s="1"/>
  <c r="AC6" i="13" l="1"/>
  <c r="V6" i="13" s="1"/>
  <c r="W6" i="13" s="1"/>
  <c r="W27" i="13"/>
  <c r="W30" i="13"/>
  <c r="AC9" i="13"/>
  <c r="V9" i="13" s="1"/>
  <c r="W9" i="13" s="1"/>
  <c r="W52" i="13"/>
  <c r="W36" i="13"/>
  <c r="AC37" i="13"/>
  <c r="W18" i="13"/>
  <c r="W29" i="13"/>
  <c r="W25" i="13"/>
  <c r="W20" i="13"/>
  <c r="AC8" i="13"/>
  <c r="V8" i="13" s="1"/>
  <c r="W8" i="13" s="1"/>
  <c r="W3" i="13"/>
  <c r="W19" i="13"/>
  <c r="W23" i="13"/>
  <c r="W26" i="13"/>
  <c r="W17" i="13"/>
  <c r="AC36" i="13"/>
  <c r="W32" i="13"/>
  <c r="W53" i="13"/>
  <c r="AC14" i="13"/>
  <c r="V14" i="13" s="1"/>
  <c r="W14" i="13" s="1"/>
  <c r="AC7" i="13"/>
  <c r="V7" i="13" s="1"/>
  <c r="W7" i="13" s="1"/>
  <c r="T35" i="13"/>
  <c r="AC35" i="13"/>
  <c r="V35" i="13" s="1"/>
  <c r="W35" i="13" s="1"/>
  <c r="W37" i="13"/>
  <c r="T12" i="13"/>
  <c r="AC12" i="13"/>
  <c r="V12" i="13" s="1"/>
  <c r="W12" i="13" s="1"/>
  <c r="W16" i="13"/>
  <c r="AC13" i="13"/>
  <c r="V13" i="13" s="1"/>
  <c r="W13" i="13" s="1"/>
  <c r="W22" i="13"/>
  <c r="AC10" i="13"/>
  <c r="V10" i="13" s="1"/>
  <c r="W10" i="13" s="1"/>
  <c r="AC5" i="13"/>
  <c r="V5" i="13" s="1"/>
  <c r="W5" i="13" s="1"/>
  <c r="W28" i="13"/>
  <c r="W4" i="13"/>
  <c r="W24" i="13"/>
  <c r="AC34" i="13"/>
  <c r="V34" i="13" s="1"/>
  <c r="W34" i="13" s="1"/>
  <c r="AC15" i="13"/>
  <c r="V15" i="13" s="1"/>
  <c r="W15" i="13" s="1"/>
  <c r="W21" i="13"/>
  <c r="AC33" i="13"/>
  <c r="V33" i="13" s="1"/>
  <c r="W33" i="13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</calcChain>
</file>

<file path=xl/sharedStrings.xml><?xml version="1.0" encoding="utf-8"?>
<sst xmlns="http://schemas.openxmlformats.org/spreadsheetml/2006/main" count="419" uniqueCount="211">
  <si>
    <t>Reach</t>
  </si>
  <si>
    <t>Channel length</t>
  </si>
  <si>
    <t>Alluvium length</t>
  </si>
  <si>
    <t>Transmissivity</t>
  </si>
  <si>
    <t>Storage coefficient</t>
  </si>
  <si>
    <t>Aquifer width</t>
  </si>
  <si>
    <t>Div</t>
  </si>
  <si>
    <t>ARKPUECO</t>
  </si>
  <si>
    <t>ARKAVOCO</t>
  </si>
  <si>
    <t>ARKNEPCO</t>
  </si>
  <si>
    <t>ARKCATCO</t>
  </si>
  <si>
    <t>ARKROCCO</t>
  </si>
  <si>
    <t>ARKLAJCO</t>
  </si>
  <si>
    <t>ARKLASCO</t>
  </si>
  <si>
    <t>Arkansas River above Pueblo</t>
  </si>
  <si>
    <t>Arkansas River near Avondale</t>
  </si>
  <si>
    <t>Arkansas River near Nepesta</t>
  </si>
  <si>
    <t>Arkansas River at Catlin Dam</t>
  </si>
  <si>
    <t>Arkansas River at La Junta</t>
  </si>
  <si>
    <t>Arkansas River at Las Animas</t>
  </si>
  <si>
    <t>Catlin Canal</t>
  </si>
  <si>
    <t>Rocky Ford Return</t>
  </si>
  <si>
    <t>Fish Hatchery Outfall</t>
  </si>
  <si>
    <t>Comanche Power Plant</t>
  </si>
  <si>
    <t>Northside Water Works</t>
  </si>
  <si>
    <t>Fountain Creek</t>
  </si>
  <si>
    <t>FOUMOUCO</t>
  </si>
  <si>
    <t>Salt Creek</t>
  </si>
  <si>
    <t>SALTMOCO</t>
  </si>
  <si>
    <t>Excelsior Ditch</t>
  </si>
  <si>
    <t>St. Charles River</t>
  </si>
  <si>
    <t>STCHARCO</t>
  </si>
  <si>
    <t>Inflow</t>
  </si>
  <si>
    <t>Outflow</t>
  </si>
  <si>
    <t>Gage</t>
  </si>
  <si>
    <t>Sixmile Creek</t>
  </si>
  <si>
    <t>Collier Ditch</t>
  </si>
  <si>
    <t>Colorado Canal</t>
  </si>
  <si>
    <t>Huerfano River</t>
  </si>
  <si>
    <t>Oxford Farmers Ditch</t>
  </si>
  <si>
    <t>COLCANCO</t>
  </si>
  <si>
    <t>HUEBOOCO</t>
  </si>
  <si>
    <t>RFHCANCO</t>
  </si>
  <si>
    <t>OXFDITCO</t>
  </si>
  <si>
    <t>Otero Canal</t>
  </si>
  <si>
    <t>Apishapa River</t>
  </si>
  <si>
    <t>APIFOWCO</t>
  </si>
  <si>
    <t>Holbrook Canal</t>
  </si>
  <si>
    <t>Rocky Ford Ditch</t>
  </si>
  <si>
    <t>Fort Lyon Storage Canal</t>
  </si>
  <si>
    <t>MEROUTCO</t>
  </si>
  <si>
    <t>HOLCANCO</t>
  </si>
  <si>
    <t>RFDMANCO</t>
  </si>
  <si>
    <t>FLSCANCO</t>
  </si>
  <si>
    <t>RFDRETCO</t>
  </si>
  <si>
    <t>Arkansas River near Rocky Ford</t>
  </si>
  <si>
    <t>Timpas Creek</t>
  </si>
  <si>
    <t>Fort Lyon Canal</t>
  </si>
  <si>
    <t>TIMSWICO</t>
  </si>
  <si>
    <t>FLYCANCO</t>
  </si>
  <si>
    <t>King Arroyo</t>
  </si>
  <si>
    <t>Las Animas Consolidated Ditch</t>
  </si>
  <si>
    <t>Horse Creek</t>
  </si>
  <si>
    <t>CONDITCO</t>
  </si>
  <si>
    <t>HRC194CO</t>
  </si>
  <si>
    <t>Purgatorie River</t>
  </si>
  <si>
    <t>John Martin Inflow</t>
  </si>
  <si>
    <t>Pueblo Sewage Treatment Plant Outfall</t>
  </si>
  <si>
    <t>Lake Meredith Outfall</t>
  </si>
  <si>
    <t>OTECAFCO</t>
  </si>
  <si>
    <t>CATCANCO</t>
  </si>
  <si>
    <t>CANSWKCO</t>
  </si>
  <si>
    <t>PURLASCO</t>
  </si>
  <si>
    <t>Dispersion-A</t>
  </si>
  <si>
    <t>Dispersion-B</t>
  </si>
  <si>
    <t>Celerity-A</t>
  </si>
  <si>
    <t>Celerity-B</t>
  </si>
  <si>
    <t>Closure</t>
  </si>
  <si>
    <t>Subreach</t>
  </si>
  <si>
    <t>Reach portion</t>
  </si>
  <si>
    <t>inTLAP</t>
  </si>
  <si>
    <t>calc</t>
  </si>
  <si>
    <t>Day</t>
  </si>
  <si>
    <t>Z2</t>
  </si>
  <si>
    <t>Width-A</t>
  </si>
  <si>
    <t>Width-B</t>
  </si>
  <si>
    <t>GainInitial</t>
  </si>
  <si>
    <t>EvapFactor</t>
  </si>
  <si>
    <t>DISCHRG</t>
  </si>
  <si>
    <t>DISCHRG2</t>
  </si>
  <si>
    <t>DISCHRG1</t>
  </si>
  <si>
    <t>Rocky Ford Highline</t>
  </si>
  <si>
    <t>Hamp-Bell Ditch</t>
  </si>
  <si>
    <t>SRID</t>
  </si>
  <si>
    <t>Pueblo Reservoir</t>
  </si>
  <si>
    <t>WD</t>
  </si>
  <si>
    <t>LossPercent</t>
  </si>
  <si>
    <t>Transit Mix-West Pueblo Pit</t>
  </si>
  <si>
    <t>Riverside Dairy Ditch</t>
  </si>
  <si>
    <t>Holbrook Reservoir Outfall</t>
  </si>
  <si>
    <t>HOLOUTCO</t>
  </si>
  <si>
    <t>Crooked Arroyo Aug Station</t>
  </si>
  <si>
    <t>Crooked Arroyo</t>
  </si>
  <si>
    <t>Crooked Arroyo near Swink</t>
  </si>
  <si>
    <t>AJ Anderson Ditch</t>
  </si>
  <si>
    <t>CATAGCCO</t>
  </si>
  <si>
    <t>WaterSource</t>
  </si>
  <si>
    <t>StreamMile</t>
  </si>
  <si>
    <t>00195633</t>
  </si>
  <si>
    <t>00078956</t>
  </si>
  <si>
    <t>Twin Lakes Reservoir</t>
  </si>
  <si>
    <t>00180412</t>
  </si>
  <si>
    <t>Lake Creek below Twin Lakes Res</t>
  </si>
  <si>
    <t>LAKBTLCO</t>
  </si>
  <si>
    <t>Manitou Reservoir</t>
  </si>
  <si>
    <t>POS ditch</t>
  </si>
  <si>
    <t>Fountain Creek at Pueblo</t>
  </si>
  <si>
    <t>Arkansas River Near Leadville</t>
  </si>
  <si>
    <t>ARKLEACO</t>
  </si>
  <si>
    <t>Arkansas River At Salida</t>
  </si>
  <si>
    <t>ARKSALCO</t>
  </si>
  <si>
    <t>ARKPORCO</t>
  </si>
  <si>
    <t>Arkansas River At Portland</t>
  </si>
  <si>
    <t>ReleaseStructure</t>
  </si>
  <si>
    <t>SDnum</t>
  </si>
  <si>
    <t>method</t>
  </si>
  <si>
    <t>j349</t>
  </si>
  <si>
    <t>Fountain Creek Confluence</t>
  </si>
  <si>
    <t>DSWDID</t>
  </si>
  <si>
    <t>DSName</t>
  </si>
  <si>
    <t>Branch</t>
  </si>
  <si>
    <t>Low</t>
  </si>
  <si>
    <t>Avg</t>
  </si>
  <si>
    <t>High</t>
  </si>
  <si>
    <t>Station</t>
  </si>
  <si>
    <t>Parameter</t>
  </si>
  <si>
    <t>Arkansas-Lake Creek Confluence Point</t>
  </si>
  <si>
    <t>Type</t>
  </si>
  <si>
    <t>WDID</t>
  </si>
  <si>
    <t>Name</t>
  </si>
  <si>
    <t>ARKJMRCO</t>
  </si>
  <si>
    <t>FTBDITCO</t>
  </si>
  <si>
    <t>AMYCANCO</t>
  </si>
  <si>
    <t>LAMCANCO</t>
  </si>
  <si>
    <t>ARKLAMCO</t>
  </si>
  <si>
    <t>HYDDITCO</t>
  </si>
  <si>
    <t>BUFDITCO</t>
  </si>
  <si>
    <t>ARKGRACO</t>
  </si>
  <si>
    <t>FRODITKS</t>
  </si>
  <si>
    <t>ARKCOOKS</t>
  </si>
  <si>
    <t>Arkansas River at Lamar</t>
  </si>
  <si>
    <t>Big Sandy Creek</t>
  </si>
  <si>
    <t>Arkansas River at Granada</t>
  </si>
  <si>
    <t>Arkansas River at Coolidge</t>
  </si>
  <si>
    <t>Keesee Ditch</t>
  </si>
  <si>
    <t>Fort Bent Canal</t>
  </si>
  <si>
    <t>Amity Canal</t>
  </si>
  <si>
    <t>Lamar Ditch</t>
  </si>
  <si>
    <t>Hyde Ditch</t>
  </si>
  <si>
    <t>XY Canal</t>
  </si>
  <si>
    <t>Buffalo Canal</t>
  </si>
  <si>
    <t>Sisson Canal</t>
  </si>
  <si>
    <t>Frontier Ditch, KS</t>
  </si>
  <si>
    <t>BIGLAMCO</t>
  </si>
  <si>
    <t>KS Stateline DS node</t>
  </si>
  <si>
    <t>Arkansas River below John Martin Reservoir</t>
  </si>
  <si>
    <t>John Martin Reservoir</t>
  </si>
  <si>
    <t>DispersionMethod</t>
  </si>
  <si>
    <t>CelerityMethod</t>
  </si>
  <si>
    <t xml:space="preserve">Livingston. 1973 Arkansas (upper) </t>
  </si>
  <si>
    <t xml:space="preserve">McKenzie and Craig, 2001 Orange </t>
  </si>
  <si>
    <t xml:space="preserve">Delay and Seaders, 1963 Umpque </t>
  </si>
  <si>
    <t>study</t>
  </si>
  <si>
    <t>evap factor</t>
  </si>
  <si>
    <t>slope ft/mile</t>
  </si>
  <si>
    <t>1 = 5x + b</t>
  </si>
  <si>
    <t>1.7 = 27x + b</t>
  </si>
  <si>
    <t>b=1-5x</t>
  </si>
  <si>
    <t>b=1.7-27x</t>
  </si>
  <si>
    <t>1-5x=1.7-27x</t>
  </si>
  <si>
    <t>22x=.7</t>
  </si>
  <si>
    <t>x=.7/22</t>
  </si>
  <si>
    <t>b=1-5*.7/22</t>
  </si>
  <si>
    <t>m</t>
  </si>
  <si>
    <t>b</t>
  </si>
  <si>
    <t>R</t>
  </si>
  <si>
    <t>slope ft/ft</t>
  </si>
  <si>
    <t xml:space="preserve">Livingston. 2008 Arkansas (JMR-SL) </t>
  </si>
  <si>
    <t>Livingston. 2011 Arkansas (PR-JMR)</t>
  </si>
  <si>
    <t>10 / 5-6</t>
  </si>
  <si>
    <t>1.1 / 1.0</t>
  </si>
  <si>
    <t>Water evaporation using standard 1.05 * Etos with the statewide ET dataset generally / on average / shows somewhat lower evaporation that what livingston came up with using pan data - so slightly higher evap factors might be appropriate</t>
  </si>
  <si>
    <t>calc of new evap factors:</t>
  </si>
  <si>
    <t>evapfactor</t>
  </si>
  <si>
    <t>assuming 1.0 for WD67 (vs Livingston 0.9)</t>
  </si>
  <si>
    <t xml:space="preserve">River evaporation rate, in cfs per river mile per foot of river width, for indicated day - THIS IS OLD AND IS NOW REPLACED WITH STATEWIDE ET DATASET ON GRIDPOINT DEFINED BY EACH SUBREACH X,Y </t>
  </si>
  <si>
    <t>muskingum</t>
  </si>
  <si>
    <t>00194349</t>
  </si>
  <si>
    <t>Catlin Timpas Creek Aug Station</t>
  </si>
  <si>
    <t>Timpas Creek near Swink</t>
  </si>
  <si>
    <t>Timpas Creek Arkansas River Confluence</t>
  </si>
  <si>
    <t>CATAGTCO</t>
  </si>
  <si>
    <t>Comments</t>
  </si>
  <si>
    <t>Div2 assesses a 1.25% transit loss for releases from Timpas Creek aug station to mainstem</t>
  </si>
  <si>
    <t>evapfactor=0 to not add evap loss on top of assessed TL</t>
  </si>
  <si>
    <t>need real wdid for timpas creek confluence</t>
  </si>
  <si>
    <t>need real wdid for crooked arroyo confluence</t>
  </si>
  <si>
    <t>Crooked Arroyo Arkansas River Confluence</t>
  </si>
  <si>
    <t>Div2 assesses a 0.95% transit loss for releases from Crooked Creek aug station to mainstem</t>
  </si>
  <si>
    <t>should probably stub out</t>
  </si>
  <si>
    <t>URFThreshold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</si>
</sst>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quotePrefix="1"/>
    <xf numFmtId="0" fontId="0" fillId="0" borderId="1" xfId="0" quotePrefix="1" applyBorder="1"/>
    <xf numFmtId="1" fontId="0" fillId="0" borderId="0" xfId="0" applyNumberFormat="1" applyFill="1" applyBorder="1"/>
    <xf numFmtId="0" fontId="0" fillId="0" borderId="1" xfId="0" applyNumberFormat="1" applyBorder="1"/>
    <xf numFmtId="0" fontId="0" fillId="0" borderId="0" xfId="0" applyNumberFormat="1" applyFill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Border="1"/>
    <xf numFmtId="0" fontId="4" fillId="0" borderId="0" xfId="0" applyFont="1"/>
    <xf numFmtId="0" fontId="0" fillId="0" borderId="2" xfId="0" quotePrefix="1" applyBorder="1"/>
    <xf numFmtId="0" fontId="0" fillId="0" borderId="2" xfId="0" applyFill="1" applyBorder="1"/>
  </cellXfs>
  <cellStyles count="4">
    <cellStyle name="Normal" xfId="0" builtinId="0"/>
    <cellStyle name="Normal 2" xfId="3"/>
    <cellStyle name="Normal 5" xfId="1"/>
    <cellStyle name="Normal 5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8"/>
  <sheetViews>
    <sheetView tabSelected="1" workbookViewId="0">
      <pane xSplit="9" ySplit="1" topLeftCell="AI2" activePane="bottomRight" state="frozen"/>
      <selection pane="topRight" activeCell="E1" sqref="E1"/>
      <selection pane="bottomLeft" activeCell="A2" sqref="A2"/>
      <selection pane="bottomRight" activeCell="AQ1" sqref="AQ1"/>
    </sheetView>
  </sheetViews>
  <sheetFormatPr defaultRowHeight="15" x14ac:dyDescent="0.25"/>
  <cols>
    <col min="1" max="1" width="2.5703125" customWidth="1"/>
    <col min="2" max="2" width="4" bestFit="1" customWidth="1"/>
    <col min="3" max="3" width="3.85546875" customWidth="1"/>
    <col min="4" max="4" width="4.28515625" customWidth="1"/>
    <col min="5" max="5" width="5.28515625" customWidth="1"/>
    <col min="7" max="7" width="27.42578125" customWidth="1"/>
    <col min="8" max="8" width="11.28515625" style="2" bestFit="1" customWidth="1"/>
    <col min="9" max="9" width="40.5703125" bestFit="1" customWidth="1"/>
    <col min="10" max="10" width="7.5703125" bestFit="1" customWidth="1"/>
    <col min="11" max="11" width="9" customWidth="1"/>
    <col min="12" max="12" width="11.28515625" bestFit="1" customWidth="1"/>
    <col min="13" max="13" width="11.28515625" customWidth="1"/>
    <col min="14" max="16" width="5.85546875" customWidth="1"/>
    <col min="17" max="17" width="4.28515625" style="29" customWidth="1"/>
    <col min="18" max="19" width="5.28515625" customWidth="1"/>
    <col min="20" max="22" width="7.5703125" customWidth="1"/>
    <col min="23" max="24" width="6.28515625" style="1" customWidth="1"/>
    <col min="25" max="25" width="8.7109375" customWidth="1"/>
    <col min="26" max="26" width="8.5703125" customWidth="1"/>
    <col min="27" max="27" width="7.140625" customWidth="1"/>
    <col min="28" max="28" width="7.5703125" customWidth="1"/>
    <col min="29" max="29" width="6.5703125" style="1" customWidth="1"/>
    <col min="30" max="30" width="7.5703125" style="29" customWidth="1"/>
    <col min="31" max="31" width="4.5703125" style="29" bestFit="1" customWidth="1"/>
    <col min="32" max="32" width="6.42578125" bestFit="1" customWidth="1"/>
    <col min="33" max="33" width="6.42578125" customWidth="1"/>
    <col min="34" max="34" width="12.28515625" bestFit="1" customWidth="1"/>
    <col min="35" max="35" width="7.140625" customWidth="1"/>
    <col min="36" max="36" width="6.7109375" customWidth="1"/>
    <col min="37" max="37" width="5.85546875" customWidth="1"/>
    <col min="38" max="39" width="11.28515625" bestFit="1" customWidth="1"/>
    <col min="40" max="40" width="5.5703125" customWidth="1"/>
    <col min="41" max="42" width="9" bestFit="1" customWidth="1"/>
    <col min="43" max="43" width="9" style="2" customWidth="1"/>
    <col min="44" max="44" width="4.7109375" customWidth="1"/>
    <col min="45" max="45" width="7.140625" bestFit="1" customWidth="1"/>
    <col min="46" max="46" width="9.28515625" style="2" bestFit="1" customWidth="1"/>
    <col min="47" max="48" width="6.28515625" customWidth="1"/>
    <col min="49" max="49" width="6.28515625" style="1" customWidth="1"/>
    <col min="50" max="50" width="6.28515625" style="14" customWidth="1"/>
  </cols>
  <sheetData>
    <row r="1" spans="1:50" s="3" customFormat="1" x14ac:dyDescent="0.25">
      <c r="A1" s="3" t="s">
        <v>6</v>
      </c>
      <c r="B1" s="3" t="s">
        <v>95</v>
      </c>
      <c r="C1" s="3" t="s">
        <v>0</v>
      </c>
      <c r="D1" s="3" t="s">
        <v>78</v>
      </c>
      <c r="E1" s="3" t="s">
        <v>93</v>
      </c>
      <c r="F1" s="4" t="s">
        <v>138</v>
      </c>
      <c r="G1" s="4" t="s">
        <v>139</v>
      </c>
      <c r="H1" s="4" t="s">
        <v>128</v>
      </c>
      <c r="I1" s="4" t="s">
        <v>129</v>
      </c>
      <c r="J1" s="4" t="s">
        <v>137</v>
      </c>
      <c r="K1" s="4"/>
      <c r="L1" s="4" t="s">
        <v>134</v>
      </c>
      <c r="M1" s="4" t="s">
        <v>135</v>
      </c>
      <c r="N1" s="4" t="s">
        <v>131</v>
      </c>
      <c r="O1" s="4" t="s">
        <v>132</v>
      </c>
      <c r="P1" s="4" t="s">
        <v>133</v>
      </c>
      <c r="Q1" s="26" t="s">
        <v>123</v>
      </c>
      <c r="R1" s="3" t="s">
        <v>130</v>
      </c>
      <c r="T1" s="3" t="s">
        <v>1</v>
      </c>
      <c r="U1" s="3" t="s">
        <v>2</v>
      </c>
      <c r="V1" s="5" t="s">
        <v>79</v>
      </c>
      <c r="W1" s="5" t="s">
        <v>96</v>
      </c>
      <c r="X1" s="5"/>
      <c r="Y1" s="3" t="s">
        <v>106</v>
      </c>
      <c r="Z1" s="3" t="s">
        <v>107</v>
      </c>
      <c r="AA1" s="5" t="s">
        <v>81</v>
      </c>
      <c r="AC1" s="5"/>
      <c r="AD1" s="5" t="s">
        <v>80</v>
      </c>
      <c r="AE1" s="26"/>
      <c r="AF1" s="5"/>
      <c r="AG1" s="5"/>
      <c r="AH1" s="3" t="s">
        <v>3</v>
      </c>
      <c r="AI1" s="3" t="s">
        <v>4</v>
      </c>
      <c r="AJ1" s="3" t="s">
        <v>5</v>
      </c>
      <c r="AK1" s="3" t="s">
        <v>167</v>
      </c>
      <c r="AL1" s="4" t="s">
        <v>73</v>
      </c>
      <c r="AM1" s="4" t="s">
        <v>74</v>
      </c>
      <c r="AN1" s="4" t="s">
        <v>168</v>
      </c>
      <c r="AO1" s="5" t="s">
        <v>75</v>
      </c>
      <c r="AP1" s="5" t="s">
        <v>76</v>
      </c>
      <c r="AQ1" s="4" t="s">
        <v>210</v>
      </c>
      <c r="AR1" s="5" t="s">
        <v>124</v>
      </c>
      <c r="AS1" s="3" t="s">
        <v>77</v>
      </c>
      <c r="AT1" s="4" t="s">
        <v>86</v>
      </c>
      <c r="AU1" s="5" t="s">
        <v>84</v>
      </c>
      <c r="AV1" s="5" t="s">
        <v>85</v>
      </c>
      <c r="AW1" s="5" t="s">
        <v>87</v>
      </c>
      <c r="AX1" s="13" t="s">
        <v>202</v>
      </c>
    </row>
    <row r="2" spans="1:50" s="6" customFormat="1" x14ac:dyDescent="0.25">
      <c r="F2" s="7"/>
      <c r="G2" s="7"/>
      <c r="H2" s="7"/>
      <c r="I2" s="7"/>
      <c r="J2" s="19"/>
      <c r="K2" s="4"/>
      <c r="L2" s="7"/>
      <c r="M2" s="7"/>
      <c r="N2" s="19"/>
      <c r="O2" s="19"/>
      <c r="P2" s="19"/>
      <c r="Q2" s="30"/>
      <c r="V2" s="19"/>
      <c r="W2" s="20"/>
      <c r="X2" s="20"/>
      <c r="Y2" s="19"/>
      <c r="Z2" s="19"/>
      <c r="AA2" s="19"/>
      <c r="AB2" s="19"/>
      <c r="AC2" s="20"/>
      <c r="AD2" s="27"/>
      <c r="AE2" s="27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25"/>
      <c r="AR2" s="19"/>
      <c r="AS2" s="19"/>
      <c r="AT2" s="19"/>
      <c r="AU2" s="19"/>
      <c r="AV2" s="19"/>
      <c r="AW2" s="20"/>
      <c r="AX2" s="19"/>
    </row>
    <row r="3" spans="1:50" s="15" customFormat="1" x14ac:dyDescent="0.25">
      <c r="A3" s="15">
        <v>2</v>
      </c>
      <c r="B3" s="15">
        <v>17</v>
      </c>
      <c r="C3" s="15">
        <v>1</v>
      </c>
      <c r="D3" s="15">
        <v>1</v>
      </c>
      <c r="E3" s="15">
        <v>1</v>
      </c>
      <c r="F3" s="16">
        <v>1403526</v>
      </c>
      <c r="G3" s="16" t="s">
        <v>94</v>
      </c>
      <c r="H3" s="16">
        <v>1400534</v>
      </c>
      <c r="I3" s="16" t="s">
        <v>92</v>
      </c>
      <c r="J3" s="16">
        <f>IF(K3="Inflow",1,IF(K3="Outflow",-1,IF(K3="Gage",0,"")))</f>
        <v>-1</v>
      </c>
      <c r="K3" s="2" t="s">
        <v>33</v>
      </c>
      <c r="L3" s="16"/>
      <c r="M3" s="16"/>
      <c r="N3" s="16">
        <v>0</v>
      </c>
      <c r="O3" s="16">
        <v>0</v>
      </c>
      <c r="P3" s="16">
        <v>0</v>
      </c>
      <c r="Q3" s="28">
        <v>1</v>
      </c>
      <c r="T3" s="15">
        <f t="shared" ref="T3:U4" si="0">AA3</f>
        <v>0.2</v>
      </c>
      <c r="U3" s="15">
        <f t="shared" si="0"/>
        <v>0.9</v>
      </c>
      <c r="V3" s="17">
        <v>0.67</v>
      </c>
      <c r="W3" s="17">
        <f>1*V3*(SUM(AA$3:AA$4)/SUM(AA$3:AA$15))</f>
        <v>8.7391304347826104E-3</v>
      </c>
      <c r="X3" s="17"/>
      <c r="Y3" s="15" t="s">
        <v>109</v>
      </c>
      <c r="AA3" s="15">
        <v>0.2</v>
      </c>
      <c r="AB3" s="15">
        <v>0.9</v>
      </c>
      <c r="AC3" s="17">
        <f>AA3/(SUM(AA$3:AA$4))</f>
        <v>0.66666666666666663</v>
      </c>
      <c r="AD3" s="28"/>
      <c r="AE3" s="28"/>
      <c r="AF3" s="17">
        <v>0</v>
      </c>
      <c r="AG3" s="17"/>
      <c r="AH3" s="15">
        <v>10000</v>
      </c>
      <c r="AI3" s="15">
        <v>0.15</v>
      </c>
      <c r="AJ3" s="15">
        <v>750</v>
      </c>
      <c r="AK3" s="15">
        <v>1</v>
      </c>
      <c r="AL3" s="16">
        <v>32</v>
      </c>
      <c r="AM3" s="17">
        <v>0.56000000000000005</v>
      </c>
      <c r="AN3" s="16">
        <v>1</v>
      </c>
      <c r="AO3" s="17">
        <v>0.83</v>
      </c>
      <c r="AP3" s="17">
        <v>0.21</v>
      </c>
      <c r="AQ3" s="16">
        <v>500</v>
      </c>
      <c r="AR3" s="16">
        <v>17</v>
      </c>
      <c r="AS3" s="15">
        <v>10</v>
      </c>
      <c r="AT3" s="16">
        <f>AT4</f>
        <v>-999</v>
      </c>
      <c r="AU3" s="17">
        <v>0.31</v>
      </c>
      <c r="AV3" s="17">
        <v>1.32</v>
      </c>
      <c r="AW3" s="17">
        <v>0</v>
      </c>
      <c r="AX3" s="18"/>
    </row>
    <row r="4" spans="1:50" s="3" customFormat="1" x14ac:dyDescent="0.25">
      <c r="A4" s="3">
        <v>2</v>
      </c>
      <c r="B4" s="3">
        <v>17</v>
      </c>
      <c r="C4" s="3">
        <v>1</v>
      </c>
      <c r="D4" s="3">
        <v>2</v>
      </c>
      <c r="E4" s="3">
        <f>E3+1</f>
        <v>2</v>
      </c>
      <c r="F4" s="4">
        <f>H3</f>
        <v>1400534</v>
      </c>
      <c r="G4" s="4" t="str">
        <f>I3</f>
        <v>Hamp-Bell Ditch</v>
      </c>
      <c r="H4" s="4">
        <v>1409500</v>
      </c>
      <c r="I4" s="4" t="s">
        <v>14</v>
      </c>
      <c r="J4" s="4">
        <f t="shared" ref="J4:J62" si="1">IF(K4="Inflow",1,IF(K4="Outflow",-1,IF(K4="Gage",0,"")))</f>
        <v>-1</v>
      </c>
      <c r="K4" s="4" t="s">
        <v>33</v>
      </c>
      <c r="L4" s="4"/>
      <c r="M4" s="4"/>
      <c r="N4" s="4">
        <v>0</v>
      </c>
      <c r="O4" s="4">
        <v>0</v>
      </c>
      <c r="P4" s="4">
        <v>0</v>
      </c>
      <c r="Q4" s="26"/>
      <c r="T4" s="3">
        <f t="shared" si="0"/>
        <v>0.1</v>
      </c>
      <c r="U4" s="3">
        <f t="shared" si="0"/>
        <v>0.9</v>
      </c>
      <c r="V4" s="5">
        <v>0.33</v>
      </c>
      <c r="W4" s="5">
        <f>1*V4*(SUM(AA$3:AA$4)/SUM(AA$3:AA$15))</f>
        <v>4.3043478260869576E-3</v>
      </c>
      <c r="X4" s="5"/>
      <c r="Y4" s="3" t="s">
        <v>109</v>
      </c>
      <c r="AA4" s="3">
        <v>0.1</v>
      </c>
      <c r="AB4" s="3">
        <v>0.9</v>
      </c>
      <c r="AC4" s="5">
        <f>AA4/(SUM(AA$3:AA$4))</f>
        <v>0.33333333333333331</v>
      </c>
      <c r="AD4" s="26"/>
      <c r="AE4" s="26"/>
      <c r="AF4" s="5">
        <v>0</v>
      </c>
      <c r="AG4" s="5"/>
      <c r="AH4" s="3">
        <v>10000</v>
      </c>
      <c r="AI4" s="3">
        <v>0.15</v>
      </c>
      <c r="AJ4" s="3">
        <v>750</v>
      </c>
      <c r="AK4" s="3">
        <v>1</v>
      </c>
      <c r="AL4" s="4">
        <v>32</v>
      </c>
      <c r="AM4" s="5">
        <v>0.56000000000000005</v>
      </c>
      <c r="AN4" s="4">
        <v>1</v>
      </c>
      <c r="AO4" s="5">
        <v>0.83</v>
      </c>
      <c r="AP4" s="5">
        <v>0.21</v>
      </c>
      <c r="AQ4" s="4">
        <v>500</v>
      </c>
      <c r="AR4" s="4">
        <v>17</v>
      </c>
      <c r="AS4" s="3">
        <v>10</v>
      </c>
      <c r="AT4" s="4">
        <v>-999</v>
      </c>
      <c r="AU4" s="5">
        <v>0.31</v>
      </c>
      <c r="AV4" s="5">
        <v>1.32</v>
      </c>
      <c r="AW4" s="5">
        <v>0</v>
      </c>
      <c r="AX4" s="13"/>
    </row>
    <row r="5" spans="1:50" x14ac:dyDescent="0.25">
      <c r="A5">
        <v>2</v>
      </c>
      <c r="B5">
        <v>17</v>
      </c>
      <c r="C5">
        <f>C4+1</f>
        <v>2</v>
      </c>
      <c r="D5">
        <v>1</v>
      </c>
      <c r="E5">
        <f t="shared" ref="D5:E20" si="2">E4+1</f>
        <v>3</v>
      </c>
      <c r="F5" s="2">
        <f t="shared" ref="F5:G43" si="3">H4</f>
        <v>1409500</v>
      </c>
      <c r="G5" s="1" t="str">
        <f t="shared" si="3"/>
        <v>Arkansas River above Pueblo</v>
      </c>
      <c r="H5" s="2">
        <v>1403507</v>
      </c>
      <c r="I5" s="1" t="s">
        <v>22</v>
      </c>
      <c r="J5" s="2">
        <f t="shared" si="1"/>
        <v>0</v>
      </c>
      <c r="K5" s="2" t="s">
        <v>34</v>
      </c>
      <c r="L5" s="1" t="s">
        <v>7</v>
      </c>
      <c r="M5" s="1" t="s">
        <v>88</v>
      </c>
      <c r="N5" s="2">
        <v>161</v>
      </c>
      <c r="O5" s="2">
        <v>471</v>
      </c>
      <c r="P5" s="2">
        <v>656</v>
      </c>
      <c r="T5" s="14">
        <f>ROUND(AA5,1)</f>
        <v>1</v>
      </c>
      <c r="U5">
        <f t="shared" ref="U5:U43" si="4">ROUND(AB5,1)</f>
        <v>0.9</v>
      </c>
      <c r="V5" s="1">
        <f>ROUND(AC5,2)</f>
        <v>0.04</v>
      </c>
      <c r="W5" s="1">
        <f>1*V5*(SUM(AA$5:AA$15)/SUM(AA$3:AA$15))</f>
        <v>3.947826086956522E-2</v>
      </c>
      <c r="Y5" s="14" t="s">
        <v>109</v>
      </c>
      <c r="Z5" s="14"/>
      <c r="AA5" s="14">
        <v>1</v>
      </c>
      <c r="AB5">
        <v>0.9</v>
      </c>
      <c r="AC5" s="1">
        <f t="shared" ref="AC5:AC15" si="5">AA5/(SUM(AA$5:AA$15))</f>
        <v>4.4052863436123343E-2</v>
      </c>
      <c r="AD5" s="29">
        <v>1</v>
      </c>
      <c r="AE5" s="29">
        <v>0.9</v>
      </c>
      <c r="AF5">
        <v>0.04</v>
      </c>
      <c r="AH5">
        <v>10000</v>
      </c>
      <c r="AI5">
        <v>0.15</v>
      </c>
      <c r="AJ5">
        <v>750</v>
      </c>
      <c r="AK5">
        <v>1</v>
      </c>
      <c r="AL5" s="2">
        <v>32</v>
      </c>
      <c r="AM5" s="1">
        <v>0.56000000000000005</v>
      </c>
      <c r="AN5" s="2">
        <v>1</v>
      </c>
      <c r="AO5" s="1">
        <v>0.83</v>
      </c>
      <c r="AP5" s="1">
        <v>0.21</v>
      </c>
      <c r="AQ5" s="2">
        <v>500</v>
      </c>
      <c r="AR5" s="2">
        <v>17</v>
      </c>
      <c r="AS5">
        <v>10</v>
      </c>
      <c r="AT5" s="2">
        <v>110</v>
      </c>
      <c r="AU5" s="1">
        <v>0.31</v>
      </c>
      <c r="AV5" s="1">
        <v>1.32</v>
      </c>
      <c r="AW5" s="1">
        <v>1.17</v>
      </c>
    </row>
    <row r="6" spans="1:50" x14ac:dyDescent="0.25">
      <c r="A6">
        <f>A5</f>
        <v>2</v>
      </c>
      <c r="B6">
        <v>17</v>
      </c>
      <c r="C6">
        <f>C5</f>
        <v>2</v>
      </c>
      <c r="D6">
        <f t="shared" si="2"/>
        <v>2</v>
      </c>
      <c r="E6">
        <f t="shared" si="2"/>
        <v>4</v>
      </c>
      <c r="F6" s="2">
        <f t="shared" si="3"/>
        <v>1403507</v>
      </c>
      <c r="G6" s="1" t="str">
        <f t="shared" si="3"/>
        <v>Fish Hatchery Outfall</v>
      </c>
      <c r="H6" s="2">
        <v>1400618</v>
      </c>
      <c r="I6" s="1" t="s">
        <v>23</v>
      </c>
      <c r="J6" s="2">
        <f t="shared" si="1"/>
        <v>1</v>
      </c>
      <c r="K6" s="2" t="s">
        <v>32</v>
      </c>
      <c r="L6" s="2"/>
      <c r="M6" s="2"/>
      <c r="N6" s="2">
        <v>35</v>
      </c>
      <c r="O6" s="2">
        <v>27</v>
      </c>
      <c r="P6" s="2">
        <v>21</v>
      </c>
      <c r="T6">
        <f t="shared" ref="T6:T43" si="6">ROUND(AA6,1)</f>
        <v>0.5</v>
      </c>
      <c r="U6">
        <f t="shared" si="4"/>
        <v>0.4</v>
      </c>
      <c r="V6" s="1">
        <f t="shared" ref="V6:V15" si="7">ROUND(AC6,2)</f>
        <v>0.02</v>
      </c>
      <c r="W6" s="1">
        <f t="shared" ref="W6:W15" si="8">1*V6*(SUM(AA$5:AA$15)/SUM(AA$3:AA$15))</f>
        <v>1.973913043478261E-2</v>
      </c>
      <c r="Y6" t="s">
        <v>109</v>
      </c>
      <c r="Z6">
        <v>201.43</v>
      </c>
      <c r="AA6">
        <v>0.5</v>
      </c>
      <c r="AB6">
        <v>0.4</v>
      </c>
      <c r="AC6" s="1">
        <f t="shared" si="5"/>
        <v>2.2026431718061672E-2</v>
      </c>
      <c r="AD6" s="29">
        <v>0.5</v>
      </c>
      <c r="AE6" s="29">
        <v>0.4</v>
      </c>
      <c r="AF6">
        <v>0.02</v>
      </c>
      <c r="AH6">
        <v>10000</v>
      </c>
      <c r="AI6">
        <v>0.15</v>
      </c>
      <c r="AJ6">
        <v>750</v>
      </c>
      <c r="AK6">
        <v>1</v>
      </c>
      <c r="AL6" s="2">
        <v>32</v>
      </c>
      <c r="AM6" s="1">
        <v>0.56000000000000005</v>
      </c>
      <c r="AN6" s="2">
        <v>1</v>
      </c>
      <c r="AO6" s="1">
        <v>0.83</v>
      </c>
      <c r="AP6" s="1">
        <v>0.21</v>
      </c>
      <c r="AQ6" s="2">
        <v>500</v>
      </c>
      <c r="AR6" s="2">
        <v>17</v>
      </c>
      <c r="AS6">
        <v>20</v>
      </c>
      <c r="AT6" s="2">
        <v>110</v>
      </c>
      <c r="AU6" s="1">
        <v>0.31</v>
      </c>
      <c r="AV6" s="1">
        <v>1.32</v>
      </c>
      <c r="AW6" s="1">
        <v>1.17</v>
      </c>
    </row>
    <row r="7" spans="1:50" x14ac:dyDescent="0.25">
      <c r="A7">
        <f t="shared" ref="A7:C22" si="9">A6</f>
        <v>2</v>
      </c>
      <c r="B7">
        <v>17</v>
      </c>
      <c r="C7">
        <f t="shared" ref="C7:C15" si="10">C6</f>
        <v>2</v>
      </c>
      <c r="D7">
        <f t="shared" si="2"/>
        <v>3</v>
      </c>
      <c r="E7">
        <f t="shared" si="2"/>
        <v>5</v>
      </c>
      <c r="F7" s="2">
        <f t="shared" si="3"/>
        <v>1400618</v>
      </c>
      <c r="G7" s="1" t="str">
        <f t="shared" si="3"/>
        <v>Comanche Power Plant</v>
      </c>
      <c r="H7" s="2">
        <v>1403694</v>
      </c>
      <c r="I7" s="1" t="s">
        <v>97</v>
      </c>
      <c r="J7" s="2">
        <f t="shared" si="1"/>
        <v>-1</v>
      </c>
      <c r="K7" s="2" t="s">
        <v>33</v>
      </c>
      <c r="L7" s="2"/>
      <c r="M7" s="2"/>
      <c r="N7" s="2">
        <v>15</v>
      </c>
      <c r="O7" s="2">
        <v>13</v>
      </c>
      <c r="P7" s="2">
        <v>14</v>
      </c>
      <c r="T7">
        <f t="shared" si="6"/>
        <v>0.8</v>
      </c>
      <c r="U7">
        <f t="shared" si="4"/>
        <v>0.6</v>
      </c>
      <c r="V7" s="1">
        <f t="shared" si="7"/>
        <v>0.04</v>
      </c>
      <c r="W7" s="1">
        <f t="shared" si="8"/>
        <v>3.947826086956522E-2</v>
      </c>
      <c r="Y7" t="s">
        <v>109</v>
      </c>
      <c r="Z7">
        <f>Z9+2.73</f>
        <v>200.59</v>
      </c>
      <c r="AA7" s="1">
        <f>(Z6-Z7)/(Z6-Z8)*AD8</f>
        <v>0.80590405904059137</v>
      </c>
      <c r="AB7" s="1">
        <f>(Z6-Z7)/(Z6-Z8)*AE8</f>
        <v>0.58892988929889367</v>
      </c>
      <c r="AC7" s="1">
        <f t="shared" si="5"/>
        <v>3.5502381455532653E-2</v>
      </c>
      <c r="AH7">
        <v>10000</v>
      </c>
      <c r="AI7">
        <v>0.15</v>
      </c>
      <c r="AJ7">
        <v>750</v>
      </c>
      <c r="AK7">
        <v>1</v>
      </c>
      <c r="AL7" s="2">
        <v>32</v>
      </c>
      <c r="AM7" s="1">
        <v>0.56000000000000005</v>
      </c>
      <c r="AN7" s="2">
        <v>1</v>
      </c>
      <c r="AO7" s="1">
        <v>0.83</v>
      </c>
      <c r="AP7" s="1">
        <v>0.21</v>
      </c>
      <c r="AQ7" s="2">
        <v>500</v>
      </c>
      <c r="AR7" s="2">
        <v>17</v>
      </c>
      <c r="AS7">
        <v>20</v>
      </c>
      <c r="AT7" s="2">
        <v>110</v>
      </c>
      <c r="AU7" s="1">
        <v>0.31</v>
      </c>
      <c r="AV7" s="1">
        <v>1.32</v>
      </c>
      <c r="AW7" s="1">
        <v>1.17</v>
      </c>
    </row>
    <row r="8" spans="1:50" x14ac:dyDescent="0.25">
      <c r="A8">
        <f t="shared" si="9"/>
        <v>2</v>
      </c>
      <c r="B8">
        <v>17</v>
      </c>
      <c r="C8">
        <f t="shared" si="10"/>
        <v>2</v>
      </c>
      <c r="D8">
        <f t="shared" si="2"/>
        <v>4</v>
      </c>
      <c r="E8">
        <f t="shared" si="2"/>
        <v>6</v>
      </c>
      <c r="F8" s="2">
        <f t="shared" si="3"/>
        <v>1403694</v>
      </c>
      <c r="G8" s="1" t="str">
        <f t="shared" si="3"/>
        <v>Transit Mix-West Pueblo Pit</v>
      </c>
      <c r="H8" s="2">
        <v>1400589</v>
      </c>
      <c r="I8" s="1" t="s">
        <v>24</v>
      </c>
      <c r="J8" s="2">
        <f t="shared" si="1"/>
        <v>-1</v>
      </c>
      <c r="K8" s="2" t="s">
        <v>33</v>
      </c>
      <c r="L8" s="2"/>
      <c r="M8" s="2"/>
      <c r="N8" s="2">
        <v>0</v>
      </c>
      <c r="O8" s="2">
        <v>0</v>
      </c>
      <c r="P8" s="2">
        <v>0</v>
      </c>
      <c r="T8">
        <f t="shared" si="6"/>
        <v>1.8</v>
      </c>
      <c r="U8">
        <f t="shared" si="4"/>
        <v>1.3</v>
      </c>
      <c r="V8" s="1">
        <f t="shared" si="7"/>
        <v>0.08</v>
      </c>
      <c r="W8" s="1">
        <f t="shared" si="8"/>
        <v>7.8956521739130439E-2</v>
      </c>
      <c r="Y8" t="s">
        <v>109</v>
      </c>
      <c r="Z8">
        <v>198.72</v>
      </c>
      <c r="AA8" s="1">
        <f>(Z7-Z8)/(Z6-Z8)*AD8</f>
        <v>1.7940959409594088</v>
      </c>
      <c r="AB8" s="1">
        <f>(Z7-Z8)/(Z6-Z8)*AE8</f>
        <v>1.3110701107011062</v>
      </c>
      <c r="AC8" s="1">
        <f t="shared" si="5"/>
        <v>7.903506347838804E-2</v>
      </c>
      <c r="AD8" s="29">
        <v>2.6</v>
      </c>
      <c r="AE8" s="29">
        <v>1.9</v>
      </c>
      <c r="AF8">
        <v>0.11</v>
      </c>
      <c r="AH8">
        <v>10000</v>
      </c>
      <c r="AI8">
        <v>0.15</v>
      </c>
      <c r="AJ8">
        <v>750</v>
      </c>
      <c r="AK8">
        <v>1</v>
      </c>
      <c r="AL8" s="2">
        <v>32</v>
      </c>
      <c r="AM8" s="1">
        <v>0.56000000000000005</v>
      </c>
      <c r="AN8" s="2">
        <v>1</v>
      </c>
      <c r="AO8" s="1">
        <v>0.83</v>
      </c>
      <c r="AP8" s="1">
        <v>0.21</v>
      </c>
      <c r="AQ8" s="2">
        <v>500</v>
      </c>
      <c r="AR8" s="2">
        <v>17</v>
      </c>
      <c r="AS8">
        <v>20</v>
      </c>
      <c r="AT8" s="2">
        <v>110</v>
      </c>
      <c r="AU8" s="1">
        <v>0.31</v>
      </c>
      <c r="AV8" s="1">
        <v>1.32</v>
      </c>
      <c r="AW8" s="1">
        <v>1.17</v>
      </c>
    </row>
    <row r="9" spans="1:50" x14ac:dyDescent="0.25">
      <c r="A9">
        <f t="shared" si="9"/>
        <v>2</v>
      </c>
      <c r="B9">
        <v>17</v>
      </c>
      <c r="C9">
        <f t="shared" si="10"/>
        <v>2</v>
      </c>
      <c r="D9">
        <f t="shared" si="2"/>
        <v>5</v>
      </c>
      <c r="E9">
        <f t="shared" si="2"/>
        <v>7</v>
      </c>
      <c r="F9" s="2">
        <f t="shared" si="3"/>
        <v>1400589</v>
      </c>
      <c r="G9" s="1" t="str">
        <f t="shared" si="3"/>
        <v>Northside Water Works</v>
      </c>
      <c r="H9" s="2">
        <v>1400536</v>
      </c>
      <c r="I9" s="1" t="s">
        <v>98</v>
      </c>
      <c r="J9" s="2">
        <f t="shared" si="1"/>
        <v>-1</v>
      </c>
      <c r="K9" s="1" t="s">
        <v>33</v>
      </c>
      <c r="L9" s="1"/>
      <c r="M9" s="1"/>
      <c r="N9" s="2">
        <v>51</v>
      </c>
      <c r="O9" s="2">
        <v>14</v>
      </c>
      <c r="P9" s="2">
        <v>26</v>
      </c>
      <c r="T9">
        <f t="shared" si="6"/>
        <v>0.8</v>
      </c>
      <c r="U9">
        <f t="shared" si="4"/>
        <v>0.6</v>
      </c>
      <c r="V9" s="1">
        <f t="shared" si="7"/>
        <v>0.03</v>
      </c>
      <c r="W9" s="1">
        <f t="shared" si="8"/>
        <v>2.9608695652173913E-2</v>
      </c>
      <c r="Y9" t="s">
        <v>109</v>
      </c>
      <c r="Z9">
        <v>197.86</v>
      </c>
      <c r="AA9" s="1">
        <f>(Z8-Z9)/(Z8-Z10)*AD10</f>
        <v>0.78594024604568102</v>
      </c>
      <c r="AB9" s="1">
        <f>(Z8-Z9)/(Z8-Z10)*AE10</f>
        <v>0.57434094903338229</v>
      </c>
      <c r="AC9" s="1">
        <f t="shared" si="5"/>
        <v>3.4622918328003564E-2</v>
      </c>
      <c r="AH9">
        <v>10000</v>
      </c>
      <c r="AI9">
        <v>0.15</v>
      </c>
      <c r="AJ9">
        <v>750</v>
      </c>
      <c r="AK9">
        <v>1</v>
      </c>
      <c r="AL9" s="2">
        <v>32</v>
      </c>
      <c r="AM9" s="1">
        <v>0.56000000000000005</v>
      </c>
      <c r="AN9" s="2">
        <v>1</v>
      </c>
      <c r="AO9" s="1">
        <v>0.83</v>
      </c>
      <c r="AP9" s="1">
        <v>0.21</v>
      </c>
      <c r="AQ9" s="2">
        <v>500</v>
      </c>
      <c r="AR9" s="2">
        <v>17</v>
      </c>
      <c r="AS9">
        <v>20</v>
      </c>
      <c r="AT9" s="2">
        <v>110</v>
      </c>
      <c r="AU9" s="1">
        <v>0.31</v>
      </c>
      <c r="AV9" s="1">
        <v>1.32</v>
      </c>
      <c r="AW9" s="1">
        <v>1.17</v>
      </c>
    </row>
    <row r="10" spans="1:50" x14ac:dyDescent="0.25">
      <c r="A10">
        <f t="shared" si="9"/>
        <v>2</v>
      </c>
      <c r="B10">
        <v>17</v>
      </c>
      <c r="C10">
        <f t="shared" si="10"/>
        <v>2</v>
      </c>
      <c r="D10">
        <f t="shared" si="2"/>
        <v>6</v>
      </c>
      <c r="E10">
        <f t="shared" si="2"/>
        <v>8</v>
      </c>
      <c r="F10" s="2">
        <f t="shared" si="3"/>
        <v>1400536</v>
      </c>
      <c r="G10" s="1" t="str">
        <f t="shared" si="3"/>
        <v>Riverside Dairy Ditch</v>
      </c>
      <c r="H10" s="2">
        <v>1400800</v>
      </c>
      <c r="I10" s="1" t="s">
        <v>25</v>
      </c>
      <c r="J10" s="2">
        <f t="shared" si="1"/>
        <v>-1</v>
      </c>
      <c r="K10" s="2" t="s">
        <v>33</v>
      </c>
      <c r="L10" s="2"/>
      <c r="M10" s="2"/>
      <c r="N10" s="2">
        <v>0</v>
      </c>
      <c r="O10" s="2">
        <v>0</v>
      </c>
      <c r="P10" s="2">
        <v>0</v>
      </c>
      <c r="R10" s="2">
        <v>10</v>
      </c>
      <c r="S10" s="2"/>
      <c r="T10">
        <f t="shared" si="6"/>
        <v>4.4000000000000004</v>
      </c>
      <c r="U10">
        <f t="shared" si="4"/>
        <v>3.2</v>
      </c>
      <c r="V10" s="1">
        <f t="shared" si="7"/>
        <v>0.19</v>
      </c>
      <c r="W10" s="1">
        <f t="shared" si="8"/>
        <v>0.18752173913043479</v>
      </c>
      <c r="Y10" t="s">
        <v>109</v>
      </c>
      <c r="Z10">
        <f>Z9-4.83</f>
        <v>193.03</v>
      </c>
      <c r="AA10" s="1">
        <f>(Z9-Z10)/(Z8-Z10)*AD10</f>
        <v>4.4140597539543194</v>
      </c>
      <c r="AB10" s="1">
        <f>(Z9-Z10)/(Z8-Z10)*AE10</f>
        <v>3.2256590509666174</v>
      </c>
      <c r="AC10" s="1">
        <f t="shared" si="5"/>
        <v>0.19445197153983784</v>
      </c>
      <c r="AD10" s="29">
        <v>5.2</v>
      </c>
      <c r="AE10" s="29">
        <v>3.8</v>
      </c>
      <c r="AF10">
        <v>0.23</v>
      </c>
      <c r="AH10">
        <v>10000</v>
      </c>
      <c r="AI10">
        <v>0.15</v>
      </c>
      <c r="AJ10">
        <v>750</v>
      </c>
      <c r="AK10">
        <v>1</v>
      </c>
      <c r="AL10" s="2">
        <v>32</v>
      </c>
      <c r="AM10" s="1">
        <v>0.56000000000000005</v>
      </c>
      <c r="AN10" s="2">
        <v>1</v>
      </c>
      <c r="AO10" s="1">
        <v>0.83</v>
      </c>
      <c r="AP10" s="1">
        <v>0.21</v>
      </c>
      <c r="AQ10" s="2">
        <v>500</v>
      </c>
      <c r="AR10" s="2">
        <v>17</v>
      </c>
      <c r="AS10">
        <v>20</v>
      </c>
      <c r="AT10" s="2">
        <v>110</v>
      </c>
      <c r="AU10" s="1">
        <v>0.31</v>
      </c>
      <c r="AV10" s="1">
        <v>1.32</v>
      </c>
      <c r="AW10" s="1">
        <v>1.17</v>
      </c>
    </row>
    <row r="11" spans="1:50" x14ac:dyDescent="0.25">
      <c r="A11">
        <f t="shared" si="9"/>
        <v>2</v>
      </c>
      <c r="B11">
        <v>17</v>
      </c>
      <c r="C11">
        <f t="shared" si="10"/>
        <v>2</v>
      </c>
      <c r="D11">
        <f t="shared" si="2"/>
        <v>7</v>
      </c>
      <c r="E11">
        <f t="shared" si="2"/>
        <v>9</v>
      </c>
      <c r="F11" s="2">
        <v>1400800</v>
      </c>
      <c r="G11" s="1" t="str">
        <f t="shared" si="3"/>
        <v>Fountain Creek</v>
      </c>
      <c r="H11" s="2">
        <v>1400620</v>
      </c>
      <c r="I11" s="1" t="s">
        <v>67</v>
      </c>
      <c r="J11" s="2">
        <f t="shared" si="1"/>
        <v>1</v>
      </c>
      <c r="K11" t="s">
        <v>32</v>
      </c>
      <c r="N11" s="2">
        <v>49</v>
      </c>
      <c r="O11" s="2">
        <v>133</v>
      </c>
      <c r="P11" s="2">
        <v>296</v>
      </c>
      <c r="R11" s="2"/>
      <c r="T11">
        <f t="shared" si="6"/>
        <v>0.3</v>
      </c>
      <c r="U11">
        <f t="shared" si="4"/>
        <v>0.2</v>
      </c>
      <c r="V11" s="1">
        <f t="shared" si="7"/>
        <v>0.02</v>
      </c>
      <c r="W11" s="1">
        <f t="shared" si="8"/>
        <v>1.973913043478261E-2</v>
      </c>
      <c r="Y11" t="s">
        <v>109</v>
      </c>
      <c r="Z11" s="1">
        <v>192</v>
      </c>
      <c r="AA11" s="1">
        <f>(Z10-Z11)/(Z10-Z12)*AD12</f>
        <v>0.3417061611374389</v>
      </c>
      <c r="AB11" s="1">
        <f>(Z10-Z11)/(Z10-Z12)*AE12</f>
        <v>0.24407582938388495</v>
      </c>
      <c r="AC11" s="1">
        <f t="shared" si="5"/>
        <v>1.5053134851869553E-2</v>
      </c>
      <c r="AH11">
        <v>10000</v>
      </c>
      <c r="AI11">
        <v>0.15</v>
      </c>
      <c r="AJ11">
        <v>750</v>
      </c>
      <c r="AK11">
        <v>1</v>
      </c>
      <c r="AL11" s="2">
        <v>32</v>
      </c>
      <c r="AM11" s="1">
        <v>0.56000000000000005</v>
      </c>
      <c r="AN11" s="2">
        <v>1</v>
      </c>
      <c r="AO11" s="1">
        <v>0.83</v>
      </c>
      <c r="AP11" s="1">
        <v>0.21</v>
      </c>
      <c r="AQ11" s="2">
        <v>500</v>
      </c>
      <c r="AR11" s="2">
        <v>17</v>
      </c>
      <c r="AS11">
        <v>20</v>
      </c>
      <c r="AT11" s="2">
        <v>110</v>
      </c>
      <c r="AU11" s="1">
        <v>0.31</v>
      </c>
      <c r="AV11" s="1">
        <v>1.32</v>
      </c>
      <c r="AW11" s="1">
        <v>1.17</v>
      </c>
    </row>
    <row r="12" spans="1:50" x14ac:dyDescent="0.25">
      <c r="A12">
        <f t="shared" si="9"/>
        <v>2</v>
      </c>
      <c r="B12">
        <v>17</v>
      </c>
      <c r="C12">
        <f t="shared" si="10"/>
        <v>2</v>
      </c>
      <c r="D12">
        <f t="shared" si="2"/>
        <v>8</v>
      </c>
      <c r="E12">
        <f t="shared" si="2"/>
        <v>10</v>
      </c>
      <c r="F12" s="2">
        <f t="shared" si="3"/>
        <v>1400620</v>
      </c>
      <c r="G12" s="1" t="str">
        <f t="shared" si="3"/>
        <v>Pueblo Sewage Treatment Plant Outfall</v>
      </c>
      <c r="H12" s="2">
        <v>1409508</v>
      </c>
      <c r="I12" s="1" t="s">
        <v>27</v>
      </c>
      <c r="J12" s="2">
        <f t="shared" si="1"/>
        <v>1</v>
      </c>
      <c r="K12" s="2" t="s">
        <v>32</v>
      </c>
      <c r="L12" s="1"/>
      <c r="M12" s="1"/>
      <c r="N12" s="2">
        <v>18</v>
      </c>
      <c r="O12" s="2">
        <v>18</v>
      </c>
      <c r="P12" s="2">
        <v>21</v>
      </c>
      <c r="T12">
        <f t="shared" si="6"/>
        <v>0.4</v>
      </c>
      <c r="U12">
        <f t="shared" si="4"/>
        <v>0.3</v>
      </c>
      <c r="V12" s="1">
        <f t="shared" si="7"/>
        <v>0.02</v>
      </c>
      <c r="W12" s="1">
        <f t="shared" si="8"/>
        <v>1.973913043478261E-2</v>
      </c>
      <c r="Y12" t="s">
        <v>109</v>
      </c>
      <c r="Z12">
        <f>Z10-2.11</f>
        <v>190.92</v>
      </c>
      <c r="AA12" s="1">
        <f>(Z11-Z12)/(Z10-Z12)*AD12</f>
        <v>0.35829383886256105</v>
      </c>
      <c r="AB12" s="1">
        <f>(Z11-Z12)/(Z10-Z12)*AE12</f>
        <v>0.25592417061611505</v>
      </c>
      <c r="AC12" s="1">
        <f t="shared" si="5"/>
        <v>1.5783869553416784E-2</v>
      </c>
      <c r="AD12" s="29">
        <v>0.7</v>
      </c>
      <c r="AE12" s="29">
        <v>0.5</v>
      </c>
      <c r="AF12">
        <v>0.03</v>
      </c>
      <c r="AH12">
        <v>10000</v>
      </c>
      <c r="AI12">
        <v>0.15</v>
      </c>
      <c r="AJ12">
        <v>750</v>
      </c>
      <c r="AK12">
        <v>1</v>
      </c>
      <c r="AL12" s="2">
        <v>32</v>
      </c>
      <c r="AM12" s="1">
        <v>0.56000000000000005</v>
      </c>
      <c r="AN12" s="2">
        <v>1</v>
      </c>
      <c r="AO12" s="1">
        <v>0.83</v>
      </c>
      <c r="AP12" s="1">
        <v>0.21</v>
      </c>
      <c r="AQ12" s="2">
        <v>500</v>
      </c>
      <c r="AR12" s="2">
        <v>17</v>
      </c>
      <c r="AS12">
        <v>20</v>
      </c>
      <c r="AT12" s="2">
        <v>110</v>
      </c>
      <c r="AU12" s="1">
        <v>0.31</v>
      </c>
      <c r="AV12" s="1">
        <v>1.32</v>
      </c>
      <c r="AW12" s="1">
        <v>1.17</v>
      </c>
    </row>
    <row r="13" spans="1:50" x14ac:dyDescent="0.25">
      <c r="A13">
        <f t="shared" si="9"/>
        <v>2</v>
      </c>
      <c r="B13">
        <v>17</v>
      </c>
      <c r="C13">
        <f t="shared" si="10"/>
        <v>2</v>
      </c>
      <c r="D13">
        <f t="shared" si="2"/>
        <v>9</v>
      </c>
      <c r="E13">
        <f t="shared" si="2"/>
        <v>11</v>
      </c>
      <c r="F13" s="2">
        <f t="shared" si="3"/>
        <v>1409508</v>
      </c>
      <c r="G13" s="1" t="str">
        <f t="shared" si="3"/>
        <v>Salt Creek</v>
      </c>
      <c r="H13" s="2">
        <v>1400539</v>
      </c>
      <c r="I13" s="1" t="s">
        <v>29</v>
      </c>
      <c r="J13" s="2">
        <f t="shared" si="1"/>
        <v>1</v>
      </c>
      <c r="K13" s="2" t="s">
        <v>32</v>
      </c>
      <c r="L13" s="1" t="s">
        <v>28</v>
      </c>
      <c r="M13" s="1" t="s">
        <v>88</v>
      </c>
      <c r="N13" s="2">
        <v>67</v>
      </c>
      <c r="O13" s="2">
        <v>64</v>
      </c>
      <c r="P13" s="2">
        <v>64</v>
      </c>
      <c r="T13">
        <f t="shared" si="6"/>
        <v>5.6</v>
      </c>
      <c r="U13">
        <f t="shared" si="4"/>
        <v>4.0999999999999996</v>
      </c>
      <c r="V13" s="1">
        <f t="shared" si="7"/>
        <v>0.25</v>
      </c>
      <c r="W13" s="1">
        <f t="shared" si="8"/>
        <v>0.24673913043478263</v>
      </c>
      <c r="Y13" t="s">
        <v>109</v>
      </c>
      <c r="Z13">
        <v>186.27</v>
      </c>
      <c r="AA13">
        <v>5.6</v>
      </c>
      <c r="AB13">
        <v>4.0999999999999996</v>
      </c>
      <c r="AC13" s="1">
        <f t="shared" si="5"/>
        <v>0.2466960352422907</v>
      </c>
      <c r="AD13" s="29">
        <v>5.6</v>
      </c>
      <c r="AE13" s="29">
        <v>4.0999999999999996</v>
      </c>
      <c r="AF13">
        <v>0.24</v>
      </c>
      <c r="AH13">
        <v>10000</v>
      </c>
      <c r="AI13">
        <v>0.15</v>
      </c>
      <c r="AJ13">
        <v>750</v>
      </c>
      <c r="AK13">
        <v>1</v>
      </c>
      <c r="AL13" s="2">
        <v>32</v>
      </c>
      <c r="AM13" s="1">
        <v>0.56000000000000005</v>
      </c>
      <c r="AN13" s="2">
        <v>1</v>
      </c>
      <c r="AO13" s="1">
        <v>0.83</v>
      </c>
      <c r="AP13" s="1">
        <v>0.21</v>
      </c>
      <c r="AQ13" s="2">
        <v>500</v>
      </c>
      <c r="AR13" s="2">
        <v>17</v>
      </c>
      <c r="AS13">
        <v>20</v>
      </c>
      <c r="AT13" s="2">
        <v>110</v>
      </c>
      <c r="AU13" s="1">
        <v>0.31</v>
      </c>
      <c r="AV13" s="1">
        <v>1.32</v>
      </c>
      <c r="AW13" s="1">
        <v>1.17</v>
      </c>
    </row>
    <row r="14" spans="1:50" x14ac:dyDescent="0.25">
      <c r="A14">
        <f t="shared" si="9"/>
        <v>2</v>
      </c>
      <c r="B14">
        <v>17</v>
      </c>
      <c r="C14">
        <f t="shared" si="10"/>
        <v>2</v>
      </c>
      <c r="D14">
        <f t="shared" si="2"/>
        <v>10</v>
      </c>
      <c r="E14">
        <f t="shared" si="2"/>
        <v>12</v>
      </c>
      <c r="F14" s="2">
        <f t="shared" si="3"/>
        <v>1400539</v>
      </c>
      <c r="G14" s="1" t="str">
        <f t="shared" si="3"/>
        <v>Excelsior Ditch</v>
      </c>
      <c r="H14" s="2">
        <v>1509501</v>
      </c>
      <c r="I14" s="1" t="s">
        <v>30</v>
      </c>
      <c r="J14" s="2">
        <f t="shared" si="1"/>
        <v>-1</v>
      </c>
      <c r="K14" s="2" t="s">
        <v>33</v>
      </c>
      <c r="L14" s="1"/>
      <c r="M14" s="1"/>
      <c r="N14" s="2">
        <v>0</v>
      </c>
      <c r="O14" s="2">
        <v>14</v>
      </c>
      <c r="P14" s="2">
        <v>0</v>
      </c>
      <c r="T14">
        <f t="shared" si="6"/>
        <v>2.7</v>
      </c>
      <c r="U14">
        <f t="shared" si="4"/>
        <v>2</v>
      </c>
      <c r="V14" s="1">
        <f t="shared" si="7"/>
        <v>0.12</v>
      </c>
      <c r="W14" s="1">
        <f t="shared" si="8"/>
        <v>0.11843478260869565</v>
      </c>
      <c r="Y14" t="s">
        <v>109</v>
      </c>
      <c r="Z14" s="1"/>
      <c r="AA14">
        <v>2.7</v>
      </c>
      <c r="AB14">
        <v>2</v>
      </c>
      <c r="AC14" s="1">
        <f t="shared" si="5"/>
        <v>0.11894273127753303</v>
      </c>
      <c r="AD14" s="29">
        <v>2.7</v>
      </c>
      <c r="AE14" s="29">
        <v>2</v>
      </c>
      <c r="AF14">
        <v>0.12</v>
      </c>
      <c r="AH14">
        <v>10000</v>
      </c>
      <c r="AI14">
        <v>0.15</v>
      </c>
      <c r="AJ14">
        <v>750</v>
      </c>
      <c r="AK14">
        <v>1</v>
      </c>
      <c r="AL14" s="2">
        <v>32</v>
      </c>
      <c r="AM14" s="1">
        <v>0.56000000000000005</v>
      </c>
      <c r="AN14" s="2">
        <v>1</v>
      </c>
      <c r="AO14" s="1">
        <v>0.83</v>
      </c>
      <c r="AP14" s="1">
        <v>0.21</v>
      </c>
      <c r="AQ14" s="2">
        <v>500</v>
      </c>
      <c r="AR14" s="2">
        <v>17</v>
      </c>
      <c r="AS14">
        <v>20</v>
      </c>
      <c r="AT14" s="2">
        <v>110</v>
      </c>
      <c r="AU14" s="1">
        <v>0.31</v>
      </c>
      <c r="AV14" s="1">
        <v>1.32</v>
      </c>
      <c r="AW14" s="1">
        <v>1.17</v>
      </c>
    </row>
    <row r="15" spans="1:50" s="3" customFormat="1" x14ac:dyDescent="0.25">
      <c r="A15" s="3">
        <f t="shared" si="9"/>
        <v>2</v>
      </c>
      <c r="B15" s="3">
        <v>17</v>
      </c>
      <c r="C15" s="3">
        <f t="shared" si="10"/>
        <v>2</v>
      </c>
      <c r="D15" s="3">
        <f t="shared" si="2"/>
        <v>11</v>
      </c>
      <c r="E15" s="3">
        <f t="shared" si="2"/>
        <v>13</v>
      </c>
      <c r="F15" s="4">
        <f t="shared" si="3"/>
        <v>1509501</v>
      </c>
      <c r="G15" s="5" t="str">
        <f t="shared" si="3"/>
        <v>St. Charles River</v>
      </c>
      <c r="H15" s="4">
        <v>1409503</v>
      </c>
      <c r="I15" s="5" t="s">
        <v>15</v>
      </c>
      <c r="J15" s="4">
        <f t="shared" si="1"/>
        <v>1</v>
      </c>
      <c r="K15" s="4" t="s">
        <v>32</v>
      </c>
      <c r="L15" s="5" t="s">
        <v>31</v>
      </c>
      <c r="M15" s="5" t="s">
        <v>88</v>
      </c>
      <c r="N15" s="4">
        <v>5</v>
      </c>
      <c r="O15" s="4">
        <v>27</v>
      </c>
      <c r="P15" s="4">
        <v>202</v>
      </c>
      <c r="Q15" s="26"/>
      <c r="T15" s="3">
        <f t="shared" si="6"/>
        <v>4.4000000000000004</v>
      </c>
      <c r="U15" s="3">
        <f t="shared" si="4"/>
        <v>3.3</v>
      </c>
      <c r="V15" s="5">
        <f t="shared" si="7"/>
        <v>0.19</v>
      </c>
      <c r="W15" s="5">
        <f t="shared" si="8"/>
        <v>0.18752173913043479</v>
      </c>
      <c r="X15" s="5"/>
      <c r="Y15" s="3" t="s">
        <v>109</v>
      </c>
      <c r="AA15" s="3">
        <v>4.4000000000000004</v>
      </c>
      <c r="AB15" s="3">
        <v>3.3</v>
      </c>
      <c r="AC15" s="5">
        <f t="shared" si="5"/>
        <v>0.19383259911894271</v>
      </c>
      <c r="AD15" s="26">
        <v>4.4000000000000004</v>
      </c>
      <c r="AE15" s="26">
        <v>3.3</v>
      </c>
      <c r="AF15" s="3">
        <v>0.19</v>
      </c>
      <c r="AH15" s="3">
        <v>10000</v>
      </c>
      <c r="AI15" s="3">
        <v>0.15</v>
      </c>
      <c r="AJ15" s="3">
        <v>750</v>
      </c>
      <c r="AK15" s="3">
        <v>1</v>
      </c>
      <c r="AL15" s="4">
        <v>32</v>
      </c>
      <c r="AM15" s="5">
        <v>0.56000000000000005</v>
      </c>
      <c r="AN15" s="4">
        <v>1</v>
      </c>
      <c r="AO15" s="5">
        <v>0.83</v>
      </c>
      <c r="AP15" s="5">
        <v>0.21</v>
      </c>
      <c r="AQ15" s="4">
        <v>500</v>
      </c>
      <c r="AR15" s="4">
        <v>17</v>
      </c>
      <c r="AS15" s="3">
        <v>20</v>
      </c>
      <c r="AT15" s="4">
        <v>110</v>
      </c>
      <c r="AU15" s="5">
        <v>0.31</v>
      </c>
      <c r="AV15" s="5">
        <v>1.32</v>
      </c>
      <c r="AW15" s="5">
        <v>1.17</v>
      </c>
      <c r="AX15" s="13"/>
    </row>
    <row r="16" spans="1:50" x14ac:dyDescent="0.25">
      <c r="A16">
        <f t="shared" si="9"/>
        <v>2</v>
      </c>
      <c r="B16">
        <v>17</v>
      </c>
      <c r="C16">
        <f>C15+1</f>
        <v>3</v>
      </c>
      <c r="D16">
        <v>1</v>
      </c>
      <c r="E16">
        <f t="shared" si="2"/>
        <v>14</v>
      </c>
      <c r="F16" s="2">
        <f t="shared" si="3"/>
        <v>1409503</v>
      </c>
      <c r="G16" s="1" t="str">
        <f t="shared" si="3"/>
        <v>Arkansas River near Avondale</v>
      </c>
      <c r="H16" s="2">
        <v>1420020</v>
      </c>
      <c r="I16" s="1" t="s">
        <v>35</v>
      </c>
      <c r="J16" s="2">
        <f t="shared" si="1"/>
        <v>0</v>
      </c>
      <c r="K16" s="2" t="s">
        <v>34</v>
      </c>
      <c r="L16" s="2" t="s">
        <v>8</v>
      </c>
      <c r="M16" s="2" t="s">
        <v>88</v>
      </c>
      <c r="N16" s="2">
        <v>283</v>
      </c>
      <c r="O16" s="2">
        <v>705</v>
      </c>
      <c r="P16" s="2">
        <v>1330</v>
      </c>
      <c r="T16">
        <f t="shared" si="6"/>
        <v>0.3</v>
      </c>
      <c r="U16">
        <f t="shared" si="4"/>
        <v>0.2</v>
      </c>
      <c r="V16" s="1">
        <v>0.01</v>
      </c>
      <c r="W16" s="1">
        <f t="shared" ref="W16:W22" si="11">3.9*V16*(SUM(AA$16:AA$22)/SUM(AA$16:AA$37))</f>
        <v>1.1567796610169491E-2</v>
      </c>
      <c r="Y16" t="s">
        <v>109</v>
      </c>
      <c r="AA16">
        <v>0.3</v>
      </c>
      <c r="AB16">
        <v>0.2</v>
      </c>
      <c r="AC16" s="1">
        <f t="shared" ref="AC16:AC22" si="12">AA16/(SUM(AA$16:AA$22))</f>
        <v>1.4285714285714285E-2</v>
      </c>
      <c r="AD16" s="29">
        <v>0.3</v>
      </c>
      <c r="AE16" s="29">
        <v>0.2</v>
      </c>
      <c r="AF16" s="1">
        <v>0.01</v>
      </c>
      <c r="AG16" s="1"/>
      <c r="AH16">
        <v>10000</v>
      </c>
      <c r="AI16">
        <v>0.15</v>
      </c>
      <c r="AJ16">
        <v>1500</v>
      </c>
      <c r="AK16">
        <v>1</v>
      </c>
      <c r="AL16" s="2">
        <v>32</v>
      </c>
      <c r="AM16" s="1">
        <v>0.56000000000000005</v>
      </c>
      <c r="AN16" s="2">
        <v>1</v>
      </c>
      <c r="AO16" s="1">
        <v>0.83</v>
      </c>
      <c r="AP16" s="1">
        <v>0.21</v>
      </c>
      <c r="AQ16" s="2">
        <v>500</v>
      </c>
      <c r="AR16" s="2">
        <v>17</v>
      </c>
      <c r="AS16">
        <v>20</v>
      </c>
      <c r="AT16" s="2">
        <v>203</v>
      </c>
      <c r="AU16" s="1">
        <v>0.31</v>
      </c>
      <c r="AV16" s="1">
        <v>1.5</v>
      </c>
      <c r="AW16" s="1">
        <v>1.05</v>
      </c>
    </row>
    <row r="17" spans="1:50" x14ac:dyDescent="0.25">
      <c r="A17">
        <f t="shared" si="9"/>
        <v>2</v>
      </c>
      <c r="B17">
        <v>17</v>
      </c>
      <c r="C17">
        <f t="shared" si="9"/>
        <v>3</v>
      </c>
      <c r="D17">
        <v>2</v>
      </c>
      <c r="E17">
        <f t="shared" si="2"/>
        <v>15</v>
      </c>
      <c r="F17" s="2">
        <f t="shared" si="3"/>
        <v>1420020</v>
      </c>
      <c r="G17" s="1" t="str">
        <f t="shared" si="3"/>
        <v>Sixmile Creek</v>
      </c>
      <c r="H17" s="2">
        <v>1400538</v>
      </c>
      <c r="I17" s="1" t="s">
        <v>36</v>
      </c>
      <c r="J17" s="2">
        <f t="shared" si="1"/>
        <v>1</v>
      </c>
      <c r="K17" s="2" t="s">
        <v>32</v>
      </c>
      <c r="L17" s="2"/>
      <c r="M17" s="2"/>
      <c r="N17" s="2">
        <v>5</v>
      </c>
      <c r="O17" s="2">
        <v>5</v>
      </c>
      <c r="P17" s="2">
        <v>5</v>
      </c>
      <c r="T17">
        <f t="shared" si="6"/>
        <v>2.9</v>
      </c>
      <c r="U17">
        <f t="shared" si="4"/>
        <v>2.1</v>
      </c>
      <c r="V17" s="1">
        <v>0.14000000000000001</v>
      </c>
      <c r="W17" s="1">
        <f t="shared" si="11"/>
        <v>0.16194915254237288</v>
      </c>
      <c r="Y17" t="s">
        <v>109</v>
      </c>
      <c r="AA17">
        <v>2.9</v>
      </c>
      <c r="AB17">
        <v>2.1</v>
      </c>
      <c r="AC17" s="1">
        <f t="shared" si="12"/>
        <v>0.1380952380952381</v>
      </c>
      <c r="AD17" s="29">
        <v>2.9</v>
      </c>
      <c r="AE17" s="29">
        <v>2.1</v>
      </c>
      <c r="AF17" s="1">
        <v>0.14000000000000001</v>
      </c>
      <c r="AG17" s="1"/>
      <c r="AH17">
        <v>10000</v>
      </c>
      <c r="AI17">
        <v>0.15</v>
      </c>
      <c r="AJ17">
        <v>1500</v>
      </c>
      <c r="AK17">
        <v>1</v>
      </c>
      <c r="AL17" s="2">
        <v>32</v>
      </c>
      <c r="AM17" s="1">
        <v>0.56000000000000005</v>
      </c>
      <c r="AN17" s="2">
        <v>1</v>
      </c>
      <c r="AO17" s="1">
        <v>0.83</v>
      </c>
      <c r="AP17" s="1">
        <v>0.21</v>
      </c>
      <c r="AQ17" s="2">
        <v>500</v>
      </c>
      <c r="AR17" s="2">
        <v>17</v>
      </c>
      <c r="AS17">
        <v>20</v>
      </c>
      <c r="AT17" s="2">
        <v>203</v>
      </c>
      <c r="AU17" s="1">
        <v>0.31</v>
      </c>
      <c r="AV17" s="1">
        <v>1.5</v>
      </c>
      <c r="AW17" s="1">
        <v>1.05</v>
      </c>
    </row>
    <row r="18" spans="1:50" x14ac:dyDescent="0.25">
      <c r="A18">
        <f t="shared" si="9"/>
        <v>2</v>
      </c>
      <c r="B18">
        <v>17</v>
      </c>
      <c r="C18">
        <f t="shared" si="9"/>
        <v>3</v>
      </c>
      <c r="D18">
        <v>3</v>
      </c>
      <c r="E18">
        <f t="shared" si="2"/>
        <v>16</v>
      </c>
      <c r="F18" s="2">
        <f t="shared" si="3"/>
        <v>1400538</v>
      </c>
      <c r="G18" s="1" t="str">
        <f t="shared" si="3"/>
        <v>Collier Ditch</v>
      </c>
      <c r="H18" s="2">
        <v>1700540</v>
      </c>
      <c r="I18" s="1" t="s">
        <v>37</v>
      </c>
      <c r="J18" s="2">
        <f t="shared" si="1"/>
        <v>-1</v>
      </c>
      <c r="K18" s="2" t="s">
        <v>33</v>
      </c>
      <c r="L18" s="2"/>
      <c r="M18" s="2"/>
      <c r="N18" s="2">
        <v>0</v>
      </c>
      <c r="O18" s="2">
        <v>0</v>
      </c>
      <c r="P18" s="2">
        <v>0</v>
      </c>
      <c r="T18">
        <f t="shared" si="6"/>
        <v>3.3</v>
      </c>
      <c r="U18">
        <f t="shared" si="4"/>
        <v>2.4</v>
      </c>
      <c r="V18" s="1">
        <v>0.16</v>
      </c>
      <c r="W18" s="1">
        <f t="shared" si="11"/>
        <v>0.18508474576271186</v>
      </c>
      <c r="Y18" t="s">
        <v>109</v>
      </c>
      <c r="AA18">
        <v>3.3</v>
      </c>
      <c r="AB18">
        <v>2.4</v>
      </c>
      <c r="AC18" s="1">
        <f t="shared" si="12"/>
        <v>0.15714285714285714</v>
      </c>
      <c r="AD18" s="29">
        <v>3.3</v>
      </c>
      <c r="AE18" s="29">
        <v>2.4</v>
      </c>
      <c r="AF18" s="1">
        <v>0.16</v>
      </c>
      <c r="AG18" s="1"/>
      <c r="AH18">
        <v>10000</v>
      </c>
      <c r="AI18">
        <v>0.15</v>
      </c>
      <c r="AJ18">
        <v>1500</v>
      </c>
      <c r="AK18">
        <v>1</v>
      </c>
      <c r="AL18" s="2">
        <v>32</v>
      </c>
      <c r="AM18" s="1">
        <v>0.56000000000000005</v>
      </c>
      <c r="AN18" s="2">
        <v>1</v>
      </c>
      <c r="AO18" s="1">
        <v>0.83</v>
      </c>
      <c r="AP18" s="1">
        <v>0.21</v>
      </c>
      <c r="AQ18" s="2">
        <v>500</v>
      </c>
      <c r="AR18" s="2">
        <v>17</v>
      </c>
      <c r="AS18">
        <v>20</v>
      </c>
      <c r="AT18" s="2">
        <v>203</v>
      </c>
      <c r="AU18" s="1">
        <v>0.31</v>
      </c>
      <c r="AV18" s="1">
        <v>1.5</v>
      </c>
      <c r="AW18" s="1">
        <v>1.05</v>
      </c>
    </row>
    <row r="19" spans="1:50" x14ac:dyDescent="0.25">
      <c r="A19">
        <f t="shared" si="9"/>
        <v>2</v>
      </c>
      <c r="B19">
        <v>17</v>
      </c>
      <c r="C19">
        <f t="shared" si="9"/>
        <v>3</v>
      </c>
      <c r="D19">
        <v>4</v>
      </c>
      <c r="E19">
        <f t="shared" si="2"/>
        <v>17</v>
      </c>
      <c r="F19" s="2">
        <f t="shared" si="3"/>
        <v>1700540</v>
      </c>
      <c r="G19" s="1" t="str">
        <f t="shared" si="3"/>
        <v>Colorado Canal</v>
      </c>
      <c r="H19" s="2">
        <v>1409506</v>
      </c>
      <c r="I19" s="1" t="s">
        <v>38</v>
      </c>
      <c r="J19" s="2">
        <f t="shared" si="1"/>
        <v>-1</v>
      </c>
      <c r="K19" s="2" t="s">
        <v>33</v>
      </c>
      <c r="L19" s="2" t="s">
        <v>40</v>
      </c>
      <c r="M19" s="2" t="s">
        <v>88</v>
      </c>
      <c r="N19" s="2">
        <v>0</v>
      </c>
      <c r="O19" s="2">
        <v>126</v>
      </c>
      <c r="P19" s="2">
        <v>203</v>
      </c>
      <c r="T19">
        <f t="shared" si="6"/>
        <v>4.5999999999999996</v>
      </c>
      <c r="U19">
        <f t="shared" si="4"/>
        <v>3.4</v>
      </c>
      <c r="V19" s="1">
        <v>0.22</v>
      </c>
      <c r="W19" s="1">
        <f t="shared" si="11"/>
        <v>0.25449152542372877</v>
      </c>
      <c r="Y19" t="s">
        <v>109</v>
      </c>
      <c r="AA19">
        <v>4.5999999999999996</v>
      </c>
      <c r="AB19">
        <v>3.4</v>
      </c>
      <c r="AC19" s="1">
        <f t="shared" si="12"/>
        <v>0.21904761904761902</v>
      </c>
      <c r="AD19" s="29">
        <v>4.5999999999999996</v>
      </c>
      <c r="AE19" s="29">
        <v>3.4</v>
      </c>
      <c r="AF19" s="1">
        <v>0.22</v>
      </c>
      <c r="AG19" s="1"/>
      <c r="AH19">
        <v>10000</v>
      </c>
      <c r="AI19">
        <v>0.15</v>
      </c>
      <c r="AJ19">
        <v>1500</v>
      </c>
      <c r="AK19">
        <v>1</v>
      </c>
      <c r="AL19" s="2">
        <v>32</v>
      </c>
      <c r="AM19" s="1">
        <v>0.56000000000000005</v>
      </c>
      <c r="AN19" s="2">
        <v>1</v>
      </c>
      <c r="AO19" s="1">
        <v>0.83</v>
      </c>
      <c r="AP19" s="1">
        <v>0.21</v>
      </c>
      <c r="AQ19" s="2">
        <v>500</v>
      </c>
      <c r="AR19" s="2">
        <v>17</v>
      </c>
      <c r="AS19">
        <v>20</v>
      </c>
      <c r="AT19" s="2">
        <v>203</v>
      </c>
      <c r="AU19" s="1">
        <v>0.31</v>
      </c>
      <c r="AV19" s="1">
        <v>1.5</v>
      </c>
      <c r="AW19" s="1">
        <v>1.05</v>
      </c>
    </row>
    <row r="20" spans="1:50" x14ac:dyDescent="0.25">
      <c r="A20">
        <f t="shared" si="9"/>
        <v>2</v>
      </c>
      <c r="B20">
        <v>17</v>
      </c>
      <c r="C20">
        <f t="shared" si="9"/>
        <v>3</v>
      </c>
      <c r="D20">
        <v>5</v>
      </c>
      <c r="E20">
        <f t="shared" si="2"/>
        <v>18</v>
      </c>
      <c r="F20" s="2">
        <f t="shared" si="3"/>
        <v>1409506</v>
      </c>
      <c r="G20" s="1" t="str">
        <f t="shared" si="3"/>
        <v>Huerfano River</v>
      </c>
      <c r="H20" s="2">
        <v>1700542</v>
      </c>
      <c r="I20" s="1" t="s">
        <v>91</v>
      </c>
      <c r="J20" s="2">
        <f t="shared" si="1"/>
        <v>1</v>
      </c>
      <c r="K20" s="2" t="s">
        <v>32</v>
      </c>
      <c r="L20" s="2" t="s">
        <v>41</v>
      </c>
      <c r="M20" s="2" t="s">
        <v>88</v>
      </c>
      <c r="N20" s="2">
        <v>1</v>
      </c>
      <c r="O20" s="2">
        <v>21</v>
      </c>
      <c r="P20" s="2">
        <v>231</v>
      </c>
      <c r="T20">
        <f t="shared" si="6"/>
        <v>0.5</v>
      </c>
      <c r="U20">
        <f t="shared" si="4"/>
        <v>0.4</v>
      </c>
      <c r="V20" s="1">
        <v>0.02</v>
      </c>
      <c r="W20" s="1">
        <f t="shared" si="11"/>
        <v>2.3135593220338983E-2</v>
      </c>
      <c r="Y20" t="s">
        <v>109</v>
      </c>
      <c r="AA20">
        <v>0.5</v>
      </c>
      <c r="AB20">
        <v>0.4</v>
      </c>
      <c r="AC20" s="1">
        <f t="shared" si="12"/>
        <v>2.3809523809523808E-2</v>
      </c>
      <c r="AD20" s="29">
        <v>0.5</v>
      </c>
      <c r="AE20" s="29">
        <v>0.4</v>
      </c>
      <c r="AF20" s="1">
        <v>0.02</v>
      </c>
      <c r="AG20" s="1"/>
      <c r="AH20">
        <v>10000</v>
      </c>
      <c r="AI20">
        <v>0.15</v>
      </c>
      <c r="AJ20">
        <v>1500</v>
      </c>
      <c r="AK20">
        <v>1</v>
      </c>
      <c r="AL20" s="2">
        <v>32</v>
      </c>
      <c r="AM20" s="1">
        <v>0.56000000000000005</v>
      </c>
      <c r="AN20" s="2">
        <v>1</v>
      </c>
      <c r="AO20" s="1">
        <v>0.83</v>
      </c>
      <c r="AP20" s="1">
        <v>0.21</v>
      </c>
      <c r="AQ20" s="2">
        <v>500</v>
      </c>
      <c r="AR20" s="2">
        <v>17</v>
      </c>
      <c r="AS20">
        <v>20</v>
      </c>
      <c r="AT20" s="2">
        <v>203</v>
      </c>
      <c r="AU20" s="1">
        <v>0.31</v>
      </c>
      <c r="AV20" s="1">
        <v>1.5</v>
      </c>
      <c r="AW20" s="1">
        <v>1.05</v>
      </c>
    </row>
    <row r="21" spans="1:50" x14ac:dyDescent="0.25">
      <c r="A21">
        <f t="shared" si="9"/>
        <v>2</v>
      </c>
      <c r="B21">
        <v>17</v>
      </c>
      <c r="C21">
        <f t="shared" si="9"/>
        <v>3</v>
      </c>
      <c r="D21">
        <v>6</v>
      </c>
      <c r="E21">
        <f t="shared" ref="D21:E36" si="13">E20+1</f>
        <v>19</v>
      </c>
      <c r="F21" s="2">
        <f t="shared" si="3"/>
        <v>1700542</v>
      </c>
      <c r="G21" s="1" t="str">
        <f t="shared" si="3"/>
        <v>Rocky Ford Highline</v>
      </c>
      <c r="H21" s="2">
        <v>1700541</v>
      </c>
      <c r="I21" s="1" t="s">
        <v>39</v>
      </c>
      <c r="J21" s="2">
        <f t="shared" si="1"/>
        <v>-1</v>
      </c>
      <c r="K21" s="2" t="s">
        <v>33</v>
      </c>
      <c r="L21" s="2" t="s">
        <v>42</v>
      </c>
      <c r="M21" s="2" t="s">
        <v>88</v>
      </c>
      <c r="N21" s="2">
        <v>129</v>
      </c>
      <c r="O21" s="2">
        <v>142</v>
      </c>
      <c r="P21" s="2">
        <v>348</v>
      </c>
      <c r="T21">
        <f t="shared" si="6"/>
        <v>6.5</v>
      </c>
      <c r="U21">
        <f t="shared" si="4"/>
        <v>4.8</v>
      </c>
      <c r="V21" s="1">
        <v>0.31</v>
      </c>
      <c r="W21" s="1">
        <f t="shared" si="11"/>
        <v>0.35860169491525423</v>
      </c>
      <c r="Y21" t="s">
        <v>109</v>
      </c>
      <c r="AA21">
        <v>6.5</v>
      </c>
      <c r="AB21">
        <v>4.8</v>
      </c>
      <c r="AC21" s="1">
        <f t="shared" si="12"/>
        <v>0.30952380952380953</v>
      </c>
      <c r="AD21" s="29">
        <v>6.5</v>
      </c>
      <c r="AE21" s="29">
        <v>4.8</v>
      </c>
      <c r="AF21" s="1">
        <v>0.31</v>
      </c>
      <c r="AG21" s="1"/>
      <c r="AH21">
        <v>10000</v>
      </c>
      <c r="AI21">
        <v>0.15</v>
      </c>
      <c r="AJ21">
        <v>1500</v>
      </c>
      <c r="AK21">
        <v>1</v>
      </c>
      <c r="AL21" s="2">
        <v>32</v>
      </c>
      <c r="AM21" s="1">
        <v>0.56000000000000005</v>
      </c>
      <c r="AN21" s="2">
        <v>1</v>
      </c>
      <c r="AO21" s="1">
        <v>0.83</v>
      </c>
      <c r="AP21" s="1">
        <v>0.21</v>
      </c>
      <c r="AQ21" s="2">
        <v>500</v>
      </c>
      <c r="AR21" s="2">
        <v>17</v>
      </c>
      <c r="AS21">
        <v>20</v>
      </c>
      <c r="AT21" s="2">
        <v>203</v>
      </c>
      <c r="AU21" s="1">
        <v>0.31</v>
      </c>
      <c r="AV21" s="1">
        <v>1.5</v>
      </c>
      <c r="AW21" s="1">
        <v>1.05</v>
      </c>
    </row>
    <row r="22" spans="1:50" s="3" customFormat="1" x14ac:dyDescent="0.25">
      <c r="A22" s="3">
        <f t="shared" si="9"/>
        <v>2</v>
      </c>
      <c r="B22" s="3">
        <v>17</v>
      </c>
      <c r="C22" s="3">
        <f t="shared" si="9"/>
        <v>3</v>
      </c>
      <c r="D22" s="3">
        <v>7</v>
      </c>
      <c r="E22" s="3">
        <f t="shared" si="13"/>
        <v>20</v>
      </c>
      <c r="F22" s="4">
        <f t="shared" si="3"/>
        <v>1700541</v>
      </c>
      <c r="G22" s="5" t="str">
        <f t="shared" si="3"/>
        <v>Oxford Farmers Ditch</v>
      </c>
      <c r="H22" s="4">
        <v>1409502</v>
      </c>
      <c r="I22" s="5" t="s">
        <v>16</v>
      </c>
      <c r="J22" s="4">
        <f t="shared" si="1"/>
        <v>-1</v>
      </c>
      <c r="K22" s="4" t="s">
        <v>33</v>
      </c>
      <c r="L22" s="4" t="s">
        <v>43</v>
      </c>
      <c r="M22" s="4" t="s">
        <v>88</v>
      </c>
      <c r="N22" s="4">
        <v>17</v>
      </c>
      <c r="O22" s="4">
        <v>35</v>
      </c>
      <c r="P22" s="4">
        <v>103</v>
      </c>
      <c r="Q22" s="26"/>
      <c r="T22" s="3">
        <f t="shared" si="6"/>
        <v>2.9</v>
      </c>
      <c r="U22" s="3">
        <f t="shared" si="4"/>
        <v>2.1</v>
      </c>
      <c r="V22" s="5">
        <v>0.14000000000000001</v>
      </c>
      <c r="W22" s="5">
        <f t="shared" si="11"/>
        <v>0.16194915254237288</v>
      </c>
      <c r="X22" s="5"/>
      <c r="Y22" s="3" t="s">
        <v>109</v>
      </c>
      <c r="AA22" s="3">
        <v>2.9</v>
      </c>
      <c r="AB22" s="3">
        <v>2.1</v>
      </c>
      <c r="AC22" s="5">
        <f t="shared" si="12"/>
        <v>0.1380952380952381</v>
      </c>
      <c r="AD22" s="26">
        <v>2.9</v>
      </c>
      <c r="AE22" s="26">
        <v>2.1</v>
      </c>
      <c r="AF22" s="5">
        <v>0.14000000000000001</v>
      </c>
      <c r="AG22" s="5"/>
      <c r="AH22" s="3">
        <v>10000</v>
      </c>
      <c r="AI22" s="3">
        <v>0.15</v>
      </c>
      <c r="AJ22" s="3">
        <v>1500</v>
      </c>
      <c r="AK22" s="3">
        <v>1</v>
      </c>
      <c r="AL22" s="4">
        <v>32</v>
      </c>
      <c r="AM22" s="5">
        <v>0.56000000000000005</v>
      </c>
      <c r="AN22" s="4">
        <v>1</v>
      </c>
      <c r="AO22" s="5">
        <v>0.83</v>
      </c>
      <c r="AP22" s="5">
        <v>0.21</v>
      </c>
      <c r="AQ22" s="4">
        <v>500</v>
      </c>
      <c r="AR22" s="4">
        <v>17</v>
      </c>
      <c r="AS22" s="3">
        <v>20</v>
      </c>
      <c r="AT22" s="4">
        <v>203</v>
      </c>
      <c r="AU22" s="5">
        <v>0.31</v>
      </c>
      <c r="AV22" s="5">
        <v>1.5</v>
      </c>
      <c r="AW22" s="5">
        <v>1.05</v>
      </c>
      <c r="AX22" s="13"/>
    </row>
    <row r="23" spans="1:50" x14ac:dyDescent="0.25">
      <c r="A23">
        <f t="shared" ref="A23:C38" si="14">A22</f>
        <v>2</v>
      </c>
      <c r="B23">
        <v>17</v>
      </c>
      <c r="C23">
        <f>C22+1</f>
        <v>4</v>
      </c>
      <c r="D23">
        <v>1</v>
      </c>
      <c r="E23">
        <f t="shared" si="13"/>
        <v>21</v>
      </c>
      <c r="F23" s="2">
        <f t="shared" si="3"/>
        <v>1409502</v>
      </c>
      <c r="G23" s="1" t="str">
        <f t="shared" si="3"/>
        <v>Arkansas River near Nepesta</v>
      </c>
      <c r="H23" s="2">
        <v>1700557</v>
      </c>
      <c r="I23" s="1" t="s">
        <v>44</v>
      </c>
      <c r="J23" s="2">
        <f t="shared" si="1"/>
        <v>0</v>
      </c>
      <c r="K23" s="2" t="s">
        <v>34</v>
      </c>
      <c r="L23" s="2" t="s">
        <v>9</v>
      </c>
      <c r="M23" s="2" t="s">
        <v>88</v>
      </c>
      <c r="N23" s="2">
        <v>155</v>
      </c>
      <c r="O23" s="2">
        <v>515</v>
      </c>
      <c r="P23" s="2">
        <v>1115</v>
      </c>
      <c r="T23">
        <f t="shared" si="6"/>
        <v>9.6</v>
      </c>
      <c r="U23">
        <f t="shared" si="4"/>
        <v>7.1</v>
      </c>
      <c r="V23" s="1">
        <v>0.54</v>
      </c>
      <c r="W23" s="1">
        <f>3.9*V23*(SUM(AA$23:AA$26)/SUM(AA$16:AA$37))</f>
        <v>0.52352542372881361</v>
      </c>
      <c r="Y23" t="s">
        <v>109</v>
      </c>
      <c r="AA23">
        <v>9.6</v>
      </c>
      <c r="AB23">
        <v>7.1</v>
      </c>
      <c r="AC23" s="31">
        <f>AA23/(SUM(AA$23:AA$26))</f>
        <v>0.54545454545454541</v>
      </c>
      <c r="AD23" s="29">
        <v>9.6</v>
      </c>
      <c r="AE23" s="29">
        <v>7.1</v>
      </c>
      <c r="AF23" s="1">
        <v>0.55000000000000004</v>
      </c>
      <c r="AG23" s="1"/>
      <c r="AH23">
        <v>10000</v>
      </c>
      <c r="AI23">
        <v>0.15</v>
      </c>
      <c r="AJ23">
        <v>1500</v>
      </c>
      <c r="AK23">
        <v>1</v>
      </c>
      <c r="AL23" s="2">
        <v>32</v>
      </c>
      <c r="AM23" s="1">
        <v>0.56000000000000005</v>
      </c>
      <c r="AN23" s="2">
        <v>1</v>
      </c>
      <c r="AO23" s="1">
        <v>0.83</v>
      </c>
      <c r="AP23" s="1">
        <v>0.21</v>
      </c>
      <c r="AQ23" s="2">
        <v>500</v>
      </c>
      <c r="AR23" s="2">
        <v>17</v>
      </c>
      <c r="AS23">
        <v>20</v>
      </c>
      <c r="AT23" s="2">
        <v>85</v>
      </c>
      <c r="AU23" s="1">
        <v>0.37</v>
      </c>
      <c r="AV23" s="1">
        <v>1.38</v>
      </c>
      <c r="AW23" s="1">
        <v>1.05</v>
      </c>
    </row>
    <row r="24" spans="1:50" x14ac:dyDescent="0.25">
      <c r="A24">
        <f t="shared" si="14"/>
        <v>2</v>
      </c>
      <c r="B24">
        <v>17</v>
      </c>
      <c r="C24">
        <f t="shared" si="14"/>
        <v>4</v>
      </c>
      <c r="D24">
        <f t="shared" si="13"/>
        <v>2</v>
      </c>
      <c r="E24">
        <f t="shared" si="13"/>
        <v>22</v>
      </c>
      <c r="F24" s="2">
        <f t="shared" si="3"/>
        <v>1700557</v>
      </c>
      <c r="G24" s="1" t="str">
        <f t="shared" si="3"/>
        <v>Otero Canal</v>
      </c>
      <c r="H24" s="2">
        <v>1709502</v>
      </c>
      <c r="I24" s="1" t="s">
        <v>45</v>
      </c>
      <c r="J24" s="2">
        <f t="shared" si="1"/>
        <v>-1</v>
      </c>
      <c r="K24" s="2" t="s">
        <v>33</v>
      </c>
      <c r="L24" s="2" t="s">
        <v>69</v>
      </c>
      <c r="M24" s="2" t="s">
        <v>88</v>
      </c>
      <c r="N24" s="2">
        <v>0</v>
      </c>
      <c r="O24" s="2">
        <v>33</v>
      </c>
      <c r="P24" s="2">
        <v>21</v>
      </c>
      <c r="T24">
        <f t="shared" si="6"/>
        <v>5.8</v>
      </c>
      <c r="U24">
        <f t="shared" si="4"/>
        <v>4.3</v>
      </c>
      <c r="V24" s="1">
        <v>0.33</v>
      </c>
      <c r="W24" s="1">
        <f>3.9*V24*(SUM(AA$23:AA$26)/SUM(AA$16:AA$37))</f>
        <v>0.31993220338983053</v>
      </c>
      <c r="Y24" t="s">
        <v>109</v>
      </c>
      <c r="AA24">
        <v>5.8</v>
      </c>
      <c r="AB24">
        <v>4.3</v>
      </c>
      <c r="AC24" s="31">
        <f>AA24/(SUM(AA$23:AA$26))</f>
        <v>0.32954545454545453</v>
      </c>
      <c r="AD24" s="29">
        <v>5.8</v>
      </c>
      <c r="AE24" s="29">
        <v>4.3</v>
      </c>
      <c r="AF24">
        <v>0.32</v>
      </c>
      <c r="AH24">
        <v>10000</v>
      </c>
      <c r="AI24">
        <v>0.15</v>
      </c>
      <c r="AJ24">
        <v>1500</v>
      </c>
      <c r="AK24">
        <v>1</v>
      </c>
      <c r="AL24" s="2">
        <v>32</v>
      </c>
      <c r="AM24" s="1">
        <v>0.56000000000000005</v>
      </c>
      <c r="AN24" s="2">
        <v>1</v>
      </c>
      <c r="AO24" s="1">
        <v>0.83</v>
      </c>
      <c r="AP24" s="1">
        <v>0.21</v>
      </c>
      <c r="AQ24" s="2">
        <v>500</v>
      </c>
      <c r="AR24" s="2">
        <v>17</v>
      </c>
      <c r="AS24">
        <v>20</v>
      </c>
      <c r="AT24" s="2">
        <v>85</v>
      </c>
      <c r="AU24" s="1">
        <v>0.37</v>
      </c>
      <c r="AV24" s="1">
        <v>1.38</v>
      </c>
      <c r="AW24" s="1">
        <v>1.05</v>
      </c>
    </row>
    <row r="25" spans="1:50" x14ac:dyDescent="0.25">
      <c r="A25">
        <f t="shared" si="14"/>
        <v>2</v>
      </c>
      <c r="B25">
        <v>17</v>
      </c>
      <c r="C25">
        <f t="shared" si="14"/>
        <v>4</v>
      </c>
      <c r="D25">
        <f t="shared" si="13"/>
        <v>3</v>
      </c>
      <c r="E25">
        <f t="shared" si="13"/>
        <v>23</v>
      </c>
      <c r="F25" s="2">
        <f t="shared" si="3"/>
        <v>1709502</v>
      </c>
      <c r="G25" s="1" t="str">
        <f t="shared" si="3"/>
        <v>Apishapa River</v>
      </c>
      <c r="H25" s="2">
        <v>1700552</v>
      </c>
      <c r="I25" s="1" t="s">
        <v>20</v>
      </c>
      <c r="J25" s="2">
        <f t="shared" si="1"/>
        <v>1</v>
      </c>
      <c r="K25" s="2" t="s">
        <v>32</v>
      </c>
      <c r="L25" s="1" t="s">
        <v>46</v>
      </c>
      <c r="M25" s="1" t="s">
        <v>88</v>
      </c>
      <c r="N25" s="2">
        <v>4</v>
      </c>
      <c r="O25" s="2">
        <v>12</v>
      </c>
      <c r="P25" s="2">
        <v>36</v>
      </c>
      <c r="T25">
        <f t="shared" si="6"/>
        <v>2.1</v>
      </c>
      <c r="U25">
        <f t="shared" si="4"/>
        <v>1.5</v>
      </c>
      <c r="V25" s="1">
        <v>0.12</v>
      </c>
      <c r="W25" s="1">
        <f>3.9*V25*(SUM(AA$23:AA$26)/SUM(AA$16:AA$37))</f>
        <v>0.11633898305084747</v>
      </c>
      <c r="Y25" t="s">
        <v>109</v>
      </c>
      <c r="Z25">
        <v>142.18</v>
      </c>
      <c r="AA25">
        <v>2.1</v>
      </c>
      <c r="AB25">
        <v>1.5</v>
      </c>
      <c r="AC25" s="31">
        <v>0.12</v>
      </c>
      <c r="AH25">
        <v>10000</v>
      </c>
      <c r="AI25">
        <v>0.15</v>
      </c>
      <c r="AJ25">
        <v>1500</v>
      </c>
      <c r="AK25">
        <v>1</v>
      </c>
      <c r="AL25" s="2">
        <v>32</v>
      </c>
      <c r="AM25" s="1">
        <v>0.56000000000000005</v>
      </c>
      <c r="AN25" s="2">
        <v>1</v>
      </c>
      <c r="AO25" s="1">
        <v>0.83</v>
      </c>
      <c r="AP25" s="1">
        <v>0.21</v>
      </c>
      <c r="AQ25" s="2">
        <v>500</v>
      </c>
      <c r="AR25" s="2">
        <v>17</v>
      </c>
      <c r="AS25">
        <v>20</v>
      </c>
      <c r="AT25" s="2">
        <v>85</v>
      </c>
      <c r="AU25" s="1">
        <v>0.37</v>
      </c>
      <c r="AV25" s="1">
        <v>1.38</v>
      </c>
      <c r="AW25" s="1">
        <v>1.05</v>
      </c>
      <c r="AX25" s="14" t="s">
        <v>209</v>
      </c>
    </row>
    <row r="26" spans="1:50" s="3" customFormat="1" x14ac:dyDescent="0.25">
      <c r="A26" s="3">
        <f t="shared" si="14"/>
        <v>2</v>
      </c>
      <c r="B26" s="3">
        <v>17</v>
      </c>
      <c r="C26" s="3">
        <f t="shared" si="14"/>
        <v>4</v>
      </c>
      <c r="D26" s="3">
        <f t="shared" si="13"/>
        <v>4</v>
      </c>
      <c r="E26" s="3">
        <f t="shared" si="13"/>
        <v>24</v>
      </c>
      <c r="F26" s="4">
        <f t="shared" si="3"/>
        <v>1700552</v>
      </c>
      <c r="G26" s="5" t="str">
        <f t="shared" si="3"/>
        <v>Catlin Canal</v>
      </c>
      <c r="H26" s="4">
        <v>1709503</v>
      </c>
      <c r="I26" s="5" t="s">
        <v>17</v>
      </c>
      <c r="J26" s="4">
        <f t="shared" si="1"/>
        <v>-1</v>
      </c>
      <c r="K26" s="4" t="s">
        <v>33</v>
      </c>
      <c r="L26" s="4" t="s">
        <v>70</v>
      </c>
      <c r="M26" s="4" t="s">
        <v>89</v>
      </c>
      <c r="N26" s="4">
        <v>132</v>
      </c>
      <c r="O26" s="4">
        <v>151</v>
      </c>
      <c r="P26" s="4">
        <v>272</v>
      </c>
      <c r="Q26" s="26"/>
      <c r="T26" s="3">
        <f t="shared" si="6"/>
        <v>0.1</v>
      </c>
      <c r="U26" s="3">
        <f t="shared" si="4"/>
        <v>0.1</v>
      </c>
      <c r="V26" s="5">
        <v>0.01</v>
      </c>
      <c r="W26" s="5">
        <f>3.9*V26*(SUM(AA$23:AA$26)/SUM(AA$16:AA$37))</f>
        <v>9.6949152542372893E-3</v>
      </c>
      <c r="X26" s="5"/>
      <c r="Y26" s="3" t="s">
        <v>109</v>
      </c>
      <c r="Z26" s="3">
        <v>142.19</v>
      </c>
      <c r="AA26" s="3">
        <v>0.1</v>
      </c>
      <c r="AB26" s="3">
        <v>0.1</v>
      </c>
      <c r="AC26" s="32">
        <f>AA26/(SUM(AA$23:AA$26))</f>
        <v>5.681818181818182E-3</v>
      </c>
      <c r="AD26" s="26">
        <v>2.2000000000000002</v>
      </c>
      <c r="AE26" s="26">
        <v>1.6</v>
      </c>
      <c r="AF26" s="5">
        <v>0.13</v>
      </c>
      <c r="AG26" s="5"/>
      <c r="AH26" s="3">
        <v>10000</v>
      </c>
      <c r="AI26" s="3">
        <v>0.15</v>
      </c>
      <c r="AJ26" s="3">
        <v>1500</v>
      </c>
      <c r="AK26" s="3">
        <v>1</v>
      </c>
      <c r="AL26" s="4">
        <v>32</v>
      </c>
      <c r="AM26" s="5">
        <v>0.56000000000000005</v>
      </c>
      <c r="AN26" s="4">
        <v>1</v>
      </c>
      <c r="AO26" s="5">
        <v>0.83</v>
      </c>
      <c r="AP26" s="5">
        <v>0.21</v>
      </c>
      <c r="AQ26" s="4">
        <v>500</v>
      </c>
      <c r="AR26" s="4">
        <v>17</v>
      </c>
      <c r="AS26" s="3">
        <v>20</v>
      </c>
      <c r="AT26" s="4">
        <v>85</v>
      </c>
      <c r="AU26" s="5">
        <v>0.37</v>
      </c>
      <c r="AV26" s="5">
        <v>1.38</v>
      </c>
      <c r="AW26" s="5">
        <v>1.05</v>
      </c>
      <c r="AX26" s="13"/>
    </row>
    <row r="27" spans="1:50" x14ac:dyDescent="0.25">
      <c r="A27">
        <f t="shared" si="14"/>
        <v>2</v>
      </c>
      <c r="B27">
        <v>17</v>
      </c>
      <c r="C27">
        <f>C26+1</f>
        <v>5</v>
      </c>
      <c r="D27">
        <v>1</v>
      </c>
      <c r="E27">
        <f t="shared" si="13"/>
        <v>25</v>
      </c>
      <c r="F27" s="2">
        <f t="shared" si="3"/>
        <v>1709503</v>
      </c>
      <c r="G27" s="1" t="str">
        <f t="shared" si="3"/>
        <v>Arkansas River at Catlin Dam</v>
      </c>
      <c r="H27" s="2">
        <v>1700554</v>
      </c>
      <c r="I27" s="1" t="s">
        <v>47</v>
      </c>
      <c r="J27" s="2">
        <f t="shared" si="1"/>
        <v>0</v>
      </c>
      <c r="K27" s="2" t="s">
        <v>34</v>
      </c>
      <c r="L27" s="2" t="s">
        <v>10</v>
      </c>
      <c r="M27" s="2" t="s">
        <v>88</v>
      </c>
      <c r="N27" s="2">
        <v>101</v>
      </c>
      <c r="O27" s="2">
        <v>424</v>
      </c>
      <c r="P27" s="2">
        <v>943</v>
      </c>
      <c r="T27">
        <f t="shared" si="6"/>
        <v>6.3</v>
      </c>
      <c r="U27">
        <f t="shared" si="4"/>
        <v>4.7</v>
      </c>
      <c r="V27" s="1">
        <f t="shared" ref="V27" si="15">ROUND(AC27,2)</f>
        <v>0.35</v>
      </c>
      <c r="W27" s="1">
        <f t="shared" ref="W27:W32" si="16">3.9*V27*(SUM(AA$27:AA$32)/SUM(AA$16:AA$37))</f>
        <v>0.34703389830508474</v>
      </c>
      <c r="Y27" t="s">
        <v>109</v>
      </c>
      <c r="AA27">
        <v>6.3</v>
      </c>
      <c r="AB27">
        <v>4.7</v>
      </c>
      <c r="AC27" s="31">
        <f>AA27/(SUM(AA$27:AA$32))</f>
        <v>0.35</v>
      </c>
      <c r="AD27" s="29">
        <v>6.3</v>
      </c>
      <c r="AE27" s="29">
        <v>4.7</v>
      </c>
      <c r="AF27" s="1">
        <v>0.35</v>
      </c>
      <c r="AG27" s="1"/>
      <c r="AH27">
        <v>10000</v>
      </c>
      <c r="AI27">
        <v>0.15</v>
      </c>
      <c r="AJ27">
        <v>2500</v>
      </c>
      <c r="AK27">
        <v>1</v>
      </c>
      <c r="AL27" s="2">
        <v>32</v>
      </c>
      <c r="AM27" s="1">
        <v>0.56000000000000005</v>
      </c>
      <c r="AN27" s="2">
        <v>1</v>
      </c>
      <c r="AO27" s="1">
        <v>0.83</v>
      </c>
      <c r="AP27" s="1">
        <v>0.21</v>
      </c>
      <c r="AQ27" s="2">
        <v>500</v>
      </c>
      <c r="AR27" s="2">
        <v>17</v>
      </c>
      <c r="AS27">
        <v>20</v>
      </c>
      <c r="AT27" s="2">
        <v>17</v>
      </c>
      <c r="AU27" s="1">
        <v>0.44</v>
      </c>
      <c r="AV27" s="1">
        <v>1.18</v>
      </c>
      <c r="AW27" s="1">
        <v>1.05</v>
      </c>
    </row>
    <row r="28" spans="1:50" x14ac:dyDescent="0.25">
      <c r="A28">
        <f t="shared" si="14"/>
        <v>2</v>
      </c>
      <c r="B28">
        <v>17</v>
      </c>
      <c r="C28">
        <f t="shared" si="14"/>
        <v>5</v>
      </c>
      <c r="D28">
        <f t="shared" si="13"/>
        <v>2</v>
      </c>
      <c r="E28">
        <f t="shared" si="13"/>
        <v>26</v>
      </c>
      <c r="F28" s="2">
        <f t="shared" si="3"/>
        <v>1700554</v>
      </c>
      <c r="G28" s="1" t="str">
        <f t="shared" si="3"/>
        <v>Holbrook Canal</v>
      </c>
      <c r="H28" s="2">
        <v>1700558</v>
      </c>
      <c r="I28" s="1" t="s">
        <v>48</v>
      </c>
      <c r="J28" s="2">
        <f t="shared" si="1"/>
        <v>-1</v>
      </c>
      <c r="K28" s="2" t="s">
        <v>33</v>
      </c>
      <c r="L28" s="2" t="s">
        <v>51</v>
      </c>
      <c r="M28" s="2" t="s">
        <v>88</v>
      </c>
      <c r="N28" s="2">
        <v>0</v>
      </c>
      <c r="O28" s="2">
        <v>145</v>
      </c>
      <c r="P28" s="2">
        <v>155</v>
      </c>
      <c r="T28">
        <f t="shared" si="6"/>
        <v>1.5</v>
      </c>
      <c r="U28">
        <f t="shared" si="4"/>
        <v>1.1000000000000001</v>
      </c>
      <c r="V28" s="1">
        <v>0.08</v>
      </c>
      <c r="W28" s="1">
        <f t="shared" si="16"/>
        <v>7.9322033898305083E-2</v>
      </c>
      <c r="Y28" t="s">
        <v>109</v>
      </c>
      <c r="AA28">
        <v>1.5</v>
      </c>
      <c r="AB28">
        <v>1.1000000000000001</v>
      </c>
      <c r="AC28" s="31">
        <f>AA28/(SUM(AA$27:AA$32))</f>
        <v>8.3333333333333329E-2</v>
      </c>
      <c r="AD28" s="29">
        <v>1.5</v>
      </c>
      <c r="AE28" s="29">
        <v>1.1000000000000001</v>
      </c>
      <c r="AF28" s="1">
        <v>0.08</v>
      </c>
      <c r="AG28" s="1"/>
      <c r="AH28">
        <v>10000</v>
      </c>
      <c r="AI28">
        <v>0.15</v>
      </c>
      <c r="AJ28">
        <v>2500</v>
      </c>
      <c r="AK28">
        <v>1</v>
      </c>
      <c r="AL28" s="2">
        <v>32</v>
      </c>
      <c r="AM28" s="1">
        <v>0.56000000000000005</v>
      </c>
      <c r="AN28" s="2">
        <v>1</v>
      </c>
      <c r="AO28" s="1">
        <v>0.83</v>
      </c>
      <c r="AP28" s="1">
        <v>0.21</v>
      </c>
      <c r="AQ28" s="2">
        <v>500</v>
      </c>
      <c r="AR28" s="2">
        <v>17</v>
      </c>
      <c r="AS28">
        <v>20</v>
      </c>
      <c r="AT28" s="2">
        <v>17</v>
      </c>
      <c r="AU28" s="1">
        <v>0.44</v>
      </c>
      <c r="AV28" s="1">
        <v>1.18</v>
      </c>
      <c r="AW28" s="1">
        <v>1.05</v>
      </c>
    </row>
    <row r="29" spans="1:50" x14ac:dyDescent="0.25">
      <c r="A29">
        <f t="shared" si="14"/>
        <v>2</v>
      </c>
      <c r="B29">
        <v>17</v>
      </c>
      <c r="C29">
        <f t="shared" si="14"/>
        <v>5</v>
      </c>
      <c r="D29">
        <f t="shared" si="13"/>
        <v>3</v>
      </c>
      <c r="E29">
        <f t="shared" si="13"/>
        <v>27</v>
      </c>
      <c r="F29" s="2">
        <f t="shared" si="3"/>
        <v>1700558</v>
      </c>
      <c r="G29" s="1" t="str">
        <f t="shared" si="3"/>
        <v>Rocky Ford Ditch</v>
      </c>
      <c r="H29" s="2">
        <v>1700648</v>
      </c>
      <c r="I29" s="1" t="s">
        <v>49</v>
      </c>
      <c r="J29" s="2">
        <f t="shared" si="1"/>
        <v>-1</v>
      </c>
      <c r="K29" s="1" t="s">
        <v>33</v>
      </c>
      <c r="L29" s="2" t="s">
        <v>52</v>
      </c>
      <c r="M29" s="2" t="s">
        <v>90</v>
      </c>
      <c r="N29" s="2">
        <v>83</v>
      </c>
      <c r="O29" s="2">
        <v>45</v>
      </c>
      <c r="P29" s="2">
        <v>103</v>
      </c>
      <c r="T29">
        <f t="shared" si="6"/>
        <v>1</v>
      </c>
      <c r="U29">
        <f t="shared" si="4"/>
        <v>0.7</v>
      </c>
      <c r="V29" s="1">
        <v>0.06</v>
      </c>
      <c r="W29" s="1">
        <f t="shared" si="16"/>
        <v>5.9491525423728805E-2</v>
      </c>
      <c r="Y29" t="s">
        <v>109</v>
      </c>
      <c r="Z29">
        <v>132.29</v>
      </c>
      <c r="AA29">
        <v>1</v>
      </c>
      <c r="AB29">
        <v>0.7</v>
      </c>
      <c r="AC29" s="31">
        <f t="shared" ref="AC29:AC32" si="17">AA29/(SUM(AA$27:AA$32))</f>
        <v>5.5555555555555552E-2</v>
      </c>
      <c r="AD29" s="29">
        <v>1</v>
      </c>
      <c r="AE29" s="29">
        <v>0.7</v>
      </c>
      <c r="AF29" s="1">
        <v>0.06</v>
      </c>
      <c r="AG29" s="1"/>
      <c r="AH29">
        <v>10000</v>
      </c>
      <c r="AI29">
        <v>0.15</v>
      </c>
      <c r="AJ29">
        <v>2500</v>
      </c>
      <c r="AK29">
        <v>1</v>
      </c>
      <c r="AL29" s="2">
        <v>32</v>
      </c>
      <c r="AM29" s="1">
        <v>0.56000000000000005</v>
      </c>
      <c r="AN29" s="2">
        <v>1</v>
      </c>
      <c r="AO29" s="1">
        <v>0.83</v>
      </c>
      <c r="AP29" s="1">
        <v>0.21</v>
      </c>
      <c r="AQ29" s="2">
        <v>500</v>
      </c>
      <c r="AR29" s="2">
        <v>17</v>
      </c>
      <c r="AS29">
        <v>20</v>
      </c>
      <c r="AT29" s="2">
        <v>17</v>
      </c>
      <c r="AU29" s="1">
        <v>0.44</v>
      </c>
      <c r="AV29" s="1">
        <v>1.18</v>
      </c>
      <c r="AW29" s="1">
        <v>1.05</v>
      </c>
    </row>
    <row r="30" spans="1:50" x14ac:dyDescent="0.25">
      <c r="A30">
        <f t="shared" si="14"/>
        <v>2</v>
      </c>
      <c r="B30">
        <v>17</v>
      </c>
      <c r="C30">
        <f t="shared" si="14"/>
        <v>5</v>
      </c>
      <c r="D30">
        <f t="shared" si="13"/>
        <v>4</v>
      </c>
      <c r="E30">
        <f t="shared" si="13"/>
        <v>28</v>
      </c>
      <c r="F30" s="2">
        <f t="shared" si="3"/>
        <v>1700648</v>
      </c>
      <c r="G30" s="1" t="str">
        <f t="shared" si="3"/>
        <v>Fort Lyon Storage Canal</v>
      </c>
      <c r="H30" s="2">
        <v>1700668</v>
      </c>
      <c r="I30" s="1" t="s">
        <v>21</v>
      </c>
      <c r="J30" s="2">
        <f t="shared" si="1"/>
        <v>-1</v>
      </c>
      <c r="K30" s="1" t="s">
        <v>33</v>
      </c>
      <c r="L30" s="2" t="s">
        <v>53</v>
      </c>
      <c r="M30" s="2" t="s">
        <v>88</v>
      </c>
      <c r="N30" s="2">
        <v>0</v>
      </c>
      <c r="O30" s="2">
        <v>233</v>
      </c>
      <c r="P30" s="2">
        <v>0</v>
      </c>
      <c r="T30">
        <f t="shared" si="6"/>
        <v>1.3</v>
      </c>
      <c r="U30">
        <f t="shared" si="4"/>
        <v>1</v>
      </c>
      <c r="V30" s="1">
        <v>0.08</v>
      </c>
      <c r="W30" s="1">
        <f t="shared" si="16"/>
        <v>7.9322033898305083E-2</v>
      </c>
      <c r="Y30" t="s">
        <v>109</v>
      </c>
      <c r="Z30">
        <f>Z29-1.4</f>
        <v>130.88999999999999</v>
      </c>
      <c r="AA30" s="1">
        <f>(Z29-Z30)/(Z29-Z32)*AD32</f>
        <v>1.343065693430664</v>
      </c>
      <c r="AB30">
        <f>(Z29-Z30)/(Z29-Z32)*AE32</f>
        <v>0.99270072992701253</v>
      </c>
      <c r="AC30" s="31">
        <f t="shared" si="17"/>
        <v>7.4614760746147993E-2</v>
      </c>
      <c r="AF30" s="1"/>
      <c r="AG30" s="1"/>
      <c r="AH30">
        <v>10000</v>
      </c>
      <c r="AI30">
        <v>0.15</v>
      </c>
      <c r="AJ30">
        <v>2500</v>
      </c>
      <c r="AK30">
        <v>1</v>
      </c>
      <c r="AL30" s="2">
        <v>32</v>
      </c>
      <c r="AM30" s="1">
        <v>0.56000000000000005</v>
      </c>
      <c r="AN30" s="2">
        <v>1</v>
      </c>
      <c r="AO30" s="1">
        <v>0.83</v>
      </c>
      <c r="AP30" s="1">
        <v>0.21</v>
      </c>
      <c r="AQ30" s="2">
        <v>500</v>
      </c>
      <c r="AR30" s="2">
        <v>17</v>
      </c>
      <c r="AS30">
        <v>20</v>
      </c>
      <c r="AT30" s="2">
        <v>17</v>
      </c>
      <c r="AU30" s="1">
        <v>0.44</v>
      </c>
      <c r="AV30" s="1">
        <v>1.18</v>
      </c>
      <c r="AW30" s="1">
        <v>1.05</v>
      </c>
    </row>
    <row r="31" spans="1:50" x14ac:dyDescent="0.25">
      <c r="A31">
        <f t="shared" si="14"/>
        <v>2</v>
      </c>
      <c r="B31">
        <v>17</v>
      </c>
      <c r="C31">
        <f t="shared" si="14"/>
        <v>5</v>
      </c>
      <c r="D31">
        <f t="shared" si="13"/>
        <v>5</v>
      </c>
      <c r="E31">
        <f t="shared" si="13"/>
        <v>29</v>
      </c>
      <c r="F31" s="2">
        <f t="shared" si="3"/>
        <v>1700668</v>
      </c>
      <c r="G31" s="1" t="str">
        <f t="shared" si="3"/>
        <v>Rocky Ford Return</v>
      </c>
      <c r="H31" s="2">
        <v>1703525</v>
      </c>
      <c r="I31" s="1" t="s">
        <v>68</v>
      </c>
      <c r="J31" s="2">
        <f t="shared" si="1"/>
        <v>1</v>
      </c>
      <c r="K31" s="1" t="s">
        <v>32</v>
      </c>
      <c r="L31" s="2" t="s">
        <v>54</v>
      </c>
      <c r="M31" s="2" t="s">
        <v>89</v>
      </c>
      <c r="N31" s="2">
        <v>24</v>
      </c>
      <c r="O31" s="2">
        <v>26</v>
      </c>
      <c r="P31" s="2">
        <v>31</v>
      </c>
      <c r="T31">
        <f t="shared" si="6"/>
        <v>1.3</v>
      </c>
      <c r="U31">
        <f t="shared" si="4"/>
        <v>1</v>
      </c>
      <c r="V31" s="1">
        <v>7.0000000000000007E-2</v>
      </c>
      <c r="W31" s="1">
        <f t="shared" si="16"/>
        <v>6.9406779661016951E-2</v>
      </c>
      <c r="Y31" t="s">
        <v>109</v>
      </c>
      <c r="Z31">
        <f>Z29-2.77</f>
        <v>129.51999999999998</v>
      </c>
      <c r="AA31">
        <f>(Z30-Z31)/(Z29-Z32)*AD32</f>
        <v>1.3142857142857201</v>
      </c>
      <c r="AB31">
        <f>(Z30-Z31)/(Z29-Z32)*AE32</f>
        <v>0.97142857142857564</v>
      </c>
      <c r="AC31" s="31">
        <f t="shared" si="17"/>
        <v>7.3015873015873339E-2</v>
      </c>
      <c r="AF31" s="1"/>
      <c r="AG31" s="1"/>
      <c r="AH31">
        <v>10000</v>
      </c>
      <c r="AI31">
        <v>0.15</v>
      </c>
      <c r="AJ31">
        <v>2500</v>
      </c>
      <c r="AK31">
        <v>1</v>
      </c>
      <c r="AL31" s="2">
        <v>32</v>
      </c>
      <c r="AM31" s="1">
        <v>0.56000000000000005</v>
      </c>
      <c r="AN31" s="2">
        <v>1</v>
      </c>
      <c r="AO31" s="1">
        <v>0.83</v>
      </c>
      <c r="AP31" s="1">
        <v>0.21</v>
      </c>
      <c r="AQ31" s="2">
        <v>500</v>
      </c>
      <c r="AR31" s="2">
        <v>17</v>
      </c>
      <c r="AS31">
        <v>20</v>
      </c>
      <c r="AT31" s="2">
        <v>17</v>
      </c>
      <c r="AU31" s="1">
        <v>0.44</v>
      </c>
      <c r="AV31" s="1">
        <v>1.18</v>
      </c>
      <c r="AW31" s="1">
        <v>1.05</v>
      </c>
    </row>
    <row r="32" spans="1:50" s="3" customFormat="1" x14ac:dyDescent="0.25">
      <c r="A32" s="3">
        <f t="shared" si="14"/>
        <v>2</v>
      </c>
      <c r="B32" s="3">
        <v>17</v>
      </c>
      <c r="C32" s="3">
        <f t="shared" si="14"/>
        <v>5</v>
      </c>
      <c r="D32" s="3">
        <f t="shared" si="13"/>
        <v>6</v>
      </c>
      <c r="E32" s="3">
        <f t="shared" si="13"/>
        <v>30</v>
      </c>
      <c r="F32" s="4">
        <f t="shared" si="3"/>
        <v>1703525</v>
      </c>
      <c r="G32" s="5" t="str">
        <f t="shared" si="3"/>
        <v>Lake Meredith Outfall</v>
      </c>
      <c r="H32" s="4">
        <v>1709507</v>
      </c>
      <c r="I32" s="5" t="s">
        <v>55</v>
      </c>
      <c r="J32" s="4">
        <f t="shared" si="1"/>
        <v>1</v>
      </c>
      <c r="K32" s="5" t="s">
        <v>32</v>
      </c>
      <c r="L32" s="4" t="s">
        <v>50</v>
      </c>
      <c r="M32" s="4" t="s">
        <v>88</v>
      </c>
      <c r="N32" s="4">
        <v>72</v>
      </c>
      <c r="O32" s="4">
        <v>36</v>
      </c>
      <c r="P32" s="4">
        <v>47</v>
      </c>
      <c r="Q32" s="26">
        <v>1</v>
      </c>
      <c r="T32" s="3">
        <f t="shared" si="6"/>
        <v>6.5</v>
      </c>
      <c r="U32" s="3">
        <f t="shared" si="4"/>
        <v>4.8</v>
      </c>
      <c r="V32" s="5">
        <v>0.36</v>
      </c>
      <c r="W32" s="5">
        <f t="shared" si="16"/>
        <v>0.35694915254237286</v>
      </c>
      <c r="X32" s="5"/>
      <c r="Y32" s="3" t="s">
        <v>109</v>
      </c>
      <c r="Z32" s="3">
        <v>122.7</v>
      </c>
      <c r="AA32" s="3">
        <f>(Z31-Z32)/(Z29-Z32)*AD32</f>
        <v>6.5426485922836148</v>
      </c>
      <c r="AB32" s="3">
        <f>(Z31-Z32)/(Z29-Z32)*AE32</f>
        <v>4.8358706986444115</v>
      </c>
      <c r="AC32" s="32">
        <f t="shared" si="17"/>
        <v>0.36348047734908973</v>
      </c>
      <c r="AD32" s="26">
        <v>9.1999999999999993</v>
      </c>
      <c r="AE32" s="26">
        <v>6.8</v>
      </c>
      <c r="AF32" s="5">
        <v>0.51</v>
      </c>
      <c r="AG32" s="5"/>
      <c r="AH32" s="3">
        <v>10000</v>
      </c>
      <c r="AI32" s="3">
        <v>0.15</v>
      </c>
      <c r="AJ32" s="3">
        <v>2500</v>
      </c>
      <c r="AK32" s="3">
        <v>1</v>
      </c>
      <c r="AL32" s="4">
        <v>32</v>
      </c>
      <c r="AM32" s="5">
        <v>0.56000000000000005</v>
      </c>
      <c r="AN32" s="4">
        <v>1</v>
      </c>
      <c r="AO32" s="5">
        <v>0.83</v>
      </c>
      <c r="AP32" s="5">
        <v>0.21</v>
      </c>
      <c r="AQ32" s="4">
        <v>500</v>
      </c>
      <c r="AR32" s="4">
        <v>17</v>
      </c>
      <c r="AS32" s="3">
        <v>20</v>
      </c>
      <c r="AT32" s="4">
        <v>17</v>
      </c>
      <c r="AU32" s="5">
        <v>0.44</v>
      </c>
      <c r="AV32" s="5">
        <v>1.18</v>
      </c>
      <c r="AW32" s="5">
        <v>1.05</v>
      </c>
      <c r="AX32" s="13"/>
    </row>
    <row r="33" spans="1:50" x14ac:dyDescent="0.25">
      <c r="A33">
        <f t="shared" si="14"/>
        <v>2</v>
      </c>
      <c r="B33">
        <v>17</v>
      </c>
      <c r="C33">
        <f>C32+1</f>
        <v>6</v>
      </c>
      <c r="D33">
        <v>1</v>
      </c>
      <c r="E33">
        <f t="shared" si="13"/>
        <v>31</v>
      </c>
      <c r="F33" s="2">
        <f t="shared" si="3"/>
        <v>1709507</v>
      </c>
      <c r="G33" t="str">
        <f t="shared" si="3"/>
        <v>Arkansas River near Rocky Ford</v>
      </c>
      <c r="H33" s="2">
        <v>1709520</v>
      </c>
      <c r="I33" t="s">
        <v>56</v>
      </c>
      <c r="J33" s="2">
        <f t="shared" si="1"/>
        <v>0</v>
      </c>
      <c r="K33" s="2" t="s">
        <v>34</v>
      </c>
      <c r="L33" s="2" t="s">
        <v>11</v>
      </c>
      <c r="M33" s="2" t="s">
        <v>88</v>
      </c>
      <c r="N33" s="2">
        <v>107</v>
      </c>
      <c r="O33" s="2">
        <v>346</v>
      </c>
      <c r="P33" s="2">
        <v>780</v>
      </c>
      <c r="T33">
        <f t="shared" si="6"/>
        <v>6.4</v>
      </c>
      <c r="U33">
        <f t="shared" si="4"/>
        <v>4.7</v>
      </c>
      <c r="V33" s="1">
        <f>ROUND(AC33,2)</f>
        <v>0.45</v>
      </c>
      <c r="W33" s="1">
        <f>3.9*V33*(SUM(AA$33:AA$37)/SUM(AA$16:AA$37))</f>
        <v>0.3519915254237288</v>
      </c>
      <c r="Y33" t="s">
        <v>109</v>
      </c>
      <c r="Z33">
        <f>ROUND(Z32-5.6650572,2)</f>
        <v>117.03</v>
      </c>
      <c r="AA33">
        <v>6.4</v>
      </c>
      <c r="AB33">
        <v>4.7</v>
      </c>
      <c r="AC33" s="1">
        <f>AA33/(SUM(AA$33:AA$37))</f>
        <v>0.45070422535211274</v>
      </c>
      <c r="AD33" s="29">
        <v>6.4</v>
      </c>
      <c r="AE33" s="29">
        <v>4.7</v>
      </c>
      <c r="AF33" s="1">
        <v>0.45</v>
      </c>
      <c r="AG33" s="1"/>
      <c r="AH33">
        <v>10000</v>
      </c>
      <c r="AI33">
        <v>0.15</v>
      </c>
      <c r="AJ33">
        <v>2500</v>
      </c>
      <c r="AK33">
        <v>1</v>
      </c>
      <c r="AL33" s="2">
        <v>32</v>
      </c>
      <c r="AM33" s="1">
        <v>0.56000000000000005</v>
      </c>
      <c r="AN33" s="2">
        <v>1</v>
      </c>
      <c r="AO33" s="1">
        <v>0.83</v>
      </c>
      <c r="AP33" s="1">
        <v>0.21</v>
      </c>
      <c r="AQ33" s="2">
        <v>500</v>
      </c>
      <c r="AR33" s="2">
        <v>17</v>
      </c>
      <c r="AS33">
        <v>20</v>
      </c>
      <c r="AT33" s="2">
        <v>56</v>
      </c>
      <c r="AU33" s="1">
        <v>0.49</v>
      </c>
      <c r="AV33" s="1">
        <v>0.96</v>
      </c>
      <c r="AW33" s="1">
        <v>1.04</v>
      </c>
    </row>
    <row r="34" spans="1:50" x14ac:dyDescent="0.25">
      <c r="A34">
        <f t="shared" si="14"/>
        <v>2</v>
      </c>
      <c r="B34">
        <v>17</v>
      </c>
      <c r="C34">
        <f>C33</f>
        <v>6</v>
      </c>
      <c r="D34">
        <f t="shared" si="13"/>
        <v>2</v>
      </c>
      <c r="E34">
        <f t="shared" si="13"/>
        <v>32</v>
      </c>
      <c r="F34" s="2">
        <v>1709998</v>
      </c>
      <c r="G34" t="str">
        <f t="shared" si="3"/>
        <v>Timpas Creek</v>
      </c>
      <c r="H34" s="2">
        <v>1703511</v>
      </c>
      <c r="I34" t="s">
        <v>99</v>
      </c>
      <c r="J34" s="2">
        <f t="shared" si="1"/>
        <v>1</v>
      </c>
      <c r="K34" s="2" t="s">
        <v>32</v>
      </c>
      <c r="L34" s="2"/>
      <c r="M34" s="2"/>
      <c r="N34" s="2">
        <v>21</v>
      </c>
      <c r="O34" s="2">
        <v>48</v>
      </c>
      <c r="P34" s="2">
        <v>79</v>
      </c>
      <c r="T34">
        <f t="shared" si="6"/>
        <v>0.9</v>
      </c>
      <c r="U34">
        <f t="shared" si="4"/>
        <v>0.6</v>
      </c>
      <c r="V34" s="1">
        <f t="shared" ref="V34:V35" si="18">ROUND(AC34,2)</f>
        <v>0.06</v>
      </c>
      <c r="W34" s="1">
        <f>3.9*V34*(SUM(AA$33:AA$37)/SUM(AA$16:AA$37))</f>
        <v>4.6932203389830507E-2</v>
      </c>
      <c r="Y34" t="s">
        <v>109</v>
      </c>
      <c r="Z34">
        <f>ROUND(Z33-0.894105618177762,2)</f>
        <v>116.14</v>
      </c>
      <c r="AA34" s="1">
        <f>(Z33-Z34)/(Z33-Z35)*AD35</f>
        <v>0.85576923076923006</v>
      </c>
      <c r="AB34" s="1">
        <f>(Z33-Z34)/(Z33-Z35)*AE35</f>
        <v>0.62756410256410211</v>
      </c>
      <c r="AC34" s="1">
        <f t="shared" ref="AC34:AC37" si="19">AA34/(SUM(AA$33:AA$37))</f>
        <v>6.0265438786565498E-2</v>
      </c>
      <c r="AF34" s="1"/>
      <c r="AG34" s="1"/>
      <c r="AH34">
        <v>10000</v>
      </c>
      <c r="AI34">
        <v>0.15</v>
      </c>
      <c r="AJ34">
        <v>2500</v>
      </c>
      <c r="AK34">
        <v>1</v>
      </c>
      <c r="AL34" s="2">
        <v>32</v>
      </c>
      <c r="AM34" s="1">
        <v>0.56000000000000005</v>
      </c>
      <c r="AN34" s="2">
        <v>1</v>
      </c>
      <c r="AO34" s="1">
        <v>0.83</v>
      </c>
      <c r="AP34" s="1">
        <v>0.21</v>
      </c>
      <c r="AQ34" s="2">
        <v>500</v>
      </c>
      <c r="AR34" s="2">
        <v>17</v>
      </c>
      <c r="AS34">
        <v>20</v>
      </c>
      <c r="AT34" s="2">
        <v>56</v>
      </c>
      <c r="AU34" s="1">
        <v>0.49</v>
      </c>
      <c r="AV34" s="1">
        <v>0.96</v>
      </c>
      <c r="AW34" s="1">
        <v>1.04</v>
      </c>
      <c r="AX34" s="14" t="s">
        <v>205</v>
      </c>
    </row>
    <row r="35" spans="1:50" x14ac:dyDescent="0.25">
      <c r="A35">
        <f t="shared" si="14"/>
        <v>2</v>
      </c>
      <c r="B35">
        <v>17</v>
      </c>
      <c r="C35">
        <f t="shared" ref="C35:C37" si="20">C34</f>
        <v>6</v>
      </c>
      <c r="D35">
        <f t="shared" si="13"/>
        <v>3</v>
      </c>
      <c r="E35">
        <f t="shared" si="13"/>
        <v>33</v>
      </c>
      <c r="F35" s="2">
        <f t="shared" si="3"/>
        <v>1703511</v>
      </c>
      <c r="G35" s="1" t="str">
        <f t="shared" si="3"/>
        <v>Holbrook Reservoir Outfall</v>
      </c>
      <c r="H35" s="2">
        <v>1700553</v>
      </c>
      <c r="I35" s="1" t="s">
        <v>57</v>
      </c>
      <c r="J35" s="2">
        <f t="shared" si="1"/>
        <v>1</v>
      </c>
      <c r="K35" s="2" t="s">
        <v>32</v>
      </c>
      <c r="L35" s="2" t="s">
        <v>100</v>
      </c>
      <c r="M35" s="2" t="s">
        <v>88</v>
      </c>
      <c r="N35" s="2">
        <v>0</v>
      </c>
      <c r="O35" s="2">
        <v>0</v>
      </c>
      <c r="P35" s="2">
        <v>0</v>
      </c>
      <c r="Q35" s="29">
        <v>1</v>
      </c>
      <c r="T35">
        <f t="shared" si="6"/>
        <v>2.1</v>
      </c>
      <c r="U35">
        <f t="shared" si="4"/>
        <v>1.6</v>
      </c>
      <c r="V35" s="1">
        <f t="shared" si="18"/>
        <v>0.15</v>
      </c>
      <c r="W35" s="1">
        <f t="shared" ref="W35:W36" si="21">3.9*V35*(SUM(AA$33:AA$37)/SUM(AA$16:AA$37))</f>
        <v>0.11733050847457627</v>
      </c>
      <c r="Y35" t="s">
        <v>109</v>
      </c>
      <c r="Z35">
        <v>113.91</v>
      </c>
      <c r="AA35" s="1">
        <f>(Z34-Z35)/(Z33-Z35)*AD35</f>
        <v>2.1442307692307701</v>
      </c>
      <c r="AB35" s="1">
        <f>(Z34-Z35)/(Z33-Z35)*AE35</f>
        <v>1.5724358974358981</v>
      </c>
      <c r="AC35" s="1">
        <f t="shared" si="19"/>
        <v>0.15100216684723733</v>
      </c>
      <c r="AD35" s="29">
        <v>3</v>
      </c>
      <c r="AE35" s="29">
        <v>2.2000000000000002</v>
      </c>
      <c r="AF35" s="1">
        <v>0.21</v>
      </c>
      <c r="AG35" s="1"/>
      <c r="AH35">
        <v>10000</v>
      </c>
      <c r="AI35">
        <v>0.15</v>
      </c>
      <c r="AJ35">
        <v>2500</v>
      </c>
      <c r="AK35">
        <v>1</v>
      </c>
      <c r="AL35" s="2">
        <v>32</v>
      </c>
      <c r="AM35" s="1">
        <v>0.56000000000000005</v>
      </c>
      <c r="AN35" s="2">
        <v>1</v>
      </c>
      <c r="AO35" s="1">
        <v>0.83</v>
      </c>
      <c r="AP35" s="1">
        <v>0.21</v>
      </c>
      <c r="AQ35" s="2">
        <v>500</v>
      </c>
      <c r="AR35" s="2">
        <v>17</v>
      </c>
      <c r="AS35">
        <v>20</v>
      </c>
      <c r="AT35" s="2">
        <v>56</v>
      </c>
      <c r="AU35" s="1">
        <v>0.49</v>
      </c>
      <c r="AV35" s="1">
        <v>0.96</v>
      </c>
      <c r="AW35" s="1">
        <v>1.04</v>
      </c>
    </row>
    <row r="36" spans="1:50" x14ac:dyDescent="0.25">
      <c r="A36">
        <f t="shared" si="14"/>
        <v>2</v>
      </c>
      <c r="B36">
        <v>17</v>
      </c>
      <c r="C36">
        <f t="shared" si="20"/>
        <v>6</v>
      </c>
      <c r="D36">
        <f t="shared" si="13"/>
        <v>4</v>
      </c>
      <c r="E36">
        <f t="shared" si="13"/>
        <v>34</v>
      </c>
      <c r="F36" s="2">
        <f t="shared" si="3"/>
        <v>1700553</v>
      </c>
      <c r="G36" s="1" t="str">
        <f t="shared" si="3"/>
        <v>Fort Lyon Canal</v>
      </c>
      <c r="H36" s="2">
        <v>1709999</v>
      </c>
      <c r="I36" s="1" t="s">
        <v>102</v>
      </c>
      <c r="J36" s="2">
        <f t="shared" si="1"/>
        <v>-1</v>
      </c>
      <c r="K36" s="2" t="s">
        <v>33</v>
      </c>
      <c r="L36" s="2" t="s">
        <v>59</v>
      </c>
      <c r="M36" s="2" t="s">
        <v>88</v>
      </c>
      <c r="N36" s="2">
        <v>152</v>
      </c>
      <c r="O36" s="2">
        <v>313</v>
      </c>
      <c r="P36" s="2">
        <v>552</v>
      </c>
      <c r="T36">
        <f t="shared" si="6"/>
        <v>1.7</v>
      </c>
      <c r="U36">
        <f t="shared" si="4"/>
        <v>1.3</v>
      </c>
      <c r="V36" s="1">
        <v>0.12</v>
      </c>
      <c r="W36" s="1">
        <f t="shared" si="21"/>
        <v>9.3864406779661014E-2</v>
      </c>
      <c r="Y36" t="s">
        <v>109</v>
      </c>
      <c r="AA36">
        <v>1.7</v>
      </c>
      <c r="AB36">
        <v>1.3</v>
      </c>
      <c r="AC36" s="1">
        <f t="shared" si="19"/>
        <v>0.11971830985915494</v>
      </c>
      <c r="AD36" s="29">
        <v>1.7</v>
      </c>
      <c r="AE36" s="29">
        <v>1.3</v>
      </c>
      <c r="AF36" s="1">
        <v>0.12</v>
      </c>
      <c r="AG36" s="1"/>
      <c r="AH36">
        <v>10000</v>
      </c>
      <c r="AI36">
        <v>0.15</v>
      </c>
      <c r="AJ36">
        <v>2500</v>
      </c>
      <c r="AK36">
        <v>1</v>
      </c>
      <c r="AL36" s="2">
        <v>32</v>
      </c>
      <c r="AM36" s="1">
        <v>0.56000000000000005</v>
      </c>
      <c r="AN36" s="2">
        <v>1</v>
      </c>
      <c r="AO36" s="1">
        <v>0.83</v>
      </c>
      <c r="AP36" s="1">
        <v>0.21</v>
      </c>
      <c r="AQ36" s="2">
        <v>500</v>
      </c>
      <c r="AR36" s="2">
        <v>17</v>
      </c>
      <c r="AS36">
        <v>20</v>
      </c>
      <c r="AT36" s="2">
        <v>56</v>
      </c>
      <c r="AU36" s="1">
        <v>0.49</v>
      </c>
      <c r="AV36" s="1">
        <v>0.96</v>
      </c>
      <c r="AW36" s="1">
        <v>1.04</v>
      </c>
    </row>
    <row r="37" spans="1:50" s="3" customFormat="1" x14ac:dyDescent="0.25">
      <c r="A37" s="3">
        <f t="shared" si="14"/>
        <v>2</v>
      </c>
      <c r="B37" s="3">
        <v>17</v>
      </c>
      <c r="C37" s="3">
        <f t="shared" si="20"/>
        <v>6</v>
      </c>
      <c r="D37" s="3">
        <f t="shared" ref="D37:E43" si="22">D36+1</f>
        <v>5</v>
      </c>
      <c r="E37" s="3">
        <f t="shared" si="22"/>
        <v>35</v>
      </c>
      <c r="F37" s="4">
        <f t="shared" si="3"/>
        <v>1709999</v>
      </c>
      <c r="G37" s="5" t="str">
        <f t="shared" si="3"/>
        <v>Crooked Arroyo</v>
      </c>
      <c r="H37" s="4">
        <v>1709504</v>
      </c>
      <c r="I37" s="5" t="s">
        <v>18</v>
      </c>
      <c r="J37" s="4">
        <f t="shared" si="1"/>
        <v>1</v>
      </c>
      <c r="K37" s="5" t="s">
        <v>32</v>
      </c>
      <c r="L37" s="4"/>
      <c r="M37" s="4"/>
      <c r="N37" s="4">
        <v>4</v>
      </c>
      <c r="O37" s="4">
        <v>10</v>
      </c>
      <c r="P37" s="4">
        <v>32</v>
      </c>
      <c r="Q37" s="26"/>
      <c r="T37" s="3">
        <f t="shared" si="6"/>
        <v>3.1</v>
      </c>
      <c r="U37" s="3">
        <f t="shared" si="4"/>
        <v>2.2999999999999998</v>
      </c>
      <c r="V37" s="5">
        <v>0.22</v>
      </c>
      <c r="W37" s="5">
        <f>3.9*V37*(SUM(AA$33:AA$37)/SUM(AA$16:AA$37))</f>
        <v>0.17208474576271188</v>
      </c>
      <c r="X37" s="5"/>
      <c r="Y37" s="3" t="s">
        <v>109</v>
      </c>
      <c r="AA37" s="3">
        <v>3.1</v>
      </c>
      <c r="AB37" s="3">
        <v>2.2999999999999998</v>
      </c>
      <c r="AC37" s="5">
        <f t="shared" si="19"/>
        <v>0.21830985915492959</v>
      </c>
      <c r="AD37" s="26">
        <v>3.1</v>
      </c>
      <c r="AE37" s="26">
        <v>2.2999999999999998</v>
      </c>
      <c r="AF37" s="5">
        <v>0.22</v>
      </c>
      <c r="AG37" s="5"/>
      <c r="AH37" s="3">
        <v>10000</v>
      </c>
      <c r="AI37" s="3">
        <v>0.15</v>
      </c>
      <c r="AJ37" s="3">
        <v>2500</v>
      </c>
      <c r="AK37" s="3">
        <v>1</v>
      </c>
      <c r="AL37" s="4">
        <v>32</v>
      </c>
      <c r="AM37" s="5">
        <v>0.56000000000000005</v>
      </c>
      <c r="AN37" s="4">
        <v>1</v>
      </c>
      <c r="AO37" s="5">
        <v>0.83</v>
      </c>
      <c r="AP37" s="5">
        <v>0.21</v>
      </c>
      <c r="AQ37" s="4">
        <v>500</v>
      </c>
      <c r="AR37" s="4">
        <v>17</v>
      </c>
      <c r="AS37" s="3">
        <v>20</v>
      </c>
      <c r="AT37" s="4">
        <v>56</v>
      </c>
      <c r="AU37" s="5">
        <v>0.49</v>
      </c>
      <c r="AV37" s="5">
        <v>0.96</v>
      </c>
      <c r="AW37" s="5">
        <v>1.04</v>
      </c>
      <c r="AX37" s="13" t="s">
        <v>206</v>
      </c>
    </row>
    <row r="38" spans="1:50" x14ac:dyDescent="0.25">
      <c r="A38">
        <f t="shared" si="14"/>
        <v>2</v>
      </c>
      <c r="B38">
        <v>17</v>
      </c>
      <c r="C38">
        <f>C37+1</f>
        <v>7</v>
      </c>
      <c r="D38">
        <v>1</v>
      </c>
      <c r="E38">
        <f t="shared" si="22"/>
        <v>36</v>
      </c>
      <c r="F38" s="2">
        <f t="shared" si="3"/>
        <v>1709504</v>
      </c>
      <c r="G38" s="1" t="str">
        <f t="shared" si="3"/>
        <v>Arkansas River at La Junta</v>
      </c>
      <c r="H38" s="2">
        <v>1720017</v>
      </c>
      <c r="I38" s="1" t="s">
        <v>60</v>
      </c>
      <c r="J38" s="2">
        <f t="shared" si="1"/>
        <v>0</v>
      </c>
      <c r="K38" s="2" t="s">
        <v>34</v>
      </c>
      <c r="L38" s="2" t="s">
        <v>12</v>
      </c>
      <c r="M38" s="2" t="s">
        <v>88</v>
      </c>
      <c r="N38" s="2">
        <v>12</v>
      </c>
      <c r="O38" s="2">
        <v>165</v>
      </c>
      <c r="P38" s="2">
        <v>395</v>
      </c>
      <c r="T38">
        <f t="shared" si="6"/>
        <v>0.1</v>
      </c>
      <c r="U38">
        <f t="shared" si="4"/>
        <v>0.1</v>
      </c>
      <c r="V38" s="1">
        <v>0.01</v>
      </c>
      <c r="W38" s="1">
        <f>3*V38*(SUM(AA$38:AA$41)/SUM(AA$38:AA$43))</f>
        <v>2.4035608308605343E-2</v>
      </c>
      <c r="Y38" t="s">
        <v>109</v>
      </c>
      <c r="AA38">
        <v>0.1</v>
      </c>
      <c r="AB38">
        <v>0.1</v>
      </c>
      <c r="AC38" s="1">
        <f>AA38/(SUM(AA$38:AA$41))</f>
        <v>3.7037037037037034E-3</v>
      </c>
      <c r="AD38" s="29">
        <v>0.1</v>
      </c>
      <c r="AE38" s="29">
        <v>0.1</v>
      </c>
      <c r="AF38">
        <v>0.01</v>
      </c>
      <c r="AH38">
        <v>10000</v>
      </c>
      <c r="AI38">
        <v>0.15</v>
      </c>
      <c r="AJ38">
        <v>3000</v>
      </c>
      <c r="AK38">
        <v>1</v>
      </c>
      <c r="AL38" s="2">
        <v>32</v>
      </c>
      <c r="AM38" s="1">
        <v>0.56000000000000005</v>
      </c>
      <c r="AN38" s="2">
        <v>1</v>
      </c>
      <c r="AO38" s="1">
        <v>0.83</v>
      </c>
      <c r="AP38" s="1">
        <v>0.21</v>
      </c>
      <c r="AQ38" s="2">
        <v>500</v>
      </c>
      <c r="AR38" s="2">
        <v>17</v>
      </c>
      <c r="AS38">
        <v>30</v>
      </c>
      <c r="AT38" s="2">
        <v>116</v>
      </c>
      <c r="AU38" s="1">
        <v>0.41</v>
      </c>
      <c r="AV38" s="1">
        <v>1.06</v>
      </c>
      <c r="AW38" s="1">
        <v>1.02</v>
      </c>
    </row>
    <row r="39" spans="1:50" x14ac:dyDescent="0.25">
      <c r="A39">
        <f t="shared" ref="A39:C43" si="23">A38</f>
        <v>2</v>
      </c>
      <c r="B39">
        <v>17</v>
      </c>
      <c r="C39">
        <f t="shared" si="23"/>
        <v>7</v>
      </c>
      <c r="D39">
        <v>2</v>
      </c>
      <c r="E39">
        <f t="shared" si="22"/>
        <v>37</v>
      </c>
      <c r="F39" s="2">
        <f t="shared" si="3"/>
        <v>1720017</v>
      </c>
      <c r="G39" s="1" t="str">
        <f t="shared" si="3"/>
        <v>King Arroyo</v>
      </c>
      <c r="H39" s="2">
        <v>1700556</v>
      </c>
      <c r="I39" s="1" t="s">
        <v>61</v>
      </c>
      <c r="J39" s="2">
        <f t="shared" si="1"/>
        <v>1</v>
      </c>
      <c r="K39" s="2" t="s">
        <v>32</v>
      </c>
      <c r="L39" s="2"/>
      <c r="M39" s="2"/>
      <c r="N39" s="2">
        <v>5</v>
      </c>
      <c r="O39" s="2">
        <v>5</v>
      </c>
      <c r="P39" s="2">
        <v>5</v>
      </c>
      <c r="T39">
        <f t="shared" si="6"/>
        <v>16.3</v>
      </c>
      <c r="U39">
        <f t="shared" si="4"/>
        <v>12</v>
      </c>
      <c r="V39" s="1">
        <v>0.6</v>
      </c>
      <c r="W39" s="1">
        <f>3*V39*(SUM(AA$38:AA$41)/SUM(AA$38:AA$43))</f>
        <v>1.4421364985163203</v>
      </c>
      <c r="Y39" t="s">
        <v>109</v>
      </c>
      <c r="AA39">
        <v>16.3</v>
      </c>
      <c r="AB39">
        <v>12</v>
      </c>
      <c r="AC39" s="1">
        <f>AA39/(SUM(AA$38:AA$41))</f>
        <v>0.60370370370370363</v>
      </c>
      <c r="AD39" s="29">
        <v>16.3</v>
      </c>
      <c r="AE39" s="29">
        <v>12</v>
      </c>
      <c r="AF39" s="1">
        <v>0.6</v>
      </c>
      <c r="AG39" s="1"/>
      <c r="AH39">
        <v>10000</v>
      </c>
      <c r="AI39">
        <v>0.15</v>
      </c>
      <c r="AJ39">
        <v>3000</v>
      </c>
      <c r="AK39">
        <v>1</v>
      </c>
      <c r="AL39" s="2">
        <v>32</v>
      </c>
      <c r="AM39" s="1">
        <v>0.56000000000000005</v>
      </c>
      <c r="AN39" s="2">
        <v>1</v>
      </c>
      <c r="AO39" s="1">
        <v>0.83</v>
      </c>
      <c r="AP39" s="1">
        <v>0.21</v>
      </c>
      <c r="AQ39" s="2">
        <v>500</v>
      </c>
      <c r="AR39" s="2">
        <v>17</v>
      </c>
      <c r="AS39">
        <v>40</v>
      </c>
      <c r="AT39" s="2">
        <v>116</v>
      </c>
      <c r="AU39" s="1">
        <v>0.41</v>
      </c>
      <c r="AV39" s="1">
        <v>1.06</v>
      </c>
      <c r="AW39" s="1">
        <v>1.02</v>
      </c>
    </row>
    <row r="40" spans="1:50" x14ac:dyDescent="0.25">
      <c r="A40">
        <f t="shared" si="23"/>
        <v>2</v>
      </c>
      <c r="B40">
        <v>17</v>
      </c>
      <c r="C40">
        <f t="shared" si="23"/>
        <v>7</v>
      </c>
      <c r="D40">
        <v>3</v>
      </c>
      <c r="E40">
        <f t="shared" si="22"/>
        <v>38</v>
      </c>
      <c r="F40" s="2">
        <f t="shared" si="3"/>
        <v>1700556</v>
      </c>
      <c r="G40" s="1" t="str">
        <f t="shared" si="3"/>
        <v>Las Animas Consolidated Ditch</v>
      </c>
      <c r="H40" s="2">
        <v>1709514</v>
      </c>
      <c r="I40" s="1" t="s">
        <v>62</v>
      </c>
      <c r="J40" s="2">
        <f t="shared" si="1"/>
        <v>-1</v>
      </c>
      <c r="K40" s="1" t="s">
        <v>33</v>
      </c>
      <c r="L40" s="2" t="s">
        <v>63</v>
      </c>
      <c r="M40" s="2" t="s">
        <v>88</v>
      </c>
      <c r="N40" s="2">
        <v>27</v>
      </c>
      <c r="O40" s="2">
        <v>53</v>
      </c>
      <c r="P40" s="2">
        <v>29</v>
      </c>
      <c r="T40">
        <f t="shared" si="6"/>
        <v>1.6</v>
      </c>
      <c r="U40">
        <f t="shared" si="4"/>
        <v>1.2</v>
      </c>
      <c r="V40" s="1">
        <v>0.06</v>
      </c>
      <c r="W40" s="1">
        <f>3*V40*(SUM(AA$38:AA$41)/SUM(AA$38:AA$43))</f>
        <v>0.14421364985163204</v>
      </c>
      <c r="Y40" t="s">
        <v>109</v>
      </c>
      <c r="AA40">
        <v>1.6</v>
      </c>
      <c r="AB40">
        <v>1.2</v>
      </c>
      <c r="AC40" s="1">
        <f>AA40/(SUM(AA$38:AA$41))</f>
        <v>5.9259259259259255E-2</v>
      </c>
      <c r="AD40" s="29">
        <v>1.6</v>
      </c>
      <c r="AE40" s="29">
        <v>1.2</v>
      </c>
      <c r="AF40" s="1">
        <v>0.06</v>
      </c>
      <c r="AG40" s="1"/>
      <c r="AH40">
        <v>10000</v>
      </c>
      <c r="AI40">
        <v>0.15</v>
      </c>
      <c r="AJ40">
        <v>3000</v>
      </c>
      <c r="AK40">
        <v>1</v>
      </c>
      <c r="AL40" s="2">
        <v>32</v>
      </c>
      <c r="AM40" s="1">
        <v>0.56000000000000005</v>
      </c>
      <c r="AN40" s="2">
        <v>1</v>
      </c>
      <c r="AO40" s="1">
        <v>0.83</v>
      </c>
      <c r="AP40" s="1">
        <v>0.21</v>
      </c>
      <c r="AQ40" s="2">
        <v>500</v>
      </c>
      <c r="AR40" s="2">
        <v>17</v>
      </c>
      <c r="AS40">
        <v>30</v>
      </c>
      <c r="AT40" s="2">
        <v>116</v>
      </c>
      <c r="AU40" s="1">
        <v>0.41</v>
      </c>
      <c r="AV40" s="1">
        <v>1.06</v>
      </c>
      <c r="AW40" s="1">
        <v>1.02</v>
      </c>
    </row>
    <row r="41" spans="1:50" s="3" customFormat="1" x14ac:dyDescent="0.25">
      <c r="A41" s="3">
        <f t="shared" si="23"/>
        <v>2</v>
      </c>
      <c r="B41" s="3">
        <v>17</v>
      </c>
      <c r="C41" s="3">
        <f t="shared" si="23"/>
        <v>7</v>
      </c>
      <c r="D41" s="3">
        <v>4</v>
      </c>
      <c r="E41" s="3">
        <f t="shared" si="22"/>
        <v>39</v>
      </c>
      <c r="F41" s="4">
        <f t="shared" si="3"/>
        <v>1709514</v>
      </c>
      <c r="G41" s="5" t="str">
        <f t="shared" si="3"/>
        <v>Horse Creek</v>
      </c>
      <c r="H41" s="4">
        <v>1709505</v>
      </c>
      <c r="I41" s="5" t="s">
        <v>19</v>
      </c>
      <c r="J41" s="4">
        <f t="shared" si="1"/>
        <v>1</v>
      </c>
      <c r="K41" s="4" t="s">
        <v>32</v>
      </c>
      <c r="L41" s="4" t="s">
        <v>64</v>
      </c>
      <c r="M41" s="4" t="s">
        <v>88</v>
      </c>
      <c r="N41" s="4">
        <v>7</v>
      </c>
      <c r="O41" s="4">
        <v>7</v>
      </c>
      <c r="P41" s="4">
        <v>7</v>
      </c>
      <c r="Q41" s="26"/>
      <c r="T41" s="3">
        <f t="shared" si="6"/>
        <v>9</v>
      </c>
      <c r="U41" s="3">
        <f t="shared" si="4"/>
        <v>6.7</v>
      </c>
      <c r="V41" s="5">
        <v>0.33</v>
      </c>
      <c r="W41" s="5">
        <f>3*V41*(SUM(AA$38:AA$41)/SUM(AA$38:AA$43))</f>
        <v>0.79317507418397626</v>
      </c>
      <c r="X41" s="5"/>
      <c r="Y41" s="3" t="s">
        <v>109</v>
      </c>
      <c r="AA41" s="3">
        <v>9</v>
      </c>
      <c r="AB41" s="3">
        <v>6.7</v>
      </c>
      <c r="AC41" s="5">
        <f>AA41/(SUM(AA$38:AA$41))</f>
        <v>0.33333333333333331</v>
      </c>
      <c r="AD41" s="26">
        <v>9</v>
      </c>
      <c r="AE41" s="26">
        <v>6.7</v>
      </c>
      <c r="AF41" s="5">
        <v>0.33</v>
      </c>
      <c r="AG41" s="5"/>
      <c r="AH41" s="3">
        <v>10000</v>
      </c>
      <c r="AI41" s="3">
        <v>0.15</v>
      </c>
      <c r="AJ41" s="3">
        <v>3000</v>
      </c>
      <c r="AK41" s="3">
        <v>1</v>
      </c>
      <c r="AL41" s="4">
        <v>32</v>
      </c>
      <c r="AM41" s="5">
        <v>0.56000000000000005</v>
      </c>
      <c r="AN41" s="4">
        <v>1</v>
      </c>
      <c r="AO41" s="5">
        <v>0.83</v>
      </c>
      <c r="AP41" s="5">
        <v>0.21</v>
      </c>
      <c r="AQ41" s="4">
        <v>500</v>
      </c>
      <c r="AR41" s="4">
        <v>17</v>
      </c>
      <c r="AS41" s="3">
        <v>25</v>
      </c>
      <c r="AT41" s="4">
        <v>116</v>
      </c>
      <c r="AU41" s="5">
        <v>0.41</v>
      </c>
      <c r="AV41" s="5">
        <v>1.06</v>
      </c>
      <c r="AW41" s="5">
        <v>1.02</v>
      </c>
      <c r="AX41" s="13"/>
    </row>
    <row r="42" spans="1:50" x14ac:dyDescent="0.25">
      <c r="A42">
        <f t="shared" si="23"/>
        <v>2</v>
      </c>
      <c r="B42">
        <v>17</v>
      </c>
      <c r="C42">
        <f>C41+1</f>
        <v>8</v>
      </c>
      <c r="D42">
        <v>1</v>
      </c>
      <c r="E42">
        <f t="shared" si="22"/>
        <v>40</v>
      </c>
      <c r="F42" s="2">
        <f t="shared" si="3"/>
        <v>1709505</v>
      </c>
      <c r="G42" s="1" t="str">
        <f t="shared" si="3"/>
        <v>Arkansas River at Las Animas</v>
      </c>
      <c r="H42" s="2">
        <v>1709518</v>
      </c>
      <c r="I42" s="1" t="s">
        <v>65</v>
      </c>
      <c r="J42" s="2">
        <f t="shared" si="1"/>
        <v>0</v>
      </c>
      <c r="K42" s="2" t="s">
        <v>34</v>
      </c>
      <c r="L42" s="2" t="s">
        <v>13</v>
      </c>
      <c r="M42" s="2" t="s">
        <v>88</v>
      </c>
      <c r="N42" s="2">
        <v>25</v>
      </c>
      <c r="O42" s="2">
        <v>166</v>
      </c>
      <c r="P42" s="2">
        <v>494</v>
      </c>
      <c r="T42">
        <f t="shared" si="6"/>
        <v>3.7</v>
      </c>
      <c r="U42">
        <f t="shared" si="4"/>
        <v>2.7</v>
      </c>
      <c r="V42" s="1">
        <v>0.55000000000000004</v>
      </c>
      <c r="W42" s="1">
        <f>3*V42*(SUM(AA$42:AA$43)/SUM(AA$38:AA$43))</f>
        <v>0.32804154302670624</v>
      </c>
      <c r="Y42" t="s">
        <v>109</v>
      </c>
      <c r="AA42">
        <v>3.7</v>
      </c>
      <c r="AB42">
        <v>2.7</v>
      </c>
      <c r="AC42" s="1">
        <f>AA42/(SUM(AA$42:AA$43))</f>
        <v>0.55223880597014929</v>
      </c>
      <c r="AD42" s="29">
        <v>3.7</v>
      </c>
      <c r="AE42" s="29">
        <v>2.7</v>
      </c>
      <c r="AF42" s="1">
        <v>0.55000000000000004</v>
      </c>
      <c r="AG42" s="1"/>
      <c r="AH42">
        <v>10000</v>
      </c>
      <c r="AI42">
        <v>0.15</v>
      </c>
      <c r="AJ42">
        <v>3000</v>
      </c>
      <c r="AK42">
        <v>1</v>
      </c>
      <c r="AL42" s="2">
        <v>32</v>
      </c>
      <c r="AM42" s="1">
        <v>0.56000000000000005</v>
      </c>
      <c r="AN42" s="2">
        <v>1</v>
      </c>
      <c r="AO42" s="1">
        <v>0.83</v>
      </c>
      <c r="AP42" s="1">
        <v>0.21</v>
      </c>
      <c r="AQ42" s="2">
        <v>500</v>
      </c>
      <c r="AR42" s="2">
        <v>17</v>
      </c>
      <c r="AS42">
        <v>25</v>
      </c>
      <c r="AT42" s="2">
        <f>ROUND(AT41*SUM(AA42:AA43)/SUM(AA38:AA41),0)</f>
        <v>29</v>
      </c>
      <c r="AU42" s="1">
        <v>0.41</v>
      </c>
      <c r="AV42" s="1">
        <v>1.06</v>
      </c>
      <c r="AW42" s="1">
        <v>1.01</v>
      </c>
    </row>
    <row r="43" spans="1:50" s="3" customFormat="1" x14ac:dyDescent="0.25">
      <c r="A43" s="3">
        <f t="shared" si="23"/>
        <v>2</v>
      </c>
      <c r="B43" s="3">
        <v>17</v>
      </c>
      <c r="C43" s="3">
        <f>C42</f>
        <v>8</v>
      </c>
      <c r="D43" s="3">
        <v>2</v>
      </c>
      <c r="E43" s="3">
        <f t="shared" si="22"/>
        <v>41</v>
      </c>
      <c r="F43" s="4">
        <f t="shared" si="3"/>
        <v>1709518</v>
      </c>
      <c r="G43" s="5" t="str">
        <f t="shared" si="3"/>
        <v>Purgatorie River</v>
      </c>
      <c r="H43" s="4">
        <v>6703512</v>
      </c>
      <c r="I43" s="5" t="s">
        <v>66</v>
      </c>
      <c r="J43" s="4">
        <f t="shared" si="1"/>
        <v>1</v>
      </c>
      <c r="K43" s="4" t="s">
        <v>32</v>
      </c>
      <c r="L43" s="4" t="s">
        <v>72</v>
      </c>
      <c r="M43" s="4" t="s">
        <v>88</v>
      </c>
      <c r="N43" s="4">
        <v>6</v>
      </c>
      <c r="O43" s="4">
        <v>51</v>
      </c>
      <c r="P43" s="4">
        <v>148</v>
      </c>
      <c r="Q43" s="26"/>
      <c r="T43" s="3">
        <f t="shared" si="6"/>
        <v>3</v>
      </c>
      <c r="U43" s="3">
        <f t="shared" si="4"/>
        <v>2.2000000000000002</v>
      </c>
      <c r="V43" s="5">
        <v>0.45</v>
      </c>
      <c r="W43" s="5">
        <f>3*V43*(SUM(AA$42:AA$43)/SUM(AA$38:AA$43))</f>
        <v>0.26839762611275964</v>
      </c>
      <c r="X43" s="5"/>
      <c r="Y43" s="24" t="s">
        <v>109</v>
      </c>
      <c r="AA43" s="3">
        <v>3</v>
      </c>
      <c r="AB43" s="3">
        <v>2.2000000000000002</v>
      </c>
      <c r="AC43" s="5">
        <f>AA43/(SUM(AA$42:AA$43))</f>
        <v>0.44776119402985076</v>
      </c>
      <c r="AD43" s="26">
        <v>3</v>
      </c>
      <c r="AE43" s="26">
        <v>2.2000000000000002</v>
      </c>
      <c r="AF43" s="5">
        <v>0.45</v>
      </c>
      <c r="AG43" s="5"/>
      <c r="AH43" s="3">
        <v>10000</v>
      </c>
      <c r="AI43" s="3">
        <v>0.15</v>
      </c>
      <c r="AJ43" s="3">
        <v>3000</v>
      </c>
      <c r="AK43" s="3">
        <v>1</v>
      </c>
      <c r="AL43" s="4">
        <v>32</v>
      </c>
      <c r="AM43" s="5">
        <v>0.56000000000000005</v>
      </c>
      <c r="AN43" s="4">
        <v>1</v>
      </c>
      <c r="AO43" s="5">
        <v>0.83</v>
      </c>
      <c r="AP43" s="5">
        <v>0.21</v>
      </c>
      <c r="AQ43" s="4">
        <v>500</v>
      </c>
      <c r="AR43" s="4">
        <v>17</v>
      </c>
      <c r="AS43" s="3">
        <v>25</v>
      </c>
      <c r="AT43" s="4">
        <f>AT42</f>
        <v>29</v>
      </c>
      <c r="AU43" s="5">
        <v>0.41</v>
      </c>
      <c r="AV43" s="5">
        <v>1.06</v>
      </c>
      <c r="AW43" s="5">
        <v>1.01</v>
      </c>
      <c r="AX43" s="13"/>
    </row>
    <row r="44" spans="1:50" s="6" customFormat="1" x14ac:dyDescent="0.25">
      <c r="F44" s="7"/>
      <c r="G44" s="7"/>
      <c r="H44" s="7"/>
      <c r="I44" s="7"/>
      <c r="J44" s="19"/>
      <c r="K44" s="7"/>
      <c r="L44" s="7"/>
      <c r="M44" s="16"/>
      <c r="N44" s="19"/>
      <c r="O44" s="19"/>
      <c r="P44" s="19"/>
      <c r="Q44" s="30"/>
      <c r="V44" s="19"/>
      <c r="W44" s="20"/>
      <c r="X44" s="20"/>
      <c r="Y44" s="19"/>
      <c r="Z44" s="19"/>
      <c r="AA44" s="19"/>
      <c r="AB44" s="19"/>
      <c r="AC44" s="20"/>
      <c r="AD44" s="27"/>
      <c r="AE44" s="27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5"/>
      <c r="AR44" s="25"/>
      <c r="AS44" s="19"/>
      <c r="AT44" s="19"/>
      <c r="AU44" s="19"/>
      <c r="AV44" s="19"/>
      <c r="AW44" s="20"/>
      <c r="AX44" s="19"/>
    </row>
    <row r="45" spans="1:50" s="15" customFormat="1" x14ac:dyDescent="0.25">
      <c r="A45" s="15">
        <v>2</v>
      </c>
      <c r="B45" s="15">
        <v>171</v>
      </c>
      <c r="C45" s="15">
        <v>1</v>
      </c>
      <c r="D45" s="15">
        <v>1</v>
      </c>
      <c r="E45" s="15">
        <v>1</v>
      </c>
      <c r="F45" s="16">
        <v>1700800</v>
      </c>
      <c r="G45" s="17" t="s">
        <v>198</v>
      </c>
      <c r="H45" s="16">
        <v>1709520</v>
      </c>
      <c r="I45" s="17" t="s">
        <v>199</v>
      </c>
      <c r="J45" s="16">
        <f t="shared" si="1"/>
        <v>1</v>
      </c>
      <c r="K45" s="16" t="s">
        <v>32</v>
      </c>
      <c r="L45" s="16" t="s">
        <v>201</v>
      </c>
      <c r="M45" s="16" t="s">
        <v>88</v>
      </c>
      <c r="N45" s="16">
        <v>1</v>
      </c>
      <c r="O45" s="16">
        <v>2</v>
      </c>
      <c r="P45" s="16">
        <v>3</v>
      </c>
      <c r="Q45" s="28">
        <v>1</v>
      </c>
      <c r="T45" s="15">
        <f>Z45-Z46</f>
        <v>7.71</v>
      </c>
      <c r="U45" s="15">
        <f>T45</f>
        <v>7.71</v>
      </c>
      <c r="V45" s="17">
        <f>ROUND(T45/(T45+T46),2)</f>
        <v>0.73</v>
      </c>
      <c r="W45" s="17">
        <f>1.25*V45</f>
        <v>0.91249999999999998</v>
      </c>
      <c r="X45" s="17"/>
      <c r="Y45" s="35" t="s">
        <v>197</v>
      </c>
      <c r="Z45" s="15">
        <v>10.58</v>
      </c>
      <c r="AC45" s="17"/>
      <c r="AD45" s="28"/>
      <c r="AE45" s="28"/>
      <c r="AF45" s="17"/>
      <c r="AG45" s="17"/>
      <c r="AH45" s="15">
        <v>10000</v>
      </c>
      <c r="AI45" s="15">
        <v>0.15</v>
      </c>
      <c r="AJ45" s="15">
        <v>2500</v>
      </c>
      <c r="AK45" s="15">
        <v>1</v>
      </c>
      <c r="AL45" s="16">
        <v>32</v>
      </c>
      <c r="AM45" s="17">
        <v>0.56000000000000005</v>
      </c>
      <c r="AN45" s="16">
        <v>1</v>
      </c>
      <c r="AO45" s="17">
        <v>0.83</v>
      </c>
      <c r="AP45" s="17">
        <v>0.21</v>
      </c>
      <c r="AQ45" s="16">
        <v>500</v>
      </c>
      <c r="AR45" s="16">
        <v>17</v>
      </c>
      <c r="AS45" s="15">
        <v>50</v>
      </c>
      <c r="AT45" s="16">
        <v>10</v>
      </c>
      <c r="AU45" s="17">
        <v>0.31</v>
      </c>
      <c r="AV45" s="17">
        <v>1.32</v>
      </c>
      <c r="AW45" s="17">
        <v>0</v>
      </c>
      <c r="AX45" s="18" t="s">
        <v>203</v>
      </c>
    </row>
    <row r="46" spans="1:50" s="3" customFormat="1" x14ac:dyDescent="0.25">
      <c r="A46" s="3">
        <f t="shared" ref="A46" si="24">A45</f>
        <v>2</v>
      </c>
      <c r="B46" s="3">
        <v>171</v>
      </c>
      <c r="C46" s="3">
        <v>1</v>
      </c>
      <c r="D46" s="3">
        <v>2</v>
      </c>
      <c r="E46" s="3">
        <v>2</v>
      </c>
      <c r="F46" s="4">
        <f t="shared" ref="F46" si="25">H45</f>
        <v>1709520</v>
      </c>
      <c r="G46" s="5" t="str">
        <f t="shared" ref="G46" si="26">I45</f>
        <v>Timpas Creek near Swink</v>
      </c>
      <c r="H46" s="4">
        <v>1709998</v>
      </c>
      <c r="I46" s="5" t="s">
        <v>200</v>
      </c>
      <c r="J46" s="4">
        <f t="shared" si="1"/>
        <v>0</v>
      </c>
      <c r="K46" s="4" t="s">
        <v>34</v>
      </c>
      <c r="L46" s="4" t="s">
        <v>58</v>
      </c>
      <c r="M46" s="4" t="s">
        <v>88</v>
      </c>
      <c r="N46" s="4">
        <v>21</v>
      </c>
      <c r="O46" s="4">
        <v>48</v>
      </c>
      <c r="P46" s="4">
        <v>79</v>
      </c>
      <c r="Q46" s="26"/>
      <c r="T46" s="3">
        <v>2.87</v>
      </c>
      <c r="U46" s="3">
        <f>T46</f>
        <v>2.87</v>
      </c>
      <c r="V46" s="5">
        <f>ROUND(T46/(T45+T46),2)</f>
        <v>0.27</v>
      </c>
      <c r="W46" s="5">
        <f>1.25*V46</f>
        <v>0.33750000000000002</v>
      </c>
      <c r="X46" s="5"/>
      <c r="Y46" s="24" t="s">
        <v>197</v>
      </c>
      <c r="Z46" s="3">
        <v>2.87</v>
      </c>
      <c r="AC46" s="5"/>
      <c r="AD46" s="26"/>
      <c r="AE46" s="26"/>
      <c r="AF46" s="5"/>
      <c r="AG46" s="5"/>
      <c r="AH46" s="3">
        <v>10000</v>
      </c>
      <c r="AI46" s="3">
        <v>0.15</v>
      </c>
      <c r="AJ46" s="3">
        <v>2500</v>
      </c>
      <c r="AK46" s="3">
        <v>1</v>
      </c>
      <c r="AL46" s="4">
        <v>32</v>
      </c>
      <c r="AM46" s="5">
        <v>0.56000000000000005</v>
      </c>
      <c r="AN46" s="4">
        <v>1</v>
      </c>
      <c r="AO46" s="5">
        <v>0.83</v>
      </c>
      <c r="AP46" s="5">
        <v>0.21</v>
      </c>
      <c r="AQ46" s="4">
        <v>500</v>
      </c>
      <c r="AR46" s="4">
        <v>17</v>
      </c>
      <c r="AS46" s="3">
        <v>50</v>
      </c>
      <c r="AT46" s="4">
        <v>10</v>
      </c>
      <c r="AU46" s="5">
        <v>0.31</v>
      </c>
      <c r="AV46" s="5">
        <v>1.32</v>
      </c>
      <c r="AW46" s="5">
        <v>0</v>
      </c>
      <c r="AX46" s="13" t="s">
        <v>204</v>
      </c>
    </row>
    <row r="47" spans="1:50" s="6" customFormat="1" x14ac:dyDescent="0.25"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30"/>
      <c r="V47" s="21"/>
      <c r="W47" s="21"/>
      <c r="X47" s="21"/>
      <c r="AA47"/>
      <c r="AC47" s="21"/>
      <c r="AD47" s="30"/>
      <c r="AE47" s="30"/>
      <c r="AF47" s="21"/>
      <c r="AG47" s="21"/>
      <c r="AL47" s="7"/>
      <c r="AM47" s="21"/>
      <c r="AN47" s="7"/>
      <c r="AO47" s="21"/>
      <c r="AP47" s="21"/>
      <c r="AQ47" s="7"/>
      <c r="AR47" s="7"/>
      <c r="AT47" s="7"/>
      <c r="AU47" s="21"/>
      <c r="AV47" s="21"/>
      <c r="AW47" s="21"/>
      <c r="AX47" s="22"/>
    </row>
    <row r="48" spans="1:50" s="15" customFormat="1" x14ac:dyDescent="0.25">
      <c r="A48" s="15">
        <v>2</v>
      </c>
      <c r="B48" s="15">
        <v>172</v>
      </c>
      <c r="C48" s="15">
        <v>1</v>
      </c>
      <c r="D48" s="36">
        <v>1</v>
      </c>
      <c r="E48" s="15">
        <v>1</v>
      </c>
      <c r="F48" s="16">
        <v>1700801</v>
      </c>
      <c r="G48" s="16" t="s">
        <v>101</v>
      </c>
      <c r="H48" s="16">
        <v>1709510</v>
      </c>
      <c r="I48" s="16" t="s">
        <v>103</v>
      </c>
      <c r="J48" s="16">
        <f t="shared" ref="J48:J50" si="27">IF(K48="Inflow",1,IF(K48="Outflow",-1,IF(K48="Gage",0,"")))</f>
        <v>1</v>
      </c>
      <c r="K48" s="16" t="s">
        <v>32</v>
      </c>
      <c r="L48" s="16" t="s">
        <v>105</v>
      </c>
      <c r="M48" s="16" t="s">
        <v>88</v>
      </c>
      <c r="N48" s="16">
        <v>1</v>
      </c>
      <c r="O48" s="16">
        <v>2</v>
      </c>
      <c r="P48" s="16">
        <v>3</v>
      </c>
      <c r="Q48" s="28">
        <v>1</v>
      </c>
      <c r="T48" s="15">
        <f t="shared" ref="T48:T50" si="28">AA48</f>
        <v>3.97</v>
      </c>
      <c r="U48" s="15">
        <f t="shared" ref="U48:U50" si="29">T48</f>
        <v>3.97</v>
      </c>
      <c r="V48" s="17">
        <f>ROUND(T48/(T48+T49+T50),2)</f>
        <v>0.64</v>
      </c>
      <c r="W48" s="17">
        <f>0.95*V48</f>
        <v>0.60799999999999998</v>
      </c>
      <c r="X48" s="17"/>
      <c r="Y48" s="15" t="s">
        <v>108</v>
      </c>
      <c r="Z48" s="15">
        <v>6.2</v>
      </c>
      <c r="AA48" s="15">
        <f>Z48-Z49</f>
        <v>3.97</v>
      </c>
      <c r="AB48" s="15">
        <f>C48</f>
        <v>1</v>
      </c>
      <c r="AC48" s="17">
        <f>AA48/(SUM(AA$48:AA$48))</f>
        <v>1</v>
      </c>
      <c r="AD48" s="28"/>
      <c r="AE48" s="28"/>
      <c r="AF48" s="17"/>
      <c r="AG48" s="17"/>
      <c r="AH48" s="15">
        <v>10000</v>
      </c>
      <c r="AI48" s="15">
        <v>0.15</v>
      </c>
      <c r="AJ48" s="15">
        <v>2500</v>
      </c>
      <c r="AK48" s="15">
        <v>1</v>
      </c>
      <c r="AL48" s="16">
        <v>32</v>
      </c>
      <c r="AM48" s="17">
        <v>0.56000000000000005</v>
      </c>
      <c r="AN48" s="16">
        <v>1</v>
      </c>
      <c r="AO48" s="17">
        <v>0.83</v>
      </c>
      <c r="AP48" s="17">
        <v>0.21</v>
      </c>
      <c r="AQ48" s="16">
        <v>500</v>
      </c>
      <c r="AR48" s="16">
        <v>17</v>
      </c>
      <c r="AS48" s="15">
        <v>50</v>
      </c>
      <c r="AT48" s="16">
        <v>10</v>
      </c>
      <c r="AU48" s="17">
        <v>0.31</v>
      </c>
      <c r="AV48" s="17">
        <v>1.32</v>
      </c>
      <c r="AW48" s="17">
        <v>0</v>
      </c>
      <c r="AX48" s="18" t="s">
        <v>208</v>
      </c>
    </row>
    <row r="49" spans="1:50" x14ac:dyDescent="0.25">
      <c r="A49">
        <v>2</v>
      </c>
      <c r="B49">
        <v>172</v>
      </c>
      <c r="C49">
        <v>1</v>
      </c>
      <c r="D49">
        <v>2</v>
      </c>
      <c r="E49">
        <v>2</v>
      </c>
      <c r="F49" s="2">
        <v>1709510</v>
      </c>
      <c r="G49" s="1" t="s">
        <v>103</v>
      </c>
      <c r="H49" s="2">
        <v>1700577</v>
      </c>
      <c r="I49" s="1" t="s">
        <v>104</v>
      </c>
      <c r="J49" s="2">
        <f t="shared" si="27"/>
        <v>0</v>
      </c>
      <c r="K49" s="2" t="s">
        <v>34</v>
      </c>
      <c r="L49" s="2" t="s">
        <v>71</v>
      </c>
      <c r="M49" s="2" t="s">
        <v>88</v>
      </c>
      <c r="N49" s="2">
        <v>4</v>
      </c>
      <c r="O49" s="2">
        <v>10</v>
      </c>
      <c r="P49" s="2">
        <v>32</v>
      </c>
      <c r="T49">
        <f t="shared" si="28"/>
        <v>0.8899999999999999</v>
      </c>
      <c r="U49">
        <f t="shared" si="29"/>
        <v>0.8899999999999999</v>
      </c>
      <c r="V49" s="1">
        <f>ROUND(T49/(T48+T49+T50),2)</f>
        <v>0.14000000000000001</v>
      </c>
      <c r="W49" s="1">
        <f t="shared" ref="W49:W50" si="30">0.95*V49</f>
        <v>0.13300000000000001</v>
      </c>
      <c r="Y49" s="23" t="s">
        <v>108</v>
      </c>
      <c r="Z49">
        <v>2.23</v>
      </c>
      <c r="AA49">
        <f>Z49-Z50</f>
        <v>0.8899999999999999</v>
      </c>
      <c r="AB49">
        <f>C49</f>
        <v>1</v>
      </c>
      <c r="AC49" s="1">
        <f>AA49/(SUM(AA$49:AA$50))</f>
        <v>0.3991031390134529</v>
      </c>
      <c r="AF49" s="1"/>
      <c r="AG49" s="1"/>
      <c r="AH49">
        <v>10000</v>
      </c>
      <c r="AI49">
        <v>0.15</v>
      </c>
      <c r="AJ49">
        <v>2500</v>
      </c>
      <c r="AK49">
        <v>1</v>
      </c>
      <c r="AL49" s="2">
        <v>32</v>
      </c>
      <c r="AM49" s="1">
        <v>0.56000000000000005</v>
      </c>
      <c r="AN49" s="2">
        <v>1</v>
      </c>
      <c r="AO49" s="1">
        <v>0.83</v>
      </c>
      <c r="AP49" s="1">
        <v>0.21</v>
      </c>
      <c r="AQ49" s="2">
        <v>500</v>
      </c>
      <c r="AR49" s="2">
        <v>17</v>
      </c>
      <c r="AS49">
        <v>50</v>
      </c>
      <c r="AT49" s="2">
        <v>10</v>
      </c>
      <c r="AU49" s="1">
        <v>0.31</v>
      </c>
      <c r="AV49" s="1">
        <v>1.32</v>
      </c>
      <c r="AW49" s="1">
        <v>0</v>
      </c>
      <c r="AX49" s="14" t="s">
        <v>204</v>
      </c>
    </row>
    <row r="50" spans="1:50" s="3" customFormat="1" x14ac:dyDescent="0.25">
      <c r="A50" s="3">
        <v>2</v>
      </c>
      <c r="B50" s="3">
        <v>172</v>
      </c>
      <c r="C50" s="3">
        <v>1</v>
      </c>
      <c r="D50" s="3">
        <v>3</v>
      </c>
      <c r="E50" s="3">
        <v>3</v>
      </c>
      <c r="F50" s="4">
        <v>1700577</v>
      </c>
      <c r="G50" s="5" t="s">
        <v>104</v>
      </c>
      <c r="H50" s="4">
        <v>1709999</v>
      </c>
      <c r="I50" s="5" t="s">
        <v>207</v>
      </c>
      <c r="J50" s="4">
        <f t="shared" si="27"/>
        <v>-1</v>
      </c>
      <c r="K50" s="4" t="s">
        <v>33</v>
      </c>
      <c r="L50" s="4"/>
      <c r="M50" s="4"/>
      <c r="N50" s="4">
        <v>1</v>
      </c>
      <c r="O50" s="4">
        <v>4</v>
      </c>
      <c r="P50" s="4">
        <v>6</v>
      </c>
      <c r="Q50" s="26"/>
      <c r="T50" s="3">
        <f t="shared" si="28"/>
        <v>1.34</v>
      </c>
      <c r="U50" s="3">
        <f t="shared" si="29"/>
        <v>1.34</v>
      </c>
      <c r="V50" s="5">
        <f>ROUND(T50/(T48+T49+T50),2)</f>
        <v>0.22</v>
      </c>
      <c r="W50" s="5">
        <f t="shared" si="30"/>
        <v>0.20899999999999999</v>
      </c>
      <c r="X50" s="5"/>
      <c r="Y50" s="3" t="s">
        <v>108</v>
      </c>
      <c r="Z50" s="3">
        <v>1.34</v>
      </c>
      <c r="AA50" s="3">
        <f>Z50</f>
        <v>1.34</v>
      </c>
      <c r="AB50" s="3">
        <f>C50</f>
        <v>1</v>
      </c>
      <c r="AC50" s="5">
        <f>AA50/(SUM(AA$49:AA$50))</f>
        <v>0.60089686098654715</v>
      </c>
      <c r="AD50" s="26"/>
      <c r="AE50" s="26"/>
      <c r="AF50" s="5"/>
      <c r="AG50" s="5"/>
      <c r="AH50" s="3">
        <v>10000</v>
      </c>
      <c r="AI50" s="3">
        <v>0.15</v>
      </c>
      <c r="AJ50" s="3">
        <v>2500</v>
      </c>
      <c r="AK50" s="3">
        <v>1</v>
      </c>
      <c r="AL50" s="4">
        <v>32</v>
      </c>
      <c r="AM50" s="5">
        <v>0.56000000000000005</v>
      </c>
      <c r="AN50" s="4">
        <v>1</v>
      </c>
      <c r="AO50" s="5">
        <v>0.83</v>
      </c>
      <c r="AP50" s="5">
        <v>0.21</v>
      </c>
      <c r="AQ50" s="4">
        <v>500</v>
      </c>
      <c r="AR50" s="4">
        <v>17</v>
      </c>
      <c r="AS50" s="3">
        <v>50</v>
      </c>
      <c r="AT50" s="4">
        <v>10</v>
      </c>
      <c r="AU50" s="5">
        <v>0.31</v>
      </c>
      <c r="AV50" s="5">
        <v>1.32</v>
      </c>
      <c r="AW50" s="5">
        <v>0</v>
      </c>
      <c r="AX50" s="13"/>
    </row>
    <row r="51" spans="1:50" s="6" customFormat="1" x14ac:dyDescent="0.25"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30"/>
      <c r="V51" s="21"/>
      <c r="W51" s="21"/>
      <c r="X51" s="21"/>
      <c r="AA51"/>
      <c r="AC51" s="21"/>
      <c r="AD51" s="30"/>
      <c r="AE51" s="30"/>
      <c r="AF51" s="21"/>
      <c r="AG51" s="21"/>
      <c r="AL51" s="7"/>
      <c r="AM51" s="21"/>
      <c r="AN51" s="7"/>
      <c r="AO51" s="21"/>
      <c r="AP51" s="21"/>
      <c r="AQ51" s="7"/>
      <c r="AR51" s="7"/>
      <c r="AT51" s="7"/>
      <c r="AU51" s="21"/>
      <c r="AV51" s="21"/>
      <c r="AW51" s="21"/>
      <c r="AX51" s="22"/>
    </row>
    <row r="52" spans="1:50" s="15" customFormat="1" x14ac:dyDescent="0.25">
      <c r="A52" s="15">
        <v>2</v>
      </c>
      <c r="B52" s="15">
        <v>112</v>
      </c>
      <c r="C52" s="15">
        <v>1</v>
      </c>
      <c r="D52" s="15">
        <v>1</v>
      </c>
      <c r="E52" s="15">
        <v>1</v>
      </c>
      <c r="F52" s="16">
        <v>1103503</v>
      </c>
      <c r="G52" s="16" t="s">
        <v>110</v>
      </c>
      <c r="H52" s="16">
        <v>1109518</v>
      </c>
      <c r="I52" s="16" t="s">
        <v>112</v>
      </c>
      <c r="J52" s="16">
        <f t="shared" si="1"/>
        <v>-1</v>
      </c>
      <c r="K52" s="16" t="s">
        <v>33</v>
      </c>
      <c r="L52" s="16"/>
      <c r="M52" s="16"/>
      <c r="N52" s="16">
        <v>0</v>
      </c>
      <c r="O52" s="16">
        <v>0</v>
      </c>
      <c r="P52" s="16">
        <v>0</v>
      </c>
      <c r="Q52" s="28">
        <v>1</v>
      </c>
      <c r="T52" s="15">
        <f t="shared" ref="T52" si="31">AA52</f>
        <v>1.71</v>
      </c>
      <c r="U52" s="15">
        <f>T52</f>
        <v>1.71</v>
      </c>
      <c r="V52" s="17">
        <v>1</v>
      </c>
      <c r="W52" s="17">
        <f>1*V52*(SUM(AA$3:AA$4)/SUM(AA$3:AA$15))</f>
        <v>1.3043478260869568E-2</v>
      </c>
      <c r="X52" s="17"/>
      <c r="Y52" s="15" t="s">
        <v>111</v>
      </c>
      <c r="Z52" s="15">
        <v>1.71</v>
      </c>
      <c r="AA52" s="15">
        <f>Z52</f>
        <v>1.71</v>
      </c>
      <c r="AC52" s="17"/>
      <c r="AD52" s="28"/>
      <c r="AE52" s="28"/>
      <c r="AF52" s="17"/>
      <c r="AG52" s="17"/>
      <c r="AH52" s="15">
        <v>10000</v>
      </c>
      <c r="AI52" s="15">
        <v>0.15</v>
      </c>
      <c r="AJ52" s="15">
        <v>750</v>
      </c>
      <c r="AK52" s="15">
        <v>1</v>
      </c>
      <c r="AL52" s="16">
        <v>32</v>
      </c>
      <c r="AM52" s="17">
        <v>0.56000000000000005</v>
      </c>
      <c r="AN52" s="16">
        <v>1</v>
      </c>
      <c r="AO52" s="17">
        <v>0.83</v>
      </c>
      <c r="AP52" s="17">
        <v>0.21</v>
      </c>
      <c r="AQ52" s="16">
        <v>500</v>
      </c>
      <c r="AR52" s="16">
        <v>17</v>
      </c>
      <c r="AS52" s="15">
        <v>50</v>
      </c>
      <c r="AT52" s="16">
        <v>10</v>
      </c>
      <c r="AU52" s="17">
        <v>0.31</v>
      </c>
      <c r="AV52" s="17">
        <v>1.32</v>
      </c>
      <c r="AW52" s="17">
        <v>1.27</v>
      </c>
      <c r="AX52" s="18"/>
    </row>
    <row r="53" spans="1:50" s="3" customFormat="1" x14ac:dyDescent="0.25">
      <c r="A53" s="3">
        <v>2</v>
      </c>
      <c r="B53" s="3">
        <v>112</v>
      </c>
      <c r="C53" s="3">
        <v>1</v>
      </c>
      <c r="D53" s="3">
        <v>2</v>
      </c>
      <c r="E53" s="3">
        <v>2</v>
      </c>
      <c r="F53" s="4">
        <v>1109518</v>
      </c>
      <c r="G53" s="4" t="s">
        <v>112</v>
      </c>
      <c r="H53" s="4">
        <v>1120002</v>
      </c>
      <c r="I53" s="4" t="s">
        <v>136</v>
      </c>
      <c r="J53" s="4">
        <f t="shared" si="1"/>
        <v>0</v>
      </c>
      <c r="K53" s="4" t="s">
        <v>34</v>
      </c>
      <c r="L53" s="4" t="s">
        <v>113</v>
      </c>
      <c r="M53" s="4" t="s">
        <v>88</v>
      </c>
      <c r="N53" s="4">
        <v>5</v>
      </c>
      <c r="O53" s="4">
        <v>10</v>
      </c>
      <c r="P53" s="4">
        <v>20</v>
      </c>
      <c r="Q53" s="26">
        <v>1</v>
      </c>
      <c r="T53" s="3">
        <f t="shared" ref="T53:T62" si="32">AA53</f>
        <v>1.71</v>
      </c>
      <c r="U53" s="3">
        <f>T53</f>
        <v>1.71</v>
      </c>
      <c r="V53" s="5">
        <v>1</v>
      </c>
      <c r="W53" s="5">
        <f>1*V53*(SUM(AA$3:AA$4)/SUM(AA$3:AA$15))</f>
        <v>1.3043478260869568E-2</v>
      </c>
      <c r="X53" s="5"/>
      <c r="Y53" s="3" t="s">
        <v>111</v>
      </c>
      <c r="Z53" s="3">
        <v>1.71</v>
      </c>
      <c r="AA53" s="3">
        <f>Z53</f>
        <v>1.71</v>
      </c>
      <c r="AC53" s="5"/>
      <c r="AD53" s="26"/>
      <c r="AE53" s="26"/>
      <c r="AF53" s="5"/>
      <c r="AG53" s="5"/>
      <c r="AH53" s="3">
        <v>10000</v>
      </c>
      <c r="AI53" s="3">
        <v>0.15</v>
      </c>
      <c r="AJ53" s="3">
        <v>750</v>
      </c>
      <c r="AK53" s="3">
        <v>1</v>
      </c>
      <c r="AL53" s="4">
        <v>32</v>
      </c>
      <c r="AM53" s="5">
        <v>0.56000000000000005</v>
      </c>
      <c r="AN53" s="4">
        <v>1</v>
      </c>
      <c r="AO53" s="5">
        <v>0.83</v>
      </c>
      <c r="AP53" s="5">
        <v>0.21</v>
      </c>
      <c r="AQ53" s="4">
        <v>500</v>
      </c>
      <c r="AR53" s="4">
        <v>17</v>
      </c>
      <c r="AS53" s="3">
        <v>50</v>
      </c>
      <c r="AT53" s="4">
        <v>10</v>
      </c>
      <c r="AU53" s="5">
        <v>0.31</v>
      </c>
      <c r="AV53" s="5">
        <v>1.32</v>
      </c>
      <c r="AW53" s="5">
        <v>1.27</v>
      </c>
      <c r="AX53" s="13"/>
    </row>
    <row r="54" spans="1:50" s="6" customFormat="1" x14ac:dyDescent="0.25">
      <c r="F54" s="7"/>
      <c r="G54" s="7"/>
      <c r="H54" s="7"/>
      <c r="I54" s="7"/>
      <c r="J54" s="19"/>
      <c r="K54" s="4"/>
      <c r="L54" s="7"/>
      <c r="M54" s="7"/>
      <c r="N54" s="19"/>
      <c r="O54" s="19"/>
      <c r="P54" s="19"/>
      <c r="Q54" s="30"/>
      <c r="V54" s="19"/>
      <c r="W54" s="20"/>
      <c r="X54" s="20"/>
      <c r="Y54" s="19"/>
      <c r="Z54" s="19"/>
      <c r="AA54" s="19"/>
      <c r="AB54" s="19"/>
      <c r="AC54" s="20"/>
      <c r="AD54" s="27"/>
      <c r="AE54" s="27"/>
      <c r="AF54" s="19"/>
      <c r="AG54" s="19"/>
      <c r="AH54" s="19"/>
      <c r="AI54" s="19"/>
      <c r="AJ54" s="19"/>
      <c r="AK54" s="19"/>
      <c r="AL54" s="19"/>
      <c r="AM54" s="19"/>
      <c r="AN54" s="25"/>
      <c r="AO54" s="19"/>
      <c r="AP54" s="19"/>
      <c r="AQ54" s="25"/>
      <c r="AR54" s="25"/>
      <c r="AS54" s="19"/>
      <c r="AT54" s="19"/>
      <c r="AU54" s="19"/>
      <c r="AV54" s="19"/>
      <c r="AW54" s="20"/>
      <c r="AX54" s="19"/>
    </row>
    <row r="55" spans="1:50" s="15" customFormat="1" x14ac:dyDescent="0.25">
      <c r="A55" s="15">
        <v>2</v>
      </c>
      <c r="B55" s="15">
        <v>10</v>
      </c>
      <c r="C55" s="15">
        <v>1</v>
      </c>
      <c r="D55" s="15">
        <v>1</v>
      </c>
      <c r="E55" s="15">
        <v>1</v>
      </c>
      <c r="F55" s="16">
        <v>1003657</v>
      </c>
      <c r="G55" s="16" t="s">
        <v>114</v>
      </c>
      <c r="H55" s="16">
        <v>1009999</v>
      </c>
      <c r="I55" s="16" t="s">
        <v>115</v>
      </c>
      <c r="J55" s="16">
        <f t="shared" si="1"/>
        <v>-1</v>
      </c>
      <c r="K55" s="2" t="s">
        <v>33</v>
      </c>
      <c r="L55" s="16"/>
      <c r="M55" s="16"/>
      <c r="N55" s="16">
        <v>0</v>
      </c>
      <c r="O55" s="16">
        <v>0</v>
      </c>
      <c r="P55" s="16">
        <v>0</v>
      </c>
      <c r="Q55" s="28">
        <v>1</v>
      </c>
      <c r="T55" s="15">
        <v>50</v>
      </c>
      <c r="U55" s="15">
        <v>50</v>
      </c>
      <c r="V55" s="17">
        <v>0.67</v>
      </c>
      <c r="W55" s="17">
        <v>1</v>
      </c>
      <c r="X55" s="17"/>
      <c r="AC55" s="17"/>
      <c r="AD55" s="28"/>
      <c r="AE55" s="28"/>
      <c r="AF55" s="17"/>
      <c r="AG55" s="17"/>
      <c r="AH55" s="15">
        <v>10000</v>
      </c>
      <c r="AI55" s="15">
        <v>0.15</v>
      </c>
      <c r="AJ55" s="15">
        <v>750</v>
      </c>
      <c r="AK55" s="15">
        <v>1</v>
      </c>
      <c r="AL55" s="16">
        <v>32</v>
      </c>
      <c r="AM55" s="17">
        <v>0.56000000000000005</v>
      </c>
      <c r="AN55" s="16">
        <v>1</v>
      </c>
      <c r="AO55" s="17">
        <v>0.83</v>
      </c>
      <c r="AP55" s="17">
        <v>0.21</v>
      </c>
      <c r="AQ55" s="16">
        <v>500</v>
      </c>
      <c r="AR55" s="16">
        <v>17</v>
      </c>
      <c r="AS55" s="15">
        <v>50</v>
      </c>
      <c r="AT55" s="16">
        <v>10</v>
      </c>
      <c r="AU55" s="17">
        <v>0.31</v>
      </c>
      <c r="AV55" s="17">
        <v>1.32</v>
      </c>
      <c r="AW55" s="17">
        <v>1.27</v>
      </c>
      <c r="AX55" s="18"/>
    </row>
    <row r="56" spans="1:50" s="6" customFormat="1" x14ac:dyDescent="0.25">
      <c r="A56" s="6">
        <v>2</v>
      </c>
      <c r="B56" s="6">
        <v>10</v>
      </c>
      <c r="C56" s="6">
        <v>1</v>
      </c>
      <c r="D56" s="6">
        <v>2</v>
      </c>
      <c r="E56" s="6">
        <f>E55+1</f>
        <v>2</v>
      </c>
      <c r="F56" s="7">
        <v>1009999</v>
      </c>
      <c r="G56" s="7" t="s">
        <v>115</v>
      </c>
      <c r="H56" s="7">
        <v>1009510</v>
      </c>
      <c r="I56" s="7" t="s">
        <v>116</v>
      </c>
      <c r="J56" s="7">
        <f t="shared" si="1"/>
        <v>-1</v>
      </c>
      <c r="K56" s="7" t="s">
        <v>33</v>
      </c>
      <c r="L56" s="7"/>
      <c r="M56" s="7"/>
      <c r="N56" s="7">
        <v>0</v>
      </c>
      <c r="O56" s="7">
        <v>0</v>
      </c>
      <c r="P56" s="7">
        <v>0</v>
      </c>
      <c r="Q56" s="30"/>
      <c r="T56" s="6">
        <v>50</v>
      </c>
      <c r="U56" s="6">
        <v>50</v>
      </c>
      <c r="V56" s="21">
        <v>0.33</v>
      </c>
      <c r="W56" s="21">
        <v>1</v>
      </c>
      <c r="X56" s="21"/>
      <c r="AC56" s="21"/>
      <c r="AD56" s="30"/>
      <c r="AE56" s="30"/>
      <c r="AF56" s="21"/>
      <c r="AG56" s="21"/>
      <c r="AH56" s="6">
        <v>10000</v>
      </c>
      <c r="AI56" s="6">
        <v>0.15</v>
      </c>
      <c r="AJ56" s="6">
        <v>750</v>
      </c>
      <c r="AK56" s="6">
        <v>1</v>
      </c>
      <c r="AL56" s="7">
        <v>32</v>
      </c>
      <c r="AM56" s="21">
        <v>0.56000000000000005</v>
      </c>
      <c r="AN56" s="7">
        <v>1</v>
      </c>
      <c r="AO56" s="21">
        <v>0.83</v>
      </c>
      <c r="AP56" s="21">
        <v>0.21</v>
      </c>
      <c r="AQ56" s="7">
        <v>500</v>
      </c>
      <c r="AR56" s="7">
        <v>17</v>
      </c>
      <c r="AS56" s="6">
        <v>50</v>
      </c>
      <c r="AT56" s="7">
        <v>10</v>
      </c>
      <c r="AU56" s="21">
        <v>0.31</v>
      </c>
      <c r="AV56" s="21">
        <v>1.32</v>
      </c>
      <c r="AW56" s="21">
        <v>1.17</v>
      </c>
      <c r="AX56" s="22"/>
    </row>
    <row r="57" spans="1:50" s="3" customFormat="1" x14ac:dyDescent="0.25">
      <c r="A57" s="3">
        <v>2</v>
      </c>
      <c r="B57" s="3">
        <v>10</v>
      </c>
      <c r="C57" s="3">
        <v>1</v>
      </c>
      <c r="D57" s="3">
        <v>3</v>
      </c>
      <c r="E57" s="3">
        <f>E56+1</f>
        <v>3</v>
      </c>
      <c r="F57" s="4">
        <v>1009510</v>
      </c>
      <c r="G57" s="4" t="s">
        <v>116</v>
      </c>
      <c r="H57" s="4">
        <v>1400800</v>
      </c>
      <c r="I57" s="4" t="s">
        <v>127</v>
      </c>
      <c r="J57" s="4">
        <f t="shared" si="1"/>
        <v>0</v>
      </c>
      <c r="K57" s="4" t="s">
        <v>34</v>
      </c>
      <c r="L57" s="4" t="s">
        <v>26</v>
      </c>
      <c r="M57" s="4" t="s">
        <v>88</v>
      </c>
      <c r="N57" s="4">
        <v>49</v>
      </c>
      <c r="O57" s="4">
        <v>133</v>
      </c>
      <c r="P57" s="4">
        <v>296</v>
      </c>
      <c r="Q57" s="26"/>
      <c r="T57" s="3">
        <v>50</v>
      </c>
      <c r="U57" s="3">
        <v>50</v>
      </c>
      <c r="V57" s="5">
        <v>0.33</v>
      </c>
      <c r="W57" s="5">
        <v>1</v>
      </c>
      <c r="X57" s="5"/>
      <c r="AC57" s="5"/>
      <c r="AD57" s="26"/>
      <c r="AE57" s="26"/>
      <c r="AF57" s="5"/>
      <c r="AG57" s="5"/>
      <c r="AH57" s="3">
        <v>10000</v>
      </c>
      <c r="AI57" s="3">
        <v>0.15</v>
      </c>
      <c r="AJ57" s="3">
        <v>750</v>
      </c>
      <c r="AK57" s="3">
        <v>1</v>
      </c>
      <c r="AL57" s="4">
        <v>32</v>
      </c>
      <c r="AM57" s="5">
        <v>0.56000000000000005</v>
      </c>
      <c r="AN57" s="4">
        <v>1</v>
      </c>
      <c r="AO57" s="5">
        <v>0.83</v>
      </c>
      <c r="AP57" s="5">
        <v>0.21</v>
      </c>
      <c r="AQ57" s="4">
        <v>500</v>
      </c>
      <c r="AR57" s="4">
        <v>17</v>
      </c>
      <c r="AS57" s="3">
        <v>50</v>
      </c>
      <c r="AT57" s="4">
        <v>10</v>
      </c>
      <c r="AU57" s="5">
        <v>0.31</v>
      </c>
      <c r="AV57" s="5">
        <v>1.32</v>
      </c>
      <c r="AW57" s="5">
        <v>1.17</v>
      </c>
      <c r="AX57" s="13"/>
    </row>
    <row r="58" spans="1:50" s="6" customFormat="1" x14ac:dyDescent="0.25">
      <c r="F58" s="7"/>
      <c r="H58" s="7"/>
      <c r="Q58" s="30"/>
      <c r="T58" s="7"/>
      <c r="U58" s="7"/>
      <c r="V58" s="20"/>
      <c r="W58" s="21"/>
      <c r="X58" s="21"/>
      <c r="Y58" s="6" t="s">
        <v>109</v>
      </c>
      <c r="Z58" s="6">
        <v>361.99</v>
      </c>
      <c r="AA58" s="19">
        <v>0</v>
      </c>
      <c r="AC58" s="33"/>
      <c r="AD58" s="30"/>
      <c r="AE58" s="30"/>
      <c r="AQ58" s="7"/>
      <c r="AR58" s="7"/>
      <c r="AT58" s="7"/>
      <c r="AW58" s="21"/>
      <c r="AX58" s="22"/>
    </row>
    <row r="59" spans="1:50" s="7" customFormat="1" x14ac:dyDescent="0.25">
      <c r="A59" s="6">
        <v>2</v>
      </c>
      <c r="B59" s="6">
        <v>11</v>
      </c>
      <c r="C59" s="6">
        <v>1</v>
      </c>
      <c r="D59" s="6">
        <v>1</v>
      </c>
      <c r="E59" s="6">
        <v>1</v>
      </c>
      <c r="F59" s="7">
        <v>1109504</v>
      </c>
      <c r="G59" s="6" t="s">
        <v>117</v>
      </c>
      <c r="H59" s="7">
        <v>1120002</v>
      </c>
      <c r="I59" s="6" t="s">
        <v>112</v>
      </c>
      <c r="J59" s="6">
        <f t="shared" si="1"/>
        <v>0</v>
      </c>
      <c r="K59" s="6" t="s">
        <v>34</v>
      </c>
      <c r="L59" s="6" t="s">
        <v>118</v>
      </c>
      <c r="M59" s="6" t="s">
        <v>88</v>
      </c>
      <c r="N59" s="6">
        <v>5</v>
      </c>
      <c r="O59" s="6">
        <v>10</v>
      </c>
      <c r="P59" s="6">
        <v>20</v>
      </c>
      <c r="Q59" s="30"/>
      <c r="T59" s="7">
        <f t="shared" si="32"/>
        <v>14.889999999999986</v>
      </c>
      <c r="U59" s="7">
        <f>T59</f>
        <v>14.889999999999986</v>
      </c>
      <c r="V59" s="21">
        <f>AC59</f>
        <v>0.23552673204682031</v>
      </c>
      <c r="W59" s="21">
        <v>1</v>
      </c>
      <c r="X59" s="21"/>
      <c r="Y59" s="6" t="s">
        <v>109</v>
      </c>
      <c r="Z59" s="6">
        <v>347.1</v>
      </c>
      <c r="AA59" s="6">
        <f>Z58-Z59</f>
        <v>14.889999999999986</v>
      </c>
      <c r="AB59" s="6"/>
      <c r="AC59" s="21">
        <f>AA59/(SUM(AA$58:AA$60))</f>
        <v>0.23552673204682031</v>
      </c>
      <c r="AD59" s="30"/>
      <c r="AE59" s="30"/>
      <c r="AF59" s="6"/>
      <c r="AG59" s="6"/>
      <c r="AH59" s="6">
        <v>10000</v>
      </c>
      <c r="AI59" s="6">
        <v>0.15</v>
      </c>
      <c r="AJ59" s="6">
        <v>750</v>
      </c>
      <c r="AK59" s="6">
        <v>1</v>
      </c>
      <c r="AL59" s="6">
        <v>32</v>
      </c>
      <c r="AM59" s="6">
        <v>0.56000000000000005</v>
      </c>
      <c r="AN59" s="6">
        <v>1</v>
      </c>
      <c r="AO59" s="6">
        <v>0.83</v>
      </c>
      <c r="AP59" s="6">
        <v>0.21</v>
      </c>
      <c r="AQ59" s="7">
        <v>500</v>
      </c>
      <c r="AR59" s="7">
        <v>17</v>
      </c>
      <c r="AS59" s="6">
        <v>50</v>
      </c>
      <c r="AT59" s="7">
        <v>110</v>
      </c>
      <c r="AU59" s="6">
        <v>0.31</v>
      </c>
      <c r="AV59" s="6">
        <v>1.32</v>
      </c>
      <c r="AW59" s="21">
        <v>1.27</v>
      </c>
      <c r="AX59" s="22"/>
    </row>
    <row r="60" spans="1:50" s="7" customFormat="1" x14ac:dyDescent="0.25">
      <c r="A60" s="6">
        <v>2</v>
      </c>
      <c r="B60" s="6">
        <v>11</v>
      </c>
      <c r="C60" s="6">
        <v>1</v>
      </c>
      <c r="D60" s="6">
        <v>2</v>
      </c>
      <c r="E60" s="6">
        <v>2</v>
      </c>
      <c r="F60" s="7">
        <v>1120002</v>
      </c>
      <c r="G60" s="6" t="s">
        <v>112</v>
      </c>
      <c r="H60" s="7">
        <v>1109501</v>
      </c>
      <c r="I60" s="6" t="s">
        <v>119</v>
      </c>
      <c r="J60" s="6">
        <f t="shared" si="1"/>
        <v>1</v>
      </c>
      <c r="K60" s="6" t="s">
        <v>32</v>
      </c>
      <c r="L60" s="6"/>
      <c r="M60" s="6"/>
      <c r="N60" s="6">
        <v>5</v>
      </c>
      <c r="O60" s="6">
        <v>10</v>
      </c>
      <c r="P60" s="6">
        <v>20</v>
      </c>
      <c r="Q60" s="30"/>
      <c r="T60" s="7">
        <f t="shared" si="32"/>
        <v>48.330000000000041</v>
      </c>
      <c r="U60" s="7">
        <f t="shared" ref="U60:U62" si="33">T60</f>
        <v>48.330000000000041</v>
      </c>
      <c r="V60" s="21">
        <f t="shared" ref="V60" si="34">AC60</f>
        <v>0.76447326795317971</v>
      </c>
      <c r="W60" s="21">
        <v>1</v>
      </c>
      <c r="X60" s="21"/>
      <c r="Y60" s="6" t="s">
        <v>109</v>
      </c>
      <c r="Z60" s="6">
        <v>298.77</v>
      </c>
      <c r="AA60" s="6">
        <f>Z59-Z60</f>
        <v>48.330000000000041</v>
      </c>
      <c r="AB60" s="6"/>
      <c r="AC60" s="21">
        <f>AA60/(SUM(AA$58:AA$60))</f>
        <v>0.76447326795317971</v>
      </c>
      <c r="AD60" s="30"/>
      <c r="AE60" s="30"/>
      <c r="AF60" s="6"/>
      <c r="AG60" s="6"/>
      <c r="AH60" s="6">
        <v>10000</v>
      </c>
      <c r="AI60" s="6">
        <v>0.15</v>
      </c>
      <c r="AJ60" s="6">
        <v>750</v>
      </c>
      <c r="AK60" s="6">
        <v>1</v>
      </c>
      <c r="AL60" s="6">
        <v>32</v>
      </c>
      <c r="AM60" s="6">
        <v>0.56000000000000005</v>
      </c>
      <c r="AN60" s="6">
        <v>1</v>
      </c>
      <c r="AO60" s="6">
        <v>0.83</v>
      </c>
      <c r="AP60" s="6">
        <v>0.21</v>
      </c>
      <c r="AQ60" s="7">
        <v>500</v>
      </c>
      <c r="AR60" s="7">
        <v>17</v>
      </c>
      <c r="AS60" s="6">
        <v>50</v>
      </c>
      <c r="AT60" s="7">
        <v>110</v>
      </c>
      <c r="AU60" s="6">
        <v>0.31</v>
      </c>
      <c r="AV60" s="6">
        <v>1.32</v>
      </c>
      <c r="AW60" s="21">
        <v>1.27</v>
      </c>
      <c r="AX60" s="22"/>
    </row>
    <row r="61" spans="1:50" s="7" customFormat="1" x14ac:dyDescent="0.25">
      <c r="A61" s="6">
        <v>2</v>
      </c>
      <c r="B61" s="6">
        <v>11</v>
      </c>
      <c r="C61" s="6">
        <v>2</v>
      </c>
      <c r="D61" s="6">
        <v>1</v>
      </c>
      <c r="E61" s="6">
        <v>3</v>
      </c>
      <c r="F61" s="7">
        <v>1109501</v>
      </c>
      <c r="G61" s="6" t="s">
        <v>119</v>
      </c>
      <c r="H61" s="7">
        <v>1209502</v>
      </c>
      <c r="I61" s="6" t="s">
        <v>122</v>
      </c>
      <c r="J61" s="6">
        <f t="shared" si="1"/>
        <v>0</v>
      </c>
      <c r="K61" s="6" t="s">
        <v>34</v>
      </c>
      <c r="L61" s="6" t="s">
        <v>120</v>
      </c>
      <c r="M61" s="6" t="s">
        <v>88</v>
      </c>
      <c r="N61" s="6">
        <v>5</v>
      </c>
      <c r="O61" s="6">
        <v>10</v>
      </c>
      <c r="P61" s="6">
        <v>20</v>
      </c>
      <c r="Q61" s="30"/>
      <c r="T61" s="7">
        <f t="shared" si="32"/>
        <v>73.72999999999999</v>
      </c>
      <c r="U61" s="7">
        <f t="shared" si="33"/>
        <v>73.72999999999999</v>
      </c>
      <c r="V61" s="21">
        <v>1</v>
      </c>
      <c r="W61" s="21">
        <v>1</v>
      </c>
      <c r="X61" s="21"/>
      <c r="Y61" s="6" t="s">
        <v>109</v>
      </c>
      <c r="Z61" s="6">
        <v>225.04</v>
      </c>
      <c r="AA61" s="6">
        <f>Z60-Z61</f>
        <v>73.72999999999999</v>
      </c>
      <c r="AB61" s="6"/>
      <c r="AC61" s="21"/>
      <c r="AD61" s="30"/>
      <c r="AE61" s="30"/>
      <c r="AF61" s="6"/>
      <c r="AG61" s="6"/>
      <c r="AH61" s="6">
        <v>10000</v>
      </c>
      <c r="AI61" s="6">
        <v>0.15</v>
      </c>
      <c r="AJ61" s="6">
        <v>750</v>
      </c>
      <c r="AK61" s="6">
        <v>1</v>
      </c>
      <c r="AL61" s="6">
        <v>32</v>
      </c>
      <c r="AM61" s="6">
        <v>0.56000000000000005</v>
      </c>
      <c r="AN61" s="6">
        <v>1</v>
      </c>
      <c r="AO61" s="6">
        <v>0.83</v>
      </c>
      <c r="AP61" s="6">
        <v>0.21</v>
      </c>
      <c r="AQ61" s="7">
        <v>500</v>
      </c>
      <c r="AR61" s="7">
        <v>17</v>
      </c>
      <c r="AS61" s="6">
        <v>50</v>
      </c>
      <c r="AT61" s="7">
        <v>110</v>
      </c>
      <c r="AU61" s="6">
        <v>0.31</v>
      </c>
      <c r="AV61" s="6">
        <v>1.32</v>
      </c>
      <c r="AW61" s="21">
        <v>1.27</v>
      </c>
      <c r="AX61" s="22"/>
    </row>
    <row r="62" spans="1:50" s="4" customFormat="1" x14ac:dyDescent="0.25">
      <c r="A62" s="3">
        <v>2</v>
      </c>
      <c r="B62" s="3">
        <v>11</v>
      </c>
      <c r="C62" s="3">
        <v>3</v>
      </c>
      <c r="D62" s="3">
        <v>1</v>
      </c>
      <c r="E62" s="3">
        <v>4</v>
      </c>
      <c r="F62" s="4">
        <v>1209502</v>
      </c>
      <c r="G62" s="4" t="s">
        <v>122</v>
      </c>
      <c r="H62" s="4">
        <v>1403526</v>
      </c>
      <c r="I62" s="4" t="s">
        <v>94</v>
      </c>
      <c r="J62" s="4">
        <f t="shared" si="1"/>
        <v>0</v>
      </c>
      <c r="K62" s="4" t="s">
        <v>34</v>
      </c>
      <c r="L62" s="4" t="s">
        <v>121</v>
      </c>
      <c r="M62" s="4" t="s">
        <v>88</v>
      </c>
      <c r="N62" s="4">
        <v>5</v>
      </c>
      <c r="O62" s="4">
        <v>10</v>
      </c>
      <c r="P62" s="4">
        <v>20</v>
      </c>
      <c r="Q62" s="26"/>
      <c r="T62" s="4">
        <f t="shared" si="32"/>
        <v>21.97</v>
      </c>
      <c r="U62" s="4">
        <f t="shared" si="33"/>
        <v>21.97</v>
      </c>
      <c r="V62" s="5">
        <v>1</v>
      </c>
      <c r="W62" s="5">
        <v>1</v>
      </c>
      <c r="X62" s="5"/>
      <c r="Y62" s="3" t="s">
        <v>109</v>
      </c>
      <c r="Z62" s="3">
        <v>203.07</v>
      </c>
      <c r="AA62" s="3">
        <f>Z61-Z62</f>
        <v>21.97</v>
      </c>
      <c r="AB62" s="3"/>
      <c r="AC62" s="5"/>
      <c r="AD62" s="26"/>
      <c r="AE62" s="26"/>
      <c r="AF62" s="3"/>
      <c r="AG62" s="3"/>
      <c r="AH62" s="3">
        <v>10000</v>
      </c>
      <c r="AI62" s="3">
        <v>0.15</v>
      </c>
      <c r="AJ62" s="3">
        <v>750</v>
      </c>
      <c r="AK62" s="3">
        <v>1</v>
      </c>
      <c r="AL62" s="3">
        <v>32</v>
      </c>
      <c r="AM62" s="3">
        <v>0.56000000000000005</v>
      </c>
      <c r="AN62" s="3">
        <v>1</v>
      </c>
      <c r="AO62" s="3">
        <v>0.83</v>
      </c>
      <c r="AP62" s="3">
        <v>0.21</v>
      </c>
      <c r="AQ62" s="4">
        <v>500</v>
      </c>
      <c r="AR62" s="4">
        <v>17</v>
      </c>
      <c r="AS62" s="3">
        <v>50</v>
      </c>
      <c r="AT62" s="4">
        <v>110</v>
      </c>
      <c r="AU62" s="3">
        <v>0.31</v>
      </c>
      <c r="AV62" s="3">
        <v>1.32</v>
      </c>
      <c r="AW62" s="5">
        <v>1.27</v>
      </c>
      <c r="AX62" s="13"/>
    </row>
    <row r="64" spans="1:50" s="2" customFormat="1" x14ac:dyDescent="0.25">
      <c r="A64">
        <v>2</v>
      </c>
      <c r="B64">
        <v>67</v>
      </c>
      <c r="C64">
        <v>1</v>
      </c>
      <c r="D64">
        <v>1</v>
      </c>
      <c r="E64">
        <v>1</v>
      </c>
      <c r="F64">
        <v>6703512</v>
      </c>
      <c r="G64" t="s">
        <v>166</v>
      </c>
      <c r="H64" s="2">
        <v>6709501</v>
      </c>
      <c r="I64" t="s">
        <v>165</v>
      </c>
      <c r="J64" s="7">
        <f t="shared" ref="J64:J78" si="35">IF(K64="Inflow",1,IF(K64="Outflow",-1,IF(K64="Gage",0,"")))</f>
        <v>-1</v>
      </c>
      <c r="K64" t="s">
        <v>33</v>
      </c>
      <c r="L64"/>
      <c r="M64"/>
      <c r="N64">
        <v>0</v>
      </c>
      <c r="O64">
        <v>0</v>
      </c>
      <c r="P64">
        <v>0</v>
      </c>
      <c r="Q64" s="29">
        <v>1</v>
      </c>
      <c r="T64" s="14">
        <v>0.1</v>
      </c>
      <c r="U64" s="14">
        <v>0.1</v>
      </c>
      <c r="V64" s="1">
        <v>1</v>
      </c>
      <c r="W64" s="2">
        <v>0</v>
      </c>
      <c r="Y64" s="2" t="s">
        <v>109</v>
      </c>
      <c r="Z64"/>
      <c r="AA64"/>
      <c r="AB64"/>
      <c r="AC64" s="1"/>
      <c r="AD64" s="29"/>
      <c r="AE64" s="29"/>
      <c r="AF64"/>
      <c r="AG64"/>
      <c r="AH64">
        <v>9000</v>
      </c>
      <c r="AI64">
        <v>0.18</v>
      </c>
      <c r="AJ64">
        <v>800</v>
      </c>
      <c r="AK64">
        <v>1</v>
      </c>
      <c r="AL64">
        <v>32</v>
      </c>
      <c r="AM64">
        <v>0.56000000000000005</v>
      </c>
      <c r="AN64">
        <v>1</v>
      </c>
      <c r="AO64">
        <v>0.83</v>
      </c>
      <c r="AP64">
        <v>0.21</v>
      </c>
      <c r="AQ64" s="2">
        <v>500</v>
      </c>
      <c r="AR64">
        <v>671</v>
      </c>
      <c r="AS64">
        <v>20</v>
      </c>
      <c r="AT64" s="2">
        <v>-999</v>
      </c>
      <c r="AU64">
        <v>0.38</v>
      </c>
      <c r="AV64">
        <v>0.99</v>
      </c>
      <c r="AW64" s="1">
        <v>0</v>
      </c>
      <c r="AX64" s="14"/>
    </row>
    <row r="65" spans="1:50" s="15" customFormat="1" x14ac:dyDescent="0.25">
      <c r="A65" s="15">
        <v>2</v>
      </c>
      <c r="B65" s="15">
        <v>67</v>
      </c>
      <c r="C65" s="15">
        <v>2</v>
      </c>
      <c r="D65" s="15">
        <v>1</v>
      </c>
      <c r="E65" s="15">
        <v>2</v>
      </c>
      <c r="F65" s="16">
        <f>H64</f>
        <v>6709501</v>
      </c>
      <c r="G65" s="16" t="str">
        <f t="shared" ref="G65" si="36">I64</f>
        <v>Arkansas River below John Martin Reservoir</v>
      </c>
      <c r="H65" s="16">
        <v>6700610</v>
      </c>
      <c r="I65" s="15" t="s">
        <v>155</v>
      </c>
      <c r="J65" s="16">
        <f t="shared" si="35"/>
        <v>0</v>
      </c>
      <c r="K65" s="15" t="s">
        <v>34</v>
      </c>
      <c r="L65" s="15" t="s">
        <v>140</v>
      </c>
      <c r="M65" s="15" t="s">
        <v>88</v>
      </c>
      <c r="N65" s="15">
        <v>150</v>
      </c>
      <c r="O65" s="15">
        <v>542</v>
      </c>
      <c r="P65" s="15">
        <v>831</v>
      </c>
      <c r="Q65" s="28"/>
      <c r="T65" s="16">
        <v>5.9</v>
      </c>
      <c r="U65" s="15">
        <v>4.5999999999999996</v>
      </c>
      <c r="V65" s="15">
        <v>0.26</v>
      </c>
      <c r="W65" s="15">
        <v>1</v>
      </c>
      <c r="Y65" s="15" t="s">
        <v>109</v>
      </c>
      <c r="AC65" s="17"/>
      <c r="AD65" s="17"/>
      <c r="AE65" s="28"/>
      <c r="AH65" s="15">
        <v>9000</v>
      </c>
      <c r="AI65" s="15">
        <v>0.18</v>
      </c>
      <c r="AJ65" s="15">
        <v>800</v>
      </c>
      <c r="AK65" s="15">
        <v>1</v>
      </c>
      <c r="AL65" s="15">
        <v>32</v>
      </c>
      <c r="AM65" s="15">
        <v>0.56000000000000005</v>
      </c>
      <c r="AN65" s="15">
        <v>1</v>
      </c>
      <c r="AO65" s="15">
        <v>0.83</v>
      </c>
      <c r="AP65" s="15">
        <v>0.21</v>
      </c>
      <c r="AQ65" s="16">
        <v>500</v>
      </c>
      <c r="AR65" s="15">
        <v>671</v>
      </c>
      <c r="AS65" s="15">
        <v>50</v>
      </c>
      <c r="AT65" s="18">
        <v>10.7</v>
      </c>
      <c r="AU65" s="15">
        <v>0.38</v>
      </c>
      <c r="AV65" s="15">
        <v>0.99</v>
      </c>
      <c r="AW65" s="17">
        <v>1</v>
      </c>
      <c r="AX65" s="18"/>
    </row>
    <row r="66" spans="1:50" s="6" customFormat="1" x14ac:dyDescent="0.25">
      <c r="A66" s="6">
        <v>2</v>
      </c>
      <c r="B66" s="6">
        <v>67</v>
      </c>
      <c r="C66" s="6">
        <v>2</v>
      </c>
      <c r="D66" s="6">
        <f>D65+1</f>
        <v>2</v>
      </c>
      <c r="E66" s="6">
        <f t="shared" ref="E66:E78" si="37">E65+1</f>
        <v>3</v>
      </c>
      <c r="F66" s="7">
        <f>H65</f>
        <v>6700610</v>
      </c>
      <c r="G66" s="7" t="str">
        <f t="shared" ref="G66:G77" si="38">I65</f>
        <v>Fort Bent Canal</v>
      </c>
      <c r="H66" s="7">
        <v>6700613</v>
      </c>
      <c r="I66" s="6" t="s">
        <v>154</v>
      </c>
      <c r="J66" s="7">
        <f t="shared" si="35"/>
        <v>-1</v>
      </c>
      <c r="K66" s="6" t="s">
        <v>33</v>
      </c>
      <c r="L66" s="6" t="s">
        <v>141</v>
      </c>
      <c r="M66" s="6" t="s">
        <v>88</v>
      </c>
      <c r="N66" s="6">
        <v>17.600000000000001</v>
      </c>
      <c r="O66" s="6">
        <v>49.3</v>
      </c>
      <c r="P66" s="6">
        <v>70.599999999999994</v>
      </c>
      <c r="Q66" s="30"/>
      <c r="T66" s="6">
        <v>7.4</v>
      </c>
      <c r="U66" s="6">
        <v>5.6</v>
      </c>
      <c r="V66" s="6">
        <v>0.32</v>
      </c>
      <c r="W66" s="6">
        <v>1</v>
      </c>
      <c r="Y66" s="6" t="s">
        <v>109</v>
      </c>
      <c r="AC66" s="21"/>
      <c r="AD66" s="21"/>
      <c r="AE66" s="30"/>
      <c r="AH66" s="6">
        <v>9000</v>
      </c>
      <c r="AI66" s="6">
        <v>0.18</v>
      </c>
      <c r="AJ66" s="6">
        <v>800</v>
      </c>
      <c r="AK66" s="6">
        <v>1</v>
      </c>
      <c r="AL66" s="6">
        <v>32</v>
      </c>
      <c r="AM66" s="6">
        <v>0.56000000000000005</v>
      </c>
      <c r="AN66" s="6">
        <v>1</v>
      </c>
      <c r="AO66" s="6">
        <v>0.83</v>
      </c>
      <c r="AP66" s="6">
        <v>0.21</v>
      </c>
      <c r="AQ66" s="7">
        <v>500</v>
      </c>
      <c r="AR66" s="6">
        <v>671</v>
      </c>
      <c r="AS66" s="6">
        <v>50</v>
      </c>
      <c r="AT66" s="22">
        <v>10.7</v>
      </c>
      <c r="AU66" s="6">
        <v>0.38</v>
      </c>
      <c r="AV66" s="6">
        <v>0.99</v>
      </c>
      <c r="AW66" s="21">
        <v>1</v>
      </c>
      <c r="AX66" s="22"/>
    </row>
    <row r="67" spans="1:50" s="6" customFormat="1" x14ac:dyDescent="0.25">
      <c r="A67" s="6">
        <v>2</v>
      </c>
      <c r="B67" s="6">
        <v>67</v>
      </c>
      <c r="C67" s="6">
        <v>2</v>
      </c>
      <c r="D67" s="6">
        <f t="shared" ref="D67:D77" si="39">D66+1</f>
        <v>3</v>
      </c>
      <c r="E67" s="6">
        <f t="shared" si="37"/>
        <v>4</v>
      </c>
      <c r="F67" s="7">
        <f t="shared" ref="F67:F77" si="40">H66</f>
        <v>6700613</v>
      </c>
      <c r="G67" s="7" t="str">
        <f t="shared" si="38"/>
        <v>Keesee Ditch</v>
      </c>
      <c r="H67" s="30">
        <v>6700607</v>
      </c>
      <c r="I67" s="6" t="s">
        <v>156</v>
      </c>
      <c r="J67" s="7">
        <f t="shared" si="35"/>
        <v>-1</v>
      </c>
      <c r="K67" s="6" t="s">
        <v>33</v>
      </c>
      <c r="N67" s="6">
        <v>15.6</v>
      </c>
      <c r="O67" s="6">
        <v>14</v>
      </c>
      <c r="P67" s="6">
        <v>17.600000000000001</v>
      </c>
      <c r="Q67" s="30"/>
      <c r="T67" s="6">
        <v>8.3000000000000007</v>
      </c>
      <c r="U67" s="6">
        <v>6.2</v>
      </c>
      <c r="V67" s="6">
        <v>0.35</v>
      </c>
      <c r="W67" s="6">
        <v>1</v>
      </c>
      <c r="Y67" s="6" t="s">
        <v>109</v>
      </c>
      <c r="AC67" s="21"/>
      <c r="AD67" s="21"/>
      <c r="AE67" s="30"/>
      <c r="AH67" s="6">
        <v>9000</v>
      </c>
      <c r="AI67" s="6">
        <v>0.18</v>
      </c>
      <c r="AJ67" s="6">
        <v>800</v>
      </c>
      <c r="AK67" s="6">
        <v>1</v>
      </c>
      <c r="AL67" s="6">
        <v>32</v>
      </c>
      <c r="AM67" s="6">
        <v>0.56000000000000005</v>
      </c>
      <c r="AN67" s="6">
        <v>1</v>
      </c>
      <c r="AO67" s="6">
        <v>0.83</v>
      </c>
      <c r="AP67" s="6">
        <v>0.21</v>
      </c>
      <c r="AQ67" s="7">
        <v>500</v>
      </c>
      <c r="AR67" s="6">
        <v>671</v>
      </c>
      <c r="AS67" s="6">
        <v>50</v>
      </c>
      <c r="AT67" s="22">
        <v>10.7</v>
      </c>
      <c r="AU67" s="6">
        <v>0.38</v>
      </c>
      <c r="AV67" s="6">
        <v>0.99</v>
      </c>
      <c r="AW67" s="21">
        <v>1</v>
      </c>
      <c r="AX67" s="22"/>
    </row>
    <row r="68" spans="1:50" s="6" customFormat="1" x14ac:dyDescent="0.25">
      <c r="A68" s="6">
        <v>2</v>
      </c>
      <c r="B68" s="6">
        <v>67</v>
      </c>
      <c r="C68" s="6">
        <v>2</v>
      </c>
      <c r="D68" s="6">
        <f t="shared" si="39"/>
        <v>4</v>
      </c>
      <c r="E68" s="6">
        <f t="shared" si="37"/>
        <v>5</v>
      </c>
      <c r="F68" s="7">
        <f t="shared" si="40"/>
        <v>6700607</v>
      </c>
      <c r="G68" s="7" t="str">
        <f t="shared" si="38"/>
        <v>Amity Canal</v>
      </c>
      <c r="H68" s="30">
        <v>6700614</v>
      </c>
      <c r="I68" s="6" t="s">
        <v>157</v>
      </c>
      <c r="J68" s="7">
        <f t="shared" si="35"/>
        <v>-1</v>
      </c>
      <c r="K68" s="6" t="s">
        <v>33</v>
      </c>
      <c r="L68" s="6" t="s">
        <v>142</v>
      </c>
      <c r="M68" s="6" t="s">
        <v>88</v>
      </c>
      <c r="N68" s="6">
        <v>69</v>
      </c>
      <c r="O68" s="6">
        <v>271</v>
      </c>
      <c r="P68" s="6">
        <v>333</v>
      </c>
      <c r="Q68" s="30"/>
      <c r="T68" s="6">
        <f>ROUND(AA68,1)</f>
        <v>1.4</v>
      </c>
      <c r="U68" s="6">
        <f t="shared" ref="U68:U69" si="41">ROUND(AB68,1)</f>
        <v>1.1000000000000001</v>
      </c>
      <c r="V68" s="20">
        <f>ROUND(AC68,2)</f>
        <v>0.06</v>
      </c>
      <c r="W68" s="6">
        <v>1</v>
      </c>
      <c r="Y68" s="6" t="s">
        <v>109</v>
      </c>
      <c r="Z68" s="6">
        <v>48.6</v>
      </c>
      <c r="AA68" s="6">
        <f>($Z68-$Z69)/($Z$68-$Z$70)*AD$68</f>
        <v>1.4412665985699702</v>
      </c>
      <c r="AB68" s="6">
        <f t="shared" ref="AB68:AB69" si="42">($Z68-$Z69)/($Z$68-$Z$70)*AE$68</f>
        <v>1.1021450459652715</v>
      </c>
      <c r="AC68" s="21">
        <f t="shared" ref="AC68:AC69" si="43">($Z68-$Z69)/($Z$68-$Z$70)*AF$68</f>
        <v>5.9346271705822309E-2</v>
      </c>
      <c r="AD68" s="6">
        <v>1.7</v>
      </c>
      <c r="AE68" s="6">
        <v>1.3</v>
      </c>
      <c r="AF68" s="19">
        <v>7.0000000000000007E-2</v>
      </c>
      <c r="AH68" s="6">
        <v>9000</v>
      </c>
      <c r="AI68" s="6">
        <v>0.18</v>
      </c>
      <c r="AJ68" s="6">
        <v>800</v>
      </c>
      <c r="AK68" s="6">
        <v>1</v>
      </c>
      <c r="AL68" s="6">
        <v>32</v>
      </c>
      <c r="AM68" s="6">
        <v>0.56000000000000005</v>
      </c>
      <c r="AN68" s="6">
        <v>1</v>
      </c>
      <c r="AO68" s="6">
        <v>0.83</v>
      </c>
      <c r="AP68" s="6">
        <v>0.21</v>
      </c>
      <c r="AQ68" s="7">
        <v>500</v>
      </c>
      <c r="AR68" s="6">
        <v>671</v>
      </c>
      <c r="AS68" s="6">
        <v>50</v>
      </c>
      <c r="AT68" s="22">
        <v>10.7</v>
      </c>
      <c r="AU68" s="6">
        <v>0.38</v>
      </c>
      <c r="AV68" s="6">
        <v>0.99</v>
      </c>
      <c r="AW68" s="21">
        <v>1</v>
      </c>
      <c r="AX68" s="22"/>
    </row>
    <row r="69" spans="1:50" s="3" customFormat="1" x14ac:dyDescent="0.25">
      <c r="A69" s="3">
        <v>2</v>
      </c>
      <c r="B69" s="3">
        <v>67</v>
      </c>
      <c r="C69" s="3">
        <v>2</v>
      </c>
      <c r="D69" s="3">
        <f t="shared" si="39"/>
        <v>5</v>
      </c>
      <c r="E69" s="3">
        <f t="shared" si="37"/>
        <v>6</v>
      </c>
      <c r="F69" s="4">
        <f t="shared" si="40"/>
        <v>6700614</v>
      </c>
      <c r="G69" s="4" t="str">
        <f t="shared" si="38"/>
        <v>Lamar Ditch</v>
      </c>
      <c r="H69" s="26">
        <v>6709500</v>
      </c>
      <c r="I69" s="3" t="s">
        <v>150</v>
      </c>
      <c r="J69" s="4">
        <f t="shared" si="35"/>
        <v>-1</v>
      </c>
      <c r="K69" s="3" t="s">
        <v>33</v>
      </c>
      <c r="L69" s="3" t="s">
        <v>143</v>
      </c>
      <c r="M69" s="3" t="s">
        <v>88</v>
      </c>
      <c r="N69" s="3">
        <v>33.9</v>
      </c>
      <c r="O69" s="3">
        <v>161</v>
      </c>
      <c r="P69" s="3">
        <v>189</v>
      </c>
      <c r="Q69" s="26"/>
      <c r="T69" s="3">
        <f t="shared" ref="T69" si="44">ROUND(AA69,1)</f>
        <v>0.3</v>
      </c>
      <c r="U69" s="3">
        <f t="shared" si="41"/>
        <v>0.2</v>
      </c>
      <c r="V69" s="5">
        <f>ROUND(AC69,2)</f>
        <v>0.01</v>
      </c>
      <c r="W69" s="3">
        <v>1</v>
      </c>
      <c r="Y69" s="3" t="s">
        <v>109</v>
      </c>
      <c r="Z69" s="3">
        <v>40.299999999999997</v>
      </c>
      <c r="AA69" s="3">
        <f t="shared" ref="AA69" si="45">($Z69-$Z70)/($Z$68-$Z$70)*AD$68</f>
        <v>0.25873340143002976</v>
      </c>
      <c r="AB69" s="3">
        <f t="shared" si="42"/>
        <v>0.19785495403472866</v>
      </c>
      <c r="AC69" s="5">
        <f t="shared" si="43"/>
        <v>1.0653728294177699E-2</v>
      </c>
      <c r="AD69" s="5"/>
      <c r="AE69" s="26"/>
      <c r="AH69" s="3">
        <v>9000</v>
      </c>
      <c r="AI69" s="3">
        <v>0.18</v>
      </c>
      <c r="AJ69" s="3">
        <v>800</v>
      </c>
      <c r="AK69" s="3">
        <v>1</v>
      </c>
      <c r="AL69" s="3">
        <v>32</v>
      </c>
      <c r="AM69" s="3">
        <v>0.56000000000000005</v>
      </c>
      <c r="AN69" s="3">
        <v>1</v>
      </c>
      <c r="AO69" s="3">
        <v>0.83</v>
      </c>
      <c r="AP69" s="3">
        <v>0.21</v>
      </c>
      <c r="AQ69" s="4">
        <v>500</v>
      </c>
      <c r="AR69" s="3">
        <v>671</v>
      </c>
      <c r="AS69" s="3">
        <v>50</v>
      </c>
      <c r="AT69" s="13">
        <v>10.7</v>
      </c>
      <c r="AU69" s="3">
        <v>0.38</v>
      </c>
      <c r="AV69" s="3">
        <v>0.99</v>
      </c>
      <c r="AW69" s="5">
        <v>1</v>
      </c>
      <c r="AX69" s="13"/>
    </row>
    <row r="70" spans="1:50" x14ac:dyDescent="0.25">
      <c r="A70">
        <v>2</v>
      </c>
      <c r="B70">
        <v>67</v>
      </c>
      <c r="C70">
        <v>3</v>
      </c>
      <c r="D70">
        <v>1</v>
      </c>
      <c r="E70">
        <f t="shared" si="37"/>
        <v>7</v>
      </c>
      <c r="F70" s="2">
        <f t="shared" si="40"/>
        <v>6709500</v>
      </c>
      <c r="G70" s="2" t="str">
        <f t="shared" si="38"/>
        <v>Arkansas River at Lamar</v>
      </c>
      <c r="H70" s="29">
        <v>6700612</v>
      </c>
      <c r="I70" t="s">
        <v>158</v>
      </c>
      <c r="J70" s="7">
        <f t="shared" si="35"/>
        <v>0</v>
      </c>
      <c r="K70" t="s">
        <v>34</v>
      </c>
      <c r="L70" t="s">
        <v>144</v>
      </c>
      <c r="M70" t="s">
        <v>88</v>
      </c>
      <c r="N70">
        <v>16.8</v>
      </c>
      <c r="O70">
        <v>69</v>
      </c>
      <c r="P70">
        <v>307</v>
      </c>
      <c r="T70">
        <v>3.1</v>
      </c>
      <c r="U70">
        <v>2</v>
      </c>
      <c r="V70" s="19">
        <v>0.13</v>
      </c>
      <c r="W70">
        <v>1</v>
      </c>
      <c r="X70"/>
      <c r="Y70" t="s">
        <v>109</v>
      </c>
      <c r="Z70">
        <v>38.81</v>
      </c>
      <c r="AD70" s="1"/>
      <c r="AH70">
        <v>17500</v>
      </c>
      <c r="AI70">
        <v>0.18</v>
      </c>
      <c r="AJ70">
        <v>1000</v>
      </c>
      <c r="AK70">
        <v>1</v>
      </c>
      <c r="AL70">
        <v>32</v>
      </c>
      <c r="AM70">
        <v>0.56000000000000005</v>
      </c>
      <c r="AN70">
        <v>1</v>
      </c>
      <c r="AO70">
        <v>0.83</v>
      </c>
      <c r="AP70">
        <v>0.21</v>
      </c>
      <c r="AQ70" s="2">
        <v>500</v>
      </c>
      <c r="AR70">
        <v>673</v>
      </c>
      <c r="AS70">
        <v>50</v>
      </c>
      <c r="AT70" s="18">
        <v>29.7</v>
      </c>
      <c r="AU70">
        <v>0.38</v>
      </c>
      <c r="AV70">
        <v>0.99</v>
      </c>
      <c r="AW70" s="1">
        <v>1</v>
      </c>
    </row>
    <row r="71" spans="1:50" x14ac:dyDescent="0.25">
      <c r="A71">
        <v>2</v>
      </c>
      <c r="B71">
        <v>67</v>
      </c>
      <c r="C71">
        <v>3</v>
      </c>
      <c r="D71">
        <f t="shared" si="39"/>
        <v>2</v>
      </c>
      <c r="E71">
        <f t="shared" si="37"/>
        <v>8</v>
      </c>
      <c r="F71" s="2">
        <f t="shared" si="40"/>
        <v>6700612</v>
      </c>
      <c r="G71" s="2" t="str">
        <f t="shared" si="38"/>
        <v>Hyde Ditch</v>
      </c>
      <c r="H71" s="29">
        <v>6709502</v>
      </c>
      <c r="I71" t="s">
        <v>151</v>
      </c>
      <c r="J71" s="7">
        <f t="shared" si="35"/>
        <v>-1</v>
      </c>
      <c r="K71" t="s">
        <v>33</v>
      </c>
      <c r="L71" t="s">
        <v>145</v>
      </c>
      <c r="M71" t="s">
        <v>88</v>
      </c>
      <c r="N71">
        <v>2.2999999999999998</v>
      </c>
      <c r="O71">
        <v>9</v>
      </c>
      <c r="P71">
        <v>11.3</v>
      </c>
      <c r="T71">
        <v>9.6</v>
      </c>
      <c r="U71">
        <v>6.2</v>
      </c>
      <c r="V71" s="19">
        <v>0.39</v>
      </c>
      <c r="W71">
        <v>1</v>
      </c>
      <c r="X71"/>
      <c r="Y71" t="s">
        <v>109</v>
      </c>
      <c r="AD71" s="1"/>
      <c r="AH71">
        <v>17500</v>
      </c>
      <c r="AI71">
        <v>0.18</v>
      </c>
      <c r="AJ71">
        <v>1000</v>
      </c>
      <c r="AK71">
        <v>1</v>
      </c>
      <c r="AL71">
        <v>32</v>
      </c>
      <c r="AM71">
        <v>0.56000000000000005</v>
      </c>
      <c r="AN71">
        <v>1</v>
      </c>
      <c r="AO71">
        <v>0.83</v>
      </c>
      <c r="AP71">
        <v>0.21</v>
      </c>
      <c r="AQ71" s="2">
        <v>500</v>
      </c>
      <c r="AR71">
        <v>673</v>
      </c>
      <c r="AS71">
        <v>50</v>
      </c>
      <c r="AT71" s="14">
        <v>29.7</v>
      </c>
      <c r="AU71">
        <v>0.38</v>
      </c>
      <c r="AV71">
        <v>0.99</v>
      </c>
      <c r="AW71" s="1">
        <v>1</v>
      </c>
    </row>
    <row r="72" spans="1:50" x14ac:dyDescent="0.25">
      <c r="A72">
        <v>2</v>
      </c>
      <c r="B72">
        <v>67</v>
      </c>
      <c r="C72">
        <v>3</v>
      </c>
      <c r="D72">
        <f t="shared" si="39"/>
        <v>3</v>
      </c>
      <c r="E72">
        <f t="shared" si="37"/>
        <v>9</v>
      </c>
      <c r="F72" s="2">
        <f t="shared" si="40"/>
        <v>6709502</v>
      </c>
      <c r="G72" s="2" t="str">
        <f t="shared" si="38"/>
        <v>Big Sandy Creek</v>
      </c>
      <c r="H72" s="29">
        <v>6700617</v>
      </c>
      <c r="I72" t="s">
        <v>159</v>
      </c>
      <c r="J72" s="7">
        <f t="shared" si="35"/>
        <v>1</v>
      </c>
      <c r="K72" t="s">
        <v>32</v>
      </c>
      <c r="L72" t="s">
        <v>163</v>
      </c>
      <c r="M72" t="s">
        <v>88</v>
      </c>
      <c r="N72">
        <v>29.1</v>
      </c>
      <c r="O72">
        <v>23.8</v>
      </c>
      <c r="P72">
        <v>15.5</v>
      </c>
      <c r="T72">
        <v>3.7</v>
      </c>
      <c r="U72">
        <v>2.4</v>
      </c>
      <c r="V72" s="19">
        <v>0.16</v>
      </c>
      <c r="W72">
        <v>1</v>
      </c>
      <c r="X72"/>
      <c r="Y72" t="s">
        <v>109</v>
      </c>
      <c r="AD72" s="1"/>
      <c r="AH72">
        <v>17500</v>
      </c>
      <c r="AI72">
        <v>0.18</v>
      </c>
      <c r="AJ72">
        <v>1000</v>
      </c>
      <c r="AK72">
        <v>1</v>
      </c>
      <c r="AL72">
        <v>32</v>
      </c>
      <c r="AM72">
        <v>0.56000000000000005</v>
      </c>
      <c r="AN72">
        <v>1</v>
      </c>
      <c r="AO72">
        <v>0.83</v>
      </c>
      <c r="AP72">
        <v>0.21</v>
      </c>
      <c r="AQ72" s="2">
        <v>500</v>
      </c>
      <c r="AR72">
        <v>673</v>
      </c>
      <c r="AS72">
        <v>50</v>
      </c>
      <c r="AT72" s="14">
        <v>29.7</v>
      </c>
      <c r="AU72">
        <v>0.38</v>
      </c>
      <c r="AV72">
        <v>0.99</v>
      </c>
      <c r="AW72" s="1">
        <v>1</v>
      </c>
    </row>
    <row r="73" spans="1:50" x14ac:dyDescent="0.25">
      <c r="A73">
        <v>2</v>
      </c>
      <c r="B73">
        <v>67</v>
      </c>
      <c r="C73">
        <v>3</v>
      </c>
      <c r="D73">
        <f t="shared" si="39"/>
        <v>4</v>
      </c>
      <c r="E73">
        <f t="shared" si="37"/>
        <v>10</v>
      </c>
      <c r="F73" s="2">
        <f t="shared" si="40"/>
        <v>6700617</v>
      </c>
      <c r="G73" s="2" t="str">
        <f t="shared" si="38"/>
        <v>XY Canal</v>
      </c>
      <c r="H73" s="29">
        <v>6700608</v>
      </c>
      <c r="I73" t="s">
        <v>160</v>
      </c>
      <c r="J73" s="7">
        <f t="shared" si="35"/>
        <v>-1</v>
      </c>
      <c r="K73" t="s">
        <v>33</v>
      </c>
      <c r="N73">
        <v>0</v>
      </c>
      <c r="O73">
        <v>0</v>
      </c>
      <c r="P73">
        <v>0</v>
      </c>
      <c r="T73">
        <v>6.7</v>
      </c>
      <c r="U73">
        <v>4.4000000000000004</v>
      </c>
      <c r="V73" s="19">
        <v>0.26</v>
      </c>
      <c r="W73">
        <v>1</v>
      </c>
      <c r="X73"/>
      <c r="Y73" t="s">
        <v>109</v>
      </c>
      <c r="AD73" s="1"/>
      <c r="AH73">
        <v>17500</v>
      </c>
      <c r="AI73">
        <v>0.18</v>
      </c>
      <c r="AJ73">
        <v>1000</v>
      </c>
      <c r="AK73">
        <v>1</v>
      </c>
      <c r="AL73">
        <v>32</v>
      </c>
      <c r="AM73">
        <v>0.56000000000000005</v>
      </c>
      <c r="AN73">
        <v>1</v>
      </c>
      <c r="AO73">
        <v>0.83</v>
      </c>
      <c r="AP73">
        <v>0.21</v>
      </c>
      <c r="AQ73" s="2">
        <v>500</v>
      </c>
      <c r="AR73">
        <v>673</v>
      </c>
      <c r="AS73">
        <v>50</v>
      </c>
      <c r="AT73" s="14">
        <v>29.7</v>
      </c>
      <c r="AU73">
        <v>0.38</v>
      </c>
      <c r="AV73">
        <v>0.99</v>
      </c>
      <c r="AW73" s="1">
        <v>1</v>
      </c>
    </row>
    <row r="74" spans="1:50" x14ac:dyDescent="0.25">
      <c r="A74">
        <v>2</v>
      </c>
      <c r="B74">
        <v>67</v>
      </c>
      <c r="C74">
        <v>3</v>
      </c>
      <c r="D74">
        <f t="shared" si="39"/>
        <v>5</v>
      </c>
      <c r="E74">
        <f t="shared" si="37"/>
        <v>11</v>
      </c>
      <c r="F74" s="2">
        <f t="shared" si="40"/>
        <v>6700608</v>
      </c>
      <c r="G74" s="2" t="str">
        <f t="shared" si="38"/>
        <v>Buffalo Canal</v>
      </c>
      <c r="H74" s="29">
        <v>6700904</v>
      </c>
      <c r="I74" t="s">
        <v>152</v>
      </c>
      <c r="J74" s="7">
        <f t="shared" si="35"/>
        <v>-1</v>
      </c>
      <c r="K74" t="s">
        <v>33</v>
      </c>
      <c r="L74" t="s">
        <v>146</v>
      </c>
      <c r="M74" t="s">
        <v>88</v>
      </c>
      <c r="N74">
        <v>21.4</v>
      </c>
      <c r="O74">
        <v>27.6</v>
      </c>
      <c r="P74">
        <v>56.7</v>
      </c>
      <c r="T74">
        <v>1.5</v>
      </c>
      <c r="U74">
        <v>1</v>
      </c>
      <c r="V74" s="19">
        <v>0.06</v>
      </c>
      <c r="W74">
        <v>1</v>
      </c>
      <c r="X74"/>
      <c r="Y74" t="s">
        <v>109</v>
      </c>
      <c r="AD74" s="1"/>
      <c r="AH74">
        <v>17500</v>
      </c>
      <c r="AI74">
        <v>0.18</v>
      </c>
      <c r="AJ74">
        <v>1000</v>
      </c>
      <c r="AK74">
        <v>1</v>
      </c>
      <c r="AL74">
        <v>32</v>
      </c>
      <c r="AM74">
        <v>0.56000000000000005</v>
      </c>
      <c r="AN74">
        <v>1</v>
      </c>
      <c r="AO74">
        <v>0.83</v>
      </c>
      <c r="AP74">
        <v>0.21</v>
      </c>
      <c r="AQ74" s="2">
        <v>500</v>
      </c>
      <c r="AR74">
        <v>673</v>
      </c>
      <c r="AS74">
        <v>50</v>
      </c>
      <c r="AT74" s="14">
        <v>29.7</v>
      </c>
      <c r="AU74">
        <v>0.38</v>
      </c>
      <c r="AV74">
        <v>0.99</v>
      </c>
      <c r="AW74" s="1">
        <v>1</v>
      </c>
    </row>
    <row r="75" spans="1:50" s="15" customFormat="1" x14ac:dyDescent="0.25">
      <c r="A75" s="15">
        <v>2</v>
      </c>
      <c r="B75" s="15">
        <v>67</v>
      </c>
      <c r="C75" s="15">
        <v>4</v>
      </c>
      <c r="D75" s="15">
        <v>1</v>
      </c>
      <c r="E75" s="15">
        <f t="shared" si="37"/>
        <v>12</v>
      </c>
      <c r="F75" s="16">
        <f t="shared" si="40"/>
        <v>6700904</v>
      </c>
      <c r="G75" s="16" t="str">
        <f t="shared" si="38"/>
        <v>Arkansas River at Granada</v>
      </c>
      <c r="H75" s="28">
        <v>6700616</v>
      </c>
      <c r="I75" s="15" t="s">
        <v>161</v>
      </c>
      <c r="J75" s="16">
        <f t="shared" si="35"/>
        <v>0</v>
      </c>
      <c r="K75" s="15" t="s">
        <v>34</v>
      </c>
      <c r="L75" s="15" t="s">
        <v>147</v>
      </c>
      <c r="M75" s="15" t="s">
        <v>88</v>
      </c>
      <c r="N75" s="15">
        <v>68.400000000000006</v>
      </c>
      <c r="O75" s="15">
        <v>148</v>
      </c>
      <c r="P75" s="15">
        <v>329</v>
      </c>
      <c r="Q75" s="28"/>
      <c r="T75" s="15">
        <v>7.5</v>
      </c>
      <c r="U75" s="15">
        <v>6</v>
      </c>
      <c r="V75" s="15">
        <v>0.36</v>
      </c>
      <c r="W75" s="15">
        <v>1</v>
      </c>
      <c r="Y75" s="15" t="s">
        <v>109</v>
      </c>
      <c r="AC75" s="17"/>
      <c r="AD75" s="17"/>
      <c r="AE75" s="28"/>
      <c r="AH75" s="15">
        <v>17500</v>
      </c>
      <c r="AI75" s="15">
        <v>0.18</v>
      </c>
      <c r="AJ75" s="15">
        <v>1000</v>
      </c>
      <c r="AK75" s="15">
        <v>1</v>
      </c>
      <c r="AL75" s="15">
        <v>32</v>
      </c>
      <c r="AM75" s="15">
        <v>0.56000000000000005</v>
      </c>
      <c r="AN75" s="15">
        <v>1</v>
      </c>
      <c r="AO75" s="15">
        <v>0.83</v>
      </c>
      <c r="AP75" s="15">
        <v>0.21</v>
      </c>
      <c r="AQ75" s="16">
        <v>500</v>
      </c>
      <c r="AR75" s="15">
        <v>674</v>
      </c>
      <c r="AS75" s="15">
        <v>50</v>
      </c>
      <c r="AT75" s="18">
        <v>12.4</v>
      </c>
      <c r="AU75" s="15">
        <v>0.38</v>
      </c>
      <c r="AV75" s="15">
        <v>0.99</v>
      </c>
      <c r="AW75" s="17">
        <v>1</v>
      </c>
      <c r="AX75" s="18"/>
    </row>
    <row r="76" spans="1:50" s="6" customFormat="1" x14ac:dyDescent="0.25">
      <c r="A76" s="6">
        <v>2</v>
      </c>
      <c r="B76" s="6">
        <v>67</v>
      </c>
      <c r="C76" s="6">
        <v>4</v>
      </c>
      <c r="D76" s="6">
        <f t="shared" si="39"/>
        <v>2</v>
      </c>
      <c r="E76" s="6">
        <f t="shared" si="37"/>
        <v>13</v>
      </c>
      <c r="F76" s="7">
        <f t="shared" si="40"/>
        <v>6700616</v>
      </c>
      <c r="G76" s="7" t="str">
        <f t="shared" si="38"/>
        <v>Sisson Canal</v>
      </c>
      <c r="H76" s="7">
        <v>6709511</v>
      </c>
      <c r="I76" s="6" t="s">
        <v>162</v>
      </c>
      <c r="J76" s="7">
        <f t="shared" si="35"/>
        <v>-1</v>
      </c>
      <c r="K76" s="6" t="s">
        <v>33</v>
      </c>
      <c r="N76" s="6">
        <v>0</v>
      </c>
      <c r="O76" s="6">
        <v>0</v>
      </c>
      <c r="P76" s="6">
        <v>0</v>
      </c>
      <c r="Q76" s="30"/>
      <c r="T76" s="6">
        <v>9.1</v>
      </c>
      <c r="U76" s="6">
        <v>7.3</v>
      </c>
      <c r="V76" s="19">
        <v>0.43</v>
      </c>
      <c r="W76" s="6">
        <v>1</v>
      </c>
      <c r="Y76" s="6" t="s">
        <v>109</v>
      </c>
      <c r="AC76" s="21"/>
      <c r="AD76" s="21"/>
      <c r="AE76" s="30"/>
      <c r="AH76" s="6">
        <v>17500</v>
      </c>
      <c r="AI76" s="6">
        <v>0.18</v>
      </c>
      <c r="AJ76" s="6">
        <v>1000</v>
      </c>
      <c r="AK76" s="6">
        <v>1</v>
      </c>
      <c r="AL76" s="6">
        <v>32</v>
      </c>
      <c r="AM76" s="6">
        <v>0.56000000000000005</v>
      </c>
      <c r="AN76" s="6">
        <v>1</v>
      </c>
      <c r="AO76" s="6">
        <v>0.83</v>
      </c>
      <c r="AP76" s="6">
        <v>0.21</v>
      </c>
      <c r="AQ76" s="7">
        <v>500</v>
      </c>
      <c r="AR76" s="6">
        <v>674</v>
      </c>
      <c r="AS76" s="6">
        <v>50</v>
      </c>
      <c r="AT76" s="22">
        <v>12.4</v>
      </c>
      <c r="AU76" s="6">
        <v>0.38</v>
      </c>
      <c r="AV76" s="6">
        <v>0.99</v>
      </c>
      <c r="AW76" s="21">
        <v>1</v>
      </c>
      <c r="AX76" s="22"/>
    </row>
    <row r="77" spans="1:50" s="3" customFormat="1" x14ac:dyDescent="0.25">
      <c r="A77" s="3">
        <v>2</v>
      </c>
      <c r="B77" s="3">
        <v>67</v>
      </c>
      <c r="C77" s="3">
        <v>4</v>
      </c>
      <c r="D77" s="3">
        <f t="shared" si="39"/>
        <v>3</v>
      </c>
      <c r="E77" s="3">
        <f t="shared" si="37"/>
        <v>14</v>
      </c>
      <c r="F77" s="4">
        <f t="shared" si="40"/>
        <v>6709511</v>
      </c>
      <c r="G77" s="4" t="str">
        <f t="shared" si="38"/>
        <v>Frontier Ditch, KS</v>
      </c>
      <c r="H77" s="4">
        <v>6709510</v>
      </c>
      <c r="I77" s="3" t="s">
        <v>153</v>
      </c>
      <c r="J77" s="4">
        <f t="shared" si="35"/>
        <v>-1</v>
      </c>
      <c r="K77" s="3" t="s">
        <v>33</v>
      </c>
      <c r="L77" s="3" t="s">
        <v>148</v>
      </c>
      <c r="M77" s="3" t="s">
        <v>88</v>
      </c>
      <c r="N77" s="3">
        <v>0</v>
      </c>
      <c r="O77" s="3">
        <v>5.7</v>
      </c>
      <c r="P77" s="3">
        <v>35.4</v>
      </c>
      <c r="Q77" s="26"/>
      <c r="T77" s="3">
        <v>4.5</v>
      </c>
      <c r="U77" s="3">
        <v>3.6</v>
      </c>
      <c r="V77" s="3">
        <v>0.21</v>
      </c>
      <c r="W77" s="3">
        <v>1</v>
      </c>
      <c r="Y77" s="3" t="s">
        <v>109</v>
      </c>
      <c r="AC77" s="5"/>
      <c r="AD77" s="5"/>
      <c r="AE77" s="26"/>
      <c r="AH77" s="3">
        <v>17500</v>
      </c>
      <c r="AI77" s="3">
        <v>0.18</v>
      </c>
      <c r="AJ77" s="3">
        <v>1000</v>
      </c>
      <c r="AK77" s="3">
        <v>1</v>
      </c>
      <c r="AL77" s="3">
        <v>32</v>
      </c>
      <c r="AM77" s="3">
        <v>0.56000000000000005</v>
      </c>
      <c r="AN77" s="3">
        <v>1</v>
      </c>
      <c r="AO77" s="3">
        <v>0.83</v>
      </c>
      <c r="AP77" s="3">
        <v>0.21</v>
      </c>
      <c r="AQ77" s="4">
        <v>500</v>
      </c>
      <c r="AR77" s="3">
        <v>674</v>
      </c>
      <c r="AS77" s="3">
        <v>50</v>
      </c>
      <c r="AT77" s="13">
        <v>12.4</v>
      </c>
      <c r="AU77" s="3">
        <v>0.38</v>
      </c>
      <c r="AV77" s="3">
        <v>0.99</v>
      </c>
      <c r="AW77" s="5">
        <v>1</v>
      </c>
      <c r="AX77" s="13"/>
    </row>
    <row r="78" spans="1:50" x14ac:dyDescent="0.25">
      <c r="A78">
        <v>2</v>
      </c>
      <c r="B78">
        <v>67</v>
      </c>
      <c r="C78">
        <v>5</v>
      </c>
      <c r="D78">
        <v>1</v>
      </c>
      <c r="E78">
        <f t="shared" si="37"/>
        <v>15</v>
      </c>
      <c r="F78" s="2">
        <f t="shared" ref="F78" si="46">H77</f>
        <v>6709510</v>
      </c>
      <c r="G78" s="2" t="str">
        <f t="shared" ref="G78" si="47">I77</f>
        <v>Arkansas River at Coolidge</v>
      </c>
      <c r="H78" s="2">
        <v>6709999</v>
      </c>
      <c r="I78" t="s">
        <v>164</v>
      </c>
      <c r="J78" s="7">
        <f t="shared" si="35"/>
        <v>0</v>
      </c>
      <c r="K78" t="s">
        <v>34</v>
      </c>
      <c r="L78" t="s">
        <v>149</v>
      </c>
      <c r="M78" t="s">
        <v>88</v>
      </c>
      <c r="N78">
        <v>157</v>
      </c>
      <c r="O78">
        <v>313</v>
      </c>
      <c r="P78">
        <v>451</v>
      </c>
      <c r="T78" s="14">
        <v>0.1</v>
      </c>
      <c r="U78" s="14">
        <v>0.1</v>
      </c>
      <c r="V78" s="1">
        <v>1</v>
      </c>
      <c r="W78" s="2">
        <v>0</v>
      </c>
      <c r="Y78" t="s">
        <v>109</v>
      </c>
      <c r="AH78">
        <v>17500</v>
      </c>
      <c r="AI78">
        <v>0.18</v>
      </c>
      <c r="AJ78">
        <v>1000</v>
      </c>
      <c r="AK78">
        <v>1</v>
      </c>
      <c r="AL78">
        <v>32</v>
      </c>
      <c r="AM78">
        <v>0.56000000000000005</v>
      </c>
      <c r="AN78">
        <v>1</v>
      </c>
      <c r="AO78">
        <v>0.83</v>
      </c>
      <c r="AP78">
        <v>0.21</v>
      </c>
      <c r="AQ78" s="2">
        <v>500</v>
      </c>
      <c r="AR78">
        <v>674</v>
      </c>
      <c r="AS78">
        <v>50</v>
      </c>
      <c r="AT78" s="16">
        <v>-999</v>
      </c>
      <c r="AU78">
        <v>0.38</v>
      </c>
      <c r="AV78">
        <v>0.99</v>
      </c>
      <c r="AW78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E11" sqref="E11"/>
    </sheetView>
  </sheetViews>
  <sheetFormatPr defaultRowHeight="15" x14ac:dyDescent="0.25"/>
  <cols>
    <col min="1" max="1" width="5.5703125" customWidth="1"/>
    <col min="2" max="2" width="6.7109375" customWidth="1"/>
    <col min="3" max="3" width="6" customWidth="1"/>
  </cols>
  <sheetData>
    <row r="1" spans="1:3" x14ac:dyDescent="0.25">
      <c r="A1">
        <v>17</v>
      </c>
      <c r="B1" s="8">
        <v>0.8</v>
      </c>
      <c r="C1" s="9">
        <v>0</v>
      </c>
    </row>
    <row r="2" spans="1:3" x14ac:dyDescent="0.25">
      <c r="A2">
        <v>17</v>
      </c>
      <c r="B2" s="10">
        <v>1</v>
      </c>
      <c r="C2" s="11">
        <v>1</v>
      </c>
    </row>
    <row r="3" spans="1:3" x14ac:dyDescent="0.25">
      <c r="A3">
        <v>17</v>
      </c>
      <c r="B3" s="8">
        <v>1.1499999999999999</v>
      </c>
      <c r="C3" s="9">
        <v>3</v>
      </c>
    </row>
    <row r="4" spans="1:3" x14ac:dyDescent="0.25">
      <c r="A4">
        <v>17</v>
      </c>
      <c r="B4" s="8">
        <v>1.21</v>
      </c>
      <c r="C4" s="9">
        <v>5</v>
      </c>
    </row>
    <row r="5" spans="1:3" x14ac:dyDescent="0.25">
      <c r="A5">
        <v>17</v>
      </c>
      <c r="B5" s="8">
        <v>1.35</v>
      </c>
      <c r="C5" s="9">
        <v>10</v>
      </c>
    </row>
    <row r="6" spans="1:3" x14ac:dyDescent="0.25">
      <c r="A6">
        <v>17</v>
      </c>
      <c r="B6" s="8">
        <v>1.56</v>
      </c>
      <c r="C6" s="9">
        <v>25</v>
      </c>
    </row>
    <row r="7" spans="1:3" x14ac:dyDescent="0.25">
      <c r="A7">
        <v>17</v>
      </c>
      <c r="B7" s="8">
        <v>1.79</v>
      </c>
      <c r="C7" s="9">
        <v>50</v>
      </c>
    </row>
    <row r="8" spans="1:3" x14ac:dyDescent="0.25">
      <c r="A8">
        <v>17</v>
      </c>
      <c r="B8" s="10">
        <v>2.13</v>
      </c>
      <c r="C8" s="11">
        <v>100</v>
      </c>
    </row>
    <row r="9" spans="1:3" x14ac:dyDescent="0.25">
      <c r="A9">
        <v>17</v>
      </c>
      <c r="B9" s="10">
        <v>2.65</v>
      </c>
      <c r="C9" s="11">
        <v>250</v>
      </c>
    </row>
    <row r="10" spans="1:3" x14ac:dyDescent="0.25">
      <c r="A10">
        <v>17</v>
      </c>
      <c r="B10" s="10">
        <v>3.1</v>
      </c>
      <c r="C10" s="11">
        <v>500</v>
      </c>
    </row>
    <row r="11" spans="1:3" x14ac:dyDescent="0.25">
      <c r="A11">
        <v>17</v>
      </c>
      <c r="B11" s="10">
        <v>3.45</v>
      </c>
      <c r="C11" s="11">
        <v>750</v>
      </c>
    </row>
    <row r="12" spans="1:3" x14ac:dyDescent="0.25">
      <c r="A12">
        <v>17</v>
      </c>
      <c r="B12" s="10">
        <v>3.7</v>
      </c>
      <c r="C12" s="11">
        <v>1000</v>
      </c>
    </row>
    <row r="13" spans="1:3" x14ac:dyDescent="0.25">
      <c r="A13">
        <v>17</v>
      </c>
      <c r="B13" s="11">
        <v>4.25</v>
      </c>
      <c r="C13" s="11">
        <v>1750</v>
      </c>
    </row>
    <row r="14" spans="1:3" x14ac:dyDescent="0.25">
      <c r="A14">
        <v>17</v>
      </c>
      <c r="B14" s="11">
        <v>4.72</v>
      </c>
      <c r="C14" s="11">
        <v>2500</v>
      </c>
    </row>
    <row r="15" spans="1:3" x14ac:dyDescent="0.25">
      <c r="A15">
        <v>17</v>
      </c>
      <c r="B15" s="11">
        <v>5.15</v>
      </c>
      <c r="C15" s="11">
        <v>3250</v>
      </c>
    </row>
    <row r="16" spans="1:3" x14ac:dyDescent="0.25">
      <c r="A16">
        <v>17</v>
      </c>
      <c r="B16" s="11">
        <v>5.56</v>
      </c>
      <c r="C16" s="11">
        <v>4000</v>
      </c>
    </row>
    <row r="17" spans="1:3" x14ac:dyDescent="0.25">
      <c r="A17">
        <v>17</v>
      </c>
      <c r="B17" s="11">
        <v>5.97</v>
      </c>
      <c r="C17" s="11">
        <v>4750</v>
      </c>
    </row>
    <row r="18" spans="1:3" x14ac:dyDescent="0.25">
      <c r="A18">
        <v>17</v>
      </c>
      <c r="B18" s="11">
        <v>6.4</v>
      </c>
      <c r="C18" s="11">
        <v>5500</v>
      </c>
    </row>
    <row r="19" spans="1:3" x14ac:dyDescent="0.25">
      <c r="A19">
        <v>17</v>
      </c>
      <c r="B19" s="11">
        <v>7.17</v>
      </c>
      <c r="C19" s="11">
        <v>7000</v>
      </c>
    </row>
    <row r="20" spans="1:3" x14ac:dyDescent="0.25">
      <c r="A20">
        <v>17</v>
      </c>
      <c r="B20" s="11">
        <v>7.6</v>
      </c>
      <c r="C20" s="11">
        <v>8000</v>
      </c>
    </row>
    <row r="21" spans="1:3" x14ac:dyDescent="0.25">
      <c r="A21">
        <v>671</v>
      </c>
      <c r="B21">
        <v>0.8</v>
      </c>
      <c r="C21">
        <v>0</v>
      </c>
    </row>
    <row r="22" spans="1:3" x14ac:dyDescent="0.25">
      <c r="A22">
        <v>671</v>
      </c>
      <c r="B22">
        <v>1</v>
      </c>
      <c r="C22">
        <v>1</v>
      </c>
    </row>
    <row r="23" spans="1:3" x14ac:dyDescent="0.25">
      <c r="A23">
        <v>671</v>
      </c>
      <c r="B23">
        <v>1.1000000000000001</v>
      </c>
      <c r="C23">
        <v>3</v>
      </c>
    </row>
    <row r="24" spans="1:3" x14ac:dyDescent="0.25">
      <c r="A24">
        <v>671</v>
      </c>
      <c r="B24">
        <v>1.2</v>
      </c>
      <c r="C24">
        <v>5</v>
      </c>
    </row>
    <row r="25" spans="1:3" x14ac:dyDescent="0.25">
      <c r="A25">
        <v>671</v>
      </c>
      <c r="B25" s="11">
        <v>1.35</v>
      </c>
      <c r="C25">
        <v>10</v>
      </c>
    </row>
    <row r="26" spans="1:3" x14ac:dyDescent="0.25">
      <c r="A26">
        <v>671</v>
      </c>
      <c r="B26" s="11">
        <v>1.5</v>
      </c>
      <c r="C26">
        <v>17</v>
      </c>
    </row>
    <row r="27" spans="1:3" x14ac:dyDescent="0.25">
      <c r="A27">
        <v>671</v>
      </c>
      <c r="B27" s="11">
        <v>1.75</v>
      </c>
      <c r="C27">
        <v>25</v>
      </c>
    </row>
    <row r="28" spans="1:3" x14ac:dyDescent="0.25">
      <c r="A28">
        <v>671</v>
      </c>
      <c r="B28" s="11">
        <v>2.1</v>
      </c>
      <c r="C28">
        <v>50</v>
      </c>
    </row>
    <row r="29" spans="1:3" x14ac:dyDescent="0.25">
      <c r="A29">
        <v>671</v>
      </c>
      <c r="B29">
        <v>2.4</v>
      </c>
      <c r="C29">
        <v>100</v>
      </c>
    </row>
    <row r="30" spans="1:3" x14ac:dyDescent="0.25">
      <c r="A30">
        <v>671</v>
      </c>
      <c r="B30">
        <v>3.2</v>
      </c>
      <c r="C30">
        <v>250</v>
      </c>
    </row>
    <row r="31" spans="1:3" x14ac:dyDescent="0.25">
      <c r="A31">
        <v>671</v>
      </c>
      <c r="B31">
        <v>3.4</v>
      </c>
      <c r="C31">
        <v>300</v>
      </c>
    </row>
    <row r="32" spans="1:3" x14ac:dyDescent="0.25">
      <c r="A32">
        <v>671</v>
      </c>
      <c r="B32">
        <v>3.8</v>
      </c>
      <c r="C32">
        <v>400</v>
      </c>
    </row>
    <row r="33" spans="1:3" x14ac:dyDescent="0.25">
      <c r="A33">
        <v>671</v>
      </c>
      <c r="B33">
        <v>4.0999999999999996</v>
      </c>
      <c r="C33">
        <v>500</v>
      </c>
    </row>
    <row r="34" spans="1:3" x14ac:dyDescent="0.25">
      <c r="A34">
        <v>671</v>
      </c>
      <c r="B34">
        <v>4.4000000000000004</v>
      </c>
      <c r="C34">
        <v>600</v>
      </c>
    </row>
    <row r="35" spans="1:3" x14ac:dyDescent="0.25">
      <c r="A35">
        <v>671</v>
      </c>
      <c r="B35">
        <v>4.8</v>
      </c>
      <c r="C35">
        <v>800</v>
      </c>
    </row>
    <row r="36" spans="1:3" x14ac:dyDescent="0.25">
      <c r="A36">
        <v>671</v>
      </c>
      <c r="B36">
        <v>5.0999999999999996</v>
      </c>
      <c r="C36">
        <v>1000</v>
      </c>
    </row>
    <row r="37" spans="1:3" x14ac:dyDescent="0.25">
      <c r="A37">
        <v>671</v>
      </c>
      <c r="B37">
        <v>5.7</v>
      </c>
      <c r="C37">
        <v>1500</v>
      </c>
    </row>
    <row r="38" spans="1:3" x14ac:dyDescent="0.25">
      <c r="A38">
        <v>671</v>
      </c>
      <c r="B38">
        <v>7</v>
      </c>
      <c r="C38">
        <v>2500</v>
      </c>
    </row>
    <row r="39" spans="1:3" x14ac:dyDescent="0.25">
      <c r="A39">
        <v>671</v>
      </c>
      <c r="B39">
        <v>7.4</v>
      </c>
      <c r="C39">
        <v>3000</v>
      </c>
    </row>
    <row r="40" spans="1:3" x14ac:dyDescent="0.25">
      <c r="A40">
        <v>671</v>
      </c>
      <c r="B40">
        <v>7.9</v>
      </c>
      <c r="C40">
        <v>4000</v>
      </c>
    </row>
    <row r="41" spans="1:3" x14ac:dyDescent="0.25">
      <c r="A41">
        <v>673</v>
      </c>
      <c r="B41">
        <v>0.8</v>
      </c>
      <c r="C41">
        <v>0</v>
      </c>
    </row>
    <row r="42" spans="1:3" x14ac:dyDescent="0.25">
      <c r="A42">
        <v>673</v>
      </c>
      <c r="B42">
        <v>1</v>
      </c>
      <c r="C42">
        <v>1</v>
      </c>
    </row>
    <row r="43" spans="1:3" x14ac:dyDescent="0.25">
      <c r="A43">
        <v>673</v>
      </c>
      <c r="B43">
        <v>1.1499999999999999</v>
      </c>
      <c r="C43">
        <v>3</v>
      </c>
    </row>
    <row r="44" spans="1:3" x14ac:dyDescent="0.25">
      <c r="A44">
        <v>673</v>
      </c>
      <c r="B44">
        <v>1.25</v>
      </c>
      <c r="C44">
        <v>5</v>
      </c>
    </row>
    <row r="45" spans="1:3" x14ac:dyDescent="0.25">
      <c r="A45">
        <v>673</v>
      </c>
      <c r="B45">
        <v>1.4</v>
      </c>
      <c r="C45">
        <v>10</v>
      </c>
    </row>
    <row r="46" spans="1:3" x14ac:dyDescent="0.25">
      <c r="A46">
        <v>673</v>
      </c>
      <c r="B46">
        <v>1.6</v>
      </c>
      <c r="C46">
        <v>17</v>
      </c>
    </row>
    <row r="47" spans="1:3" x14ac:dyDescent="0.25">
      <c r="A47">
        <v>673</v>
      </c>
      <c r="B47">
        <v>1.75</v>
      </c>
      <c r="C47">
        <v>25</v>
      </c>
    </row>
    <row r="48" spans="1:3" x14ac:dyDescent="0.25">
      <c r="A48">
        <v>673</v>
      </c>
      <c r="B48">
        <v>2.1</v>
      </c>
      <c r="C48">
        <v>50</v>
      </c>
    </row>
    <row r="49" spans="1:3" x14ac:dyDescent="0.25">
      <c r="A49">
        <v>673</v>
      </c>
      <c r="B49">
        <v>2.4</v>
      </c>
      <c r="C49">
        <v>100</v>
      </c>
    </row>
    <row r="50" spans="1:3" x14ac:dyDescent="0.25">
      <c r="A50">
        <v>673</v>
      </c>
      <c r="B50">
        <v>3</v>
      </c>
      <c r="C50">
        <v>250</v>
      </c>
    </row>
    <row r="51" spans="1:3" x14ac:dyDescent="0.25">
      <c r="A51">
        <v>673</v>
      </c>
      <c r="B51">
        <v>3.3</v>
      </c>
      <c r="C51">
        <v>300</v>
      </c>
    </row>
    <row r="52" spans="1:3" x14ac:dyDescent="0.25">
      <c r="A52">
        <v>673</v>
      </c>
      <c r="B52">
        <v>3.7</v>
      </c>
      <c r="C52">
        <v>400</v>
      </c>
    </row>
    <row r="53" spans="1:3" x14ac:dyDescent="0.25">
      <c r="A53">
        <v>673</v>
      </c>
      <c r="B53">
        <v>4</v>
      </c>
      <c r="C53">
        <v>500</v>
      </c>
    </row>
    <row r="54" spans="1:3" x14ac:dyDescent="0.25">
      <c r="A54">
        <v>673</v>
      </c>
      <c r="B54">
        <v>4.3</v>
      </c>
      <c r="C54">
        <v>600</v>
      </c>
    </row>
    <row r="55" spans="1:3" x14ac:dyDescent="0.25">
      <c r="A55">
        <v>673</v>
      </c>
      <c r="B55">
        <v>4.7</v>
      </c>
      <c r="C55">
        <v>800</v>
      </c>
    </row>
    <row r="56" spans="1:3" x14ac:dyDescent="0.25">
      <c r="A56">
        <v>673</v>
      </c>
      <c r="B56">
        <v>5.0999999999999996</v>
      </c>
      <c r="C56">
        <v>1000</v>
      </c>
    </row>
    <row r="57" spans="1:3" x14ac:dyDescent="0.25">
      <c r="A57">
        <v>673</v>
      </c>
      <c r="B57">
        <v>6.5</v>
      </c>
      <c r="C57">
        <v>2000</v>
      </c>
    </row>
    <row r="58" spans="1:3" x14ac:dyDescent="0.25">
      <c r="A58">
        <v>673</v>
      </c>
      <c r="B58">
        <v>7</v>
      </c>
      <c r="C58">
        <v>2500</v>
      </c>
    </row>
    <row r="59" spans="1:3" x14ac:dyDescent="0.25">
      <c r="A59">
        <v>673</v>
      </c>
      <c r="B59">
        <v>7.4</v>
      </c>
      <c r="C59">
        <v>3000</v>
      </c>
    </row>
    <row r="60" spans="1:3" x14ac:dyDescent="0.25">
      <c r="A60">
        <v>673</v>
      </c>
      <c r="B60">
        <v>7.9</v>
      </c>
      <c r="C60">
        <v>4000</v>
      </c>
    </row>
    <row r="61" spans="1:3" x14ac:dyDescent="0.25">
      <c r="A61">
        <v>674</v>
      </c>
      <c r="B61">
        <v>0.8</v>
      </c>
      <c r="C61">
        <v>0</v>
      </c>
    </row>
    <row r="62" spans="1:3" x14ac:dyDescent="0.25">
      <c r="A62">
        <v>674</v>
      </c>
      <c r="B62">
        <v>1</v>
      </c>
      <c r="C62">
        <v>1</v>
      </c>
    </row>
    <row r="63" spans="1:3" x14ac:dyDescent="0.25">
      <c r="A63">
        <v>674</v>
      </c>
      <c r="B63">
        <v>1.1000000000000001</v>
      </c>
      <c r="C63">
        <v>3</v>
      </c>
    </row>
    <row r="64" spans="1:3" x14ac:dyDescent="0.25">
      <c r="A64">
        <v>674</v>
      </c>
      <c r="B64">
        <v>1.2</v>
      </c>
      <c r="C64">
        <v>5</v>
      </c>
    </row>
    <row r="65" spans="1:3" x14ac:dyDescent="0.25">
      <c r="A65">
        <v>674</v>
      </c>
      <c r="B65">
        <v>1.3</v>
      </c>
      <c r="C65">
        <v>10</v>
      </c>
    </row>
    <row r="66" spans="1:3" x14ac:dyDescent="0.25">
      <c r="A66">
        <v>674</v>
      </c>
      <c r="B66">
        <v>1.55</v>
      </c>
      <c r="C66">
        <v>17</v>
      </c>
    </row>
    <row r="67" spans="1:3" x14ac:dyDescent="0.25">
      <c r="A67">
        <v>674</v>
      </c>
      <c r="B67">
        <v>1.75</v>
      </c>
      <c r="C67">
        <v>25</v>
      </c>
    </row>
    <row r="68" spans="1:3" x14ac:dyDescent="0.25">
      <c r="A68">
        <v>674</v>
      </c>
      <c r="B68">
        <v>2.1</v>
      </c>
      <c r="C68">
        <v>50</v>
      </c>
    </row>
    <row r="69" spans="1:3" x14ac:dyDescent="0.25">
      <c r="A69">
        <v>674</v>
      </c>
      <c r="B69">
        <v>2.5</v>
      </c>
      <c r="C69">
        <v>100</v>
      </c>
    </row>
    <row r="70" spans="1:3" x14ac:dyDescent="0.25">
      <c r="A70">
        <v>674</v>
      </c>
      <c r="B70">
        <v>3.2</v>
      </c>
      <c r="C70">
        <v>250</v>
      </c>
    </row>
    <row r="71" spans="1:3" x14ac:dyDescent="0.25">
      <c r="A71">
        <v>674</v>
      </c>
      <c r="B71">
        <v>3.4</v>
      </c>
      <c r="C71">
        <v>300</v>
      </c>
    </row>
    <row r="72" spans="1:3" x14ac:dyDescent="0.25">
      <c r="A72">
        <v>674</v>
      </c>
      <c r="B72">
        <v>3.7</v>
      </c>
      <c r="C72">
        <v>400</v>
      </c>
    </row>
    <row r="73" spans="1:3" x14ac:dyDescent="0.25">
      <c r="A73">
        <v>674</v>
      </c>
      <c r="B73">
        <v>4</v>
      </c>
      <c r="C73">
        <v>500</v>
      </c>
    </row>
    <row r="74" spans="1:3" x14ac:dyDescent="0.25">
      <c r="A74">
        <v>674</v>
      </c>
      <c r="B74">
        <v>4.2</v>
      </c>
      <c r="C74">
        <v>600</v>
      </c>
    </row>
    <row r="75" spans="1:3" x14ac:dyDescent="0.25">
      <c r="A75">
        <v>674</v>
      </c>
      <c r="B75">
        <v>4.5999999999999996</v>
      </c>
      <c r="C75">
        <v>800</v>
      </c>
    </row>
    <row r="76" spans="1:3" x14ac:dyDescent="0.25">
      <c r="A76">
        <v>674</v>
      </c>
      <c r="B76">
        <v>5</v>
      </c>
      <c r="C76">
        <v>1000</v>
      </c>
    </row>
    <row r="77" spans="1:3" x14ac:dyDescent="0.25">
      <c r="A77">
        <v>674</v>
      </c>
      <c r="B77">
        <v>6.3</v>
      </c>
      <c r="C77">
        <v>2000</v>
      </c>
    </row>
    <row r="78" spans="1:3" x14ac:dyDescent="0.25">
      <c r="A78">
        <v>674</v>
      </c>
      <c r="B78">
        <v>6.8</v>
      </c>
      <c r="C78">
        <v>2500</v>
      </c>
    </row>
    <row r="79" spans="1:3" x14ac:dyDescent="0.25">
      <c r="A79">
        <v>674</v>
      </c>
      <c r="B79">
        <v>7.2</v>
      </c>
      <c r="C79">
        <v>3000</v>
      </c>
    </row>
    <row r="80" spans="1:3" x14ac:dyDescent="0.25">
      <c r="A80">
        <v>674</v>
      </c>
      <c r="B80">
        <v>7.4</v>
      </c>
      <c r="C80">
        <v>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4" max="4" width="12.28515625" bestFit="1" customWidth="1"/>
  </cols>
  <sheetData>
    <row r="1" spans="1:4" x14ac:dyDescent="0.25">
      <c r="A1" t="s">
        <v>6</v>
      </c>
      <c r="B1" t="s">
        <v>95</v>
      </c>
      <c r="C1" t="s">
        <v>0</v>
      </c>
      <c r="D1" t="s">
        <v>125</v>
      </c>
    </row>
    <row r="2" spans="1:4" x14ac:dyDescent="0.25">
      <c r="A2">
        <v>2</v>
      </c>
      <c r="B2">
        <v>17</v>
      </c>
      <c r="C2">
        <v>1</v>
      </c>
      <c r="D2" t="s">
        <v>126</v>
      </c>
    </row>
    <row r="3" spans="1:4" x14ac:dyDescent="0.25">
      <c r="A3">
        <v>2</v>
      </c>
      <c r="B3">
        <v>17</v>
      </c>
      <c r="C3">
        <v>2</v>
      </c>
      <c r="D3" t="s">
        <v>126</v>
      </c>
    </row>
    <row r="4" spans="1:4" x14ac:dyDescent="0.25">
      <c r="A4">
        <v>2</v>
      </c>
      <c r="B4">
        <v>17</v>
      </c>
      <c r="C4">
        <v>3</v>
      </c>
      <c r="D4" t="s">
        <v>126</v>
      </c>
    </row>
    <row r="5" spans="1:4" x14ac:dyDescent="0.25">
      <c r="A5">
        <v>2</v>
      </c>
      <c r="B5">
        <v>17</v>
      </c>
      <c r="C5">
        <v>4</v>
      </c>
      <c r="D5" t="s">
        <v>126</v>
      </c>
    </row>
    <row r="6" spans="1:4" x14ac:dyDescent="0.25">
      <c r="A6">
        <v>2</v>
      </c>
      <c r="B6">
        <v>17</v>
      </c>
      <c r="C6">
        <v>5</v>
      </c>
      <c r="D6" t="s">
        <v>126</v>
      </c>
    </row>
    <row r="7" spans="1:4" x14ac:dyDescent="0.25">
      <c r="A7">
        <v>2</v>
      </c>
      <c r="B7">
        <v>17</v>
      </c>
      <c r="C7">
        <v>6</v>
      </c>
      <c r="D7" t="s">
        <v>126</v>
      </c>
    </row>
    <row r="8" spans="1:4" x14ac:dyDescent="0.25">
      <c r="A8">
        <v>2</v>
      </c>
      <c r="B8">
        <v>17</v>
      </c>
      <c r="C8">
        <v>7</v>
      </c>
      <c r="D8" t="s">
        <v>126</v>
      </c>
    </row>
    <row r="9" spans="1:4" x14ac:dyDescent="0.25">
      <c r="A9">
        <v>2</v>
      </c>
      <c r="B9">
        <v>17</v>
      </c>
      <c r="C9">
        <v>8</v>
      </c>
      <c r="D9" t="s">
        <v>126</v>
      </c>
    </row>
    <row r="10" spans="1:4" x14ac:dyDescent="0.25">
      <c r="A10">
        <v>2</v>
      </c>
      <c r="B10">
        <v>171</v>
      </c>
      <c r="C10">
        <v>1</v>
      </c>
      <c r="D10" t="s">
        <v>196</v>
      </c>
    </row>
    <row r="11" spans="1:4" x14ac:dyDescent="0.25">
      <c r="A11">
        <v>2</v>
      </c>
      <c r="B11">
        <v>172</v>
      </c>
      <c r="C11">
        <v>1</v>
      </c>
      <c r="D11" t="s">
        <v>196</v>
      </c>
    </row>
    <row r="12" spans="1:4" x14ac:dyDescent="0.25">
      <c r="A12">
        <v>2</v>
      </c>
      <c r="B12">
        <v>112</v>
      </c>
      <c r="C12">
        <v>1</v>
      </c>
      <c r="D12" t="s">
        <v>196</v>
      </c>
    </row>
    <row r="13" spans="1:4" x14ac:dyDescent="0.25">
      <c r="A13">
        <v>2</v>
      </c>
      <c r="B13">
        <v>10</v>
      </c>
      <c r="C13">
        <v>1</v>
      </c>
      <c r="D13" t="s">
        <v>196</v>
      </c>
    </row>
    <row r="14" spans="1:4" x14ac:dyDescent="0.25">
      <c r="A14">
        <v>2</v>
      </c>
      <c r="B14">
        <v>11</v>
      </c>
      <c r="C14">
        <v>1</v>
      </c>
      <c r="D14" t="s">
        <v>196</v>
      </c>
    </row>
    <row r="15" spans="1:4" x14ac:dyDescent="0.25">
      <c r="A15">
        <v>2</v>
      </c>
      <c r="B15">
        <v>11</v>
      </c>
      <c r="C15">
        <v>2</v>
      </c>
      <c r="D15" t="s">
        <v>196</v>
      </c>
    </row>
    <row r="16" spans="1:4" x14ac:dyDescent="0.25">
      <c r="A16">
        <v>2</v>
      </c>
      <c r="B16">
        <v>11</v>
      </c>
      <c r="C16">
        <v>3</v>
      </c>
      <c r="D16" t="s">
        <v>196</v>
      </c>
    </row>
    <row r="17" spans="1:4" x14ac:dyDescent="0.25">
      <c r="A17">
        <v>2</v>
      </c>
      <c r="B17">
        <v>67</v>
      </c>
      <c r="C17">
        <v>1</v>
      </c>
      <c r="D17" t="s">
        <v>126</v>
      </c>
    </row>
    <row r="18" spans="1:4" x14ac:dyDescent="0.25">
      <c r="A18">
        <v>2</v>
      </c>
      <c r="B18">
        <v>67</v>
      </c>
      <c r="C18">
        <v>2</v>
      </c>
      <c r="D18" t="s">
        <v>126</v>
      </c>
    </row>
    <row r="19" spans="1:4" x14ac:dyDescent="0.25">
      <c r="A19">
        <v>2</v>
      </c>
      <c r="B19">
        <v>67</v>
      </c>
      <c r="C19">
        <v>3</v>
      </c>
      <c r="D19" t="s">
        <v>126</v>
      </c>
    </row>
    <row r="20" spans="1:4" x14ac:dyDescent="0.25">
      <c r="A20">
        <v>2</v>
      </c>
      <c r="B20">
        <v>67</v>
      </c>
      <c r="C20">
        <v>4</v>
      </c>
      <c r="D20" t="s">
        <v>126</v>
      </c>
    </row>
    <row r="21" spans="1:4" x14ac:dyDescent="0.25">
      <c r="A21">
        <v>2</v>
      </c>
      <c r="B21">
        <v>67</v>
      </c>
      <c r="C21">
        <v>5</v>
      </c>
      <c r="D21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workbookViewId="0">
      <selection activeCell="I17" sqref="I17"/>
    </sheetView>
  </sheetViews>
  <sheetFormatPr defaultRowHeight="15" x14ac:dyDescent="0.25"/>
  <cols>
    <col min="2" max="2" width="34.140625" bestFit="1" customWidth="1"/>
    <col min="3" max="3" width="11.28515625" bestFit="1" customWidth="1"/>
    <col min="4" max="4" width="10.7109375" customWidth="1"/>
    <col min="12" max="12" width="11.28515625" bestFit="1" customWidth="1"/>
    <col min="13" max="13" width="9.42578125" customWidth="1"/>
  </cols>
  <sheetData>
    <row r="1" spans="2:13" x14ac:dyDescent="0.25">
      <c r="B1" t="s">
        <v>172</v>
      </c>
      <c r="C1" t="s">
        <v>174</v>
      </c>
      <c r="D1" t="s">
        <v>173</v>
      </c>
      <c r="I1" s="34" t="s">
        <v>191</v>
      </c>
    </row>
    <row r="2" spans="2:13" x14ac:dyDescent="0.25">
      <c r="B2" t="s">
        <v>169</v>
      </c>
      <c r="C2">
        <v>29</v>
      </c>
      <c r="D2">
        <v>1.7</v>
      </c>
    </row>
    <row r="3" spans="2:13" x14ac:dyDescent="0.25">
      <c r="B3" t="s">
        <v>187</v>
      </c>
      <c r="C3">
        <v>6</v>
      </c>
      <c r="D3">
        <v>0.9</v>
      </c>
    </row>
    <row r="4" spans="2:13" x14ac:dyDescent="0.25">
      <c r="B4" t="s">
        <v>170</v>
      </c>
      <c r="C4">
        <v>5</v>
      </c>
      <c r="D4">
        <v>1</v>
      </c>
    </row>
    <row r="5" spans="2:13" x14ac:dyDescent="0.25">
      <c r="B5" t="s">
        <v>171</v>
      </c>
      <c r="C5">
        <v>27</v>
      </c>
      <c r="D5">
        <v>1.7</v>
      </c>
      <c r="I5" t="s">
        <v>192</v>
      </c>
    </row>
    <row r="6" spans="2:13" x14ac:dyDescent="0.25">
      <c r="B6" t="s">
        <v>188</v>
      </c>
      <c r="C6" s="23" t="s">
        <v>189</v>
      </c>
      <c r="D6" s="23" t="s">
        <v>190</v>
      </c>
      <c r="I6" t="s">
        <v>95</v>
      </c>
      <c r="J6" t="s">
        <v>185</v>
      </c>
      <c r="K6" t="s">
        <v>186</v>
      </c>
      <c r="L6" t="s">
        <v>174</v>
      </c>
      <c r="M6" t="s">
        <v>193</v>
      </c>
    </row>
    <row r="7" spans="2:13" x14ac:dyDescent="0.25">
      <c r="I7">
        <v>17</v>
      </c>
      <c r="J7">
        <v>1</v>
      </c>
      <c r="K7">
        <v>1.9400000000000001E-3</v>
      </c>
      <c r="L7" s="29">
        <f>K7*5280</f>
        <v>10.2432</v>
      </c>
      <c r="M7" s="1">
        <f t="shared" ref="M7:M14" si="0">L7*$D$13+$E$13</f>
        <v>1.1668290909090908</v>
      </c>
    </row>
    <row r="8" spans="2:13" x14ac:dyDescent="0.25">
      <c r="C8" t="s">
        <v>175</v>
      </c>
      <c r="D8" t="s">
        <v>179</v>
      </c>
      <c r="E8">
        <f>C4*D13+E13</f>
        <v>1</v>
      </c>
      <c r="I8">
        <v>17</v>
      </c>
      <c r="J8">
        <v>2</v>
      </c>
      <c r="K8">
        <v>1.9400000000000001E-3</v>
      </c>
      <c r="L8" s="29">
        <f t="shared" ref="L8:L14" si="1">K8*5280</f>
        <v>10.2432</v>
      </c>
      <c r="M8" s="1">
        <f t="shared" si="0"/>
        <v>1.1668290909090908</v>
      </c>
    </row>
    <row r="9" spans="2:13" x14ac:dyDescent="0.25">
      <c r="C9" t="s">
        <v>176</v>
      </c>
      <c r="D9" t="s">
        <v>180</v>
      </c>
      <c r="E9">
        <f>C5*D13+E13</f>
        <v>1.7</v>
      </c>
      <c r="I9">
        <v>17</v>
      </c>
      <c r="J9">
        <v>3</v>
      </c>
      <c r="K9">
        <v>1.2600000000000001E-3</v>
      </c>
      <c r="L9" s="29">
        <f t="shared" si="1"/>
        <v>6.6528</v>
      </c>
      <c r="M9" s="1">
        <f t="shared" si="0"/>
        <v>1.0525890909090909</v>
      </c>
    </row>
    <row r="10" spans="2:13" x14ac:dyDescent="0.25">
      <c r="C10" t="s">
        <v>177</v>
      </c>
      <c r="D10" t="s">
        <v>181</v>
      </c>
      <c r="E10" t="s">
        <v>182</v>
      </c>
      <c r="I10">
        <v>17</v>
      </c>
      <c r="J10">
        <v>4</v>
      </c>
      <c r="K10">
        <v>1.24E-3</v>
      </c>
      <c r="L10" s="29">
        <f t="shared" si="1"/>
        <v>6.5472000000000001</v>
      </c>
      <c r="M10" s="1">
        <f t="shared" si="0"/>
        <v>1.0492290909090909</v>
      </c>
    </row>
    <row r="11" spans="2:13" x14ac:dyDescent="0.25">
      <c r="C11" t="s">
        <v>178</v>
      </c>
      <c r="I11">
        <v>17</v>
      </c>
      <c r="J11">
        <v>5</v>
      </c>
      <c r="K11">
        <v>1.2600000000000001E-3</v>
      </c>
      <c r="L11" s="29">
        <f t="shared" si="1"/>
        <v>6.6528</v>
      </c>
      <c r="M11" s="1">
        <f t="shared" si="0"/>
        <v>1.0525890909090909</v>
      </c>
    </row>
    <row r="12" spans="2:13" x14ac:dyDescent="0.25">
      <c r="D12" t="s">
        <v>183</v>
      </c>
      <c r="E12" t="s">
        <v>184</v>
      </c>
      <c r="I12">
        <v>17</v>
      </c>
      <c r="J12">
        <v>6</v>
      </c>
      <c r="K12">
        <v>1.1999999999999999E-3</v>
      </c>
      <c r="L12" s="29">
        <f t="shared" si="1"/>
        <v>6.3359999999999994</v>
      </c>
      <c r="M12" s="1">
        <f t="shared" si="0"/>
        <v>1.0425090909090908</v>
      </c>
    </row>
    <row r="13" spans="2:13" x14ac:dyDescent="0.25">
      <c r="D13">
        <f>0.7/22</f>
        <v>3.1818181818181815E-2</v>
      </c>
      <c r="E13">
        <f>1-5*0.7/22</f>
        <v>0.84090909090909094</v>
      </c>
      <c r="I13">
        <v>17</v>
      </c>
      <c r="J13">
        <v>7</v>
      </c>
      <c r="K13">
        <v>1.0499999999999999E-3</v>
      </c>
      <c r="L13" s="29">
        <f t="shared" si="1"/>
        <v>5.5439999999999996</v>
      </c>
      <c r="M13" s="1">
        <f t="shared" si="0"/>
        <v>1.0173090909090909</v>
      </c>
    </row>
    <row r="14" spans="2:13" x14ac:dyDescent="0.25">
      <c r="I14">
        <v>17</v>
      </c>
      <c r="J14">
        <v>8</v>
      </c>
      <c r="K14">
        <v>9.8999999999999999E-4</v>
      </c>
      <c r="L14" s="29">
        <f t="shared" si="1"/>
        <v>5.2271999999999998</v>
      </c>
      <c r="M14" s="1">
        <f t="shared" si="0"/>
        <v>1.0072290909090909</v>
      </c>
    </row>
    <row r="16" spans="2:13" x14ac:dyDescent="0.25">
      <c r="I16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7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82</v>
      </c>
      <c r="B1" t="s">
        <v>195</v>
      </c>
    </row>
    <row r="2" spans="1:2" x14ac:dyDescent="0.25">
      <c r="B2" t="s">
        <v>83</v>
      </c>
    </row>
    <row r="3" spans="1:2" x14ac:dyDescent="0.25">
      <c r="A3" s="12">
        <v>43466</v>
      </c>
      <c r="B3">
        <v>0</v>
      </c>
    </row>
    <row r="4" spans="1:2" x14ac:dyDescent="0.25">
      <c r="A4" s="12">
        <f>A3+1</f>
        <v>43467</v>
      </c>
      <c r="B4">
        <v>0</v>
      </c>
    </row>
    <row r="5" spans="1:2" x14ac:dyDescent="0.25">
      <c r="A5" s="12">
        <f t="shared" ref="A5:A68" si="0">A4+1</f>
        <v>43468</v>
      </c>
      <c r="B5">
        <v>0</v>
      </c>
    </row>
    <row r="6" spans="1:2" x14ac:dyDescent="0.25">
      <c r="A6" s="12">
        <f t="shared" si="0"/>
        <v>43469</v>
      </c>
      <c r="B6">
        <v>0</v>
      </c>
    </row>
    <row r="7" spans="1:2" x14ac:dyDescent="0.25">
      <c r="A7" s="12">
        <f t="shared" si="0"/>
        <v>43470</v>
      </c>
      <c r="B7">
        <v>0</v>
      </c>
    </row>
    <row r="8" spans="1:2" x14ac:dyDescent="0.25">
      <c r="A8" s="12">
        <f t="shared" si="0"/>
        <v>43471</v>
      </c>
      <c r="B8">
        <v>0</v>
      </c>
    </row>
    <row r="9" spans="1:2" x14ac:dyDescent="0.25">
      <c r="A9" s="12">
        <f t="shared" si="0"/>
        <v>43472</v>
      </c>
      <c r="B9">
        <v>0</v>
      </c>
    </row>
    <row r="10" spans="1:2" x14ac:dyDescent="0.25">
      <c r="A10" s="12">
        <f t="shared" si="0"/>
        <v>43473</v>
      </c>
      <c r="B10">
        <v>0</v>
      </c>
    </row>
    <row r="11" spans="1:2" x14ac:dyDescent="0.25">
      <c r="A11" s="12">
        <f t="shared" si="0"/>
        <v>43474</v>
      </c>
      <c r="B11">
        <v>0</v>
      </c>
    </row>
    <row r="12" spans="1:2" x14ac:dyDescent="0.25">
      <c r="A12" s="12">
        <f t="shared" si="0"/>
        <v>43475</v>
      </c>
      <c r="B12">
        <v>0</v>
      </c>
    </row>
    <row r="13" spans="1:2" x14ac:dyDescent="0.25">
      <c r="A13" s="12">
        <f t="shared" si="0"/>
        <v>43476</v>
      </c>
      <c r="B13">
        <v>0</v>
      </c>
    </row>
    <row r="14" spans="1:2" x14ac:dyDescent="0.25">
      <c r="A14" s="12">
        <f t="shared" si="0"/>
        <v>43477</v>
      </c>
      <c r="B14">
        <v>0</v>
      </c>
    </row>
    <row r="15" spans="1:2" x14ac:dyDescent="0.25">
      <c r="A15" s="12">
        <f t="shared" si="0"/>
        <v>43478</v>
      </c>
      <c r="B15">
        <v>0</v>
      </c>
    </row>
    <row r="16" spans="1:2" x14ac:dyDescent="0.25">
      <c r="A16" s="12">
        <f t="shared" si="0"/>
        <v>43479</v>
      </c>
      <c r="B16">
        <v>0</v>
      </c>
    </row>
    <row r="17" spans="1:2" x14ac:dyDescent="0.25">
      <c r="A17" s="12">
        <f t="shared" si="0"/>
        <v>43480</v>
      </c>
      <c r="B17">
        <v>0</v>
      </c>
    </row>
    <row r="18" spans="1:2" x14ac:dyDescent="0.25">
      <c r="A18" s="12">
        <f t="shared" si="0"/>
        <v>43481</v>
      </c>
      <c r="B18">
        <v>0</v>
      </c>
    </row>
    <row r="19" spans="1:2" x14ac:dyDescent="0.25">
      <c r="A19" s="12">
        <f t="shared" si="0"/>
        <v>43482</v>
      </c>
      <c r="B19">
        <v>0</v>
      </c>
    </row>
    <row r="20" spans="1:2" x14ac:dyDescent="0.25">
      <c r="A20" s="12">
        <f t="shared" si="0"/>
        <v>43483</v>
      </c>
      <c r="B20">
        <v>0</v>
      </c>
    </row>
    <row r="21" spans="1:2" x14ac:dyDescent="0.25">
      <c r="A21" s="12">
        <f t="shared" si="0"/>
        <v>43484</v>
      </c>
      <c r="B21">
        <v>0</v>
      </c>
    </row>
    <row r="22" spans="1:2" x14ac:dyDescent="0.25">
      <c r="A22" s="12">
        <f t="shared" si="0"/>
        <v>43485</v>
      </c>
      <c r="B22">
        <v>0</v>
      </c>
    </row>
    <row r="23" spans="1:2" x14ac:dyDescent="0.25">
      <c r="A23" s="12">
        <f t="shared" si="0"/>
        <v>43486</v>
      </c>
      <c r="B23">
        <v>0</v>
      </c>
    </row>
    <row r="24" spans="1:2" x14ac:dyDescent="0.25">
      <c r="A24" s="12">
        <f t="shared" si="0"/>
        <v>43487</v>
      </c>
      <c r="B24">
        <v>0</v>
      </c>
    </row>
    <row r="25" spans="1:2" x14ac:dyDescent="0.25">
      <c r="A25" s="12">
        <f t="shared" si="0"/>
        <v>43488</v>
      </c>
      <c r="B25">
        <v>0</v>
      </c>
    </row>
    <row r="26" spans="1:2" x14ac:dyDescent="0.25">
      <c r="A26" s="12">
        <f t="shared" si="0"/>
        <v>43489</v>
      </c>
      <c r="B26">
        <v>0</v>
      </c>
    </row>
    <row r="27" spans="1:2" x14ac:dyDescent="0.25">
      <c r="A27" s="12">
        <f t="shared" si="0"/>
        <v>43490</v>
      </c>
      <c r="B27">
        <v>0</v>
      </c>
    </row>
    <row r="28" spans="1:2" x14ac:dyDescent="0.25">
      <c r="A28" s="12">
        <f t="shared" si="0"/>
        <v>43491</v>
      </c>
      <c r="B28">
        <v>0</v>
      </c>
    </row>
    <row r="29" spans="1:2" x14ac:dyDescent="0.25">
      <c r="A29" s="12">
        <f t="shared" si="0"/>
        <v>43492</v>
      </c>
      <c r="B29">
        <v>0</v>
      </c>
    </row>
    <row r="30" spans="1:2" x14ac:dyDescent="0.25">
      <c r="A30" s="12">
        <f t="shared" si="0"/>
        <v>43493</v>
      </c>
      <c r="B30">
        <v>0</v>
      </c>
    </row>
    <row r="31" spans="1:2" x14ac:dyDescent="0.25">
      <c r="A31" s="12">
        <f t="shared" si="0"/>
        <v>43494</v>
      </c>
      <c r="B31">
        <v>0</v>
      </c>
    </row>
    <row r="32" spans="1:2" x14ac:dyDescent="0.25">
      <c r="A32" s="12">
        <f t="shared" si="0"/>
        <v>43495</v>
      </c>
      <c r="B32">
        <v>0</v>
      </c>
    </row>
    <row r="33" spans="1:2" x14ac:dyDescent="0.25">
      <c r="A33" s="12">
        <f t="shared" si="0"/>
        <v>43496</v>
      </c>
      <c r="B33">
        <v>0</v>
      </c>
    </row>
    <row r="34" spans="1:2" x14ac:dyDescent="0.25">
      <c r="A34" s="12">
        <f t="shared" si="0"/>
        <v>43497</v>
      </c>
      <c r="B34">
        <v>0</v>
      </c>
    </row>
    <row r="35" spans="1:2" x14ac:dyDescent="0.25">
      <c r="A35" s="12">
        <f t="shared" si="0"/>
        <v>43498</v>
      </c>
      <c r="B35">
        <v>0</v>
      </c>
    </row>
    <row r="36" spans="1:2" x14ac:dyDescent="0.25">
      <c r="A36" s="12">
        <f t="shared" si="0"/>
        <v>43499</v>
      </c>
      <c r="B36">
        <v>0</v>
      </c>
    </row>
    <row r="37" spans="1:2" x14ac:dyDescent="0.25">
      <c r="A37" s="12">
        <f t="shared" si="0"/>
        <v>43500</v>
      </c>
      <c r="B37">
        <v>0</v>
      </c>
    </row>
    <row r="38" spans="1:2" x14ac:dyDescent="0.25">
      <c r="A38" s="12">
        <f t="shared" si="0"/>
        <v>43501</v>
      </c>
      <c r="B38">
        <v>0</v>
      </c>
    </row>
    <row r="39" spans="1:2" x14ac:dyDescent="0.25">
      <c r="A39" s="12">
        <f t="shared" si="0"/>
        <v>43502</v>
      </c>
      <c r="B39">
        <v>0</v>
      </c>
    </row>
    <row r="40" spans="1:2" x14ac:dyDescent="0.25">
      <c r="A40" s="12">
        <f t="shared" si="0"/>
        <v>43503</v>
      </c>
      <c r="B40">
        <v>0</v>
      </c>
    </row>
    <row r="41" spans="1:2" x14ac:dyDescent="0.25">
      <c r="A41" s="12">
        <f t="shared" si="0"/>
        <v>43504</v>
      </c>
      <c r="B41">
        <v>0</v>
      </c>
    </row>
    <row r="42" spans="1:2" x14ac:dyDescent="0.25">
      <c r="A42" s="12">
        <f t="shared" si="0"/>
        <v>43505</v>
      </c>
      <c r="B42">
        <v>0</v>
      </c>
    </row>
    <row r="43" spans="1:2" x14ac:dyDescent="0.25">
      <c r="A43" s="12">
        <f t="shared" si="0"/>
        <v>43506</v>
      </c>
      <c r="B43">
        <v>0</v>
      </c>
    </row>
    <row r="44" spans="1:2" x14ac:dyDescent="0.25">
      <c r="A44" s="12">
        <f t="shared" si="0"/>
        <v>43507</v>
      </c>
      <c r="B44">
        <v>0</v>
      </c>
    </row>
    <row r="45" spans="1:2" x14ac:dyDescent="0.25">
      <c r="A45" s="12">
        <f t="shared" si="0"/>
        <v>43508</v>
      </c>
      <c r="B45">
        <v>0</v>
      </c>
    </row>
    <row r="46" spans="1:2" x14ac:dyDescent="0.25">
      <c r="A46" s="12">
        <f t="shared" si="0"/>
        <v>43509</v>
      </c>
      <c r="B46">
        <v>0</v>
      </c>
    </row>
    <row r="47" spans="1:2" x14ac:dyDescent="0.25">
      <c r="A47" s="12">
        <f t="shared" si="0"/>
        <v>43510</v>
      </c>
      <c r="B47">
        <v>0</v>
      </c>
    </row>
    <row r="48" spans="1:2" x14ac:dyDescent="0.25">
      <c r="A48" s="12">
        <f t="shared" si="0"/>
        <v>43511</v>
      </c>
      <c r="B48">
        <v>0</v>
      </c>
    </row>
    <row r="49" spans="1:2" x14ac:dyDescent="0.25">
      <c r="A49" s="12">
        <f t="shared" si="0"/>
        <v>43512</v>
      </c>
      <c r="B49">
        <v>0</v>
      </c>
    </row>
    <row r="50" spans="1:2" x14ac:dyDescent="0.25">
      <c r="A50" s="12">
        <f t="shared" si="0"/>
        <v>43513</v>
      </c>
      <c r="B50">
        <v>0</v>
      </c>
    </row>
    <row r="51" spans="1:2" x14ac:dyDescent="0.25">
      <c r="A51" s="12">
        <f t="shared" si="0"/>
        <v>43514</v>
      </c>
      <c r="B51">
        <v>0</v>
      </c>
    </row>
    <row r="52" spans="1:2" x14ac:dyDescent="0.25">
      <c r="A52" s="12">
        <f t="shared" si="0"/>
        <v>43515</v>
      </c>
      <c r="B52">
        <v>0</v>
      </c>
    </row>
    <row r="53" spans="1:2" x14ac:dyDescent="0.25">
      <c r="A53" s="12">
        <f t="shared" si="0"/>
        <v>43516</v>
      </c>
      <c r="B53">
        <v>0</v>
      </c>
    </row>
    <row r="54" spans="1:2" x14ac:dyDescent="0.25">
      <c r="A54" s="12">
        <f t="shared" si="0"/>
        <v>43517</v>
      </c>
      <c r="B54">
        <v>0</v>
      </c>
    </row>
    <row r="55" spans="1:2" x14ac:dyDescent="0.25">
      <c r="A55" s="12">
        <f t="shared" si="0"/>
        <v>43518</v>
      </c>
      <c r="B55">
        <v>0</v>
      </c>
    </row>
    <row r="56" spans="1:2" x14ac:dyDescent="0.25">
      <c r="A56" s="12">
        <f t="shared" si="0"/>
        <v>43519</v>
      </c>
      <c r="B56">
        <v>0</v>
      </c>
    </row>
    <row r="57" spans="1:2" x14ac:dyDescent="0.25">
      <c r="A57" s="12">
        <f t="shared" si="0"/>
        <v>43520</v>
      </c>
      <c r="B57">
        <v>0</v>
      </c>
    </row>
    <row r="58" spans="1:2" x14ac:dyDescent="0.25">
      <c r="A58" s="12">
        <f t="shared" si="0"/>
        <v>43521</v>
      </c>
      <c r="B58">
        <v>0</v>
      </c>
    </row>
    <row r="59" spans="1:2" x14ac:dyDescent="0.25">
      <c r="A59" s="12">
        <f t="shared" si="0"/>
        <v>43522</v>
      </c>
      <c r="B59">
        <v>0</v>
      </c>
    </row>
    <row r="60" spans="1:2" x14ac:dyDescent="0.25">
      <c r="A60" s="12">
        <f t="shared" si="0"/>
        <v>43523</v>
      </c>
      <c r="B60">
        <v>0</v>
      </c>
    </row>
    <row r="61" spans="1:2" x14ac:dyDescent="0.25">
      <c r="A61" s="12">
        <f t="shared" si="0"/>
        <v>43524</v>
      </c>
      <c r="B61">
        <v>0</v>
      </c>
    </row>
    <row r="62" spans="1:2" x14ac:dyDescent="0.25">
      <c r="A62" s="12">
        <f t="shared" si="0"/>
        <v>43525</v>
      </c>
      <c r="B62">
        <v>0</v>
      </c>
    </row>
    <row r="63" spans="1:2" x14ac:dyDescent="0.25">
      <c r="A63" s="12">
        <f t="shared" si="0"/>
        <v>43526</v>
      </c>
      <c r="B63">
        <v>0</v>
      </c>
    </row>
    <row r="64" spans="1:2" x14ac:dyDescent="0.25">
      <c r="A64" s="12">
        <f t="shared" si="0"/>
        <v>43527</v>
      </c>
      <c r="B64">
        <v>0</v>
      </c>
    </row>
    <row r="65" spans="1:2" x14ac:dyDescent="0.25">
      <c r="A65" s="12">
        <f t="shared" si="0"/>
        <v>43528</v>
      </c>
      <c r="B65">
        <v>3.0000000000000021E-5</v>
      </c>
    </row>
    <row r="66" spans="1:2" x14ac:dyDescent="0.25">
      <c r="A66" s="12">
        <f t="shared" si="0"/>
        <v>43529</v>
      </c>
      <c r="B66">
        <v>6.0000000000000022E-5</v>
      </c>
    </row>
    <row r="67" spans="1:2" x14ac:dyDescent="0.25">
      <c r="A67" s="12">
        <f t="shared" si="0"/>
        <v>43530</v>
      </c>
      <c r="B67">
        <v>9.0000000000000019E-5</v>
      </c>
    </row>
    <row r="68" spans="1:2" x14ac:dyDescent="0.25">
      <c r="A68" s="12">
        <f t="shared" si="0"/>
        <v>43531</v>
      </c>
      <c r="B68">
        <v>1.2000000000000002E-4</v>
      </c>
    </row>
    <row r="69" spans="1:2" x14ac:dyDescent="0.25">
      <c r="A69" s="12">
        <f t="shared" ref="A69:A132" si="1">A68+1</f>
        <v>43532</v>
      </c>
      <c r="B69">
        <v>1.5000000000000001E-4</v>
      </c>
    </row>
    <row r="70" spans="1:2" x14ac:dyDescent="0.25">
      <c r="A70" s="12">
        <f t="shared" si="1"/>
        <v>43533</v>
      </c>
      <c r="B70">
        <v>1.8000000000000001E-4</v>
      </c>
    </row>
    <row r="71" spans="1:2" x14ac:dyDescent="0.25">
      <c r="A71" s="12">
        <f t="shared" si="1"/>
        <v>43534</v>
      </c>
      <c r="B71">
        <v>2.1000000000000001E-4</v>
      </c>
    </row>
    <row r="72" spans="1:2" x14ac:dyDescent="0.25">
      <c r="A72" s="12">
        <f t="shared" si="1"/>
        <v>43535</v>
      </c>
      <c r="B72">
        <v>2.4000000000000001E-4</v>
      </c>
    </row>
    <row r="73" spans="1:2" x14ac:dyDescent="0.25">
      <c r="A73" s="12">
        <f t="shared" si="1"/>
        <v>43536</v>
      </c>
      <c r="B73">
        <v>2.7E-4</v>
      </c>
    </row>
    <row r="74" spans="1:2" x14ac:dyDescent="0.25">
      <c r="A74" s="12">
        <f t="shared" si="1"/>
        <v>43537</v>
      </c>
      <c r="B74">
        <v>3.0000000000000003E-4</v>
      </c>
    </row>
    <row r="75" spans="1:2" x14ac:dyDescent="0.25">
      <c r="A75" s="12">
        <f t="shared" si="1"/>
        <v>43538</v>
      </c>
      <c r="B75">
        <v>3.3000000000000005E-4</v>
      </c>
    </row>
    <row r="76" spans="1:2" x14ac:dyDescent="0.25">
      <c r="A76" s="12">
        <f t="shared" si="1"/>
        <v>43539</v>
      </c>
      <c r="B76">
        <v>3.6000000000000008E-4</v>
      </c>
    </row>
    <row r="77" spans="1:2" x14ac:dyDescent="0.25">
      <c r="A77" s="12">
        <f t="shared" si="1"/>
        <v>43540</v>
      </c>
      <c r="B77">
        <v>3.900000000000001E-4</v>
      </c>
    </row>
    <row r="78" spans="1:2" x14ac:dyDescent="0.25">
      <c r="A78" s="12">
        <f t="shared" si="1"/>
        <v>43541</v>
      </c>
      <c r="B78">
        <v>4.2000000000000013E-4</v>
      </c>
    </row>
    <row r="79" spans="1:2" x14ac:dyDescent="0.25">
      <c r="A79" s="12">
        <f t="shared" si="1"/>
        <v>43542</v>
      </c>
      <c r="B79">
        <v>4.5000000000000015E-4</v>
      </c>
    </row>
    <row r="80" spans="1:2" x14ac:dyDescent="0.25">
      <c r="A80" s="12">
        <f t="shared" si="1"/>
        <v>43543</v>
      </c>
      <c r="B80">
        <v>4.8000000000000017E-4</v>
      </c>
    </row>
    <row r="81" spans="1:2" x14ac:dyDescent="0.25">
      <c r="A81" s="12">
        <f t="shared" si="1"/>
        <v>43544</v>
      </c>
      <c r="B81">
        <v>5.1000000000000015E-4</v>
      </c>
    </row>
    <row r="82" spans="1:2" x14ac:dyDescent="0.25">
      <c r="A82" s="12">
        <f t="shared" si="1"/>
        <v>43545</v>
      </c>
      <c r="B82">
        <v>5.4000000000000012E-4</v>
      </c>
    </row>
    <row r="83" spans="1:2" x14ac:dyDescent="0.25">
      <c r="A83" s="12">
        <f t="shared" si="1"/>
        <v>43546</v>
      </c>
      <c r="B83">
        <v>5.7000000000000009E-4</v>
      </c>
    </row>
    <row r="84" spans="1:2" x14ac:dyDescent="0.25">
      <c r="A84" s="12">
        <f t="shared" si="1"/>
        <v>43547</v>
      </c>
      <c r="B84">
        <v>6.0000000000000006E-4</v>
      </c>
    </row>
    <row r="85" spans="1:2" x14ac:dyDescent="0.25">
      <c r="A85" s="12">
        <f t="shared" si="1"/>
        <v>43548</v>
      </c>
      <c r="B85">
        <v>6.3000000000000003E-4</v>
      </c>
    </row>
    <row r="86" spans="1:2" x14ac:dyDescent="0.25">
      <c r="A86" s="12">
        <f t="shared" si="1"/>
        <v>43549</v>
      </c>
      <c r="B86">
        <v>6.6E-4</v>
      </c>
    </row>
    <row r="87" spans="1:2" x14ac:dyDescent="0.25">
      <c r="A87" s="12">
        <f t="shared" si="1"/>
        <v>43550</v>
      </c>
      <c r="B87">
        <v>6.8000000000000005E-4</v>
      </c>
    </row>
    <row r="88" spans="1:2" x14ac:dyDescent="0.25">
      <c r="A88" s="12">
        <f t="shared" si="1"/>
        <v>43551</v>
      </c>
      <c r="B88">
        <v>7.1000000000000002E-4</v>
      </c>
    </row>
    <row r="89" spans="1:2" x14ac:dyDescent="0.25">
      <c r="A89" s="12">
        <f t="shared" si="1"/>
        <v>43552</v>
      </c>
      <c r="B89">
        <v>7.3999999999999999E-4</v>
      </c>
    </row>
    <row r="90" spans="1:2" x14ac:dyDescent="0.25">
      <c r="A90" s="12">
        <f t="shared" si="1"/>
        <v>43553</v>
      </c>
      <c r="B90">
        <v>7.6999999999999996E-4</v>
      </c>
    </row>
    <row r="91" spans="1:2" x14ac:dyDescent="0.25">
      <c r="A91" s="12">
        <f t="shared" si="1"/>
        <v>43554</v>
      </c>
      <c r="B91">
        <v>7.9999999999999993E-4</v>
      </c>
    </row>
    <row r="92" spans="1:2" x14ac:dyDescent="0.25">
      <c r="A92" s="12">
        <f t="shared" si="1"/>
        <v>43555</v>
      </c>
      <c r="B92">
        <v>8.299999999999999E-4</v>
      </c>
    </row>
    <row r="93" spans="1:2" x14ac:dyDescent="0.25">
      <c r="A93" s="12">
        <f t="shared" si="1"/>
        <v>43556</v>
      </c>
      <c r="B93">
        <v>8.5999999999999987E-4</v>
      </c>
    </row>
    <row r="94" spans="1:2" x14ac:dyDescent="0.25">
      <c r="A94" s="12">
        <f t="shared" si="1"/>
        <v>43557</v>
      </c>
      <c r="B94">
        <v>8.8999999999999984E-4</v>
      </c>
    </row>
    <row r="95" spans="1:2" x14ac:dyDescent="0.25">
      <c r="A95" s="12">
        <f t="shared" si="1"/>
        <v>43558</v>
      </c>
      <c r="B95">
        <v>9.1999999999999981E-4</v>
      </c>
    </row>
    <row r="96" spans="1:2" x14ac:dyDescent="0.25">
      <c r="A96" s="12">
        <f t="shared" si="1"/>
        <v>43559</v>
      </c>
      <c r="B96">
        <v>9.4999999999999978E-4</v>
      </c>
    </row>
    <row r="97" spans="1:2" x14ac:dyDescent="0.25">
      <c r="A97" s="12">
        <f t="shared" si="1"/>
        <v>43560</v>
      </c>
      <c r="B97">
        <v>9.7999999999999975E-4</v>
      </c>
    </row>
    <row r="98" spans="1:2" x14ac:dyDescent="0.25">
      <c r="A98" s="12">
        <f t="shared" si="1"/>
        <v>43561</v>
      </c>
      <c r="B98">
        <v>1.0099999999999998E-3</v>
      </c>
    </row>
    <row r="99" spans="1:2" x14ac:dyDescent="0.25">
      <c r="A99" s="12">
        <f t="shared" si="1"/>
        <v>43562</v>
      </c>
      <c r="B99">
        <v>1.0499999999999999E-3</v>
      </c>
    </row>
    <row r="100" spans="1:2" x14ac:dyDescent="0.25">
      <c r="A100" s="12">
        <f t="shared" si="1"/>
        <v>43563</v>
      </c>
      <c r="B100">
        <v>1.08E-3</v>
      </c>
    </row>
    <row r="101" spans="1:2" x14ac:dyDescent="0.25">
      <c r="A101" s="12">
        <f t="shared" si="1"/>
        <v>43564</v>
      </c>
      <c r="B101">
        <v>1.1100000000000001E-3</v>
      </c>
    </row>
    <row r="102" spans="1:2" x14ac:dyDescent="0.25">
      <c r="A102" s="12">
        <f t="shared" si="1"/>
        <v>43565</v>
      </c>
      <c r="B102">
        <v>1.1400000000000002E-3</v>
      </c>
    </row>
    <row r="103" spans="1:2" x14ac:dyDescent="0.25">
      <c r="A103" s="12">
        <f t="shared" si="1"/>
        <v>43566</v>
      </c>
      <c r="B103">
        <v>1.1700000000000002E-3</v>
      </c>
    </row>
    <row r="104" spans="1:2" x14ac:dyDescent="0.25">
      <c r="A104" s="12">
        <f t="shared" si="1"/>
        <v>43567</v>
      </c>
      <c r="B104">
        <v>1.2000000000000003E-3</v>
      </c>
    </row>
    <row r="105" spans="1:2" x14ac:dyDescent="0.25">
      <c r="A105" s="12">
        <f t="shared" si="1"/>
        <v>43568</v>
      </c>
      <c r="B105">
        <v>1.2300000000000004E-3</v>
      </c>
    </row>
    <row r="106" spans="1:2" x14ac:dyDescent="0.25">
      <c r="A106" s="12">
        <f t="shared" si="1"/>
        <v>43569</v>
      </c>
      <c r="B106">
        <v>1.2600000000000005E-3</v>
      </c>
    </row>
    <row r="107" spans="1:2" x14ac:dyDescent="0.25">
      <c r="A107" s="12">
        <f t="shared" si="1"/>
        <v>43570</v>
      </c>
      <c r="B107">
        <v>1.2900000000000006E-3</v>
      </c>
    </row>
    <row r="108" spans="1:2" x14ac:dyDescent="0.25">
      <c r="A108" s="12">
        <f t="shared" si="1"/>
        <v>43571</v>
      </c>
      <c r="B108">
        <v>1.3200000000000006E-3</v>
      </c>
    </row>
    <row r="109" spans="1:2" x14ac:dyDescent="0.25">
      <c r="A109" s="12">
        <f t="shared" si="1"/>
        <v>43572</v>
      </c>
      <c r="B109">
        <v>1.3500000000000007E-3</v>
      </c>
    </row>
    <row r="110" spans="1:2" x14ac:dyDescent="0.25">
      <c r="A110" s="12">
        <f t="shared" si="1"/>
        <v>43573</v>
      </c>
      <c r="B110">
        <v>1.3800000000000008E-3</v>
      </c>
    </row>
    <row r="111" spans="1:2" x14ac:dyDescent="0.25">
      <c r="A111" s="12">
        <f t="shared" si="1"/>
        <v>43574</v>
      </c>
      <c r="B111">
        <v>1.4000000000000009E-3</v>
      </c>
    </row>
    <row r="112" spans="1:2" x14ac:dyDescent="0.25">
      <c r="A112" s="12">
        <f t="shared" si="1"/>
        <v>43575</v>
      </c>
      <c r="B112">
        <v>1.4200000000000009E-3</v>
      </c>
    </row>
    <row r="113" spans="1:2" x14ac:dyDescent="0.25">
      <c r="A113" s="12">
        <f t="shared" si="1"/>
        <v>43576</v>
      </c>
      <c r="B113">
        <v>1.440000000000001E-3</v>
      </c>
    </row>
    <row r="114" spans="1:2" x14ac:dyDescent="0.25">
      <c r="A114" s="12">
        <f t="shared" si="1"/>
        <v>43577</v>
      </c>
      <c r="B114">
        <v>1.460000000000001E-3</v>
      </c>
    </row>
    <row r="115" spans="1:2" x14ac:dyDescent="0.25">
      <c r="A115" s="12">
        <f t="shared" si="1"/>
        <v>43578</v>
      </c>
      <c r="B115">
        <v>1.4800000000000011E-3</v>
      </c>
    </row>
    <row r="116" spans="1:2" x14ac:dyDescent="0.25">
      <c r="A116" s="12">
        <f t="shared" si="1"/>
        <v>43579</v>
      </c>
      <c r="B116">
        <v>1.5000000000000011E-3</v>
      </c>
    </row>
    <row r="117" spans="1:2" x14ac:dyDescent="0.25">
      <c r="A117" s="12">
        <f t="shared" si="1"/>
        <v>43580</v>
      </c>
      <c r="B117">
        <v>1.5200000000000012E-3</v>
      </c>
    </row>
    <row r="118" spans="1:2" x14ac:dyDescent="0.25">
      <c r="A118" s="12">
        <f t="shared" si="1"/>
        <v>43581</v>
      </c>
      <c r="B118">
        <v>1.5400000000000012E-3</v>
      </c>
    </row>
    <row r="119" spans="1:2" x14ac:dyDescent="0.25">
      <c r="A119" s="12">
        <f t="shared" si="1"/>
        <v>43582</v>
      </c>
      <c r="B119">
        <v>1.5499999999999999E-3</v>
      </c>
    </row>
    <row r="120" spans="1:2" x14ac:dyDescent="0.25">
      <c r="A120" s="12">
        <f t="shared" si="1"/>
        <v>43583</v>
      </c>
      <c r="B120">
        <v>1.56E-3</v>
      </c>
    </row>
    <row r="121" spans="1:2" x14ac:dyDescent="0.25">
      <c r="A121" s="12">
        <f t="shared" si="1"/>
        <v>43584</v>
      </c>
      <c r="B121">
        <v>1.57E-3</v>
      </c>
    </row>
    <row r="122" spans="1:2" x14ac:dyDescent="0.25">
      <c r="A122" s="12">
        <f t="shared" si="1"/>
        <v>43585</v>
      </c>
      <c r="B122">
        <v>1.58E-3</v>
      </c>
    </row>
    <row r="123" spans="1:2" x14ac:dyDescent="0.25">
      <c r="A123" s="12">
        <f t="shared" si="1"/>
        <v>43586</v>
      </c>
      <c r="B123">
        <v>1.6000000000000001E-3</v>
      </c>
    </row>
    <row r="124" spans="1:2" x14ac:dyDescent="0.25">
      <c r="A124" s="12">
        <f t="shared" si="1"/>
        <v>43587</v>
      </c>
      <c r="B124">
        <v>1.6000000000000001E-3</v>
      </c>
    </row>
    <row r="125" spans="1:2" x14ac:dyDescent="0.25">
      <c r="A125" s="12">
        <f t="shared" si="1"/>
        <v>43588</v>
      </c>
      <c r="B125">
        <v>1.6100000000000001E-3</v>
      </c>
    </row>
    <row r="126" spans="1:2" x14ac:dyDescent="0.25">
      <c r="A126" s="12">
        <f t="shared" si="1"/>
        <v>43589</v>
      </c>
      <c r="B126">
        <v>1.6100000000000001E-3</v>
      </c>
    </row>
    <row r="127" spans="1:2" x14ac:dyDescent="0.25">
      <c r="A127" s="12">
        <f t="shared" si="1"/>
        <v>43590</v>
      </c>
      <c r="B127">
        <v>1.6199999999999999E-3</v>
      </c>
    </row>
    <row r="128" spans="1:2" x14ac:dyDescent="0.25">
      <c r="A128" s="12">
        <f t="shared" si="1"/>
        <v>43591</v>
      </c>
      <c r="B128">
        <v>1.6199999999999999E-3</v>
      </c>
    </row>
    <row r="129" spans="1:2" x14ac:dyDescent="0.25">
      <c r="A129" s="12">
        <f t="shared" si="1"/>
        <v>43592</v>
      </c>
      <c r="B129">
        <v>1.63035714285714E-3</v>
      </c>
    </row>
    <row r="130" spans="1:2" x14ac:dyDescent="0.25">
      <c r="A130" s="12">
        <f t="shared" si="1"/>
        <v>43593</v>
      </c>
      <c r="B130">
        <v>1.6365476190476199E-3</v>
      </c>
    </row>
    <row r="131" spans="1:2" x14ac:dyDescent="0.25">
      <c r="A131" s="12">
        <f t="shared" si="1"/>
        <v>43594</v>
      </c>
      <c r="B131">
        <v>1.6427380952381001E-3</v>
      </c>
    </row>
    <row r="132" spans="1:2" x14ac:dyDescent="0.25">
      <c r="A132" s="12">
        <f t="shared" si="1"/>
        <v>43595</v>
      </c>
      <c r="B132">
        <v>1.65E-3</v>
      </c>
    </row>
    <row r="133" spans="1:2" x14ac:dyDescent="0.25">
      <c r="A133" s="12">
        <f t="shared" ref="A133:A196" si="2">A132+1</f>
        <v>43596</v>
      </c>
      <c r="B133">
        <v>1.65E-3</v>
      </c>
    </row>
    <row r="134" spans="1:2" x14ac:dyDescent="0.25">
      <c r="A134" s="12">
        <f t="shared" si="2"/>
        <v>43597</v>
      </c>
      <c r="B134">
        <v>1.66E-3</v>
      </c>
    </row>
    <row r="135" spans="1:2" x14ac:dyDescent="0.25">
      <c r="A135" s="12">
        <f t="shared" si="2"/>
        <v>43598</v>
      </c>
      <c r="B135">
        <v>1.66E-3</v>
      </c>
    </row>
    <row r="136" spans="1:2" x14ac:dyDescent="0.25">
      <c r="A136" s="12">
        <f t="shared" si="2"/>
        <v>43599</v>
      </c>
      <c r="B136">
        <v>1.66E-3</v>
      </c>
    </row>
    <row r="137" spans="1:2" x14ac:dyDescent="0.25">
      <c r="A137" s="12">
        <f t="shared" si="2"/>
        <v>43600</v>
      </c>
      <c r="B137">
        <v>1.6639999999999999E-3</v>
      </c>
    </row>
    <row r="138" spans="1:2" x14ac:dyDescent="0.25">
      <c r="A138" s="12">
        <f t="shared" si="2"/>
        <v>43601</v>
      </c>
      <c r="B138">
        <v>1.66657142857143E-3</v>
      </c>
    </row>
    <row r="139" spans="1:2" x14ac:dyDescent="0.25">
      <c r="A139" s="12">
        <f t="shared" si="2"/>
        <v>43602</v>
      </c>
      <c r="B139">
        <v>1.6691428571428599E-3</v>
      </c>
    </row>
    <row r="140" spans="1:2" x14ac:dyDescent="0.25">
      <c r="A140" s="12">
        <f t="shared" si="2"/>
        <v>43603</v>
      </c>
      <c r="B140">
        <v>1.67171428571429E-3</v>
      </c>
    </row>
    <row r="141" spans="1:2" x14ac:dyDescent="0.25">
      <c r="A141" s="12">
        <f t="shared" si="2"/>
        <v>43604</v>
      </c>
      <c r="B141">
        <v>1.67428571428571E-3</v>
      </c>
    </row>
    <row r="142" spans="1:2" x14ac:dyDescent="0.25">
      <c r="A142" s="12">
        <f t="shared" si="2"/>
        <v>43605</v>
      </c>
      <c r="B142">
        <v>1.6768571428571401E-3</v>
      </c>
    </row>
    <row r="143" spans="1:2" x14ac:dyDescent="0.25">
      <c r="A143" s="12">
        <f t="shared" si="2"/>
        <v>43606</v>
      </c>
      <c r="B143">
        <v>1.67942857142857E-3</v>
      </c>
    </row>
    <row r="144" spans="1:2" x14ac:dyDescent="0.25">
      <c r="A144" s="12">
        <f t="shared" si="2"/>
        <v>43607</v>
      </c>
      <c r="B144">
        <v>1.6819999999999999E-3</v>
      </c>
    </row>
    <row r="145" spans="1:2" x14ac:dyDescent="0.25">
      <c r="A145" s="12">
        <f t="shared" si="2"/>
        <v>43608</v>
      </c>
      <c r="B145">
        <v>1.68457142857143E-3</v>
      </c>
    </row>
    <row r="146" spans="1:2" x14ac:dyDescent="0.25">
      <c r="A146" s="12">
        <f t="shared" si="2"/>
        <v>43609</v>
      </c>
      <c r="B146">
        <v>1.6871428571428599E-3</v>
      </c>
    </row>
    <row r="147" spans="1:2" x14ac:dyDescent="0.25">
      <c r="A147" s="12">
        <f t="shared" si="2"/>
        <v>43610</v>
      </c>
      <c r="B147">
        <v>1.68971428571429E-3</v>
      </c>
    </row>
    <row r="148" spans="1:2" x14ac:dyDescent="0.25">
      <c r="A148" s="12">
        <f t="shared" si="2"/>
        <v>43611</v>
      </c>
      <c r="B148">
        <v>1.69228571428571E-3</v>
      </c>
    </row>
    <row r="149" spans="1:2" x14ac:dyDescent="0.25">
      <c r="A149" s="12">
        <f t="shared" si="2"/>
        <v>43612</v>
      </c>
      <c r="B149">
        <v>1.6948571428571401E-3</v>
      </c>
    </row>
    <row r="150" spans="1:2" x14ac:dyDescent="0.25">
      <c r="A150" s="12">
        <f t="shared" si="2"/>
        <v>43613</v>
      </c>
      <c r="B150">
        <v>1.6999999999999999E-3</v>
      </c>
    </row>
    <row r="151" spans="1:2" x14ac:dyDescent="0.25">
      <c r="A151" s="12">
        <f t="shared" si="2"/>
        <v>43614</v>
      </c>
      <c r="B151">
        <v>1.6999999999999999E-3</v>
      </c>
    </row>
    <row r="152" spans="1:2" x14ac:dyDescent="0.25">
      <c r="A152" s="12">
        <f t="shared" si="2"/>
        <v>43615</v>
      </c>
      <c r="B152">
        <v>1.7099999999999999E-3</v>
      </c>
    </row>
    <row r="153" spans="1:2" x14ac:dyDescent="0.25">
      <c r="A153" s="12">
        <f t="shared" si="2"/>
        <v>43616</v>
      </c>
      <c r="B153">
        <v>1.7099999999999999E-3</v>
      </c>
    </row>
    <row r="154" spans="1:2" x14ac:dyDescent="0.25">
      <c r="A154" s="12">
        <f t="shared" si="2"/>
        <v>43617</v>
      </c>
      <c r="B154">
        <v>1.72E-3</v>
      </c>
    </row>
    <row r="155" spans="1:2" x14ac:dyDescent="0.25">
      <c r="A155" s="12">
        <f t="shared" si="2"/>
        <v>43618</v>
      </c>
      <c r="B155">
        <v>1.73E-3</v>
      </c>
    </row>
    <row r="156" spans="1:2" x14ac:dyDescent="0.25">
      <c r="A156" s="12">
        <f t="shared" si="2"/>
        <v>43619</v>
      </c>
      <c r="B156">
        <v>1.74E-3</v>
      </c>
    </row>
    <row r="157" spans="1:2" x14ac:dyDescent="0.25">
      <c r="A157" s="12">
        <f t="shared" si="2"/>
        <v>43620</v>
      </c>
      <c r="B157">
        <v>1.75E-3</v>
      </c>
    </row>
    <row r="158" spans="1:2" x14ac:dyDescent="0.25">
      <c r="A158" s="12">
        <f t="shared" si="2"/>
        <v>43621</v>
      </c>
      <c r="B158">
        <v>1.7600000000000001E-3</v>
      </c>
    </row>
    <row r="159" spans="1:2" x14ac:dyDescent="0.25">
      <c r="A159" s="12">
        <f t="shared" si="2"/>
        <v>43622</v>
      </c>
      <c r="B159">
        <v>1.7700000000000001E-3</v>
      </c>
    </row>
    <row r="160" spans="1:2" x14ac:dyDescent="0.25">
      <c r="A160" s="12">
        <f t="shared" si="2"/>
        <v>43623</v>
      </c>
      <c r="B160">
        <v>1.7799999999999999E-3</v>
      </c>
    </row>
    <row r="161" spans="1:2" x14ac:dyDescent="0.25">
      <c r="A161" s="12">
        <f t="shared" si="2"/>
        <v>43624</v>
      </c>
      <c r="B161">
        <v>1.7899999999999999E-3</v>
      </c>
    </row>
    <row r="162" spans="1:2" x14ac:dyDescent="0.25">
      <c r="A162" s="12">
        <f t="shared" si="2"/>
        <v>43625</v>
      </c>
      <c r="B162">
        <v>1.8E-3</v>
      </c>
    </row>
    <row r="163" spans="1:2" x14ac:dyDescent="0.25">
      <c r="A163" s="12">
        <f t="shared" si="2"/>
        <v>43626</v>
      </c>
      <c r="B163">
        <v>1.81E-3</v>
      </c>
    </row>
    <row r="164" spans="1:2" x14ac:dyDescent="0.25">
      <c r="A164" s="12">
        <f t="shared" si="2"/>
        <v>43627</v>
      </c>
      <c r="B164">
        <v>1.82E-3</v>
      </c>
    </row>
    <row r="165" spans="1:2" x14ac:dyDescent="0.25">
      <c r="A165" s="12">
        <f t="shared" si="2"/>
        <v>43628</v>
      </c>
      <c r="B165">
        <v>1.83E-3</v>
      </c>
    </row>
    <row r="166" spans="1:2" x14ac:dyDescent="0.25">
      <c r="A166" s="12">
        <f t="shared" si="2"/>
        <v>43629</v>
      </c>
      <c r="B166">
        <v>1.8400000000000001E-3</v>
      </c>
    </row>
    <row r="167" spans="1:2" x14ac:dyDescent="0.25">
      <c r="A167" s="12">
        <f t="shared" si="2"/>
        <v>43630</v>
      </c>
      <c r="B167">
        <v>1.8500000000000001E-3</v>
      </c>
    </row>
    <row r="168" spans="1:2" x14ac:dyDescent="0.25">
      <c r="A168" s="12">
        <f t="shared" si="2"/>
        <v>43631</v>
      </c>
      <c r="B168">
        <v>1.8600000000000001E-3</v>
      </c>
    </row>
    <row r="169" spans="1:2" x14ac:dyDescent="0.25">
      <c r="A169" s="12">
        <f t="shared" si="2"/>
        <v>43632</v>
      </c>
      <c r="B169">
        <v>1.8699999999999999E-3</v>
      </c>
    </row>
    <row r="170" spans="1:2" x14ac:dyDescent="0.25">
      <c r="A170" s="12">
        <f t="shared" si="2"/>
        <v>43633</v>
      </c>
      <c r="B170">
        <v>1.8799999999999999E-3</v>
      </c>
    </row>
    <row r="171" spans="1:2" x14ac:dyDescent="0.25">
      <c r="A171" s="12">
        <f t="shared" si="2"/>
        <v>43634</v>
      </c>
      <c r="B171">
        <v>1.89E-3</v>
      </c>
    </row>
    <row r="172" spans="1:2" x14ac:dyDescent="0.25">
      <c r="A172" s="12">
        <f t="shared" si="2"/>
        <v>43635</v>
      </c>
      <c r="B172">
        <v>1.9E-3</v>
      </c>
    </row>
    <row r="173" spans="1:2" x14ac:dyDescent="0.25">
      <c r="A173" s="12">
        <f t="shared" si="2"/>
        <v>43636</v>
      </c>
      <c r="B173">
        <v>1.91E-3</v>
      </c>
    </row>
    <row r="174" spans="1:2" x14ac:dyDescent="0.25">
      <c r="A174" s="12">
        <f t="shared" si="2"/>
        <v>43637</v>
      </c>
      <c r="B174">
        <v>1.92E-3</v>
      </c>
    </row>
    <row r="175" spans="1:2" x14ac:dyDescent="0.25">
      <c r="A175" s="12">
        <f t="shared" si="2"/>
        <v>43638</v>
      </c>
      <c r="B175">
        <v>1.9300000000000001E-3</v>
      </c>
    </row>
    <row r="176" spans="1:2" x14ac:dyDescent="0.25">
      <c r="A176" s="12">
        <f t="shared" si="2"/>
        <v>43639</v>
      </c>
      <c r="B176">
        <v>1.9400000000000001E-3</v>
      </c>
    </row>
    <row r="177" spans="1:2" x14ac:dyDescent="0.25">
      <c r="A177" s="12">
        <f t="shared" si="2"/>
        <v>43640</v>
      </c>
      <c r="B177">
        <v>1.9499999999999999E-3</v>
      </c>
    </row>
    <row r="178" spans="1:2" x14ac:dyDescent="0.25">
      <c r="A178" s="12">
        <f t="shared" si="2"/>
        <v>43641</v>
      </c>
      <c r="B178">
        <v>1.9599999999999999E-3</v>
      </c>
    </row>
    <row r="179" spans="1:2" x14ac:dyDescent="0.25">
      <c r="A179" s="12">
        <f t="shared" si="2"/>
        <v>43642</v>
      </c>
      <c r="B179">
        <v>1.97E-3</v>
      </c>
    </row>
    <row r="180" spans="1:2" x14ac:dyDescent="0.25">
      <c r="A180" s="12">
        <f t="shared" si="2"/>
        <v>43643</v>
      </c>
      <c r="B180">
        <v>1.98E-3</v>
      </c>
    </row>
    <row r="181" spans="1:2" x14ac:dyDescent="0.25">
      <c r="A181" s="12">
        <f t="shared" si="2"/>
        <v>43644</v>
      </c>
      <c r="B181">
        <v>1.99E-3</v>
      </c>
    </row>
    <row r="182" spans="1:2" x14ac:dyDescent="0.25">
      <c r="A182" s="12">
        <f t="shared" si="2"/>
        <v>43645</v>
      </c>
      <c r="B182">
        <v>2E-3</v>
      </c>
    </row>
    <row r="183" spans="1:2" x14ac:dyDescent="0.25">
      <c r="A183" s="12">
        <f t="shared" si="2"/>
        <v>43646</v>
      </c>
      <c r="B183">
        <v>2E-3</v>
      </c>
    </row>
    <row r="184" spans="1:2" x14ac:dyDescent="0.25">
      <c r="A184" s="12">
        <f t="shared" si="2"/>
        <v>43647</v>
      </c>
      <c r="B184">
        <v>2.0100000000000001E-3</v>
      </c>
    </row>
    <row r="185" spans="1:2" x14ac:dyDescent="0.25">
      <c r="A185" s="12">
        <f t="shared" si="2"/>
        <v>43648</v>
      </c>
      <c r="B185">
        <v>2.0100000000000001E-3</v>
      </c>
    </row>
    <row r="186" spans="1:2" x14ac:dyDescent="0.25">
      <c r="A186" s="12">
        <f t="shared" si="2"/>
        <v>43649</v>
      </c>
      <c r="B186">
        <v>2.0100000000000001E-3</v>
      </c>
    </row>
    <row r="187" spans="1:2" x14ac:dyDescent="0.25">
      <c r="A187" s="12">
        <f t="shared" si="2"/>
        <v>43650</v>
      </c>
      <c r="B187">
        <v>2.0100000000000001E-3</v>
      </c>
    </row>
    <row r="188" spans="1:2" x14ac:dyDescent="0.25">
      <c r="A188" s="12">
        <f t="shared" si="2"/>
        <v>43651</v>
      </c>
      <c r="B188">
        <v>2.0200000000000001E-3</v>
      </c>
    </row>
    <row r="189" spans="1:2" x14ac:dyDescent="0.25">
      <c r="A189" s="12">
        <f t="shared" si="2"/>
        <v>43652</v>
      </c>
      <c r="B189">
        <v>2.0200000000000001E-3</v>
      </c>
    </row>
    <row r="190" spans="1:2" x14ac:dyDescent="0.25">
      <c r="A190" s="12">
        <f t="shared" si="2"/>
        <v>43653</v>
      </c>
      <c r="B190">
        <v>2.0200000000000001E-3</v>
      </c>
    </row>
    <row r="191" spans="1:2" x14ac:dyDescent="0.25">
      <c r="A191" s="12">
        <f t="shared" si="2"/>
        <v>43654</v>
      </c>
      <c r="B191">
        <v>2.0200000000000001E-3</v>
      </c>
    </row>
    <row r="192" spans="1:2" x14ac:dyDescent="0.25">
      <c r="A192" s="12">
        <f t="shared" si="2"/>
        <v>43655</v>
      </c>
      <c r="B192">
        <v>2.0200000000000001E-3</v>
      </c>
    </row>
    <row r="193" spans="1:2" x14ac:dyDescent="0.25">
      <c r="A193" s="12">
        <f t="shared" si="2"/>
        <v>43656</v>
      </c>
      <c r="B193">
        <v>2.0200000000000001E-3</v>
      </c>
    </row>
    <row r="194" spans="1:2" x14ac:dyDescent="0.25">
      <c r="A194" s="12">
        <f t="shared" si="2"/>
        <v>43657</v>
      </c>
      <c r="B194">
        <v>2.0200000000000001E-3</v>
      </c>
    </row>
    <row r="195" spans="1:2" x14ac:dyDescent="0.25">
      <c r="A195" s="12">
        <f t="shared" si="2"/>
        <v>43658</v>
      </c>
      <c r="B195">
        <v>2.0200000000000001E-3</v>
      </c>
    </row>
    <row r="196" spans="1:2" x14ac:dyDescent="0.25">
      <c r="A196" s="12">
        <f t="shared" si="2"/>
        <v>43659</v>
      </c>
      <c r="B196">
        <v>2.0200000000000001E-3</v>
      </c>
    </row>
    <row r="197" spans="1:2" x14ac:dyDescent="0.25">
      <c r="A197" s="12">
        <f t="shared" ref="A197:A260" si="3">A196+1</f>
        <v>43660</v>
      </c>
      <c r="B197">
        <v>2.0200000000000001E-3</v>
      </c>
    </row>
    <row r="198" spans="1:2" x14ac:dyDescent="0.25">
      <c r="A198" s="12">
        <f t="shared" si="3"/>
        <v>43661</v>
      </c>
      <c r="B198">
        <v>2.0100000000000001E-3</v>
      </c>
    </row>
    <row r="199" spans="1:2" x14ac:dyDescent="0.25">
      <c r="A199" s="12">
        <f t="shared" si="3"/>
        <v>43662</v>
      </c>
      <c r="B199">
        <v>2.0100000000000001E-3</v>
      </c>
    </row>
    <row r="200" spans="1:2" x14ac:dyDescent="0.25">
      <c r="A200" s="12">
        <f t="shared" si="3"/>
        <v>43663</v>
      </c>
      <c r="B200">
        <v>2.0100000000000001E-3</v>
      </c>
    </row>
    <row r="201" spans="1:2" x14ac:dyDescent="0.25">
      <c r="A201" s="12">
        <f t="shared" si="3"/>
        <v>43664</v>
      </c>
      <c r="B201">
        <v>2.0100000000000001E-3</v>
      </c>
    </row>
    <row r="202" spans="1:2" x14ac:dyDescent="0.25">
      <c r="A202" s="12">
        <f t="shared" si="3"/>
        <v>43665</v>
      </c>
      <c r="B202">
        <v>2.0100000000000001E-3</v>
      </c>
    </row>
    <row r="203" spans="1:2" x14ac:dyDescent="0.25">
      <c r="A203" s="12">
        <f t="shared" si="3"/>
        <v>43666</v>
      </c>
      <c r="B203">
        <v>2E-3</v>
      </c>
    </row>
    <row r="204" spans="1:2" x14ac:dyDescent="0.25">
      <c r="A204" s="12">
        <f t="shared" si="3"/>
        <v>43667</v>
      </c>
      <c r="B204">
        <v>2E-3</v>
      </c>
    </row>
    <row r="205" spans="1:2" x14ac:dyDescent="0.25">
      <c r="A205" s="12">
        <f t="shared" si="3"/>
        <v>43668</v>
      </c>
      <c r="B205">
        <v>2E-3</v>
      </c>
    </row>
    <row r="206" spans="1:2" x14ac:dyDescent="0.25">
      <c r="A206" s="12">
        <f t="shared" si="3"/>
        <v>43669</v>
      </c>
      <c r="B206">
        <v>2E-3</v>
      </c>
    </row>
    <row r="207" spans="1:2" x14ac:dyDescent="0.25">
      <c r="A207" s="12">
        <f t="shared" si="3"/>
        <v>43670</v>
      </c>
      <c r="B207">
        <v>2E-3</v>
      </c>
    </row>
    <row r="208" spans="1:2" x14ac:dyDescent="0.25">
      <c r="A208" s="12">
        <f t="shared" si="3"/>
        <v>43671</v>
      </c>
      <c r="B208">
        <v>1.99E-3</v>
      </c>
    </row>
    <row r="209" spans="1:2" x14ac:dyDescent="0.25">
      <c r="A209" s="12">
        <f t="shared" si="3"/>
        <v>43672</v>
      </c>
      <c r="B209">
        <v>1.99E-3</v>
      </c>
    </row>
    <row r="210" spans="1:2" x14ac:dyDescent="0.25">
      <c r="A210" s="12">
        <f t="shared" si="3"/>
        <v>43673</v>
      </c>
      <c r="B210">
        <v>1.98E-3</v>
      </c>
    </row>
    <row r="211" spans="1:2" x14ac:dyDescent="0.25">
      <c r="A211" s="12">
        <f t="shared" si="3"/>
        <v>43674</v>
      </c>
      <c r="B211">
        <v>1.97E-3</v>
      </c>
    </row>
    <row r="212" spans="1:2" x14ac:dyDescent="0.25">
      <c r="A212" s="12">
        <f t="shared" si="3"/>
        <v>43675</v>
      </c>
      <c r="B212">
        <v>1.9599999999999999E-3</v>
      </c>
    </row>
    <row r="213" spans="1:2" x14ac:dyDescent="0.25">
      <c r="A213" s="12">
        <f t="shared" si="3"/>
        <v>43676</v>
      </c>
      <c r="B213">
        <v>1.9499999999999999E-3</v>
      </c>
    </row>
    <row r="214" spans="1:2" x14ac:dyDescent="0.25">
      <c r="A214" s="12">
        <f t="shared" si="3"/>
        <v>43677</v>
      </c>
      <c r="B214">
        <v>1.9399999999999999E-3</v>
      </c>
    </row>
    <row r="215" spans="1:2" x14ac:dyDescent="0.25">
      <c r="A215" s="12">
        <f t="shared" si="3"/>
        <v>43678</v>
      </c>
      <c r="B215">
        <v>1.9299999999999999E-3</v>
      </c>
    </row>
    <row r="216" spans="1:2" x14ac:dyDescent="0.25">
      <c r="A216" s="12">
        <f t="shared" si="3"/>
        <v>43679</v>
      </c>
      <c r="B216">
        <v>1.9199999999999998E-3</v>
      </c>
    </row>
    <row r="217" spans="1:2" x14ac:dyDescent="0.25">
      <c r="A217" s="12">
        <f t="shared" si="3"/>
        <v>43680</v>
      </c>
      <c r="B217">
        <v>1.9099999999999998E-3</v>
      </c>
    </row>
    <row r="218" spans="1:2" x14ac:dyDescent="0.25">
      <c r="A218" s="12">
        <f t="shared" si="3"/>
        <v>43681</v>
      </c>
      <c r="B218">
        <v>1.8999999999999998E-3</v>
      </c>
    </row>
    <row r="219" spans="1:2" x14ac:dyDescent="0.25">
      <c r="A219" s="12">
        <f t="shared" si="3"/>
        <v>43682</v>
      </c>
      <c r="B219">
        <v>1.8899999999999998E-3</v>
      </c>
    </row>
    <row r="220" spans="1:2" x14ac:dyDescent="0.25">
      <c r="A220" s="12">
        <f t="shared" si="3"/>
        <v>43683</v>
      </c>
      <c r="B220">
        <v>1.8699999999999997E-3</v>
      </c>
    </row>
    <row r="221" spans="1:2" x14ac:dyDescent="0.25">
      <c r="A221" s="12">
        <f t="shared" si="3"/>
        <v>43684</v>
      </c>
      <c r="B221">
        <v>1.8599999999999997E-3</v>
      </c>
    </row>
    <row r="222" spans="1:2" x14ac:dyDescent="0.25">
      <c r="A222" s="12">
        <f t="shared" si="3"/>
        <v>43685</v>
      </c>
      <c r="B222">
        <v>1.8499999999999996E-3</v>
      </c>
    </row>
    <row r="223" spans="1:2" x14ac:dyDescent="0.25">
      <c r="A223" s="12">
        <f t="shared" si="3"/>
        <v>43686</v>
      </c>
      <c r="B223">
        <v>1.8399999999999996E-3</v>
      </c>
    </row>
    <row r="224" spans="1:2" x14ac:dyDescent="0.25">
      <c r="A224" s="12">
        <f t="shared" si="3"/>
        <v>43687</v>
      </c>
      <c r="B224">
        <v>1.8299999999999996E-3</v>
      </c>
    </row>
    <row r="225" spans="1:2" x14ac:dyDescent="0.25">
      <c r="A225" s="12">
        <f t="shared" si="3"/>
        <v>43688</v>
      </c>
      <c r="B225">
        <v>1.8199999999999996E-3</v>
      </c>
    </row>
    <row r="226" spans="1:2" x14ac:dyDescent="0.25">
      <c r="A226" s="12">
        <f t="shared" si="3"/>
        <v>43689</v>
      </c>
      <c r="B226">
        <v>1.8099999999999995E-3</v>
      </c>
    </row>
    <row r="227" spans="1:2" x14ac:dyDescent="0.25">
      <c r="A227" s="12">
        <f t="shared" si="3"/>
        <v>43690</v>
      </c>
      <c r="B227">
        <v>1.7999999999999995E-3</v>
      </c>
    </row>
    <row r="228" spans="1:2" x14ac:dyDescent="0.25">
      <c r="A228" s="12">
        <f t="shared" si="3"/>
        <v>43691</v>
      </c>
      <c r="B228">
        <v>1.7899999999999995E-3</v>
      </c>
    </row>
    <row r="229" spans="1:2" x14ac:dyDescent="0.25">
      <c r="A229" s="12">
        <f t="shared" si="3"/>
        <v>43692</v>
      </c>
      <c r="B229">
        <v>1.7699999999999994E-3</v>
      </c>
    </row>
    <row r="230" spans="1:2" x14ac:dyDescent="0.25">
      <c r="A230" s="12">
        <f t="shared" si="3"/>
        <v>43693</v>
      </c>
      <c r="B230">
        <v>1.7499999999999994E-3</v>
      </c>
    </row>
    <row r="231" spans="1:2" x14ac:dyDescent="0.25">
      <c r="A231" s="12">
        <f t="shared" si="3"/>
        <v>43694</v>
      </c>
      <c r="B231">
        <v>1.7299999999999993E-3</v>
      </c>
    </row>
    <row r="232" spans="1:2" x14ac:dyDescent="0.25">
      <c r="A232" s="12">
        <f t="shared" si="3"/>
        <v>43695</v>
      </c>
      <c r="B232">
        <v>1.7099999999999993E-3</v>
      </c>
    </row>
    <row r="233" spans="1:2" x14ac:dyDescent="0.25">
      <c r="A233" s="12">
        <f t="shared" si="3"/>
        <v>43696</v>
      </c>
      <c r="B233">
        <v>1.6899999999999992E-3</v>
      </c>
    </row>
    <row r="234" spans="1:2" x14ac:dyDescent="0.25">
      <c r="A234" s="12">
        <f t="shared" si="3"/>
        <v>43697</v>
      </c>
      <c r="B234">
        <v>1.6699999999999992E-3</v>
      </c>
    </row>
    <row r="235" spans="1:2" x14ac:dyDescent="0.25">
      <c r="A235" s="12">
        <f t="shared" si="3"/>
        <v>43698</v>
      </c>
      <c r="B235">
        <v>1.6499999999999991E-3</v>
      </c>
    </row>
    <row r="236" spans="1:2" x14ac:dyDescent="0.25">
      <c r="A236" s="12">
        <f t="shared" si="3"/>
        <v>43699</v>
      </c>
      <c r="B236">
        <v>1.6299999999999991E-3</v>
      </c>
    </row>
    <row r="237" spans="1:2" x14ac:dyDescent="0.25">
      <c r="A237" s="12">
        <f t="shared" si="3"/>
        <v>43700</v>
      </c>
      <c r="B237">
        <v>1.609999999999999E-3</v>
      </c>
    </row>
    <row r="238" spans="1:2" x14ac:dyDescent="0.25">
      <c r="A238" s="12">
        <f t="shared" si="3"/>
        <v>43701</v>
      </c>
      <c r="B238">
        <v>1.589999999999999E-3</v>
      </c>
    </row>
    <row r="239" spans="1:2" x14ac:dyDescent="0.25">
      <c r="A239" s="12">
        <f t="shared" si="3"/>
        <v>43702</v>
      </c>
      <c r="B239">
        <v>1.5699999999999989E-3</v>
      </c>
    </row>
    <row r="240" spans="1:2" x14ac:dyDescent="0.25">
      <c r="A240" s="12">
        <f t="shared" si="3"/>
        <v>43703</v>
      </c>
      <c r="B240">
        <v>1.5499999999999989E-3</v>
      </c>
    </row>
    <row r="241" spans="1:2" x14ac:dyDescent="0.25">
      <c r="A241" s="12">
        <f t="shared" si="3"/>
        <v>43704</v>
      </c>
      <c r="B241">
        <v>1.5299999999999988E-3</v>
      </c>
    </row>
    <row r="242" spans="1:2" x14ac:dyDescent="0.25">
      <c r="A242" s="12">
        <f t="shared" si="3"/>
        <v>43705</v>
      </c>
      <c r="B242">
        <v>1.5099999999999988E-3</v>
      </c>
    </row>
    <row r="243" spans="1:2" x14ac:dyDescent="0.25">
      <c r="A243" s="12">
        <f t="shared" si="3"/>
        <v>43706</v>
      </c>
      <c r="B243">
        <v>1.4899999999999987E-3</v>
      </c>
    </row>
    <row r="244" spans="1:2" x14ac:dyDescent="0.25">
      <c r="A244" s="12">
        <f t="shared" si="3"/>
        <v>43707</v>
      </c>
      <c r="B244">
        <v>1.4699999999999987E-3</v>
      </c>
    </row>
    <row r="245" spans="1:2" x14ac:dyDescent="0.25">
      <c r="A245" s="12">
        <f t="shared" si="3"/>
        <v>43708</v>
      </c>
      <c r="B245">
        <v>1.4499999999999986E-3</v>
      </c>
    </row>
    <row r="246" spans="1:2" x14ac:dyDescent="0.25">
      <c r="A246" s="12">
        <f t="shared" si="3"/>
        <v>43709</v>
      </c>
      <c r="B246">
        <v>1.4399999999999986E-3</v>
      </c>
    </row>
    <row r="247" spans="1:2" x14ac:dyDescent="0.25">
      <c r="A247" s="12">
        <f t="shared" si="3"/>
        <v>43710</v>
      </c>
      <c r="B247">
        <v>1.4299999999999985E-3</v>
      </c>
    </row>
    <row r="248" spans="1:2" x14ac:dyDescent="0.25">
      <c r="A248" s="12">
        <f t="shared" si="3"/>
        <v>43711</v>
      </c>
      <c r="B248">
        <v>1.4199999999999985E-3</v>
      </c>
    </row>
    <row r="249" spans="1:2" x14ac:dyDescent="0.25">
      <c r="A249" s="12">
        <f t="shared" si="3"/>
        <v>43712</v>
      </c>
      <c r="B249">
        <v>1.4099999999999985E-3</v>
      </c>
    </row>
    <row r="250" spans="1:2" x14ac:dyDescent="0.25">
      <c r="A250" s="12">
        <f t="shared" si="3"/>
        <v>43713</v>
      </c>
      <c r="B250">
        <v>1.3999999999999985E-3</v>
      </c>
    </row>
    <row r="251" spans="1:2" x14ac:dyDescent="0.25">
      <c r="A251" s="12">
        <f t="shared" si="3"/>
        <v>43714</v>
      </c>
      <c r="B251">
        <v>1.3899999999999984E-3</v>
      </c>
    </row>
    <row r="252" spans="1:2" x14ac:dyDescent="0.25">
      <c r="A252" s="12">
        <f t="shared" si="3"/>
        <v>43715</v>
      </c>
      <c r="B252">
        <v>1.3799999999999984E-3</v>
      </c>
    </row>
    <row r="253" spans="1:2" x14ac:dyDescent="0.25">
      <c r="A253" s="12">
        <f t="shared" si="3"/>
        <v>43716</v>
      </c>
      <c r="B253">
        <v>1.3699999999999984E-3</v>
      </c>
    </row>
    <row r="254" spans="1:2" x14ac:dyDescent="0.25">
      <c r="A254" s="12">
        <f t="shared" si="3"/>
        <v>43717</v>
      </c>
      <c r="B254">
        <v>1.3599999999999984E-3</v>
      </c>
    </row>
    <row r="255" spans="1:2" x14ac:dyDescent="0.25">
      <c r="A255" s="12">
        <f t="shared" si="3"/>
        <v>43718</v>
      </c>
      <c r="B255">
        <v>1.3499999999999983E-3</v>
      </c>
    </row>
    <row r="256" spans="1:2" x14ac:dyDescent="0.25">
      <c r="A256" s="12">
        <f t="shared" si="3"/>
        <v>43719</v>
      </c>
      <c r="B256">
        <v>1.3399999999999983E-3</v>
      </c>
    </row>
    <row r="257" spans="1:2" x14ac:dyDescent="0.25">
      <c r="A257" s="12">
        <f t="shared" si="3"/>
        <v>43720</v>
      </c>
      <c r="B257">
        <v>1.3299999999999983E-3</v>
      </c>
    </row>
    <row r="258" spans="1:2" x14ac:dyDescent="0.25">
      <c r="A258" s="12">
        <f t="shared" si="3"/>
        <v>43721</v>
      </c>
      <c r="B258">
        <v>1.3199999999999983E-3</v>
      </c>
    </row>
    <row r="259" spans="1:2" x14ac:dyDescent="0.25">
      <c r="A259" s="12">
        <f t="shared" si="3"/>
        <v>43722</v>
      </c>
      <c r="B259">
        <v>1.3099999999999982E-3</v>
      </c>
    </row>
    <row r="260" spans="1:2" x14ac:dyDescent="0.25">
      <c r="A260" s="12">
        <f t="shared" si="3"/>
        <v>43723</v>
      </c>
      <c r="B260">
        <v>1.2999999999999982E-3</v>
      </c>
    </row>
    <row r="261" spans="1:2" x14ac:dyDescent="0.25">
      <c r="A261" s="12">
        <f t="shared" ref="A261:A324" si="4">A260+1</f>
        <v>43724</v>
      </c>
      <c r="B261">
        <v>1.2899999999999982E-3</v>
      </c>
    </row>
    <row r="262" spans="1:2" x14ac:dyDescent="0.25">
      <c r="A262" s="12">
        <f t="shared" si="4"/>
        <v>43725</v>
      </c>
      <c r="B262">
        <v>1.2799999999999982E-3</v>
      </c>
    </row>
    <row r="263" spans="1:2" x14ac:dyDescent="0.25">
      <c r="A263" s="12">
        <f t="shared" si="4"/>
        <v>43726</v>
      </c>
      <c r="B263">
        <v>1.2699999999999981E-3</v>
      </c>
    </row>
    <row r="264" spans="1:2" x14ac:dyDescent="0.25">
      <c r="A264" s="12">
        <f t="shared" si="4"/>
        <v>43727</v>
      </c>
      <c r="B264">
        <v>1.2599999999999981E-3</v>
      </c>
    </row>
    <row r="265" spans="1:2" x14ac:dyDescent="0.25">
      <c r="A265" s="12">
        <f t="shared" si="4"/>
        <v>43728</v>
      </c>
      <c r="B265">
        <v>1.2499999999999981E-3</v>
      </c>
    </row>
    <row r="266" spans="1:2" x14ac:dyDescent="0.25">
      <c r="A266" s="12">
        <f t="shared" si="4"/>
        <v>43729</v>
      </c>
      <c r="B266">
        <v>1.239999999999998E-3</v>
      </c>
    </row>
    <row r="267" spans="1:2" x14ac:dyDescent="0.25">
      <c r="A267" s="12">
        <f t="shared" si="4"/>
        <v>43730</v>
      </c>
      <c r="B267">
        <v>1.229999999999998E-3</v>
      </c>
    </row>
    <row r="268" spans="1:2" x14ac:dyDescent="0.25">
      <c r="A268" s="12">
        <f t="shared" si="4"/>
        <v>43731</v>
      </c>
      <c r="B268">
        <v>1.219999999999998E-3</v>
      </c>
    </row>
    <row r="269" spans="1:2" x14ac:dyDescent="0.25">
      <c r="A269" s="12">
        <f t="shared" si="4"/>
        <v>43732</v>
      </c>
      <c r="B269">
        <v>1.209999999999998E-3</v>
      </c>
    </row>
    <row r="270" spans="1:2" x14ac:dyDescent="0.25">
      <c r="A270" s="12">
        <f t="shared" si="4"/>
        <v>43733</v>
      </c>
      <c r="B270">
        <v>1.1999999999999979E-3</v>
      </c>
    </row>
    <row r="271" spans="1:2" x14ac:dyDescent="0.25">
      <c r="A271" s="12">
        <f t="shared" si="4"/>
        <v>43734</v>
      </c>
      <c r="B271">
        <v>1.1899999999999979E-3</v>
      </c>
    </row>
    <row r="272" spans="1:2" x14ac:dyDescent="0.25">
      <c r="A272" s="12">
        <f t="shared" si="4"/>
        <v>43735</v>
      </c>
      <c r="B272">
        <v>1.1799999999999979E-3</v>
      </c>
    </row>
    <row r="273" spans="1:2" x14ac:dyDescent="0.25">
      <c r="A273" s="12">
        <f t="shared" si="4"/>
        <v>43736</v>
      </c>
      <c r="B273">
        <v>1.1699999999999979E-3</v>
      </c>
    </row>
    <row r="274" spans="1:2" x14ac:dyDescent="0.25">
      <c r="A274" s="12">
        <f t="shared" si="4"/>
        <v>43737</v>
      </c>
      <c r="B274">
        <v>1.1599999999999978E-3</v>
      </c>
    </row>
    <row r="275" spans="1:2" x14ac:dyDescent="0.25">
      <c r="A275" s="12">
        <f t="shared" si="4"/>
        <v>43738</v>
      </c>
      <c r="B275">
        <v>1.1499999999999978E-3</v>
      </c>
    </row>
    <row r="276" spans="1:2" x14ac:dyDescent="0.25">
      <c r="A276" s="12">
        <f t="shared" si="4"/>
        <v>43739</v>
      </c>
      <c r="B276">
        <v>1.1299999999999978E-3</v>
      </c>
    </row>
    <row r="277" spans="1:2" x14ac:dyDescent="0.25">
      <c r="A277" s="12">
        <f t="shared" si="4"/>
        <v>43740</v>
      </c>
      <c r="B277">
        <v>1.1199999999999977E-3</v>
      </c>
    </row>
    <row r="278" spans="1:2" x14ac:dyDescent="0.25">
      <c r="A278" s="12">
        <f t="shared" si="4"/>
        <v>43741</v>
      </c>
      <c r="B278">
        <v>1.1099999999999977E-3</v>
      </c>
    </row>
    <row r="279" spans="1:2" x14ac:dyDescent="0.25">
      <c r="A279" s="12">
        <f t="shared" si="4"/>
        <v>43742</v>
      </c>
      <c r="B279">
        <v>1.0999999999999977E-3</v>
      </c>
    </row>
    <row r="280" spans="1:2" x14ac:dyDescent="0.25">
      <c r="A280" s="12">
        <f t="shared" si="4"/>
        <v>43743</v>
      </c>
      <c r="B280">
        <v>1.0899999999999977E-3</v>
      </c>
    </row>
    <row r="281" spans="1:2" x14ac:dyDescent="0.25">
      <c r="A281" s="12">
        <f t="shared" si="4"/>
        <v>43744</v>
      </c>
      <c r="B281">
        <v>1.0799999999999976E-3</v>
      </c>
    </row>
    <row r="282" spans="1:2" x14ac:dyDescent="0.25">
      <c r="A282" s="12">
        <f t="shared" si="4"/>
        <v>43745</v>
      </c>
      <c r="B282">
        <v>1.0699999999999976E-3</v>
      </c>
    </row>
    <row r="283" spans="1:2" x14ac:dyDescent="0.25">
      <c r="A283" s="12">
        <f t="shared" si="4"/>
        <v>43746</v>
      </c>
      <c r="B283">
        <v>1.0599999999999976E-3</v>
      </c>
    </row>
    <row r="284" spans="1:2" x14ac:dyDescent="0.25">
      <c r="A284" s="12">
        <f t="shared" si="4"/>
        <v>43747</v>
      </c>
      <c r="B284">
        <v>1.0499999999999975E-3</v>
      </c>
    </row>
    <row r="285" spans="1:2" x14ac:dyDescent="0.25">
      <c r="A285" s="12">
        <f t="shared" si="4"/>
        <v>43748</v>
      </c>
      <c r="B285">
        <v>1.0399999999999975E-3</v>
      </c>
    </row>
    <row r="286" spans="1:2" x14ac:dyDescent="0.25">
      <c r="A286" s="12">
        <f t="shared" si="4"/>
        <v>43749</v>
      </c>
      <c r="B286">
        <v>1.0299999999999975E-3</v>
      </c>
    </row>
    <row r="287" spans="1:2" x14ac:dyDescent="0.25">
      <c r="A287" s="12">
        <f t="shared" si="4"/>
        <v>43750</v>
      </c>
      <c r="B287">
        <v>1.0199999999999975E-3</v>
      </c>
    </row>
    <row r="288" spans="1:2" x14ac:dyDescent="0.25">
      <c r="A288" s="12">
        <f t="shared" si="4"/>
        <v>43751</v>
      </c>
      <c r="B288">
        <v>1.0099999999999974E-3</v>
      </c>
    </row>
    <row r="289" spans="1:2" x14ac:dyDescent="0.25">
      <c r="A289" s="12">
        <f t="shared" si="4"/>
        <v>43752</v>
      </c>
      <c r="B289">
        <v>9.9999999999999742E-4</v>
      </c>
    </row>
    <row r="290" spans="1:2" x14ac:dyDescent="0.25">
      <c r="A290" s="12">
        <f t="shared" si="4"/>
        <v>43753</v>
      </c>
      <c r="B290">
        <v>9.8999999999999739E-4</v>
      </c>
    </row>
    <row r="291" spans="1:2" x14ac:dyDescent="0.25">
      <c r="A291" s="12">
        <f t="shared" si="4"/>
        <v>43754</v>
      </c>
      <c r="B291">
        <v>9.7999999999999737E-4</v>
      </c>
    </row>
    <row r="292" spans="1:2" x14ac:dyDescent="0.25">
      <c r="A292" s="12">
        <f t="shared" si="4"/>
        <v>43755</v>
      </c>
      <c r="B292">
        <v>9.6999999999999734E-4</v>
      </c>
    </row>
    <row r="293" spans="1:2" x14ac:dyDescent="0.25">
      <c r="A293" s="12">
        <f t="shared" si="4"/>
        <v>43756</v>
      </c>
      <c r="B293">
        <v>9.5999999999999731E-4</v>
      </c>
    </row>
    <row r="294" spans="1:2" x14ac:dyDescent="0.25">
      <c r="A294" s="12">
        <f t="shared" si="4"/>
        <v>43757</v>
      </c>
      <c r="B294">
        <v>9.4999999999999729E-4</v>
      </c>
    </row>
    <row r="295" spans="1:2" x14ac:dyDescent="0.25">
      <c r="A295" s="12">
        <f t="shared" si="4"/>
        <v>43758</v>
      </c>
      <c r="B295">
        <v>9.3999999999999726E-4</v>
      </c>
    </row>
    <row r="296" spans="1:2" x14ac:dyDescent="0.25">
      <c r="A296" s="12">
        <f t="shared" si="4"/>
        <v>43759</v>
      </c>
      <c r="B296">
        <v>9.1999999999999721E-4</v>
      </c>
    </row>
    <row r="297" spans="1:2" x14ac:dyDescent="0.25">
      <c r="A297" s="12">
        <f t="shared" si="4"/>
        <v>43760</v>
      </c>
      <c r="B297">
        <v>8.9999999999999716E-4</v>
      </c>
    </row>
    <row r="298" spans="1:2" x14ac:dyDescent="0.25">
      <c r="A298" s="12">
        <f t="shared" si="4"/>
        <v>43761</v>
      </c>
      <c r="B298">
        <v>8.799999999999971E-4</v>
      </c>
    </row>
    <row r="299" spans="1:2" x14ac:dyDescent="0.25">
      <c r="A299" s="12">
        <f t="shared" si="4"/>
        <v>43762</v>
      </c>
      <c r="B299">
        <v>8.5999999999999705E-4</v>
      </c>
    </row>
    <row r="300" spans="1:2" x14ac:dyDescent="0.25">
      <c r="A300" s="12">
        <f t="shared" si="4"/>
        <v>43763</v>
      </c>
      <c r="B300">
        <v>8.39999999999997E-4</v>
      </c>
    </row>
    <row r="301" spans="1:2" x14ac:dyDescent="0.25">
      <c r="A301" s="12">
        <f t="shared" si="4"/>
        <v>43764</v>
      </c>
      <c r="B301">
        <v>8.1999999999999695E-4</v>
      </c>
    </row>
    <row r="302" spans="1:2" x14ac:dyDescent="0.25">
      <c r="A302" s="12">
        <f t="shared" si="4"/>
        <v>43765</v>
      </c>
      <c r="B302">
        <v>7.8999999999999698E-4</v>
      </c>
    </row>
    <row r="303" spans="1:2" x14ac:dyDescent="0.25">
      <c r="A303" s="12">
        <f t="shared" si="4"/>
        <v>43766</v>
      </c>
      <c r="B303">
        <v>7.5999999999999701E-4</v>
      </c>
    </row>
    <row r="304" spans="1:2" x14ac:dyDescent="0.25">
      <c r="A304" s="12">
        <f t="shared" si="4"/>
        <v>43767</v>
      </c>
      <c r="B304">
        <v>7.2999999999999704E-4</v>
      </c>
    </row>
    <row r="305" spans="1:2" x14ac:dyDescent="0.25">
      <c r="A305" s="12">
        <f t="shared" si="4"/>
        <v>43768</v>
      </c>
      <c r="B305">
        <v>6.9999999999999707E-4</v>
      </c>
    </row>
    <row r="306" spans="1:2" x14ac:dyDescent="0.25">
      <c r="A306" s="12">
        <f t="shared" si="4"/>
        <v>43769</v>
      </c>
      <c r="B306">
        <v>6.699999999999971E-4</v>
      </c>
    </row>
    <row r="307" spans="1:2" x14ac:dyDescent="0.25">
      <c r="A307" s="12">
        <f t="shared" si="4"/>
        <v>43770</v>
      </c>
      <c r="B307">
        <v>6.3999999999999713E-4</v>
      </c>
    </row>
    <row r="308" spans="1:2" x14ac:dyDescent="0.25">
      <c r="A308" s="12">
        <f t="shared" si="4"/>
        <v>43771</v>
      </c>
      <c r="B308">
        <v>6.0999999999999715E-4</v>
      </c>
    </row>
    <row r="309" spans="1:2" x14ac:dyDescent="0.25">
      <c r="A309" s="12">
        <f t="shared" si="4"/>
        <v>43772</v>
      </c>
      <c r="B309">
        <v>5.7999999999999718E-4</v>
      </c>
    </row>
    <row r="310" spans="1:2" x14ac:dyDescent="0.25">
      <c r="A310" s="12">
        <f t="shared" si="4"/>
        <v>43773</v>
      </c>
      <c r="B310">
        <v>5.4999999999999721E-4</v>
      </c>
    </row>
    <row r="311" spans="1:2" x14ac:dyDescent="0.25">
      <c r="A311" s="12">
        <f t="shared" si="4"/>
        <v>43774</v>
      </c>
      <c r="B311">
        <v>5.1999999999999724E-4</v>
      </c>
    </row>
    <row r="312" spans="1:2" x14ac:dyDescent="0.25">
      <c r="A312" s="12">
        <f t="shared" si="4"/>
        <v>43775</v>
      </c>
      <c r="B312">
        <v>4.7999999999999725E-4</v>
      </c>
    </row>
    <row r="313" spans="1:2" x14ac:dyDescent="0.25">
      <c r="A313" s="12">
        <f t="shared" si="4"/>
        <v>43776</v>
      </c>
      <c r="B313">
        <v>4.3999999999999725E-4</v>
      </c>
    </row>
    <row r="314" spans="1:2" x14ac:dyDescent="0.25">
      <c r="A314" s="12">
        <f t="shared" si="4"/>
        <v>43777</v>
      </c>
      <c r="B314">
        <v>3.9999999999999725E-4</v>
      </c>
    </row>
    <row r="315" spans="1:2" x14ac:dyDescent="0.25">
      <c r="A315" s="12">
        <f t="shared" si="4"/>
        <v>43778</v>
      </c>
      <c r="B315">
        <v>3.5999999999999726E-4</v>
      </c>
    </row>
    <row r="316" spans="1:2" x14ac:dyDescent="0.25">
      <c r="A316" s="12">
        <f t="shared" si="4"/>
        <v>43779</v>
      </c>
      <c r="B316">
        <v>3.1999999999999726E-4</v>
      </c>
    </row>
    <row r="317" spans="1:2" x14ac:dyDescent="0.25">
      <c r="A317" s="12">
        <f t="shared" si="4"/>
        <v>43780</v>
      </c>
      <c r="B317">
        <v>2.7999999999999726E-4</v>
      </c>
    </row>
    <row r="318" spans="1:2" x14ac:dyDescent="0.25">
      <c r="A318" s="12">
        <f t="shared" si="4"/>
        <v>43781</v>
      </c>
      <c r="B318">
        <v>2.3999999999999727E-4</v>
      </c>
    </row>
    <row r="319" spans="1:2" x14ac:dyDescent="0.25">
      <c r="A319" s="12">
        <f t="shared" si="4"/>
        <v>43782</v>
      </c>
      <c r="B319">
        <v>1.9999999999999727E-4</v>
      </c>
    </row>
    <row r="320" spans="1:2" x14ac:dyDescent="0.25">
      <c r="A320" s="12">
        <f t="shared" si="4"/>
        <v>43783</v>
      </c>
      <c r="B320">
        <v>1.5999999999999728E-4</v>
      </c>
    </row>
    <row r="321" spans="1:2" x14ac:dyDescent="0.25">
      <c r="A321" s="12">
        <f t="shared" si="4"/>
        <v>43784</v>
      </c>
      <c r="B321">
        <v>1.1999999999999728E-4</v>
      </c>
    </row>
    <row r="322" spans="1:2" x14ac:dyDescent="0.25">
      <c r="A322" s="12">
        <f t="shared" si="4"/>
        <v>43785</v>
      </c>
      <c r="B322">
        <v>7.9999999999997282E-5</v>
      </c>
    </row>
    <row r="323" spans="1:2" x14ac:dyDescent="0.25">
      <c r="A323" s="12">
        <f t="shared" si="4"/>
        <v>43786</v>
      </c>
      <c r="B323">
        <v>3.9999999999997279E-5</v>
      </c>
    </row>
    <row r="324" spans="1:2" x14ac:dyDescent="0.25">
      <c r="A324" s="12">
        <f t="shared" si="4"/>
        <v>43787</v>
      </c>
      <c r="B324">
        <v>-2.7240579583698299E-18</v>
      </c>
    </row>
    <row r="325" spans="1:2" x14ac:dyDescent="0.25">
      <c r="A325" s="12">
        <f t="shared" ref="A325:A367" si="5">A324+1</f>
        <v>43788</v>
      </c>
      <c r="B325">
        <v>0</v>
      </c>
    </row>
    <row r="326" spans="1:2" x14ac:dyDescent="0.25">
      <c r="A326" s="12">
        <f t="shared" si="5"/>
        <v>43789</v>
      </c>
      <c r="B326">
        <v>0</v>
      </c>
    </row>
    <row r="327" spans="1:2" x14ac:dyDescent="0.25">
      <c r="A327" s="12">
        <f t="shared" si="5"/>
        <v>43790</v>
      </c>
      <c r="B327">
        <v>0</v>
      </c>
    </row>
    <row r="328" spans="1:2" x14ac:dyDescent="0.25">
      <c r="A328" s="12">
        <f t="shared" si="5"/>
        <v>43791</v>
      </c>
      <c r="B328">
        <v>0</v>
      </c>
    </row>
    <row r="329" spans="1:2" x14ac:dyDescent="0.25">
      <c r="A329" s="12">
        <f t="shared" si="5"/>
        <v>43792</v>
      </c>
      <c r="B329">
        <v>0</v>
      </c>
    </row>
    <row r="330" spans="1:2" x14ac:dyDescent="0.25">
      <c r="A330" s="12">
        <f t="shared" si="5"/>
        <v>43793</v>
      </c>
      <c r="B330">
        <v>0</v>
      </c>
    </row>
    <row r="331" spans="1:2" x14ac:dyDescent="0.25">
      <c r="A331" s="12">
        <f t="shared" si="5"/>
        <v>43794</v>
      </c>
      <c r="B331">
        <v>0</v>
      </c>
    </row>
    <row r="332" spans="1:2" x14ac:dyDescent="0.25">
      <c r="A332" s="12">
        <f t="shared" si="5"/>
        <v>43795</v>
      </c>
      <c r="B332">
        <v>0</v>
      </c>
    </row>
    <row r="333" spans="1:2" x14ac:dyDescent="0.25">
      <c r="A333" s="12">
        <f t="shared" si="5"/>
        <v>43796</v>
      </c>
      <c r="B333">
        <v>0</v>
      </c>
    </row>
    <row r="334" spans="1:2" x14ac:dyDescent="0.25">
      <c r="A334" s="12">
        <f t="shared" si="5"/>
        <v>43797</v>
      </c>
      <c r="B334">
        <v>0</v>
      </c>
    </row>
    <row r="335" spans="1:2" x14ac:dyDescent="0.25">
      <c r="A335" s="12">
        <f t="shared" si="5"/>
        <v>43798</v>
      </c>
      <c r="B335">
        <v>0</v>
      </c>
    </row>
    <row r="336" spans="1:2" x14ac:dyDescent="0.25">
      <c r="A336" s="12">
        <f t="shared" si="5"/>
        <v>43799</v>
      </c>
      <c r="B336">
        <v>0</v>
      </c>
    </row>
    <row r="337" spans="1:2" x14ac:dyDescent="0.25">
      <c r="A337" s="12">
        <f t="shared" si="5"/>
        <v>43800</v>
      </c>
      <c r="B337">
        <v>0</v>
      </c>
    </row>
    <row r="338" spans="1:2" x14ac:dyDescent="0.25">
      <c r="A338" s="12">
        <f t="shared" si="5"/>
        <v>43801</v>
      </c>
      <c r="B338">
        <v>0</v>
      </c>
    </row>
    <row r="339" spans="1:2" x14ac:dyDescent="0.25">
      <c r="A339" s="12">
        <f t="shared" si="5"/>
        <v>43802</v>
      </c>
      <c r="B339">
        <v>0</v>
      </c>
    </row>
    <row r="340" spans="1:2" x14ac:dyDescent="0.25">
      <c r="A340" s="12">
        <f t="shared" si="5"/>
        <v>43803</v>
      </c>
      <c r="B340">
        <v>0</v>
      </c>
    </row>
    <row r="341" spans="1:2" x14ac:dyDescent="0.25">
      <c r="A341" s="12">
        <f t="shared" si="5"/>
        <v>43804</v>
      </c>
      <c r="B341">
        <v>0</v>
      </c>
    </row>
    <row r="342" spans="1:2" x14ac:dyDescent="0.25">
      <c r="A342" s="12">
        <f t="shared" si="5"/>
        <v>43805</v>
      </c>
      <c r="B342">
        <v>0</v>
      </c>
    </row>
    <row r="343" spans="1:2" x14ac:dyDescent="0.25">
      <c r="A343" s="12">
        <f t="shared" si="5"/>
        <v>43806</v>
      </c>
      <c r="B343">
        <v>0</v>
      </c>
    </row>
    <row r="344" spans="1:2" x14ac:dyDescent="0.25">
      <c r="A344" s="12">
        <f t="shared" si="5"/>
        <v>43807</v>
      </c>
      <c r="B344">
        <v>0</v>
      </c>
    </row>
    <row r="345" spans="1:2" x14ac:dyDescent="0.25">
      <c r="A345" s="12">
        <f t="shared" si="5"/>
        <v>43808</v>
      </c>
      <c r="B345">
        <v>0</v>
      </c>
    </row>
    <row r="346" spans="1:2" x14ac:dyDescent="0.25">
      <c r="A346" s="12">
        <f t="shared" si="5"/>
        <v>43809</v>
      </c>
      <c r="B346">
        <v>0</v>
      </c>
    </row>
    <row r="347" spans="1:2" x14ac:dyDescent="0.25">
      <c r="A347" s="12">
        <f t="shared" si="5"/>
        <v>43810</v>
      </c>
      <c r="B347">
        <v>0</v>
      </c>
    </row>
    <row r="348" spans="1:2" x14ac:dyDescent="0.25">
      <c r="A348" s="12">
        <f t="shared" si="5"/>
        <v>43811</v>
      </c>
      <c r="B348">
        <v>0</v>
      </c>
    </row>
    <row r="349" spans="1:2" x14ac:dyDescent="0.25">
      <c r="A349" s="12">
        <f t="shared" si="5"/>
        <v>43812</v>
      </c>
      <c r="B349">
        <v>0</v>
      </c>
    </row>
    <row r="350" spans="1:2" x14ac:dyDescent="0.25">
      <c r="A350" s="12">
        <f t="shared" si="5"/>
        <v>43813</v>
      </c>
      <c r="B350">
        <v>0</v>
      </c>
    </row>
    <row r="351" spans="1:2" x14ac:dyDescent="0.25">
      <c r="A351" s="12">
        <f t="shared" si="5"/>
        <v>43814</v>
      </c>
      <c r="B351">
        <v>0</v>
      </c>
    </row>
    <row r="352" spans="1:2" x14ac:dyDescent="0.25">
      <c r="A352" s="12">
        <f t="shared" si="5"/>
        <v>43815</v>
      </c>
      <c r="B352">
        <v>0</v>
      </c>
    </row>
    <row r="353" spans="1:2" x14ac:dyDescent="0.25">
      <c r="A353" s="12">
        <f t="shared" si="5"/>
        <v>43816</v>
      </c>
      <c r="B353">
        <v>0</v>
      </c>
    </row>
    <row r="354" spans="1:2" x14ac:dyDescent="0.25">
      <c r="A354" s="12">
        <f t="shared" si="5"/>
        <v>43817</v>
      </c>
      <c r="B354">
        <v>0</v>
      </c>
    </row>
    <row r="355" spans="1:2" x14ac:dyDescent="0.25">
      <c r="A355" s="12">
        <f t="shared" si="5"/>
        <v>43818</v>
      </c>
      <c r="B355">
        <v>0</v>
      </c>
    </row>
    <row r="356" spans="1:2" x14ac:dyDescent="0.25">
      <c r="A356" s="12">
        <f t="shared" si="5"/>
        <v>43819</v>
      </c>
      <c r="B356">
        <v>0</v>
      </c>
    </row>
    <row r="357" spans="1:2" x14ac:dyDescent="0.25">
      <c r="A357" s="12">
        <f t="shared" si="5"/>
        <v>43820</v>
      </c>
      <c r="B357">
        <v>0</v>
      </c>
    </row>
    <row r="358" spans="1:2" x14ac:dyDescent="0.25">
      <c r="A358" s="12">
        <f t="shared" si="5"/>
        <v>43821</v>
      </c>
      <c r="B358">
        <v>0</v>
      </c>
    </row>
    <row r="359" spans="1:2" x14ac:dyDescent="0.25">
      <c r="A359" s="12">
        <f t="shared" si="5"/>
        <v>43822</v>
      </c>
      <c r="B359">
        <v>0</v>
      </c>
    </row>
    <row r="360" spans="1:2" x14ac:dyDescent="0.25">
      <c r="A360" s="12">
        <f t="shared" si="5"/>
        <v>43823</v>
      </c>
      <c r="B360">
        <v>0</v>
      </c>
    </row>
    <row r="361" spans="1:2" x14ac:dyDescent="0.25">
      <c r="A361" s="12">
        <f t="shared" si="5"/>
        <v>43824</v>
      </c>
      <c r="B361">
        <v>0</v>
      </c>
    </row>
    <row r="362" spans="1:2" x14ac:dyDescent="0.25">
      <c r="A362" s="12">
        <f t="shared" si="5"/>
        <v>43825</v>
      </c>
      <c r="B362">
        <v>0</v>
      </c>
    </row>
    <row r="363" spans="1:2" x14ac:dyDescent="0.25">
      <c r="A363" s="12">
        <f t="shared" si="5"/>
        <v>43826</v>
      </c>
      <c r="B363">
        <v>0</v>
      </c>
    </row>
    <row r="364" spans="1:2" x14ac:dyDescent="0.25">
      <c r="A364" s="12">
        <f t="shared" si="5"/>
        <v>43827</v>
      </c>
      <c r="B364">
        <v>0</v>
      </c>
    </row>
    <row r="365" spans="1:2" x14ac:dyDescent="0.25">
      <c r="A365" s="12">
        <f t="shared" si="5"/>
        <v>43828</v>
      </c>
      <c r="B365">
        <v>0</v>
      </c>
    </row>
    <row r="366" spans="1:2" x14ac:dyDescent="0.25">
      <c r="A366" s="12">
        <f t="shared" si="5"/>
        <v>43829</v>
      </c>
      <c r="B366">
        <v>0</v>
      </c>
    </row>
    <row r="367" spans="1:2" x14ac:dyDescent="0.25">
      <c r="A367" s="12">
        <f t="shared" si="5"/>
        <v>43830</v>
      </c>
      <c r="B3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</vt:lpstr>
      <vt:lpstr>stagedischarge</vt:lpstr>
      <vt:lpstr>defaultmethod</vt:lpstr>
      <vt:lpstr>evapfactors</vt:lpstr>
      <vt:lpstr>evap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Thompson</dc:creator>
  <cp:lastModifiedBy>Thompson, Kelley</cp:lastModifiedBy>
  <dcterms:created xsi:type="dcterms:W3CDTF">2019-06-10T19:27:07Z</dcterms:created>
  <dcterms:modified xsi:type="dcterms:W3CDTF">2021-11-11T17:29:12Z</dcterms:modified>
</cp:coreProperties>
</file>