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5263438/Codes/Code Python/Share with Joule/"/>
    </mc:Choice>
  </mc:AlternateContent>
  <xr:revisionPtr revIDLastSave="0" documentId="13_ncr:1_{2EFC0126-FC21-A74B-88F3-547BF9802D6C}" xr6:coauthVersionLast="47" xr6:coauthVersionMax="47" xr10:uidLastSave="{00000000-0000-0000-0000-000000000000}"/>
  <bookViews>
    <workbookView xWindow="2700" yWindow="880" windowWidth="24900" windowHeight="18460" firstSheet="4" activeTab="9" xr2:uid="{3B7AC3AD-F491-5542-A882-B648A46824FD}"/>
  </bookViews>
  <sheets>
    <sheet name="Suppliers" sheetId="1" r:id="rId1"/>
    <sheet name="Potential_Manufacturer" sheetId="4" r:id="rId2"/>
    <sheet name="National_Market" sheetId="5" r:id="rId3"/>
    <sheet name="International_Market" sheetId="17" r:id="rId4"/>
    <sheet name="Policy" sheetId="18" r:id="rId5"/>
    <sheet name="TransportationConversion" sheetId="12" r:id="rId6"/>
    <sheet name="International_Transportation_In" sheetId="8" r:id="rId7"/>
    <sheet name="ImportModule" sheetId="15" r:id="rId8"/>
    <sheet name="National_Transportation_Out" sheetId="11" r:id="rId9"/>
    <sheet name="National_Transportation_In" sheetId="3" r:id="rId10"/>
    <sheet name="Logistic_Fixed_Cost" sheetId="16" r:id="rId11"/>
  </sheets>
  <definedNames>
    <definedName name="_xlnm._FilterDatabase" localSheetId="7" hidden="1">ImportModule!$A$1:$M$16</definedName>
    <definedName name="_xlnm._FilterDatabase" localSheetId="9" hidden="1">National_Transportation_In!$A$1:$N$12</definedName>
    <definedName name="_xlnm._FilterDatabase" localSheetId="8" hidden="1">National_Transportation_Out!$A$1:$M$16</definedName>
    <definedName name="_xlnm._FilterDatabase" localSheetId="0" hidden="1">Suppliers!$A$1:$V$64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3" i="1"/>
  <c r="C2" i="1"/>
  <c r="K2" i="3"/>
  <c r="L2" i="3"/>
  <c r="B3" i="12"/>
  <c r="B4" i="12"/>
  <c r="B5" i="12"/>
  <c r="B6" i="12"/>
  <c r="B7" i="12"/>
  <c r="B8" i="12"/>
  <c r="B9" i="12"/>
  <c r="B10" i="12"/>
  <c r="B2" i="12"/>
  <c r="H3" i="12"/>
  <c r="G3" i="12"/>
  <c r="H4" i="12"/>
  <c r="H5" i="12"/>
  <c r="H6" i="12"/>
  <c r="H7" i="12"/>
  <c r="H8" i="12"/>
  <c r="H9" i="12"/>
  <c r="H10" i="12"/>
  <c r="G4" i="12"/>
  <c r="G5" i="12"/>
  <c r="G6" i="12"/>
  <c r="G7" i="12"/>
  <c r="G8" i="12"/>
  <c r="G9" i="12"/>
  <c r="G10" i="12"/>
  <c r="H2" i="12"/>
  <c r="G2" i="12"/>
  <c r="M9" i="1"/>
  <c r="M16" i="1"/>
  <c r="M25" i="1"/>
  <c r="M30" i="1"/>
  <c r="M37" i="1"/>
  <c r="M44" i="1"/>
  <c r="M51" i="1"/>
  <c r="M58" i="1"/>
  <c r="M2" i="1"/>
  <c r="N28" i="8" l="1" a="1"/>
  <c r="N28" i="8" s="1"/>
  <c r="N30" i="8" a="1"/>
  <c r="N30" i="8" s="1"/>
  <c r="N29" i="8" a="1"/>
  <c r="N29" i="8" s="1"/>
  <c r="N25" i="8" a="1"/>
  <c r="N25" i="8" s="1"/>
  <c r="N27" i="8" a="1"/>
  <c r="N27" i="8" s="1"/>
  <c r="N20" i="8" a="1"/>
  <c r="N20" i="8" s="1"/>
  <c r="N21" i="8" a="1"/>
  <c r="N21" i="8" s="1"/>
  <c r="N23" i="8" a="1"/>
  <c r="N23" i="8" s="1"/>
  <c r="N24" i="8" a="1"/>
  <c r="N24" i="8" s="1"/>
  <c r="N22" i="8" a="1"/>
  <c r="N22" i="8" s="1"/>
  <c r="N26" i="8" a="1"/>
  <c r="N26" i="8" s="1"/>
  <c r="D2" i="4" l="1"/>
  <c r="U40" i="8" l="1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M59" i="1" l="1"/>
  <c r="J59" i="1"/>
  <c r="M52" i="1"/>
  <c r="J52" i="1"/>
  <c r="M45" i="1"/>
  <c r="J45" i="1"/>
  <c r="M38" i="1"/>
  <c r="J38" i="1"/>
  <c r="M31" i="1"/>
  <c r="J31" i="1"/>
  <c r="M26" i="1"/>
  <c r="J26" i="1"/>
  <c r="M17" i="1"/>
  <c r="J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7" i="1"/>
  <c r="J28" i="1"/>
  <c r="J29" i="1"/>
  <c r="J30" i="1"/>
  <c r="J32" i="1"/>
  <c r="J33" i="1"/>
  <c r="J34" i="1"/>
  <c r="J35" i="1"/>
  <c r="J36" i="1"/>
  <c r="J37" i="1"/>
  <c r="J39" i="1"/>
  <c r="J40" i="1"/>
  <c r="J41" i="1"/>
  <c r="J42" i="1"/>
  <c r="J43" i="1"/>
  <c r="J44" i="1"/>
  <c r="J46" i="1"/>
  <c r="J47" i="1"/>
  <c r="J48" i="1"/>
  <c r="J49" i="1"/>
  <c r="J50" i="1"/>
  <c r="J51" i="1"/>
  <c r="J53" i="1"/>
  <c r="J54" i="1"/>
  <c r="J55" i="1"/>
  <c r="J56" i="1"/>
  <c r="J57" i="1"/>
  <c r="J58" i="1"/>
  <c r="J60" i="1"/>
  <c r="J61" i="1"/>
  <c r="J62" i="1"/>
  <c r="J63" i="1"/>
  <c r="J64" i="1"/>
  <c r="J2" i="1"/>
  <c r="M15" i="1"/>
  <c r="M8" i="1"/>
  <c r="M40" i="1" l="1"/>
  <c r="N6" i="8" s="1" a="1"/>
  <c r="N6" i="8" s="1"/>
  <c r="M61" i="1"/>
  <c r="N10" i="8" s="1" a="1"/>
  <c r="N10" i="8" s="1"/>
  <c r="M54" i="1"/>
  <c r="N9" i="8" s="1" a="1"/>
  <c r="N9" i="8" s="1"/>
  <c r="M28" i="1"/>
  <c r="N55" i="8" s="1" a="1"/>
  <c r="N55" i="8" s="1"/>
  <c r="M63" i="1"/>
  <c r="N57" i="8" s="1" a="1"/>
  <c r="N57" i="8" s="1"/>
  <c r="G57" i="8" s="1"/>
  <c r="H57" i="8" s="1"/>
  <c r="M56" i="1"/>
  <c r="N56" i="8" s="1" a="1"/>
  <c r="N56" i="8" s="1"/>
  <c r="M39" i="1"/>
  <c r="N15" i="8" s="1" a="1"/>
  <c r="N15" i="8" s="1"/>
  <c r="M53" i="1"/>
  <c r="N18" i="8" s="1" a="1"/>
  <c r="N18" i="8" s="1"/>
  <c r="M60" i="1"/>
  <c r="N19" i="8" s="1" a="1"/>
  <c r="N19" i="8" s="1"/>
  <c r="M5" i="1"/>
  <c r="N31" i="8" s="1" a="1"/>
  <c r="N31" i="8" s="1"/>
  <c r="M55" i="1"/>
  <c r="N38" i="8" s="1" a="1"/>
  <c r="N38" i="8" s="1"/>
  <c r="M62" i="1"/>
  <c r="N39" i="8" s="1" a="1"/>
  <c r="N39" i="8" s="1"/>
  <c r="M50" i="1"/>
  <c r="N45" i="8" s="1" a="1"/>
  <c r="N45" i="8" s="1"/>
  <c r="M64" i="1"/>
  <c r="N48" i="8" s="1" a="1"/>
  <c r="N48" i="8" s="1"/>
  <c r="M57" i="1"/>
  <c r="N47" i="8" s="1" a="1"/>
  <c r="N47" i="8" s="1"/>
  <c r="M42" i="1"/>
  <c r="N53" i="8" s="1" a="1"/>
  <c r="N53" i="8" s="1"/>
  <c r="M10" i="1"/>
  <c r="M21" i="1"/>
  <c r="N51" i="8" s="1" a="1"/>
  <c r="N51" i="8" s="1"/>
  <c r="M33" i="1"/>
  <c r="N5" i="8" s="1" a="1"/>
  <c r="N5" i="8" s="1"/>
  <c r="M43" i="1"/>
  <c r="N44" i="8" s="1" a="1"/>
  <c r="N44" i="8" s="1"/>
  <c r="M7" i="1"/>
  <c r="N40" i="8" s="1" a="1"/>
  <c r="N40" i="8" s="1"/>
  <c r="M20" i="1"/>
  <c r="N33" i="8" s="1" a="1"/>
  <c r="N33" i="8" s="1"/>
  <c r="M32" i="1"/>
  <c r="N14" i="8" s="1" a="1"/>
  <c r="N14" i="8" s="1"/>
  <c r="M34" i="1"/>
  <c r="N34" i="8" s="1" a="1"/>
  <c r="N34" i="8" s="1"/>
  <c r="M46" i="1"/>
  <c r="N16" i="8" s="1" a="1"/>
  <c r="N16" i="8" s="1"/>
  <c r="M12" i="1"/>
  <c r="M23" i="1"/>
  <c r="N8" i="8" s="1" a="1"/>
  <c r="N8" i="8" s="1"/>
  <c r="M35" i="1"/>
  <c r="N52" i="8" s="1" a="1"/>
  <c r="N52" i="8" s="1"/>
  <c r="M47" i="1"/>
  <c r="N7" i="8" s="1" a="1"/>
  <c r="N7" i="8" s="1"/>
  <c r="M11" i="1"/>
  <c r="M22" i="1"/>
  <c r="N42" i="8" s="1" a="1"/>
  <c r="N42" i="8" s="1"/>
  <c r="M3" i="1"/>
  <c r="N11" i="8" s="1" a="1"/>
  <c r="N11" i="8" s="1"/>
  <c r="M13" i="1"/>
  <c r="M24" i="1"/>
  <c r="N17" i="8" s="1" a="1"/>
  <c r="N17" i="8" s="1"/>
  <c r="M36" i="1"/>
  <c r="N43" i="8" s="1" a="1"/>
  <c r="N43" i="8" s="1"/>
  <c r="M48" i="1"/>
  <c r="N36" i="8" s="1" a="1"/>
  <c r="N36" i="8" s="1"/>
  <c r="M6" i="1"/>
  <c r="N49" i="8" s="1" a="1"/>
  <c r="N49" i="8" s="1"/>
  <c r="M19" i="1"/>
  <c r="N13" i="8" s="1" a="1"/>
  <c r="N13" i="8" s="1"/>
  <c r="M29" i="1"/>
  <c r="N46" i="8" s="1" a="1"/>
  <c r="N46" i="8" s="1"/>
  <c r="M41" i="1"/>
  <c r="N35" i="8" s="1" a="1"/>
  <c r="N35" i="8" s="1"/>
  <c r="M4" i="1"/>
  <c r="N2" i="8" s="1" a="1"/>
  <c r="N2" i="8" s="1"/>
  <c r="M14" i="1"/>
  <c r="M27" i="1"/>
  <c r="N37" i="8" s="1" a="1"/>
  <c r="N37" i="8" s="1"/>
  <c r="M49" i="1"/>
  <c r="N54" i="8" s="1" a="1"/>
  <c r="N54" i="8" s="1"/>
  <c r="G54" i="8" s="1"/>
  <c r="H54" i="8" s="1"/>
  <c r="M18" i="1"/>
  <c r="N4" i="8" s="1" a="1"/>
  <c r="N4" i="8" s="1"/>
  <c r="H53" i="8" l="1"/>
  <c r="G53" i="8"/>
  <c r="H56" i="8"/>
  <c r="G56" i="8"/>
  <c r="H49" i="8"/>
  <c r="G49" i="8"/>
  <c r="H52" i="8"/>
  <c r="G52" i="8"/>
  <c r="H55" i="8"/>
  <c r="G55" i="8"/>
  <c r="G51" i="8"/>
  <c r="H51" i="8"/>
  <c r="N41" i="8" a="1"/>
  <c r="N41" i="8" s="1"/>
  <c r="N3" i="8" a="1"/>
  <c r="N3" i="8" s="1"/>
  <c r="N50" i="8" a="1"/>
  <c r="N50" i="8" s="1"/>
  <c r="G50" i="8" s="1"/>
  <c r="H50" i="8" s="1"/>
  <c r="N32" i="8" a="1"/>
  <c r="N32" i="8" s="1"/>
  <c r="N12" i="8" a="1"/>
  <c r="N12" i="8" s="1"/>
  <c r="L3" i="3" l="1"/>
  <c r="L4" i="3"/>
  <c r="L5" i="3"/>
  <c r="L6" i="3"/>
  <c r="L7" i="3"/>
  <c r="L8" i="3"/>
  <c r="L9" i="3"/>
  <c r="L10" i="3"/>
  <c r="L11" i="3"/>
  <c r="L12" i="3"/>
  <c r="K3" i="3"/>
  <c r="K4" i="3"/>
  <c r="K5" i="3"/>
  <c r="K6" i="3"/>
  <c r="K7" i="3"/>
  <c r="K8" i="3"/>
  <c r="K9" i="3"/>
  <c r="K10" i="3"/>
  <c r="K11" i="3"/>
  <c r="K12" i="3"/>
  <c r="J2" i="11" l="1"/>
  <c r="K2" i="11"/>
  <c r="L2" i="11"/>
  <c r="M2" i="11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L2" i="15"/>
  <c r="M2" i="15"/>
  <c r="L3" i="15"/>
  <c r="M3" i="15"/>
  <c r="L4" i="15"/>
  <c r="M4" i="15"/>
  <c r="L5" i="15"/>
  <c r="M5" i="15"/>
  <c r="L6" i="15"/>
  <c r="M6" i="15"/>
  <c r="J7" i="15"/>
  <c r="L7" i="15"/>
  <c r="M7" i="15"/>
  <c r="L8" i="15"/>
  <c r="M8" i="15"/>
  <c r="L9" i="15"/>
  <c r="M9" i="15"/>
  <c r="L10" i="15"/>
  <c r="M10" i="15"/>
  <c r="L11" i="15"/>
  <c r="M11" i="15"/>
  <c r="L12" i="15"/>
  <c r="M12" i="15"/>
  <c r="L13" i="15"/>
  <c r="M13" i="15"/>
  <c r="L14" i="15"/>
  <c r="M14" i="15"/>
  <c r="L15" i="15"/>
  <c r="M15" i="15"/>
  <c r="L16" i="15"/>
  <c r="M16" i="15"/>
  <c r="J2" i="15"/>
  <c r="K7" i="15"/>
  <c r="M2" i="3"/>
  <c r="N2" i="3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K10" i="15" l="1"/>
  <c r="K5" i="15"/>
  <c r="K15" i="15"/>
  <c r="B2" i="4"/>
  <c r="J15" i="15"/>
  <c r="J10" i="15"/>
  <c r="J5" i="15"/>
  <c r="K3" i="15"/>
  <c r="K13" i="15"/>
  <c r="K8" i="15"/>
  <c r="J3" i="15"/>
  <c r="J13" i="15"/>
  <c r="K11" i="15"/>
  <c r="J8" i="15"/>
  <c r="K6" i="15"/>
  <c r="K16" i="15"/>
  <c r="J11" i="15"/>
  <c r="J6" i="15"/>
  <c r="J16" i="15"/>
  <c r="K14" i="15"/>
  <c r="K9" i="15"/>
  <c r="K4" i="15"/>
  <c r="J14" i="15"/>
  <c r="K12" i="15"/>
  <c r="J9" i="15"/>
  <c r="J4" i="15"/>
  <c r="K2" i="15"/>
  <c r="J12" i="15"/>
  <c r="C2" i="4" l="1"/>
  <c r="A2" i="12" l="1" a="1"/>
  <c r="A2" i="12" s="1"/>
  <c r="G11" i="8" l="1"/>
  <c r="H11" i="8" s="1"/>
  <c r="G43" i="8"/>
  <c r="H43" i="8" s="1"/>
  <c r="G36" i="8"/>
  <c r="H36" i="8" s="1"/>
  <c r="G37" i="8"/>
  <c r="H37" i="8" s="1"/>
  <c r="G40" i="8"/>
  <c r="H40" i="8" s="1"/>
  <c r="G33" i="8"/>
  <c r="H33" i="8" s="1"/>
  <c r="G46" i="8"/>
  <c r="H46" i="8" s="1"/>
  <c r="G32" i="8"/>
  <c r="H32" i="8" s="1"/>
  <c r="G15" i="8"/>
  <c r="H15" i="8" s="1"/>
  <c r="G9" i="8"/>
  <c r="H9" i="8" s="1"/>
  <c r="G2" i="8"/>
  <c r="H2" i="8" s="1"/>
  <c r="G18" i="8"/>
  <c r="H18" i="8" s="1"/>
  <c r="G10" i="8"/>
  <c r="H10" i="8" s="1"/>
  <c r="G13" i="8"/>
  <c r="H13" i="8" s="1"/>
  <c r="G19" i="8"/>
  <c r="H19" i="8" s="1"/>
  <c r="G8" i="8"/>
  <c r="H8" i="8" s="1"/>
  <c r="G16" i="8"/>
  <c r="H16" i="8" s="1"/>
  <c r="G6" i="8"/>
  <c r="H6" i="8" s="1"/>
  <c r="G3" i="8"/>
  <c r="H3" i="8" s="1"/>
  <c r="G29" i="8"/>
  <c r="H29" i="8" s="1"/>
  <c r="G25" i="8"/>
  <c r="H25" i="8" s="1"/>
  <c r="G30" i="8"/>
  <c r="H30" i="8" s="1"/>
  <c r="G17" i="8" l="1"/>
  <c r="H17" i="8"/>
  <c r="G28" i="8"/>
  <c r="H28" i="8"/>
  <c r="H27" i="8"/>
  <c r="G27" i="8"/>
  <c r="G7" i="8"/>
  <c r="H7" i="8"/>
  <c r="H12" i="8"/>
  <c r="G12" i="8"/>
  <c r="H26" i="8"/>
  <c r="G26" i="8"/>
  <c r="H24" i="8"/>
  <c r="G24" i="8"/>
  <c r="H23" i="8"/>
  <c r="G23" i="8"/>
  <c r="G39" i="8"/>
  <c r="H39" i="8"/>
  <c r="H47" i="8"/>
  <c r="G47" i="8"/>
  <c r="H44" i="8"/>
  <c r="G44" i="8"/>
  <c r="G45" i="8"/>
  <c r="H45" i="8"/>
  <c r="G34" i="8"/>
  <c r="H34" i="8"/>
  <c r="H35" i="8"/>
  <c r="G35" i="8"/>
  <c r="H48" i="8"/>
  <c r="G48" i="8"/>
  <c r="G14" i="8"/>
  <c r="H14" i="8"/>
  <c r="H4" i="8"/>
  <c r="G4" i="8"/>
  <c r="G38" i="8"/>
  <c r="H38" i="8"/>
  <c r="G20" i="8"/>
  <c r="H20" i="8"/>
  <c r="H5" i="8"/>
  <c r="G5" i="8"/>
  <c r="G41" i="8"/>
  <c r="H41" i="8"/>
  <c r="G42" i="8"/>
  <c r="H42" i="8"/>
  <c r="G31" i="8"/>
  <c r="H3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tc={6F8BA6E4-7B26-604D-AE15-C76C8E02EEDD}</author>
    <author>tc={EE43A8D2-AD1B-B448-8B60-65A35BDAB81A}</author>
  </authors>
  <commentList>
    <comment ref="F1" authorId="0" shapeId="0" xr:uid="{6F8BA6E4-7B26-604D-AE15-C76C8E02EEDD}">
      <text>
        <t>[Threaded comment]
Your version of Excel allows you to read this threaded comment; however, any edits to it will get removed if the file is opened in a newer version of Excel. Learn more: https://go.microsoft.com/fwlink/?linkid=870924
Comment:
    USD/Yearly</t>
      </text>
    </comment>
    <comment ref="O1" authorId="1" shapeId="0" xr:uid="{EE43A8D2-AD1B-B448-8B60-65A35BDAB81A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Cent/kWh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<sst xmlns="http://schemas.openxmlformats.org/spreadsheetml/2006/main" count="1053" uniqueCount="148">
  <si>
    <t>Capacity</t>
  </si>
  <si>
    <t>Aluminium</t>
  </si>
  <si>
    <t>Kg</t>
  </si>
  <si>
    <t>China</t>
  </si>
  <si>
    <t>Price</t>
  </si>
  <si>
    <t>Unit</t>
  </si>
  <si>
    <t>PriceUnit</t>
  </si>
  <si>
    <t>CapUnit</t>
  </si>
  <si>
    <t>LocLat</t>
  </si>
  <si>
    <t>LocLong</t>
  </si>
  <si>
    <t>Port</t>
  </si>
  <si>
    <t>Month</t>
  </si>
  <si>
    <t>Type</t>
  </si>
  <si>
    <t>Ship</t>
  </si>
  <si>
    <t>PriceRangeL</t>
  </si>
  <si>
    <t>PriceRangeH</t>
  </si>
  <si>
    <t>Suppliers_Name</t>
  </si>
  <si>
    <t>Product</t>
  </si>
  <si>
    <t>Taiwan</t>
  </si>
  <si>
    <t>Malaysia</t>
  </si>
  <si>
    <t>Cell</t>
  </si>
  <si>
    <t>Location_Name</t>
  </si>
  <si>
    <t>Module</t>
  </si>
  <si>
    <t>Demand</t>
  </si>
  <si>
    <t>DemandRangeH</t>
  </si>
  <si>
    <t>DemandRangeL</t>
  </si>
  <si>
    <t>Lat</t>
  </si>
  <si>
    <t>Long</t>
  </si>
  <si>
    <t>PortLat</t>
  </si>
  <si>
    <t>PortLong</t>
  </si>
  <si>
    <t>National_Market_Name</t>
  </si>
  <si>
    <t>Watt</t>
  </si>
  <si>
    <t>Fixed_Cost</t>
  </si>
  <si>
    <t>Number_of_Locations</t>
  </si>
  <si>
    <t>USD/Module</t>
  </si>
  <si>
    <t>JunctionBox</t>
  </si>
  <si>
    <t>USD/Kg</t>
  </si>
  <si>
    <t>USD/JunctionBox</t>
  </si>
  <si>
    <t>EVA</t>
  </si>
  <si>
    <t>No.</t>
  </si>
  <si>
    <t>USD/m2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</si>
  <si>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</si>
  <si>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</si>
  <si>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</si>
  <si>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</si>
  <si>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</si>
  <si>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</si>
  <si>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</si>
  <si>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</si>
  <si>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</si>
  <si>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</si>
  <si>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</si>
  <si>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</si>
  <si>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Backsheet</t>
  </si>
  <si>
    <t>Glass</t>
  </si>
  <si>
    <t>TabbingsStringingRibbons</t>
  </si>
  <si>
    <t>m2</t>
  </si>
  <si>
    <t>SealantPottingTapeStickers</t>
  </si>
  <si>
    <t>-</t>
  </si>
  <si>
    <t>OperatorsWage</t>
  </si>
  <si>
    <t>OperatorsWageRangeL</t>
  </si>
  <si>
    <t>OperatorsWageRangeH</t>
  </si>
  <si>
    <t>TechnicianWage</t>
  </si>
  <si>
    <t>TechnicianWageRangeL</t>
  </si>
  <si>
    <t>TechnicianWageRangeH</t>
  </si>
  <si>
    <t>SupervisorsWage</t>
  </si>
  <si>
    <t>SupervisorsWageRangeL</t>
  </si>
  <si>
    <t>SupervisorsWageRangeH</t>
  </si>
  <si>
    <t>ElectricityCost</t>
  </si>
  <si>
    <t>ElectricityCostRangeL</t>
  </si>
  <si>
    <t>ElectricityCostRangeH</t>
  </si>
  <si>
    <t>Location_Port_Name</t>
  </si>
  <si>
    <t>Train</t>
  </si>
  <si>
    <t>Truck</t>
  </si>
  <si>
    <t>Distance</t>
  </si>
  <si>
    <t>SLat</t>
  </si>
  <si>
    <t>SLong</t>
  </si>
  <si>
    <t>USD/40ft container</t>
  </si>
  <si>
    <t>USD/Cell</t>
  </si>
  <si>
    <t>40ft Container</t>
  </si>
  <si>
    <t>June</t>
  </si>
  <si>
    <t>$/KgKm</t>
  </si>
  <si>
    <t>LLat</t>
  </si>
  <si>
    <t>LLong</t>
  </si>
  <si>
    <t>MLat</t>
  </si>
  <si>
    <t>MLong</t>
  </si>
  <si>
    <t>$/Km.Module</t>
  </si>
  <si>
    <t>Capacity_Raw</t>
  </si>
  <si>
    <t>Usage in Module</t>
  </si>
  <si>
    <t>Terminal Handling Charges</t>
  </si>
  <si>
    <t>Bunker Adjustment Factor</t>
  </si>
  <si>
    <t>Inland Haulage Import</t>
  </si>
  <si>
    <t>Equipment Management Fee (EMF)</t>
  </si>
  <si>
    <t>Fuel Surcharge</t>
  </si>
  <si>
    <t>Documentation Fee</t>
  </si>
  <si>
    <t>Import Processing Charges</t>
  </si>
  <si>
    <t>Custom Clearance</t>
  </si>
  <si>
    <t>Other Costs (Port Additional, Carrier Security Charge, Freight Collection Fee, Security, lift on/lift off, …)</t>
  </si>
  <si>
    <t>Servise</t>
  </si>
  <si>
    <t>Cost</t>
  </si>
  <si>
    <t>CostRangeL</t>
  </si>
  <si>
    <t>CostRangeH</t>
  </si>
  <si>
    <t>Basic_Ocean_Freight</t>
  </si>
  <si>
    <t>Basic_Ocean_FreightRangeL</t>
  </si>
  <si>
    <t>Basic_Ocean_FreightRangeH</t>
  </si>
  <si>
    <t>Insurance</t>
  </si>
  <si>
    <t>Policy</t>
  </si>
  <si>
    <t>Value</t>
  </si>
  <si>
    <t>Module_Import_Tariff</t>
  </si>
  <si>
    <t>BoMs_Import_Tariff</t>
  </si>
  <si>
    <t>Tax</t>
  </si>
  <si>
    <t>Incentive_Module</t>
  </si>
  <si>
    <t>USD/Wp</t>
  </si>
  <si>
    <t>Incentive_CapEx</t>
  </si>
  <si>
    <t>International_Market_Name</t>
  </si>
  <si>
    <t>Japan</t>
  </si>
  <si>
    <t>Germany</t>
  </si>
  <si>
    <t>GST</t>
  </si>
  <si>
    <t>Preference_Factor</t>
  </si>
  <si>
    <t>Cell.No</t>
  </si>
  <si>
    <t>South Korea</t>
  </si>
  <si>
    <t>m3</t>
  </si>
  <si>
    <t>m4</t>
  </si>
  <si>
    <t>m5</t>
  </si>
  <si>
    <t>USD/m3</t>
  </si>
  <si>
    <t>USD/m4</t>
  </si>
  <si>
    <t>USD/m5</t>
  </si>
  <si>
    <t>Vietnam</t>
  </si>
  <si>
    <t>U.S.</t>
  </si>
  <si>
    <t>https://moverdb.com/freight-costs-australia/</t>
  </si>
  <si>
    <t>Module.No</t>
  </si>
  <si>
    <t>*4</t>
  </si>
  <si>
    <t>*6</t>
  </si>
  <si>
    <t>*5</t>
  </si>
  <si>
    <t>*7</t>
  </si>
  <si>
    <t>*8</t>
  </si>
  <si>
    <t>m</t>
  </si>
  <si>
    <t>mm</t>
  </si>
  <si>
    <t>Fixed</t>
  </si>
  <si>
    <t>HRange</t>
  </si>
  <si>
    <t>LRange</t>
  </si>
  <si>
    <t>California</t>
  </si>
  <si>
    <t>Cal1</t>
  </si>
  <si>
    <t>Cal2</t>
  </si>
  <si>
    <t>Cal3</t>
  </si>
  <si>
    <t>Cal4</t>
  </si>
  <si>
    <t>Cal5</t>
  </si>
  <si>
    <t>CalP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</si>
</sst>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4" fillId="0" borderId="0" xfId="0" applyFont="1"/>
    <xf numFmtId="164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9" fontId="0" fillId="0" borderId="0" xfId="1" applyFont="1"/>
    <xf numFmtId="2" fontId="0" fillId="0" borderId="0" xfId="1" applyNumberFormat="1" applyFont="1"/>
    <xf numFmtId="9" fontId="0" fillId="0" borderId="0" xfId="0" applyNumberFormat="1"/>
    <xf numFmtId="164" fontId="4" fillId="0" borderId="0" xfId="0" applyNumberFormat="1" applyFont="1"/>
    <xf numFmtId="8" fontId="4" fillId="0" borderId="0" xfId="0" applyNumberFormat="1" applyFont="1"/>
    <xf numFmtId="0" fontId="6" fillId="0" borderId="0" xfId="0" applyFont="1"/>
    <xf numFmtId="0" fontId="7" fillId="0" borderId="0" xfId="3"/>
    <xf numFmtId="44" fontId="0" fillId="0" borderId="0" xfId="2" applyFont="1"/>
  </cellXfs>
  <cellStyles count="4">
    <cellStyle name="Currency" xfId="2" builtinId="4"/>
    <cellStyle name="Hyperlink" xfId="3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hammad Dehghanimadvar" id="{3D638BA8-C599-ED4A-ACC1-E8360882E1CC}" userId="S::z5263438@ad.unsw.edu.au::738bf1ac-78ad-4f58-ad54-272afb7eea2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5-26T10:02:32.43" personId="{3D638BA8-C599-ED4A-ACC1-E8360882E1CC}" id="{6F8BA6E4-7B26-604D-AE15-C76C8E02EEDD}">
    <text>USD/Yearly</text>
  </threadedComment>
  <threadedComment ref="O1" dT="2021-05-26T10:12:33.80" personId="{3D638BA8-C599-ED4A-ACC1-E8360882E1CC}" id="{EE43A8D2-AD1B-B448-8B60-65A35BDAB81A}">
    <text>Cent/kWh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overdb.com/freight-costs-austral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B0C-7CA8-E143-ACF5-A8BEA036ABBA}">
  <sheetPr codeName="Sheet1"/>
  <dimension ref="A1:P64"/>
  <sheetViews>
    <sheetView zoomScaleNormal="110" workbookViewId="0">
      <selection activeCell="H2" sqref="H2:I64"/>
    </sheetView>
  </sheetViews>
  <sheetFormatPr baseColWidth="10" defaultRowHeight="16" x14ac:dyDescent="0.2"/>
  <cols>
    <col min="1" max="1" width="17.33203125" bestFit="1" customWidth="1"/>
    <col min="2" max="2" width="12.6640625" customWidth="1"/>
    <col min="3" max="3" width="12.5" customWidth="1"/>
    <col min="4" max="6" width="12.6640625" customWidth="1"/>
    <col min="7" max="7" width="15.1640625" customWidth="1"/>
    <col min="8" max="8" width="13.33203125" customWidth="1"/>
    <col min="9" max="9" width="13.5" customWidth="1"/>
    <col min="16" max="16" width="12.6640625" bestFit="1" customWidth="1"/>
    <col min="19" max="19" width="15.6640625" customWidth="1"/>
  </cols>
  <sheetData>
    <row r="1" spans="1:16" ht="19" x14ac:dyDescent="0.25">
      <c r="A1" s="1" t="s">
        <v>16</v>
      </c>
      <c r="B1" s="1" t="s">
        <v>17</v>
      </c>
      <c r="C1" s="1" t="s">
        <v>0</v>
      </c>
      <c r="D1" s="1" t="s">
        <v>7</v>
      </c>
      <c r="E1" s="1" t="s">
        <v>11</v>
      </c>
      <c r="F1" s="1" t="s">
        <v>4</v>
      </c>
      <c r="G1" s="1" t="s">
        <v>6</v>
      </c>
      <c r="H1" s="1" t="s">
        <v>14</v>
      </c>
      <c r="I1" s="1" t="s">
        <v>15</v>
      </c>
      <c r="J1" s="1" t="s">
        <v>10</v>
      </c>
      <c r="K1" s="1" t="s">
        <v>75</v>
      </c>
      <c r="L1" s="1" t="s">
        <v>76</v>
      </c>
      <c r="M1" s="1" t="s">
        <v>99</v>
      </c>
      <c r="P1" s="10"/>
    </row>
    <row r="2" spans="1:16" x14ac:dyDescent="0.2">
      <c r="A2" t="s">
        <v>3</v>
      </c>
      <c r="B2" t="s">
        <v>20</v>
      </c>
      <c r="C2">
        <f>1E+27</f>
        <v>1E+27</v>
      </c>
      <c r="D2" t="s">
        <v>119</v>
      </c>
      <c r="E2" t="s">
        <v>41</v>
      </c>
      <c r="G2" t="s">
        <v>78</v>
      </c>
      <c r="H2">
        <v>1.0598000000000001</v>
      </c>
      <c r="I2">
        <v>1.2112000000000001</v>
      </c>
      <c r="J2" t="str">
        <f>IF(A2="China","Shanghai",IF(A2="Taiwan","Kaohsiung",IF(A2="Malaysia","Penang",IF(A2="Vietnam","Cat Lai",IF(A2="Germany","Hamburg",IF(A2="South Korea","Busan",IF(A2="U.S.","Long Beach")))))))</f>
        <v>Shanghai</v>
      </c>
      <c r="K2">
        <v>30.647071</v>
      </c>
      <c r="L2">
        <v>122.06092099999999</v>
      </c>
      <c r="M2">
        <f ca="1">IF(F2&lt;&gt;"",F2,RAND()*(I2-H2)+H2)</f>
        <v>1.0862289478908358</v>
      </c>
    </row>
    <row r="3" spans="1:16" x14ac:dyDescent="0.2">
      <c r="A3" t="s">
        <v>18</v>
      </c>
      <c r="B3" t="s">
        <v>20</v>
      </c>
      <c r="C3">
        <f>C2+1</f>
        <v>1E+27</v>
      </c>
      <c r="D3" t="s">
        <v>119</v>
      </c>
      <c r="E3" t="s">
        <v>52</v>
      </c>
      <c r="G3" t="s">
        <v>78</v>
      </c>
      <c r="H3">
        <v>4.271315151194</v>
      </c>
      <c r="I3">
        <v>4.8815030299359998</v>
      </c>
      <c r="J3" t="str">
        <f t="shared" ref="J3:J64" si="0">IF(A3="China","Shanghai",IF(A3="Taiwan","Kaohsiung",IF(A3="Malaysia","Penang",IF(A3="Vietnam","Cat Lai",IF(A3="Germany","Hamburg",IF(A3="South Korea","Busan",IF(A3="U.S.","Long Beach")))))))</f>
        <v>Kaohsiung</v>
      </c>
      <c r="K3">
        <v>22.598928999999998</v>
      </c>
      <c r="L3">
        <v>120.288443</v>
      </c>
      <c r="M3">
        <f t="shared" ref="M3:M64" ca="1" si="1">IF(F3&lt;&gt;"",F3,RAND()*(I3-H3)+H3)</f>
        <v>4.7672947227997389</v>
      </c>
    </row>
    <row r="4" spans="1:16" x14ac:dyDescent="0.2">
      <c r="A4" t="s">
        <v>19</v>
      </c>
      <c r="B4" t="s">
        <v>20</v>
      </c>
      <c r="C4">
        <f t="shared" ref="C4:C64" si="2">C3+1</f>
        <v>1E+27</v>
      </c>
      <c r="D4" t="s">
        <v>119</v>
      </c>
      <c r="E4" t="s">
        <v>42</v>
      </c>
      <c r="G4" t="s">
        <v>78</v>
      </c>
      <c r="H4">
        <v>4.6566969655220003</v>
      </c>
      <c r="I4">
        <v>5.3219393891680005</v>
      </c>
      <c r="J4" t="str">
        <f t="shared" si="0"/>
        <v>Penang</v>
      </c>
      <c r="K4">
        <v>5.4099170000000001</v>
      </c>
      <c r="L4">
        <v>100.367816</v>
      </c>
      <c r="M4">
        <f t="shared" ca="1" si="1"/>
        <v>4.8307251268152056</v>
      </c>
    </row>
    <row r="5" spans="1:16" x14ac:dyDescent="0.2">
      <c r="A5" t="s">
        <v>127</v>
      </c>
      <c r="B5" t="s">
        <v>20</v>
      </c>
      <c r="C5">
        <f t="shared" si="2"/>
        <v>1E+27</v>
      </c>
      <c r="D5" t="s">
        <v>119</v>
      </c>
      <c r="E5" t="s">
        <v>43</v>
      </c>
      <c r="G5" t="s">
        <v>78</v>
      </c>
      <c r="H5">
        <v>5.5238060583580006</v>
      </c>
      <c r="I5">
        <v>6.3129212095520009</v>
      </c>
      <c r="J5" t="str">
        <f t="shared" si="0"/>
        <v>Cat Lai</v>
      </c>
      <c r="K5">
        <v>10.761395946219899</v>
      </c>
      <c r="L5">
        <v>106.797291196128</v>
      </c>
      <c r="M5">
        <f t="shared" ca="1" si="1"/>
        <v>5.88901598496465</v>
      </c>
    </row>
    <row r="6" spans="1:16" x14ac:dyDescent="0.2">
      <c r="A6" t="s">
        <v>120</v>
      </c>
      <c r="B6" t="s">
        <v>20</v>
      </c>
      <c r="C6">
        <f t="shared" si="2"/>
        <v>1E+27</v>
      </c>
      <c r="D6" t="s">
        <v>119</v>
      </c>
      <c r="E6" t="s">
        <v>44</v>
      </c>
      <c r="G6" t="s">
        <v>78</v>
      </c>
      <c r="H6">
        <v>5.0741939416420001</v>
      </c>
      <c r="I6">
        <v>5.7990787904480001</v>
      </c>
      <c r="J6" t="str">
        <f t="shared" si="0"/>
        <v>Busan</v>
      </c>
      <c r="K6">
        <v>35.103242364814001</v>
      </c>
      <c r="L6">
        <v>129.041018302933</v>
      </c>
      <c r="M6">
        <f t="shared" ca="1" si="1"/>
        <v>5.2288754075972452</v>
      </c>
    </row>
    <row r="7" spans="1:16" x14ac:dyDescent="0.2">
      <c r="A7" t="s">
        <v>116</v>
      </c>
      <c r="B7" t="s">
        <v>20</v>
      </c>
      <c r="C7">
        <f t="shared" si="2"/>
        <v>1E+27</v>
      </c>
      <c r="D7" t="s">
        <v>119</v>
      </c>
      <c r="E7" t="s">
        <v>45</v>
      </c>
      <c r="G7" t="s">
        <v>78</v>
      </c>
      <c r="H7">
        <v>4.7851575808960005</v>
      </c>
      <c r="I7">
        <v>5.4687515210240001</v>
      </c>
      <c r="J7" t="str">
        <f t="shared" si="0"/>
        <v>Hamburg</v>
      </c>
      <c r="K7">
        <v>53.535968158033199</v>
      </c>
      <c r="L7">
        <v>9.9136926358182507</v>
      </c>
      <c r="M7">
        <f t="shared" ca="1" si="1"/>
        <v>4.7891565740678219</v>
      </c>
    </row>
    <row r="8" spans="1:16" x14ac:dyDescent="0.2">
      <c r="A8" t="s">
        <v>128</v>
      </c>
      <c r="B8" t="s">
        <v>20</v>
      </c>
      <c r="C8">
        <f t="shared" si="2"/>
        <v>1E+27</v>
      </c>
      <c r="D8" t="s">
        <v>119</v>
      </c>
      <c r="E8" t="s">
        <v>80</v>
      </c>
      <c r="G8" t="s">
        <v>78</v>
      </c>
      <c r="H8">
        <v>6.0697636392540009</v>
      </c>
      <c r="I8">
        <v>6.9368727305760007</v>
      </c>
      <c r="J8" t="str">
        <f t="shared" si="0"/>
        <v>Long Beach</v>
      </c>
      <c r="K8">
        <v>33.755870149763098</v>
      </c>
      <c r="L8">
        <v>-118.219371829129</v>
      </c>
      <c r="M8">
        <f t="shared" ca="1" si="1"/>
        <v>6.2618270109323433</v>
      </c>
    </row>
    <row r="9" spans="1:16" x14ac:dyDescent="0.2">
      <c r="A9" t="s">
        <v>3</v>
      </c>
      <c r="B9" t="s">
        <v>22</v>
      </c>
      <c r="C9">
        <f t="shared" si="2"/>
        <v>1E+27</v>
      </c>
      <c r="D9" t="s">
        <v>130</v>
      </c>
      <c r="E9" t="s">
        <v>42</v>
      </c>
      <c r="G9" t="s">
        <v>34</v>
      </c>
      <c r="H9">
        <v>130.80000000000001</v>
      </c>
      <c r="I9">
        <v>141.69999999999999</v>
      </c>
      <c r="J9" t="str">
        <f t="shared" si="0"/>
        <v>Shanghai</v>
      </c>
      <c r="K9">
        <v>30.647071</v>
      </c>
      <c r="L9">
        <v>122.06092099999999</v>
      </c>
      <c r="M9">
        <f t="shared" ca="1" si="1"/>
        <v>138.00197930092031</v>
      </c>
    </row>
    <row r="10" spans="1:16" x14ac:dyDescent="0.2">
      <c r="A10" t="s">
        <v>18</v>
      </c>
      <c r="B10" t="s">
        <v>22</v>
      </c>
      <c r="C10">
        <f t="shared" si="2"/>
        <v>1E+27</v>
      </c>
      <c r="D10" t="s">
        <v>130</v>
      </c>
      <c r="E10" t="s">
        <v>41</v>
      </c>
      <c r="G10" t="s">
        <v>34</v>
      </c>
      <c r="H10">
        <v>527.16363632399998</v>
      </c>
      <c r="I10">
        <v>571.0939393509999</v>
      </c>
      <c r="J10" t="str">
        <f t="shared" si="0"/>
        <v>Kaohsiung</v>
      </c>
      <c r="K10">
        <v>22.598928999999998</v>
      </c>
      <c r="L10">
        <v>120.288443</v>
      </c>
      <c r="M10">
        <f t="shared" ca="1" si="1"/>
        <v>536.91430694250357</v>
      </c>
    </row>
    <row r="11" spans="1:16" x14ac:dyDescent="0.2">
      <c r="A11" t="s">
        <v>19</v>
      </c>
      <c r="B11" t="s">
        <v>22</v>
      </c>
      <c r="C11">
        <f t="shared" si="2"/>
        <v>1E+27</v>
      </c>
      <c r="D11" t="s">
        <v>130</v>
      </c>
      <c r="E11" t="s">
        <v>52</v>
      </c>
      <c r="G11" t="s">
        <v>34</v>
      </c>
      <c r="H11">
        <v>574.727272212</v>
      </c>
      <c r="I11">
        <v>622.62121156299997</v>
      </c>
      <c r="J11" t="str">
        <f t="shared" si="0"/>
        <v>Penang</v>
      </c>
      <c r="K11">
        <v>5.4099170000000001</v>
      </c>
      <c r="L11">
        <v>100.367816</v>
      </c>
      <c r="M11">
        <f t="shared" ca="1" si="1"/>
        <v>620.59373249454222</v>
      </c>
    </row>
    <row r="12" spans="1:16" x14ac:dyDescent="0.2">
      <c r="A12" t="s">
        <v>127</v>
      </c>
      <c r="B12" t="s">
        <v>22</v>
      </c>
      <c r="C12">
        <f t="shared" si="2"/>
        <v>1E+27</v>
      </c>
      <c r="D12" t="s">
        <v>130</v>
      </c>
      <c r="E12" t="s">
        <v>41</v>
      </c>
      <c r="G12" t="s">
        <v>34</v>
      </c>
      <c r="H12">
        <v>681.74545426800012</v>
      </c>
      <c r="I12">
        <v>738.55757545699998</v>
      </c>
      <c r="J12" t="str">
        <f t="shared" si="0"/>
        <v>Cat Lai</v>
      </c>
      <c r="K12">
        <v>10.761395946219899</v>
      </c>
      <c r="L12">
        <v>106.797291196128</v>
      </c>
      <c r="M12">
        <f t="shared" ca="1" si="1"/>
        <v>691.05720244297288</v>
      </c>
    </row>
    <row r="13" spans="1:16" x14ac:dyDescent="0.2">
      <c r="A13" t="s">
        <v>120</v>
      </c>
      <c r="B13" t="s">
        <v>22</v>
      </c>
      <c r="C13">
        <f t="shared" si="2"/>
        <v>1E+27</v>
      </c>
      <c r="D13" t="s">
        <v>130</v>
      </c>
      <c r="E13" t="s">
        <v>42</v>
      </c>
      <c r="G13" t="s">
        <v>34</v>
      </c>
      <c r="H13">
        <v>626.254545732</v>
      </c>
      <c r="I13">
        <v>678.4424245429999</v>
      </c>
      <c r="J13" t="str">
        <f t="shared" si="0"/>
        <v>Busan</v>
      </c>
      <c r="K13">
        <v>35.103242364814001</v>
      </c>
      <c r="L13">
        <v>129.041018302933</v>
      </c>
      <c r="M13">
        <f t="shared" ca="1" si="1"/>
        <v>642.74152110683167</v>
      </c>
    </row>
    <row r="14" spans="1:16" x14ac:dyDescent="0.2">
      <c r="A14" t="s">
        <v>116</v>
      </c>
      <c r="B14" t="s">
        <v>22</v>
      </c>
      <c r="C14">
        <f t="shared" si="2"/>
        <v>1E+27</v>
      </c>
      <c r="D14" t="s">
        <v>130</v>
      </c>
      <c r="E14" t="s">
        <v>43</v>
      </c>
      <c r="G14" t="s">
        <v>34</v>
      </c>
      <c r="H14">
        <v>590.58181881600001</v>
      </c>
      <c r="I14">
        <v>639.79697038399991</v>
      </c>
      <c r="J14" t="str">
        <f t="shared" si="0"/>
        <v>Hamburg</v>
      </c>
      <c r="K14">
        <v>53.535968158033199</v>
      </c>
      <c r="L14">
        <v>9.9136926358182507</v>
      </c>
      <c r="M14">
        <f t="shared" ca="1" si="1"/>
        <v>632.91254972007619</v>
      </c>
    </row>
    <row r="15" spans="1:16" x14ac:dyDescent="0.2">
      <c r="A15" t="s">
        <v>128</v>
      </c>
      <c r="B15" t="s">
        <v>22</v>
      </c>
      <c r="C15">
        <f t="shared" si="2"/>
        <v>1E+27</v>
      </c>
      <c r="D15" t="s">
        <v>130</v>
      </c>
      <c r="E15" t="s">
        <v>42</v>
      </c>
      <c r="G15" t="s">
        <v>34</v>
      </c>
      <c r="H15">
        <v>749.12727308400008</v>
      </c>
      <c r="I15">
        <v>811.55454584099994</v>
      </c>
      <c r="J15" t="str">
        <f t="shared" si="0"/>
        <v>Long Beach</v>
      </c>
      <c r="K15">
        <v>33.755870149763098</v>
      </c>
      <c r="L15">
        <v>-118.219371829129</v>
      </c>
      <c r="M15">
        <f t="shared" ca="1" si="1"/>
        <v>766.7398565980161</v>
      </c>
    </row>
    <row r="16" spans="1:16" x14ac:dyDescent="0.2">
      <c r="A16" t="s">
        <v>3</v>
      </c>
      <c r="B16" t="s">
        <v>1</v>
      </c>
      <c r="C16">
        <f t="shared" si="2"/>
        <v>1E+27</v>
      </c>
      <c r="D16" t="s">
        <v>2</v>
      </c>
      <c r="E16" t="s">
        <v>45</v>
      </c>
      <c r="G16" t="s">
        <v>36</v>
      </c>
      <c r="H16">
        <v>2.2999999999999998</v>
      </c>
      <c r="I16">
        <v>2.9</v>
      </c>
      <c r="J16" t="str">
        <f t="shared" si="0"/>
        <v>Shanghai</v>
      </c>
      <c r="K16">
        <v>30.647071</v>
      </c>
      <c r="L16">
        <v>122.06092099999999</v>
      </c>
      <c r="M16">
        <f t="shared" ca="1" si="1"/>
        <v>2.3108493729785362</v>
      </c>
    </row>
    <row r="17" spans="1:13" x14ac:dyDescent="0.2">
      <c r="A17" t="s">
        <v>128</v>
      </c>
      <c r="B17" t="s">
        <v>1</v>
      </c>
      <c r="C17">
        <f t="shared" si="2"/>
        <v>1E+27</v>
      </c>
      <c r="D17" t="s">
        <v>2</v>
      </c>
      <c r="E17" t="s">
        <v>48</v>
      </c>
      <c r="G17" t="s">
        <v>36</v>
      </c>
      <c r="H17">
        <v>13.172727279</v>
      </c>
      <c r="I17">
        <v>16.609090917</v>
      </c>
      <c r="J17" t="str">
        <f t="shared" si="0"/>
        <v>Long Beach</v>
      </c>
      <c r="K17">
        <v>33.755870149763098</v>
      </c>
      <c r="L17">
        <v>-118.219371829129</v>
      </c>
      <c r="M17">
        <f t="shared" ca="1" si="1"/>
        <v>13.751674347600874</v>
      </c>
    </row>
    <row r="18" spans="1:13" x14ac:dyDescent="0.2">
      <c r="A18" t="s">
        <v>19</v>
      </c>
      <c r="B18" t="s">
        <v>1</v>
      </c>
      <c r="C18">
        <f t="shared" si="2"/>
        <v>1E+27</v>
      </c>
      <c r="D18" t="s">
        <v>2</v>
      </c>
      <c r="E18" t="s">
        <v>42</v>
      </c>
      <c r="G18" t="s">
        <v>36</v>
      </c>
      <c r="H18">
        <v>10.106060596999999</v>
      </c>
      <c r="I18">
        <v>12.742424230999999</v>
      </c>
      <c r="J18" t="str">
        <f t="shared" si="0"/>
        <v>Penang</v>
      </c>
      <c r="K18">
        <v>5.4099170000000001</v>
      </c>
      <c r="L18">
        <v>100.367816</v>
      </c>
      <c r="M18">
        <f t="shared" ca="1" si="1"/>
        <v>11.563534659333193</v>
      </c>
    </row>
    <row r="19" spans="1:13" x14ac:dyDescent="0.2">
      <c r="A19" t="s">
        <v>18</v>
      </c>
      <c r="B19" t="s">
        <v>1</v>
      </c>
      <c r="C19">
        <f t="shared" si="2"/>
        <v>1E+27</v>
      </c>
      <c r="D19" t="s">
        <v>2</v>
      </c>
      <c r="E19" t="s">
        <v>41</v>
      </c>
      <c r="G19" t="s">
        <v>36</v>
      </c>
      <c r="H19">
        <v>9.2696969689999982</v>
      </c>
      <c r="I19">
        <v>11.687878786999999</v>
      </c>
      <c r="J19" t="str">
        <f t="shared" si="0"/>
        <v>Kaohsiung</v>
      </c>
      <c r="K19">
        <v>22.598928999999998</v>
      </c>
      <c r="L19">
        <v>120.288443</v>
      </c>
      <c r="M19">
        <f t="shared" ca="1" si="1"/>
        <v>11.520875250430896</v>
      </c>
    </row>
    <row r="20" spans="1:13" x14ac:dyDescent="0.2">
      <c r="A20" t="s">
        <v>127</v>
      </c>
      <c r="B20" t="s">
        <v>1</v>
      </c>
      <c r="C20">
        <f t="shared" si="2"/>
        <v>1E+27</v>
      </c>
      <c r="D20" t="s">
        <v>2</v>
      </c>
      <c r="E20" t="s">
        <v>42</v>
      </c>
      <c r="G20" t="s">
        <v>36</v>
      </c>
      <c r="H20">
        <v>11.987878782999999</v>
      </c>
      <c r="I20">
        <v>15.115151509</v>
      </c>
      <c r="J20" t="str">
        <f t="shared" si="0"/>
        <v>Cat Lai</v>
      </c>
      <c r="K20">
        <v>10.761395946219899</v>
      </c>
      <c r="L20">
        <v>106.797291196128</v>
      </c>
      <c r="M20">
        <f t="shared" ca="1" si="1"/>
        <v>12.911485119565819</v>
      </c>
    </row>
    <row r="21" spans="1:13" x14ac:dyDescent="0.2">
      <c r="A21" t="s">
        <v>120</v>
      </c>
      <c r="B21" t="s">
        <v>1</v>
      </c>
      <c r="C21">
        <f t="shared" si="2"/>
        <v>1E+27</v>
      </c>
      <c r="D21" t="s">
        <v>2</v>
      </c>
      <c r="E21" t="s">
        <v>43</v>
      </c>
      <c r="G21" t="s">
        <v>36</v>
      </c>
      <c r="H21">
        <v>11.012121216999999</v>
      </c>
      <c r="I21">
        <v>13.884848491</v>
      </c>
      <c r="J21" t="str">
        <f t="shared" si="0"/>
        <v>Busan</v>
      </c>
      <c r="K21">
        <v>35.103242364814001</v>
      </c>
      <c r="L21">
        <v>129.041018302933</v>
      </c>
      <c r="M21">
        <f t="shared" ca="1" si="1"/>
        <v>12.723421817009115</v>
      </c>
    </row>
    <row r="22" spans="1:13" x14ac:dyDescent="0.2">
      <c r="A22" t="s">
        <v>116</v>
      </c>
      <c r="B22" t="s">
        <v>1</v>
      </c>
      <c r="C22">
        <f t="shared" si="2"/>
        <v>1E+27</v>
      </c>
      <c r="D22" t="s">
        <v>2</v>
      </c>
      <c r="E22" t="s">
        <v>44</v>
      </c>
      <c r="G22" t="s">
        <v>36</v>
      </c>
      <c r="H22">
        <v>10.384848495999998</v>
      </c>
      <c r="I22">
        <v>13.093939407999999</v>
      </c>
      <c r="J22" t="str">
        <f t="shared" si="0"/>
        <v>Hamburg</v>
      </c>
      <c r="K22">
        <v>53.535968158033199</v>
      </c>
      <c r="L22">
        <v>9.9136926358182507</v>
      </c>
      <c r="M22">
        <f t="shared" ca="1" si="1"/>
        <v>11.781598820609069</v>
      </c>
    </row>
    <row r="23" spans="1:13" x14ac:dyDescent="0.2">
      <c r="A23" t="s">
        <v>19</v>
      </c>
      <c r="B23" t="s">
        <v>35</v>
      </c>
      <c r="C23">
        <f t="shared" si="2"/>
        <v>1E+27</v>
      </c>
      <c r="D23" t="s">
        <v>39</v>
      </c>
      <c r="E23" t="s">
        <v>50</v>
      </c>
      <c r="G23" t="s">
        <v>37</v>
      </c>
      <c r="H23">
        <v>6.5909090849999998</v>
      </c>
      <c r="I23">
        <v>9.6227272640999999</v>
      </c>
      <c r="J23" t="str">
        <f t="shared" si="0"/>
        <v>Penang</v>
      </c>
      <c r="K23">
        <v>5.4099170000000001</v>
      </c>
      <c r="L23">
        <v>100.367816</v>
      </c>
      <c r="M23">
        <f t="shared" ca="1" si="1"/>
        <v>8.292755426103005</v>
      </c>
    </row>
    <row r="24" spans="1:13" x14ac:dyDescent="0.2">
      <c r="A24" t="s">
        <v>18</v>
      </c>
      <c r="B24" t="s">
        <v>35</v>
      </c>
      <c r="C24">
        <f t="shared" si="2"/>
        <v>1E+27</v>
      </c>
      <c r="D24" t="s">
        <v>39</v>
      </c>
      <c r="E24" t="s">
        <v>46</v>
      </c>
      <c r="G24" t="s">
        <v>37</v>
      </c>
      <c r="H24">
        <v>6.0454545450000001</v>
      </c>
      <c r="I24">
        <v>8.8263636356999999</v>
      </c>
      <c r="J24" t="str">
        <f t="shared" si="0"/>
        <v>Kaohsiung</v>
      </c>
      <c r="K24">
        <v>22.598928999999998</v>
      </c>
      <c r="L24">
        <v>120.288443</v>
      </c>
      <c r="M24">
        <f t="shared" ca="1" si="1"/>
        <v>6.8025021309617104</v>
      </c>
    </row>
    <row r="25" spans="1:13" x14ac:dyDescent="0.2">
      <c r="A25" t="s">
        <v>3</v>
      </c>
      <c r="B25" t="s">
        <v>35</v>
      </c>
      <c r="C25">
        <f t="shared" si="2"/>
        <v>1E+27</v>
      </c>
      <c r="D25" t="s">
        <v>39</v>
      </c>
      <c r="E25" t="s">
        <v>51</v>
      </c>
      <c r="G25" t="s">
        <v>37</v>
      </c>
      <c r="H25">
        <v>1.5</v>
      </c>
      <c r="I25">
        <v>2.19</v>
      </c>
      <c r="J25" t="str">
        <f t="shared" si="0"/>
        <v>Shanghai</v>
      </c>
      <c r="K25">
        <v>30.647071</v>
      </c>
      <c r="L25">
        <v>122.06092099999999</v>
      </c>
      <c r="M25">
        <f t="shared" ca="1" si="1"/>
        <v>1.66554994852086</v>
      </c>
    </row>
    <row r="26" spans="1:13" x14ac:dyDescent="0.2">
      <c r="A26" t="s">
        <v>128</v>
      </c>
      <c r="B26" t="s">
        <v>35</v>
      </c>
      <c r="C26">
        <f t="shared" si="2"/>
        <v>1E+27</v>
      </c>
      <c r="D26" t="s">
        <v>39</v>
      </c>
      <c r="E26" t="s">
        <v>44</v>
      </c>
      <c r="G26" t="s">
        <v>37</v>
      </c>
      <c r="H26">
        <v>8.5909090950000007</v>
      </c>
      <c r="I26">
        <v>12.542727278699999</v>
      </c>
      <c r="J26" t="str">
        <f t="shared" si="0"/>
        <v>Long Beach</v>
      </c>
      <c r="K26">
        <v>33.755870149763098</v>
      </c>
      <c r="L26">
        <v>-118.219371829129</v>
      </c>
      <c r="M26">
        <f t="shared" ca="1" si="1"/>
        <v>8.7222537133761637</v>
      </c>
    </row>
    <row r="27" spans="1:13" x14ac:dyDescent="0.2">
      <c r="A27" t="s">
        <v>127</v>
      </c>
      <c r="B27" t="s">
        <v>35</v>
      </c>
      <c r="C27">
        <f t="shared" si="2"/>
        <v>1E+27</v>
      </c>
      <c r="D27" t="s">
        <v>39</v>
      </c>
      <c r="E27" t="s">
        <v>52</v>
      </c>
      <c r="G27" t="s">
        <v>37</v>
      </c>
      <c r="H27">
        <v>7.8181818150000009</v>
      </c>
      <c r="I27">
        <v>11.4145454499</v>
      </c>
      <c r="J27" t="str">
        <f t="shared" si="0"/>
        <v>Cat Lai</v>
      </c>
      <c r="K27">
        <v>10.761395946219899</v>
      </c>
      <c r="L27">
        <v>106.797291196128</v>
      </c>
      <c r="M27">
        <f t="shared" ca="1" si="1"/>
        <v>9.0996795630519145</v>
      </c>
    </row>
    <row r="28" spans="1:13" x14ac:dyDescent="0.2">
      <c r="A28" t="s">
        <v>120</v>
      </c>
      <c r="B28" t="s">
        <v>35</v>
      </c>
      <c r="C28">
        <f t="shared" si="2"/>
        <v>1E+27</v>
      </c>
      <c r="D28" t="s">
        <v>39</v>
      </c>
      <c r="E28" t="s">
        <v>41</v>
      </c>
      <c r="G28" t="s">
        <v>37</v>
      </c>
      <c r="H28">
        <v>7.1818181849999991</v>
      </c>
      <c r="I28">
        <v>10.485454550099998</v>
      </c>
      <c r="J28" t="str">
        <f t="shared" si="0"/>
        <v>Busan</v>
      </c>
      <c r="K28">
        <v>35.103242364814001</v>
      </c>
      <c r="L28">
        <v>129.041018302933</v>
      </c>
      <c r="M28">
        <f t="shared" ca="1" si="1"/>
        <v>10.001232856047029</v>
      </c>
    </row>
    <row r="29" spans="1:13" x14ac:dyDescent="0.2">
      <c r="A29" t="s">
        <v>116</v>
      </c>
      <c r="B29" t="s">
        <v>35</v>
      </c>
      <c r="C29">
        <f t="shared" si="2"/>
        <v>1E+27</v>
      </c>
      <c r="D29" t="s">
        <v>39</v>
      </c>
      <c r="E29" t="s">
        <v>42</v>
      </c>
      <c r="G29" t="s">
        <v>37</v>
      </c>
      <c r="H29">
        <v>6.7727272799999998</v>
      </c>
      <c r="I29">
        <v>9.8881818287999987</v>
      </c>
      <c r="J29" t="str">
        <f t="shared" si="0"/>
        <v>Hamburg</v>
      </c>
      <c r="K29">
        <v>53.535968158033199</v>
      </c>
      <c r="L29">
        <v>9.9136926358182507</v>
      </c>
      <c r="M29">
        <f t="shared" ca="1" si="1"/>
        <v>9.2692481341410691</v>
      </c>
    </row>
    <row r="30" spans="1:13" x14ac:dyDescent="0.2">
      <c r="A30" t="s">
        <v>3</v>
      </c>
      <c r="B30" t="s">
        <v>38</v>
      </c>
      <c r="C30">
        <f t="shared" si="2"/>
        <v>1E+27</v>
      </c>
      <c r="D30" t="s">
        <v>56</v>
      </c>
      <c r="E30" t="s">
        <v>43</v>
      </c>
      <c r="G30" t="s">
        <v>40</v>
      </c>
      <c r="H30">
        <v>0.92</v>
      </c>
      <c r="I30">
        <v>1.39</v>
      </c>
      <c r="J30" t="str">
        <f t="shared" si="0"/>
        <v>Shanghai</v>
      </c>
      <c r="K30">
        <v>30.647071</v>
      </c>
      <c r="L30">
        <v>122.06092099999999</v>
      </c>
      <c r="M30">
        <f t="shared" ca="1" si="1"/>
        <v>1.0614537461114593</v>
      </c>
    </row>
    <row r="31" spans="1:13" x14ac:dyDescent="0.2">
      <c r="A31" t="s">
        <v>128</v>
      </c>
      <c r="B31" t="s">
        <v>38</v>
      </c>
      <c r="C31">
        <f t="shared" si="2"/>
        <v>1E+27</v>
      </c>
      <c r="D31" t="s">
        <v>56</v>
      </c>
      <c r="E31" t="s">
        <v>44</v>
      </c>
      <c r="G31" t="s">
        <v>40</v>
      </c>
      <c r="H31">
        <v>5.2690909116000002</v>
      </c>
      <c r="I31">
        <v>7.9609090946999999</v>
      </c>
      <c r="J31" t="str">
        <f t="shared" si="0"/>
        <v>Long Beach</v>
      </c>
      <c r="K31">
        <v>33.755870149763098</v>
      </c>
      <c r="L31">
        <v>-118.219371829129</v>
      </c>
      <c r="M31">
        <f t="shared" ca="1" si="1"/>
        <v>6.953316995768299</v>
      </c>
    </row>
    <row r="32" spans="1:13" x14ac:dyDescent="0.2">
      <c r="A32" t="s">
        <v>18</v>
      </c>
      <c r="B32" t="s">
        <v>38</v>
      </c>
      <c r="C32">
        <f t="shared" si="2"/>
        <v>1E+27</v>
      </c>
      <c r="D32" t="s">
        <v>56</v>
      </c>
      <c r="E32" t="s">
        <v>47</v>
      </c>
      <c r="G32" t="s">
        <v>40</v>
      </c>
      <c r="H32">
        <v>3.7078787875999999</v>
      </c>
      <c r="I32">
        <v>5.6021212116999992</v>
      </c>
      <c r="J32" t="str">
        <f t="shared" si="0"/>
        <v>Kaohsiung</v>
      </c>
      <c r="K32">
        <v>22.598928999999998</v>
      </c>
      <c r="L32">
        <v>120.288443</v>
      </c>
      <c r="M32">
        <f t="shared" ca="1" si="1"/>
        <v>5.5076964570557942</v>
      </c>
    </row>
    <row r="33" spans="1:13" x14ac:dyDescent="0.2">
      <c r="A33" t="s">
        <v>19</v>
      </c>
      <c r="B33" t="s">
        <v>38</v>
      </c>
      <c r="C33">
        <f t="shared" si="2"/>
        <v>1E+27</v>
      </c>
      <c r="D33" t="s">
        <v>56</v>
      </c>
      <c r="E33" t="s">
        <v>43</v>
      </c>
      <c r="G33" t="s">
        <v>40</v>
      </c>
      <c r="H33">
        <v>4.0424242387999998</v>
      </c>
      <c r="I33">
        <v>6.1075757520999998</v>
      </c>
      <c r="J33" t="str">
        <f t="shared" si="0"/>
        <v>Penang</v>
      </c>
      <c r="K33">
        <v>5.4099170000000001</v>
      </c>
      <c r="L33">
        <v>100.367816</v>
      </c>
      <c r="M33">
        <f t="shared" ca="1" si="1"/>
        <v>4.9797514182941187</v>
      </c>
    </row>
    <row r="34" spans="1:13" x14ac:dyDescent="0.2">
      <c r="A34" t="s">
        <v>127</v>
      </c>
      <c r="B34" t="s">
        <v>38</v>
      </c>
      <c r="C34">
        <f t="shared" si="2"/>
        <v>1E+27</v>
      </c>
      <c r="D34" t="s">
        <v>121</v>
      </c>
      <c r="E34" t="s">
        <v>44</v>
      </c>
      <c r="G34" t="s">
        <v>124</v>
      </c>
      <c r="H34">
        <v>4.7951515132000004</v>
      </c>
      <c r="I34">
        <v>7.2448484819000001</v>
      </c>
      <c r="J34" t="str">
        <f t="shared" si="0"/>
        <v>Cat Lai</v>
      </c>
      <c r="K34">
        <v>10.761395946219899</v>
      </c>
      <c r="L34">
        <v>106.797291196128</v>
      </c>
      <c r="M34">
        <f t="shared" ca="1" si="1"/>
        <v>5.2200233539120244</v>
      </c>
    </row>
    <row r="35" spans="1:13" x14ac:dyDescent="0.2">
      <c r="A35" t="s">
        <v>120</v>
      </c>
      <c r="B35" t="s">
        <v>38</v>
      </c>
      <c r="C35">
        <f t="shared" si="2"/>
        <v>1E+27</v>
      </c>
      <c r="D35" t="s">
        <v>122</v>
      </c>
      <c r="E35" t="s">
        <v>45</v>
      </c>
      <c r="G35" t="s">
        <v>125</v>
      </c>
      <c r="H35">
        <v>4.4048484867999997</v>
      </c>
      <c r="I35">
        <v>6.6551515180999994</v>
      </c>
      <c r="J35" t="str">
        <f t="shared" si="0"/>
        <v>Busan</v>
      </c>
      <c r="K35">
        <v>35.103242364814001</v>
      </c>
      <c r="L35">
        <v>129.041018302933</v>
      </c>
      <c r="M35">
        <f t="shared" ca="1" si="1"/>
        <v>5.7747563151932608</v>
      </c>
    </row>
    <row r="36" spans="1:13" x14ac:dyDescent="0.2">
      <c r="A36" t="s">
        <v>116</v>
      </c>
      <c r="B36" t="s">
        <v>38</v>
      </c>
      <c r="C36">
        <f t="shared" si="2"/>
        <v>1E+27</v>
      </c>
      <c r="D36" t="s">
        <v>123</v>
      </c>
      <c r="E36" t="s">
        <v>46</v>
      </c>
      <c r="G36" t="s">
        <v>126</v>
      </c>
      <c r="H36">
        <v>4.1539393984000004</v>
      </c>
      <c r="I36">
        <v>6.2760606127999994</v>
      </c>
      <c r="J36" t="str">
        <f t="shared" si="0"/>
        <v>Hamburg</v>
      </c>
      <c r="K36">
        <v>53.535968158033199</v>
      </c>
      <c r="L36">
        <v>9.9136926358182507</v>
      </c>
      <c r="M36">
        <f t="shared" ca="1" si="1"/>
        <v>5.0592722857124635</v>
      </c>
    </row>
    <row r="37" spans="1:13" x14ac:dyDescent="0.2">
      <c r="A37" t="s">
        <v>3</v>
      </c>
      <c r="B37" t="s">
        <v>53</v>
      </c>
      <c r="C37">
        <f t="shared" si="2"/>
        <v>1E+27</v>
      </c>
      <c r="D37" t="s">
        <v>56</v>
      </c>
      <c r="E37" t="s">
        <v>43</v>
      </c>
      <c r="G37" t="s">
        <v>40</v>
      </c>
      <c r="H37">
        <v>1.38</v>
      </c>
      <c r="I37">
        <v>3.85</v>
      </c>
      <c r="J37" t="str">
        <f t="shared" si="0"/>
        <v>Shanghai</v>
      </c>
      <c r="K37">
        <v>30.647071</v>
      </c>
      <c r="L37">
        <v>122.06092099999999</v>
      </c>
      <c r="M37">
        <f t="shared" ca="1" si="1"/>
        <v>1.4770113932036666</v>
      </c>
    </row>
    <row r="38" spans="1:13" x14ac:dyDescent="0.2">
      <c r="A38" t="s">
        <v>128</v>
      </c>
      <c r="B38" t="s">
        <v>53</v>
      </c>
      <c r="C38">
        <f t="shared" si="2"/>
        <v>1E+27</v>
      </c>
      <c r="D38" t="s">
        <v>56</v>
      </c>
      <c r="E38" t="s">
        <v>41</v>
      </c>
      <c r="G38" t="s">
        <v>40</v>
      </c>
      <c r="H38">
        <v>7.9036363673999999</v>
      </c>
      <c r="I38">
        <v>22.0500000105</v>
      </c>
      <c r="J38" t="str">
        <f t="shared" si="0"/>
        <v>Long Beach</v>
      </c>
      <c r="K38">
        <v>33.755870149763098</v>
      </c>
      <c r="L38">
        <v>-118.219371829129</v>
      </c>
      <c r="M38">
        <f t="shared" ca="1" si="1"/>
        <v>11.715556657500045</v>
      </c>
    </row>
    <row r="39" spans="1:13" x14ac:dyDescent="0.2">
      <c r="A39" t="s">
        <v>18</v>
      </c>
      <c r="B39" t="s">
        <v>53</v>
      </c>
      <c r="C39">
        <f t="shared" si="2"/>
        <v>1E+27</v>
      </c>
      <c r="D39" t="s">
        <v>56</v>
      </c>
      <c r="E39" t="s">
        <v>47</v>
      </c>
      <c r="G39" t="s">
        <v>40</v>
      </c>
      <c r="H39">
        <v>5.5618181813999996</v>
      </c>
      <c r="I39">
        <v>15.516666665499999</v>
      </c>
      <c r="J39" t="str">
        <f t="shared" si="0"/>
        <v>Kaohsiung</v>
      </c>
      <c r="K39">
        <v>22.598928999999998</v>
      </c>
      <c r="L39">
        <v>120.288443</v>
      </c>
      <c r="M39">
        <f t="shared" ca="1" si="1"/>
        <v>11.585346555020283</v>
      </c>
    </row>
    <row r="40" spans="1:13" x14ac:dyDescent="0.2">
      <c r="A40" t="s">
        <v>19</v>
      </c>
      <c r="B40" t="s">
        <v>53</v>
      </c>
      <c r="C40">
        <f t="shared" si="2"/>
        <v>1E+27</v>
      </c>
      <c r="D40" t="s">
        <v>56</v>
      </c>
      <c r="E40" t="s">
        <v>43</v>
      </c>
      <c r="G40" t="s">
        <v>40</v>
      </c>
      <c r="H40">
        <v>6.0636363581999992</v>
      </c>
      <c r="I40">
        <v>16.916666651500002</v>
      </c>
      <c r="J40" t="str">
        <f t="shared" si="0"/>
        <v>Penang</v>
      </c>
      <c r="K40">
        <v>5.4099170000000001</v>
      </c>
      <c r="L40">
        <v>100.367816</v>
      </c>
      <c r="M40">
        <f t="shared" ca="1" si="1"/>
        <v>15.19386042080448</v>
      </c>
    </row>
    <row r="41" spans="1:13" x14ac:dyDescent="0.2">
      <c r="A41" t="s">
        <v>127</v>
      </c>
      <c r="B41" t="s">
        <v>53</v>
      </c>
      <c r="C41">
        <f t="shared" si="2"/>
        <v>1E+27</v>
      </c>
      <c r="D41" t="s">
        <v>121</v>
      </c>
      <c r="E41" t="s">
        <v>44</v>
      </c>
      <c r="G41" t="s">
        <v>124</v>
      </c>
      <c r="H41">
        <v>7.1927272697999998</v>
      </c>
      <c r="I41">
        <v>20.066666658500001</v>
      </c>
      <c r="J41" t="str">
        <f t="shared" si="0"/>
        <v>Cat Lai</v>
      </c>
      <c r="K41">
        <v>10.761395946219899</v>
      </c>
      <c r="L41">
        <v>106.797291196128</v>
      </c>
      <c r="M41">
        <f t="shared" ca="1" si="1"/>
        <v>13.913322548103524</v>
      </c>
    </row>
    <row r="42" spans="1:13" x14ac:dyDescent="0.2">
      <c r="A42" t="s">
        <v>120</v>
      </c>
      <c r="B42" t="s">
        <v>53</v>
      </c>
      <c r="C42">
        <f t="shared" si="2"/>
        <v>1E+27</v>
      </c>
      <c r="D42" t="s">
        <v>122</v>
      </c>
      <c r="E42" t="s">
        <v>45</v>
      </c>
      <c r="G42" t="s">
        <v>125</v>
      </c>
      <c r="H42">
        <v>6.6072727301999992</v>
      </c>
      <c r="I42">
        <v>18.433333341499999</v>
      </c>
      <c r="J42" t="str">
        <f t="shared" si="0"/>
        <v>Busan</v>
      </c>
      <c r="K42">
        <v>35.103242364814001</v>
      </c>
      <c r="L42">
        <v>129.041018302933</v>
      </c>
      <c r="M42">
        <f t="shared" ca="1" si="1"/>
        <v>6.6613793260028391</v>
      </c>
    </row>
    <row r="43" spans="1:13" x14ac:dyDescent="0.2">
      <c r="A43" t="s">
        <v>116</v>
      </c>
      <c r="B43" t="s">
        <v>53</v>
      </c>
      <c r="C43">
        <f t="shared" si="2"/>
        <v>1E+27</v>
      </c>
      <c r="D43" t="s">
        <v>123</v>
      </c>
      <c r="E43" t="s">
        <v>46</v>
      </c>
      <c r="G43" t="s">
        <v>126</v>
      </c>
      <c r="H43">
        <v>6.2309090975999997</v>
      </c>
      <c r="I43">
        <v>17.383333352000001</v>
      </c>
      <c r="J43" t="str">
        <f t="shared" si="0"/>
        <v>Hamburg</v>
      </c>
      <c r="K43">
        <v>53.535968158033199</v>
      </c>
      <c r="L43">
        <v>9.9136926358182507</v>
      </c>
      <c r="M43">
        <f t="shared" ca="1" si="1"/>
        <v>14.273640342813463</v>
      </c>
    </row>
    <row r="44" spans="1:13" x14ac:dyDescent="0.2">
      <c r="A44" t="s">
        <v>3</v>
      </c>
      <c r="B44" t="s">
        <v>54</v>
      </c>
      <c r="C44">
        <f t="shared" si="2"/>
        <v>1E+27</v>
      </c>
      <c r="D44" t="s">
        <v>56</v>
      </c>
      <c r="E44" t="s">
        <v>43</v>
      </c>
      <c r="G44" t="s">
        <v>40</v>
      </c>
      <c r="H44">
        <v>2.6</v>
      </c>
      <c r="I44">
        <v>2.88</v>
      </c>
      <c r="J44" t="str">
        <f t="shared" si="0"/>
        <v>Shanghai</v>
      </c>
      <c r="K44">
        <v>30.647071</v>
      </c>
      <c r="L44">
        <v>122.06092099999999</v>
      </c>
      <c r="M44">
        <f t="shared" ca="1" si="1"/>
        <v>2.7444972704269803</v>
      </c>
    </row>
    <row r="45" spans="1:13" x14ac:dyDescent="0.2">
      <c r="A45" t="s">
        <v>128</v>
      </c>
      <c r="B45" t="s">
        <v>54</v>
      </c>
      <c r="C45">
        <f t="shared" si="2"/>
        <v>1E+27</v>
      </c>
      <c r="D45" t="s">
        <v>56</v>
      </c>
      <c r="E45" t="s">
        <v>41</v>
      </c>
      <c r="G45" t="s">
        <v>40</v>
      </c>
      <c r="H45">
        <v>14.890909098000002</v>
      </c>
      <c r="I45">
        <v>16.494545462400001</v>
      </c>
      <c r="J45" t="str">
        <f t="shared" si="0"/>
        <v>Long Beach</v>
      </c>
      <c r="K45">
        <v>33.755870149763098</v>
      </c>
      <c r="L45">
        <v>-118.219371829129</v>
      </c>
      <c r="M45">
        <f t="shared" ca="1" si="1"/>
        <v>14.947137932109776</v>
      </c>
    </row>
    <row r="46" spans="1:13" x14ac:dyDescent="0.2">
      <c r="A46" t="s">
        <v>18</v>
      </c>
      <c r="B46" t="s">
        <v>54</v>
      </c>
      <c r="C46">
        <f t="shared" si="2"/>
        <v>1E+27</v>
      </c>
      <c r="D46" t="s">
        <v>56</v>
      </c>
      <c r="E46" t="s">
        <v>47</v>
      </c>
      <c r="G46" t="s">
        <v>40</v>
      </c>
      <c r="H46">
        <v>10.478787878</v>
      </c>
      <c r="I46">
        <v>11.6072727264</v>
      </c>
      <c r="J46" t="str">
        <f t="shared" si="0"/>
        <v>Kaohsiung</v>
      </c>
      <c r="K46">
        <v>22.598928999999998</v>
      </c>
      <c r="L46">
        <v>120.288443</v>
      </c>
      <c r="M46">
        <f t="shared" ca="1" si="1"/>
        <v>11.530742007773616</v>
      </c>
    </row>
    <row r="47" spans="1:13" x14ac:dyDescent="0.2">
      <c r="A47" t="s">
        <v>19</v>
      </c>
      <c r="B47" t="s">
        <v>54</v>
      </c>
      <c r="C47">
        <f t="shared" si="2"/>
        <v>1E+27</v>
      </c>
      <c r="D47" t="s">
        <v>56</v>
      </c>
      <c r="E47" t="s">
        <v>43</v>
      </c>
      <c r="G47" t="s">
        <v>40</v>
      </c>
      <c r="H47">
        <v>11.424242414</v>
      </c>
      <c r="I47">
        <v>12.6545454432</v>
      </c>
      <c r="J47" t="str">
        <f t="shared" si="0"/>
        <v>Penang</v>
      </c>
      <c r="K47">
        <v>5.4099170000000001</v>
      </c>
      <c r="L47">
        <v>100.367816</v>
      </c>
      <c r="M47">
        <f t="shared" ca="1" si="1"/>
        <v>12.323140085475643</v>
      </c>
    </row>
    <row r="48" spans="1:13" x14ac:dyDescent="0.2">
      <c r="A48" t="s">
        <v>127</v>
      </c>
      <c r="B48" t="s">
        <v>54</v>
      </c>
      <c r="C48">
        <f t="shared" si="2"/>
        <v>1E+27</v>
      </c>
      <c r="D48" t="s">
        <v>121</v>
      </c>
      <c r="E48" t="s">
        <v>44</v>
      </c>
      <c r="G48" t="s">
        <v>124</v>
      </c>
      <c r="H48">
        <v>13.551515146000002</v>
      </c>
      <c r="I48">
        <v>15.0109090848</v>
      </c>
      <c r="J48" t="str">
        <f t="shared" si="0"/>
        <v>Cat Lai</v>
      </c>
      <c r="K48">
        <v>10.761395946219899</v>
      </c>
      <c r="L48">
        <v>106.797291196128</v>
      </c>
      <c r="M48">
        <f t="shared" ca="1" si="1"/>
        <v>14.962237476962999</v>
      </c>
    </row>
    <row r="49" spans="1:13" x14ac:dyDescent="0.2">
      <c r="A49" t="s">
        <v>120</v>
      </c>
      <c r="B49" t="s">
        <v>54</v>
      </c>
      <c r="C49">
        <f t="shared" si="2"/>
        <v>1E+27</v>
      </c>
      <c r="D49" t="s">
        <v>122</v>
      </c>
      <c r="E49" t="s">
        <v>45</v>
      </c>
      <c r="G49" t="s">
        <v>125</v>
      </c>
      <c r="H49">
        <v>12.448484854</v>
      </c>
      <c r="I49">
        <v>13.789090915199999</v>
      </c>
      <c r="J49" t="str">
        <f t="shared" si="0"/>
        <v>Busan</v>
      </c>
      <c r="K49">
        <v>35.103242364814001</v>
      </c>
      <c r="L49">
        <v>129.041018302933</v>
      </c>
      <c r="M49">
        <f t="shared" ca="1" si="1"/>
        <v>12.525806789940836</v>
      </c>
    </row>
    <row r="50" spans="1:13" x14ac:dyDescent="0.2">
      <c r="A50" t="s">
        <v>116</v>
      </c>
      <c r="B50" t="s">
        <v>54</v>
      </c>
      <c r="C50">
        <f t="shared" si="2"/>
        <v>1E+27</v>
      </c>
      <c r="D50" t="s">
        <v>123</v>
      </c>
      <c r="E50" t="s">
        <v>46</v>
      </c>
      <c r="G50" t="s">
        <v>126</v>
      </c>
      <c r="H50">
        <v>11.739393952</v>
      </c>
      <c r="I50">
        <v>13.003636377599999</v>
      </c>
      <c r="J50" t="str">
        <f t="shared" si="0"/>
        <v>Hamburg</v>
      </c>
      <c r="K50">
        <v>53.535968158033199</v>
      </c>
      <c r="L50">
        <v>9.9136926358182507</v>
      </c>
      <c r="M50">
        <f t="shared" ca="1" si="1"/>
        <v>12.081984337322423</v>
      </c>
    </row>
    <row r="51" spans="1:13" x14ac:dyDescent="0.2">
      <c r="A51" t="s">
        <v>3</v>
      </c>
      <c r="B51" t="s">
        <v>55</v>
      </c>
      <c r="C51">
        <f t="shared" si="2"/>
        <v>1E+27</v>
      </c>
      <c r="D51" t="s">
        <v>39</v>
      </c>
      <c r="E51" t="s">
        <v>52</v>
      </c>
      <c r="G51" t="s">
        <v>34</v>
      </c>
      <c r="H51">
        <v>2.8881679999999998</v>
      </c>
      <c r="I51">
        <v>3.0770624</v>
      </c>
      <c r="J51" t="str">
        <f t="shared" si="0"/>
        <v>Shanghai</v>
      </c>
      <c r="K51">
        <v>30.647071</v>
      </c>
      <c r="L51">
        <v>122.06092099999999</v>
      </c>
      <c r="M51">
        <f t="shared" ca="1" si="1"/>
        <v>3.0753251179881813</v>
      </c>
    </row>
    <row r="52" spans="1:13" x14ac:dyDescent="0.2">
      <c r="A52" t="s">
        <v>128</v>
      </c>
      <c r="B52" t="s">
        <v>55</v>
      </c>
      <c r="C52">
        <f t="shared" si="2"/>
        <v>1E+27</v>
      </c>
      <c r="D52" t="s">
        <v>39</v>
      </c>
      <c r="E52" t="s">
        <v>41</v>
      </c>
      <c r="G52" t="s">
        <v>34</v>
      </c>
      <c r="H52">
        <v>16.541325826058639</v>
      </c>
      <c r="I52">
        <v>17.623175572028352</v>
      </c>
      <c r="J52" t="str">
        <f t="shared" si="0"/>
        <v>Long Beach</v>
      </c>
      <c r="K52">
        <v>33.755870149763098</v>
      </c>
      <c r="L52">
        <v>-118.219371829129</v>
      </c>
      <c r="M52">
        <f t="shared" ca="1" si="1"/>
        <v>16.65336336127956</v>
      </c>
    </row>
    <row r="53" spans="1:13" x14ac:dyDescent="0.2">
      <c r="A53" t="s">
        <v>18</v>
      </c>
      <c r="B53" t="s">
        <v>55</v>
      </c>
      <c r="C53">
        <f t="shared" si="2"/>
        <v>1E+27</v>
      </c>
      <c r="D53" t="s">
        <v>39</v>
      </c>
      <c r="E53" t="s">
        <v>49</v>
      </c>
      <c r="G53" t="s">
        <v>34</v>
      </c>
      <c r="H53">
        <v>11.640192241549039</v>
      </c>
      <c r="I53">
        <v>12.401493914219071</v>
      </c>
      <c r="J53" t="str">
        <f t="shared" si="0"/>
        <v>Kaohsiung</v>
      </c>
      <c r="K53">
        <v>22.598928999999998</v>
      </c>
      <c r="L53">
        <v>120.288443</v>
      </c>
      <c r="M53">
        <f t="shared" ca="1" si="1"/>
        <v>12.327008750127559</v>
      </c>
    </row>
    <row r="54" spans="1:13" x14ac:dyDescent="0.2">
      <c r="A54" t="s">
        <v>19</v>
      </c>
      <c r="B54" t="s">
        <v>55</v>
      </c>
      <c r="C54">
        <f t="shared" si="2"/>
        <v>1E+27</v>
      </c>
      <c r="D54" t="s">
        <v>39</v>
      </c>
      <c r="E54" t="s">
        <v>48</v>
      </c>
      <c r="G54" t="s">
        <v>34</v>
      </c>
      <c r="H54">
        <v>12.690435140137518</v>
      </c>
      <c r="I54">
        <v>13.520425684847936</v>
      </c>
      <c r="J54" t="str">
        <f t="shared" si="0"/>
        <v>Penang</v>
      </c>
      <c r="K54">
        <v>5.4099170000000001</v>
      </c>
      <c r="L54">
        <v>100.367816</v>
      </c>
      <c r="M54">
        <f t="shared" ca="1" si="1"/>
        <v>12.799218871124703</v>
      </c>
    </row>
    <row r="55" spans="1:13" x14ac:dyDescent="0.2">
      <c r="A55" t="s">
        <v>127</v>
      </c>
      <c r="B55" t="s">
        <v>55</v>
      </c>
      <c r="C55">
        <f t="shared" si="2"/>
        <v>1E+27</v>
      </c>
      <c r="D55" t="s">
        <v>39</v>
      </c>
      <c r="E55" t="s">
        <v>49</v>
      </c>
      <c r="G55" t="s">
        <v>34</v>
      </c>
      <c r="H55">
        <v>15.053481690843279</v>
      </c>
      <c r="I55">
        <v>16.038022199533504</v>
      </c>
      <c r="J55" t="str">
        <f t="shared" si="0"/>
        <v>Cat Lai</v>
      </c>
      <c r="K55">
        <v>10.761395946219899</v>
      </c>
      <c r="L55">
        <v>106.797291196128</v>
      </c>
      <c r="M55">
        <f t="shared" ca="1" si="1"/>
        <v>15.799935026112578</v>
      </c>
    </row>
    <row r="56" spans="1:13" x14ac:dyDescent="0.2">
      <c r="A56" t="s">
        <v>120</v>
      </c>
      <c r="B56" t="s">
        <v>55</v>
      </c>
      <c r="C56">
        <f t="shared" si="2"/>
        <v>1E+27</v>
      </c>
      <c r="D56" t="s">
        <v>39</v>
      </c>
      <c r="E56" t="s">
        <v>50</v>
      </c>
      <c r="G56" t="s">
        <v>34</v>
      </c>
      <c r="H56">
        <v>13.828198309156718</v>
      </c>
      <c r="I56">
        <v>14.732601800466496</v>
      </c>
      <c r="J56" t="str">
        <f t="shared" si="0"/>
        <v>Busan</v>
      </c>
      <c r="K56">
        <v>35.103242364814001</v>
      </c>
      <c r="L56">
        <v>129.041018302933</v>
      </c>
      <c r="M56">
        <f t="shared" ca="1" si="1"/>
        <v>14.044666197013912</v>
      </c>
    </row>
    <row r="57" spans="1:13" x14ac:dyDescent="0.2">
      <c r="A57" t="s">
        <v>116</v>
      </c>
      <c r="B57" t="s">
        <v>55</v>
      </c>
      <c r="C57">
        <f t="shared" si="2"/>
        <v>1E+27</v>
      </c>
      <c r="D57" t="s">
        <v>39</v>
      </c>
      <c r="E57" t="s">
        <v>51</v>
      </c>
      <c r="G57" t="s">
        <v>34</v>
      </c>
      <c r="H57">
        <v>13.040516135215359</v>
      </c>
      <c r="I57">
        <v>13.893402972494847</v>
      </c>
      <c r="J57" t="str">
        <f t="shared" si="0"/>
        <v>Hamburg</v>
      </c>
      <c r="K57">
        <v>53.535968158033199</v>
      </c>
      <c r="L57">
        <v>9.9136926358182507</v>
      </c>
      <c r="M57">
        <f t="shared" ca="1" si="1"/>
        <v>13.302896665464882</v>
      </c>
    </row>
    <row r="58" spans="1:13" x14ac:dyDescent="0.2">
      <c r="A58" t="s">
        <v>3</v>
      </c>
      <c r="B58" t="s">
        <v>57</v>
      </c>
      <c r="C58">
        <f t="shared" si="2"/>
        <v>1E+27</v>
      </c>
      <c r="D58" t="s">
        <v>39</v>
      </c>
      <c r="E58" t="s">
        <v>44</v>
      </c>
      <c r="G58" t="s">
        <v>34</v>
      </c>
      <c r="H58">
        <v>1.3</v>
      </c>
      <c r="I58">
        <v>1.5</v>
      </c>
      <c r="J58" t="str">
        <f t="shared" si="0"/>
        <v>Shanghai</v>
      </c>
      <c r="K58">
        <v>30.647071</v>
      </c>
      <c r="L58">
        <v>122.06092099999999</v>
      </c>
      <c r="M58">
        <f t="shared" ca="1" si="1"/>
        <v>1.351281277644977</v>
      </c>
    </row>
    <row r="59" spans="1:13" x14ac:dyDescent="0.2">
      <c r="A59" t="s">
        <v>128</v>
      </c>
      <c r="B59" t="s">
        <v>57</v>
      </c>
      <c r="C59">
        <f t="shared" si="2"/>
        <v>1E+27</v>
      </c>
      <c r="D59" t="s">
        <v>39</v>
      </c>
      <c r="E59" t="s">
        <v>41</v>
      </c>
      <c r="G59" t="s">
        <v>34</v>
      </c>
      <c r="H59">
        <v>7.4454545490000008</v>
      </c>
      <c r="I59">
        <v>8.5909090950000007</v>
      </c>
      <c r="J59" t="str">
        <f t="shared" si="0"/>
        <v>Long Beach</v>
      </c>
      <c r="K59">
        <v>33.755870149763098</v>
      </c>
      <c r="L59">
        <v>-118.219371829129</v>
      </c>
      <c r="M59">
        <f t="shared" ca="1" si="1"/>
        <v>7.5814500478302698</v>
      </c>
    </row>
    <row r="60" spans="1:13" x14ac:dyDescent="0.2">
      <c r="A60" t="s">
        <v>18</v>
      </c>
      <c r="B60" t="s">
        <v>57</v>
      </c>
      <c r="C60">
        <f t="shared" si="2"/>
        <v>1E+27</v>
      </c>
      <c r="D60" t="s">
        <v>39</v>
      </c>
      <c r="E60" t="s">
        <v>48</v>
      </c>
      <c r="G60" t="s">
        <v>34</v>
      </c>
      <c r="H60">
        <v>5.2393939390000002</v>
      </c>
      <c r="I60">
        <v>6.0454545450000001</v>
      </c>
      <c r="J60" t="str">
        <f t="shared" si="0"/>
        <v>Kaohsiung</v>
      </c>
      <c r="K60">
        <v>22.598928999999998</v>
      </c>
      <c r="L60">
        <v>120.288443</v>
      </c>
      <c r="M60">
        <f t="shared" ca="1" si="1"/>
        <v>5.8492031476498969</v>
      </c>
    </row>
    <row r="61" spans="1:13" x14ac:dyDescent="0.2">
      <c r="A61" t="s">
        <v>19</v>
      </c>
      <c r="B61" t="s">
        <v>57</v>
      </c>
      <c r="C61">
        <f t="shared" si="2"/>
        <v>1E+27</v>
      </c>
      <c r="D61" t="s">
        <v>39</v>
      </c>
      <c r="E61" t="s">
        <v>46</v>
      </c>
      <c r="G61" t="s">
        <v>34</v>
      </c>
      <c r="H61">
        <v>5.712121207</v>
      </c>
      <c r="I61">
        <v>6.5909090849999998</v>
      </c>
      <c r="J61" t="str">
        <f t="shared" si="0"/>
        <v>Penang</v>
      </c>
      <c r="K61">
        <v>5.4099170000000001</v>
      </c>
      <c r="L61">
        <v>100.367816</v>
      </c>
      <c r="M61">
        <f t="shared" ca="1" si="1"/>
        <v>6.0130465840108824</v>
      </c>
    </row>
    <row r="62" spans="1:13" x14ac:dyDescent="0.2">
      <c r="A62" t="s">
        <v>127</v>
      </c>
      <c r="B62" t="s">
        <v>57</v>
      </c>
      <c r="C62">
        <f t="shared" si="2"/>
        <v>1E+27</v>
      </c>
      <c r="D62" t="s">
        <v>39</v>
      </c>
      <c r="E62" t="s">
        <v>47</v>
      </c>
      <c r="G62" t="s">
        <v>34</v>
      </c>
      <c r="H62">
        <v>6.7757575730000008</v>
      </c>
      <c r="I62">
        <v>7.8181818150000009</v>
      </c>
      <c r="J62" t="str">
        <f t="shared" si="0"/>
        <v>Cat Lai</v>
      </c>
      <c r="K62">
        <v>10.761395946219899</v>
      </c>
      <c r="L62">
        <v>106.797291196128</v>
      </c>
      <c r="M62">
        <f t="shared" ca="1" si="1"/>
        <v>6.9368579947292854</v>
      </c>
    </row>
    <row r="63" spans="1:13" x14ac:dyDescent="0.2">
      <c r="A63" t="s">
        <v>120</v>
      </c>
      <c r="B63" t="s">
        <v>57</v>
      </c>
      <c r="C63">
        <f t="shared" si="2"/>
        <v>1E+27</v>
      </c>
      <c r="D63" t="s">
        <v>39</v>
      </c>
      <c r="E63" t="s">
        <v>48</v>
      </c>
      <c r="G63" t="s">
        <v>34</v>
      </c>
      <c r="H63">
        <v>6.2242424270000001</v>
      </c>
      <c r="I63">
        <v>7.1818181849999991</v>
      </c>
      <c r="J63" t="str">
        <f t="shared" si="0"/>
        <v>Busan</v>
      </c>
      <c r="K63">
        <v>35.103242364814001</v>
      </c>
      <c r="L63">
        <v>129.041018302933</v>
      </c>
      <c r="M63">
        <f t="shared" ca="1" si="1"/>
        <v>7.0559761917143904</v>
      </c>
    </row>
    <row r="64" spans="1:13" x14ac:dyDescent="0.2">
      <c r="A64" t="s">
        <v>116</v>
      </c>
      <c r="B64" t="s">
        <v>57</v>
      </c>
      <c r="C64">
        <f t="shared" si="2"/>
        <v>1E+27</v>
      </c>
      <c r="D64" t="s">
        <v>39</v>
      </c>
      <c r="E64" t="s">
        <v>49</v>
      </c>
      <c r="G64" t="s">
        <v>34</v>
      </c>
      <c r="H64">
        <v>5.8696969760000002</v>
      </c>
      <c r="I64">
        <v>6.7727272799999998</v>
      </c>
      <c r="J64" t="str">
        <f t="shared" si="0"/>
        <v>Hamburg</v>
      </c>
      <c r="K64">
        <v>53.535968158033199</v>
      </c>
      <c r="L64">
        <v>9.9136926358182507</v>
      </c>
      <c r="M64">
        <f t="shared" ca="1" si="1"/>
        <v>6.617058035532863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5C22-9DE1-E14C-AC26-DFD036E37569}">
  <sheetPr codeName="Sheet3"/>
  <dimension ref="A1:T31"/>
  <sheetViews>
    <sheetView zoomScale="133" workbookViewId="0">
      <selection activeCell="A2" sqref="A2"/>
    </sheetView>
  </sheetViews>
  <sheetFormatPr baseColWidth="10" defaultRowHeight="16" x14ac:dyDescent="0.2"/>
  <cols>
    <col min="1" max="1" width="16.6640625" customWidth="1"/>
    <col min="2" max="2" width="15" customWidth="1"/>
    <col min="3" max="3" width="11.1640625" bestFit="1" customWidth="1"/>
    <col min="4" max="4" width="12" customWidth="1"/>
    <col min="5" max="5" width="19.6640625" bestFit="1" customWidth="1"/>
    <col min="6" max="6" width="17.1640625" customWidth="1"/>
    <col min="7" max="7" width="24.33203125" customWidth="1"/>
    <col min="8" max="8" width="24.83203125" customWidth="1"/>
    <col min="9" max="9" width="17.5" customWidth="1"/>
    <col min="10" max="10" width="24.83203125" customWidth="1"/>
    <col min="11" max="11" width="25.33203125" customWidth="1"/>
    <col min="12" max="12" width="18.6640625" customWidth="1"/>
    <col min="13" max="13" width="26" customWidth="1"/>
    <col min="14" max="14" width="26.6640625" customWidth="1"/>
    <col min="15" max="15" width="15.5" customWidth="1"/>
    <col min="16" max="16" width="23" customWidth="1"/>
    <col min="17" max="17" width="23.5" customWidth="1"/>
    <col min="18" max="18" width="23.33203125" customWidth="1"/>
    <col min="19" max="19" width="12.83203125" customWidth="1"/>
    <col min="20" max="20" width="12.1640625" bestFit="1" customWidth="1"/>
    <col min="21" max="21" width="12" customWidth="1"/>
  </cols>
  <sheetData>
    <row r="1" spans="1:20" s="1" customFormat="1" ht="19" x14ac:dyDescent="0.25">
      <c r="A1" s="1" t="s">
        <v>21</v>
      </c>
      <c r="B1" s="1" t="s">
        <v>87</v>
      </c>
      <c r="C1" s="1" t="s">
        <v>0</v>
      </c>
      <c r="D1" s="1" t="s">
        <v>32</v>
      </c>
      <c r="E1" s="1" t="s">
        <v>118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33</v>
      </c>
      <c r="S1" s="1" t="s">
        <v>8</v>
      </c>
      <c r="T1" s="1" t="s">
        <v>9</v>
      </c>
    </row>
    <row r="2" spans="1:20" x14ac:dyDescent="0.2">
      <c r="A2" t="s">
        <v>141</v>
      </c>
      <c r="B2">
        <f>((SUM(National_Market!$C$2:$C$54)+SUM(International_Market!$C$2:$C$3))/$R$2)</f>
        <v>599999999.99999988</v>
      </c>
      <c r="C2">
        <f>B2+1380</f>
        <v>600001379.99999988</v>
      </c>
      <c r="D2">
        <f>(0.064*((B2/1000000000)^-0.37))*B2</f>
        <v>46389026.823319495</v>
      </c>
      <c r="E2">
        <v>1</v>
      </c>
      <c r="G2" s="13">
        <v>52122</v>
      </c>
      <c r="H2" s="13">
        <v>61812</v>
      </c>
      <c r="J2" s="13">
        <v>49892</v>
      </c>
      <c r="K2" s="13">
        <v>65869</v>
      </c>
      <c r="M2">
        <v>86062.5</v>
      </c>
      <c r="N2">
        <v>109437.5</v>
      </c>
      <c r="P2">
        <v>10.981999999999999</v>
      </c>
      <c r="Q2">
        <v>12.92</v>
      </c>
      <c r="R2">
        <v>1</v>
      </c>
      <c r="S2">
        <v>-32.934047999999997</v>
      </c>
      <c r="T2">
        <v>151.761807</v>
      </c>
    </row>
    <row r="3" spans="1:20" x14ac:dyDescent="0.2">
      <c r="G3" s="9"/>
      <c r="S3" s="4"/>
      <c r="T3" s="4"/>
    </row>
    <row r="4" spans="1:20" x14ac:dyDescent="0.2">
      <c r="G4" s="9"/>
      <c r="P4" s="13"/>
    </row>
    <row r="5" spans="1:20" x14ac:dyDescent="0.2">
      <c r="G5" s="9"/>
    </row>
    <row r="7" spans="1:20" x14ac:dyDescent="0.2">
      <c r="G7" s="9"/>
    </row>
    <row r="8" spans="1:20" x14ac:dyDescent="0.2">
      <c r="G8" s="9"/>
    </row>
    <row r="9" spans="1:20" x14ac:dyDescent="0.2">
      <c r="G9" s="9"/>
    </row>
    <row r="10" spans="1:20" x14ac:dyDescent="0.2">
      <c r="G10" s="9"/>
    </row>
    <row r="11" spans="1:20" x14ac:dyDescent="0.2">
      <c r="G11" s="9"/>
    </row>
    <row r="12" spans="1:20" x14ac:dyDescent="0.2">
      <c r="G12" s="9"/>
    </row>
    <row r="13" spans="1:20" x14ac:dyDescent="0.2">
      <c r="G13" s="9"/>
    </row>
    <row r="14" spans="1:20" x14ac:dyDescent="0.2">
      <c r="G14" s="9"/>
    </row>
    <row r="15" spans="1:20" x14ac:dyDescent="0.2">
      <c r="G15" s="9"/>
    </row>
    <row r="16" spans="1:20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  <row r="22" spans="7:7" x14ac:dyDescent="0.2">
      <c r="G22" s="9"/>
    </row>
    <row r="23" spans="7:7" x14ac:dyDescent="0.2">
      <c r="G23" s="9"/>
    </row>
    <row r="24" spans="7:7" x14ac:dyDescent="0.2">
      <c r="G24" s="9"/>
    </row>
    <row r="25" spans="7:7" x14ac:dyDescent="0.2">
      <c r="G25" s="9"/>
    </row>
    <row r="26" spans="7:7" x14ac:dyDescent="0.2">
      <c r="G26" s="9"/>
    </row>
    <row r="27" spans="7:7" x14ac:dyDescent="0.2">
      <c r="G27" s="9"/>
    </row>
    <row r="28" spans="7:7" x14ac:dyDescent="0.2">
      <c r="G28" s="9"/>
    </row>
    <row r="29" spans="7:7" x14ac:dyDescent="0.2">
      <c r="G29" s="9"/>
    </row>
    <row r="30" spans="7:7" x14ac:dyDescent="0.2">
      <c r="G30" s="9"/>
    </row>
    <row r="31" spans="7:7" x14ac:dyDescent="0.2">
      <c r="G31" s="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C5C7-F0D9-CB4D-90A1-58507CE45A9C}">
  <sheetPr codeName="Sheet4"/>
  <dimension ref="A1:H9"/>
  <sheetViews>
    <sheetView zoomScale="150" workbookViewId="0">
      <selection activeCell="A2" sqref="A2"/>
    </sheetView>
  </sheetViews>
  <sheetFormatPr baseColWidth="10" defaultRowHeight="16" x14ac:dyDescent="0.2"/>
  <cols>
    <col min="1" max="1" width="25" bestFit="1" customWidth="1"/>
    <col min="2" max="2" width="8" customWidth="1"/>
    <col min="3" max="4" width="10.83203125" customWidth="1"/>
    <col min="5" max="5" width="17.33203125" customWidth="1"/>
    <col min="6" max="6" width="16.83203125" customWidth="1"/>
  </cols>
  <sheetData>
    <row r="1" spans="1:8" s="1" customFormat="1" ht="19" x14ac:dyDescent="0.25">
      <c r="A1" s="1" t="s">
        <v>30</v>
      </c>
      <c r="B1" s="1" t="s">
        <v>11</v>
      </c>
      <c r="C1" s="1" t="s">
        <v>23</v>
      </c>
      <c r="D1" s="1" t="s">
        <v>5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">
      <c r="A2" t="s">
        <v>142</v>
      </c>
      <c r="B2" t="s">
        <v>44</v>
      </c>
      <c r="C2">
        <v>60000000</v>
      </c>
      <c r="D2" t="s">
        <v>31</v>
      </c>
      <c r="G2" s="4">
        <v>-27.469010999999998</v>
      </c>
      <c r="H2" s="4">
        <v>153.02633800000001</v>
      </c>
    </row>
    <row r="3" spans="1:8" x14ac:dyDescent="0.2">
      <c r="A3" t="s">
        <v>142</v>
      </c>
      <c r="B3" t="s">
        <v>49</v>
      </c>
      <c r="C3">
        <v>75000000</v>
      </c>
      <c r="D3" t="s">
        <v>31</v>
      </c>
      <c r="G3">
        <v>-27.469010999999998</v>
      </c>
      <c r="H3">
        <v>153.02633800000001</v>
      </c>
    </row>
    <row r="4" spans="1:8" x14ac:dyDescent="0.2">
      <c r="A4" t="s">
        <v>143</v>
      </c>
      <c r="B4" t="s">
        <v>42</v>
      </c>
      <c r="C4">
        <v>49999999.99999997</v>
      </c>
      <c r="D4" t="s">
        <v>31</v>
      </c>
      <c r="G4">
        <v>-37.813727</v>
      </c>
      <c r="H4">
        <v>144.963155</v>
      </c>
    </row>
    <row r="5" spans="1:8" x14ac:dyDescent="0.2">
      <c r="A5" t="s">
        <v>143</v>
      </c>
      <c r="B5" t="s">
        <v>44</v>
      </c>
      <c r="C5">
        <v>60000000</v>
      </c>
      <c r="D5" t="s">
        <v>31</v>
      </c>
      <c r="G5">
        <v>-37.813727</v>
      </c>
      <c r="H5">
        <v>144.963155</v>
      </c>
    </row>
    <row r="6" spans="1:8" x14ac:dyDescent="0.2">
      <c r="A6" t="s">
        <v>144</v>
      </c>
      <c r="B6" t="s">
        <v>43</v>
      </c>
      <c r="C6">
        <v>99999999.99999994</v>
      </c>
      <c r="D6" t="s">
        <v>31</v>
      </c>
      <c r="G6">
        <v>-33.859774000000002</v>
      </c>
      <c r="H6">
        <v>151.205172</v>
      </c>
    </row>
    <row r="7" spans="1:8" x14ac:dyDescent="0.2">
      <c r="A7" t="s">
        <v>144</v>
      </c>
      <c r="B7" t="s">
        <v>46</v>
      </c>
      <c r="C7">
        <v>80000000.00000003</v>
      </c>
      <c r="D7" t="s">
        <v>31</v>
      </c>
      <c r="G7">
        <v>-33.859774000000002</v>
      </c>
      <c r="H7">
        <v>151.205172</v>
      </c>
    </row>
    <row r="8" spans="1:8" x14ac:dyDescent="0.2">
      <c r="A8" t="s">
        <v>145</v>
      </c>
      <c r="B8" t="s">
        <v>49</v>
      </c>
      <c r="C8">
        <v>89999999.999999985</v>
      </c>
      <c r="D8" t="s">
        <v>31</v>
      </c>
      <c r="G8">
        <v>-34.931458999999997</v>
      </c>
      <c r="H8">
        <v>138.59927200000001</v>
      </c>
    </row>
    <row r="9" spans="1:8" x14ac:dyDescent="0.2">
      <c r="A9" t="s">
        <v>146</v>
      </c>
      <c r="B9" t="s">
        <v>48</v>
      </c>
      <c r="C9">
        <v>85000000</v>
      </c>
      <c r="D9" t="s">
        <v>31</v>
      </c>
      <c r="G9">
        <v>-31.950617999999999</v>
      </c>
      <c r="H9">
        <v>115.86047499999999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239-1A9C-7743-A4A4-D7F7B242E381}">
  <sheetPr codeName="Sheet6"/>
  <dimension ref="A1:H3"/>
  <sheetViews>
    <sheetView zoomScale="130" zoomScaleNormal="130" workbookViewId="0">
      <selection activeCell="C2" sqref="C2:C3"/>
    </sheetView>
  </sheetViews>
  <sheetFormatPr baseColWidth="10" defaultRowHeight="16" x14ac:dyDescent="0.2"/>
  <cols>
    <col min="1" max="1" width="25" bestFit="1" customWidth="1"/>
  </cols>
  <sheetData>
    <row r="1" spans="1:8" ht="19" x14ac:dyDescent="0.25">
      <c r="A1" s="1" t="s">
        <v>114</v>
      </c>
      <c r="B1" s="1" t="s">
        <v>11</v>
      </c>
      <c r="C1" s="1" t="s">
        <v>23</v>
      </c>
      <c r="D1" s="1" t="s">
        <v>5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">
      <c r="A2" t="s">
        <v>115</v>
      </c>
      <c r="B2" t="s">
        <v>44</v>
      </c>
      <c r="C2">
        <v>0</v>
      </c>
      <c r="D2" t="s">
        <v>31</v>
      </c>
      <c r="G2" s="4">
        <v>-27.469010999999998</v>
      </c>
      <c r="H2" s="4">
        <v>153.02633800000001</v>
      </c>
    </row>
    <row r="3" spans="1:8" x14ac:dyDescent="0.2">
      <c r="A3" t="s">
        <v>116</v>
      </c>
      <c r="B3" t="s">
        <v>49</v>
      </c>
      <c r="C3">
        <v>0</v>
      </c>
      <c r="D3" t="s">
        <v>31</v>
      </c>
      <c r="G3">
        <v>-27.469010999999998</v>
      </c>
      <c r="H3">
        <v>153.02633800000001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1A7-584A-8B49-9803-62710869ADE8}">
  <sheetPr codeName="Sheet7"/>
  <dimension ref="A1:C7"/>
  <sheetViews>
    <sheetView zoomScale="217" zoomScaleNormal="217" workbookViewId="0">
      <selection activeCell="B5" sqref="B5"/>
    </sheetView>
  </sheetViews>
  <sheetFormatPr baseColWidth="10" defaultRowHeight="16" x14ac:dyDescent="0.2"/>
  <cols>
    <col min="1" max="1" width="19.5" bestFit="1" customWidth="1"/>
    <col min="2" max="2" width="5.83203125" bestFit="1" customWidth="1"/>
  </cols>
  <sheetData>
    <row r="1" spans="1:3" s="1" customFormat="1" ht="19" x14ac:dyDescent="0.25">
      <c r="A1" s="1" t="s">
        <v>106</v>
      </c>
      <c r="B1" s="1" t="s">
        <v>107</v>
      </c>
    </row>
    <row r="2" spans="1:3" x14ac:dyDescent="0.2">
      <c r="A2" t="s">
        <v>108</v>
      </c>
      <c r="B2" s="8">
        <v>0</v>
      </c>
    </row>
    <row r="3" spans="1:3" x14ac:dyDescent="0.2">
      <c r="A3" t="s">
        <v>109</v>
      </c>
      <c r="B3" s="8">
        <v>0</v>
      </c>
    </row>
    <row r="4" spans="1:3" x14ac:dyDescent="0.2">
      <c r="A4" t="s">
        <v>110</v>
      </c>
      <c r="B4" s="8">
        <v>0</v>
      </c>
    </row>
    <row r="5" spans="1:3" x14ac:dyDescent="0.2">
      <c r="A5" t="s">
        <v>111</v>
      </c>
      <c r="B5" s="9">
        <v>0</v>
      </c>
      <c r="C5" t="s">
        <v>112</v>
      </c>
    </row>
    <row r="6" spans="1:3" x14ac:dyDescent="0.2">
      <c r="A6" t="s">
        <v>113</v>
      </c>
      <c r="B6" s="9">
        <v>0</v>
      </c>
    </row>
    <row r="7" spans="1:3" x14ac:dyDescent="0.2">
      <c r="A7" t="s">
        <v>117</v>
      </c>
      <c r="B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C5BE-10D9-7D44-8823-AA9861C7EE84}">
  <sheetPr codeName="Sheet8"/>
  <dimension ref="A1:H10"/>
  <sheetViews>
    <sheetView zoomScale="177" workbookViewId="0">
      <selection activeCell="B2" sqref="B2"/>
    </sheetView>
  </sheetViews>
  <sheetFormatPr baseColWidth="10" defaultRowHeight="16" x14ac:dyDescent="0.2"/>
  <cols>
    <col min="1" max="1" width="23.83203125" bestFit="1" customWidth="1"/>
    <col min="2" max="2" width="15.1640625" bestFit="1" customWidth="1"/>
    <col min="4" max="4" width="18.5" bestFit="1" customWidth="1"/>
  </cols>
  <sheetData>
    <row r="1" spans="1:8" s="1" customFormat="1" ht="19" x14ac:dyDescent="0.25">
      <c r="A1" s="1" t="s">
        <v>17</v>
      </c>
      <c r="B1" s="1" t="s">
        <v>79</v>
      </c>
      <c r="C1" s="1" t="s">
        <v>5</v>
      </c>
      <c r="D1" s="1" t="s">
        <v>88</v>
      </c>
      <c r="E1" s="1" t="s">
        <v>5</v>
      </c>
      <c r="F1" s="1" t="s">
        <v>138</v>
      </c>
      <c r="G1" s="1" t="s">
        <v>140</v>
      </c>
      <c r="H1" s="1" t="s">
        <v>139</v>
      </c>
    </row>
    <row r="2" spans="1:8" x14ac:dyDescent="0.2">
      <c r="A2" t="str" cm="1">
        <f t="array" ref="A2:A10">_xlfn.UNIQUE(Suppliers!B2:B61)</f>
        <v>Cell</v>
      </c>
      <c r="B2">
        <f ca="1">ROUND(RAND()*(H2-G2)+G2,0)</f>
        <v>1048360</v>
      </c>
      <c r="C2" t="s">
        <v>39</v>
      </c>
      <c r="D2">
        <v>60</v>
      </c>
      <c r="E2" t="s">
        <v>39</v>
      </c>
      <c r="F2">
        <v>1117200</v>
      </c>
      <c r="G2">
        <f>F2*0.85</f>
        <v>949620</v>
      </c>
      <c r="H2">
        <f>F2*1.15</f>
        <v>1284780</v>
      </c>
    </row>
    <row r="3" spans="1:8" x14ac:dyDescent="0.2">
      <c r="A3" t="str">
        <v>Module</v>
      </c>
      <c r="B3">
        <f t="shared" ref="B3:B10" ca="1" si="0">ROUND(RAND()*(H3-G3)+G3,0)</f>
        <v>846</v>
      </c>
      <c r="C3" t="s">
        <v>39</v>
      </c>
      <c r="D3" t="s">
        <v>58</v>
      </c>
      <c r="F3">
        <v>840</v>
      </c>
      <c r="G3">
        <f>F3*0.95</f>
        <v>798</v>
      </c>
      <c r="H3">
        <f>F3*1.05</f>
        <v>882</v>
      </c>
    </row>
    <row r="4" spans="1:8" x14ac:dyDescent="0.2">
      <c r="A4" t="str">
        <v>Aluminium</v>
      </c>
      <c r="B4">
        <f t="shared" ca="1" si="0"/>
        <v>27511</v>
      </c>
      <c r="C4" t="s">
        <v>2</v>
      </c>
      <c r="F4">
        <v>24000</v>
      </c>
      <c r="G4">
        <f t="shared" ref="G4:G10" si="1">F4*0.85</f>
        <v>20400</v>
      </c>
      <c r="H4">
        <f t="shared" ref="H4:H10" si="2">F4*1.15</f>
        <v>27599.999999999996</v>
      </c>
    </row>
    <row r="5" spans="1:8" x14ac:dyDescent="0.2">
      <c r="A5" t="str">
        <v>JunctionBox</v>
      </c>
      <c r="B5">
        <f t="shared" ca="1" si="0"/>
        <v>38849</v>
      </c>
      <c r="C5" t="s">
        <v>39</v>
      </c>
      <c r="D5">
        <v>1</v>
      </c>
      <c r="E5" t="s">
        <v>39</v>
      </c>
      <c r="F5">
        <v>36000</v>
      </c>
      <c r="G5">
        <f t="shared" si="1"/>
        <v>30600</v>
      </c>
      <c r="H5">
        <f t="shared" si="2"/>
        <v>41400</v>
      </c>
    </row>
    <row r="6" spans="1:8" x14ac:dyDescent="0.2">
      <c r="A6" t="str">
        <v>EVA</v>
      </c>
      <c r="B6">
        <f t="shared" ca="1" si="0"/>
        <v>70691</v>
      </c>
      <c r="C6" t="s">
        <v>56</v>
      </c>
      <c r="F6">
        <v>64800</v>
      </c>
      <c r="G6">
        <f t="shared" si="1"/>
        <v>55080</v>
      </c>
      <c r="H6">
        <f t="shared" si="2"/>
        <v>74520</v>
      </c>
    </row>
    <row r="7" spans="1:8" x14ac:dyDescent="0.2">
      <c r="A7" t="str">
        <v>Backsheet</v>
      </c>
      <c r="B7">
        <f t="shared" ca="1" si="0"/>
        <v>55111</v>
      </c>
      <c r="C7" t="s">
        <v>56</v>
      </c>
      <c r="F7">
        <v>64800</v>
      </c>
      <c r="G7">
        <f t="shared" si="1"/>
        <v>55080</v>
      </c>
      <c r="H7">
        <f t="shared" si="2"/>
        <v>74520</v>
      </c>
    </row>
    <row r="8" spans="1:8" x14ac:dyDescent="0.2">
      <c r="A8" t="str">
        <v>Glass</v>
      </c>
      <c r="B8">
        <f t="shared" ca="1" si="0"/>
        <v>2668</v>
      </c>
      <c r="C8" t="s">
        <v>56</v>
      </c>
      <c r="F8">
        <v>2916</v>
      </c>
      <c r="G8">
        <f t="shared" si="1"/>
        <v>2478.6</v>
      </c>
      <c r="H8">
        <f t="shared" si="2"/>
        <v>3353.3999999999996</v>
      </c>
    </row>
    <row r="9" spans="1:8" x14ac:dyDescent="0.2">
      <c r="A9" t="str">
        <v>TabbingsStringingRibbons</v>
      </c>
      <c r="B9">
        <f t="shared" ca="1" si="0"/>
        <v>23934</v>
      </c>
      <c r="C9" t="s">
        <v>2</v>
      </c>
      <c r="F9">
        <v>25365</v>
      </c>
      <c r="G9">
        <f t="shared" si="1"/>
        <v>21560.25</v>
      </c>
      <c r="H9">
        <f t="shared" si="2"/>
        <v>29169.749999999996</v>
      </c>
    </row>
    <row r="10" spans="1:8" x14ac:dyDescent="0.2">
      <c r="A10" t="str">
        <v>SealantPottingTapeStickers</v>
      </c>
      <c r="B10">
        <f t="shared" ca="1" si="0"/>
        <v>26316</v>
      </c>
      <c r="C10" t="s">
        <v>2</v>
      </c>
      <c r="F10">
        <v>25365</v>
      </c>
      <c r="G10">
        <f t="shared" si="1"/>
        <v>21560.25</v>
      </c>
      <c r="H10">
        <f t="shared" si="2"/>
        <v>29169.749999999996</v>
      </c>
    </row>
  </sheetData>
  <pageMargins left="0.7" right="0.7" top="0.75" bottom="0.75" header="0.3" footer="0.3"/>
  <ignoredErrors>
    <ignoredError sqref="G3:H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A7EE-9156-3644-8B18-76E31490FDC9}">
  <sheetPr codeName="Sheet9"/>
  <dimension ref="A1:Z57"/>
  <sheetViews>
    <sheetView topLeftCell="L1" zoomScale="130" zoomScaleNormal="130" workbookViewId="0">
      <selection activeCell="AA20" sqref="AA20"/>
    </sheetView>
  </sheetViews>
  <sheetFormatPr baseColWidth="10" defaultRowHeight="16" x14ac:dyDescent="0.2"/>
  <cols>
    <col min="1" max="1" width="17.33203125" bestFit="1" customWidth="1"/>
    <col min="2" max="2" width="23.83203125" bestFit="1" customWidth="1"/>
    <col min="3" max="3" width="22.1640625" customWidth="1"/>
    <col min="4" max="5" width="8" customWidth="1"/>
    <col min="6" max="6" width="14" style="3" customWidth="1"/>
    <col min="7" max="7" width="13" customWidth="1"/>
    <col min="8" max="8" width="13.5" customWidth="1"/>
    <col min="9" max="9" width="17.1640625" customWidth="1"/>
    <col min="10" max="10" width="10.83203125" customWidth="1"/>
    <col min="11" max="11" width="21.83203125" customWidth="1"/>
    <col min="12" max="12" width="29.1640625" customWidth="1"/>
    <col min="13" max="13" width="29.6640625" customWidth="1"/>
    <col min="14" max="14" width="10.83203125" customWidth="1"/>
    <col min="19" max="20" width="11.5" bestFit="1" customWidth="1"/>
  </cols>
  <sheetData>
    <row r="1" spans="1:26" ht="19" x14ac:dyDescent="0.25">
      <c r="A1" s="1" t="s">
        <v>16</v>
      </c>
      <c r="B1" s="1" t="s">
        <v>17</v>
      </c>
      <c r="C1" s="1" t="s">
        <v>71</v>
      </c>
      <c r="D1" s="1" t="s">
        <v>11</v>
      </c>
      <c r="E1" s="1" t="s">
        <v>12</v>
      </c>
      <c r="F1" s="5" t="s">
        <v>4</v>
      </c>
      <c r="G1" s="1" t="s">
        <v>14</v>
      </c>
      <c r="H1" s="1" t="s">
        <v>15</v>
      </c>
      <c r="I1" s="1" t="s">
        <v>5</v>
      </c>
      <c r="J1" s="1" t="s">
        <v>74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136</v>
      </c>
      <c r="P1" s="1" t="s">
        <v>137</v>
      </c>
      <c r="Q1" s="1" t="s">
        <v>131</v>
      </c>
      <c r="R1" s="1" t="s">
        <v>133</v>
      </c>
      <c r="S1" t="s">
        <v>134</v>
      </c>
      <c r="T1" t="s">
        <v>135</v>
      </c>
      <c r="U1" t="s">
        <v>131</v>
      </c>
      <c r="V1" t="s">
        <v>132</v>
      </c>
      <c r="Y1">
        <v>2018</v>
      </c>
      <c r="Z1">
        <v>2023</v>
      </c>
    </row>
    <row r="2" spans="1:26" x14ac:dyDescent="0.2">
      <c r="A2" t="s">
        <v>19</v>
      </c>
      <c r="B2" t="s">
        <v>20</v>
      </c>
      <c r="C2" t="s">
        <v>147</v>
      </c>
      <c r="D2" t="s">
        <v>52</v>
      </c>
      <c r="E2" t="s">
        <v>13</v>
      </c>
      <c r="G2" s="3">
        <f t="shared" ref="G2:G10" ca="1" si="0">L2+N2</f>
        <v>80321.69496973994</v>
      </c>
      <c r="H2" s="3">
        <f t="shared" ref="H2:H10" ca="1" si="1">M2+$N2</f>
        <v>81321.69496973994</v>
      </c>
      <c r="I2" s="3" t="s">
        <v>77</v>
      </c>
      <c r="J2">
        <v>9539.652</v>
      </c>
      <c r="K2" s="3"/>
      <c r="L2" s="3">
        <v>55000</v>
      </c>
      <c r="M2" s="3">
        <v>56000</v>
      </c>
      <c r="N2" cm="1">
        <f t="array" aca="1" ref="N2" ca="1">_xlfn.XLOOKUP(A2&amp;B2,Suppliers!$A$2:$A$279 &amp; Suppliers!$B$2:$B$279,Suppliers!$M$2:$M$279) *0.005 *_xlfn.XLOOKUP(B2,TransportationConversion!$A$2:$A$300,TransportationConversion!$B$2:$B$300)</f>
        <v>25321.694969739947</v>
      </c>
      <c r="O2" s="3">
        <v>1048.81</v>
      </c>
      <c r="P2" s="3">
        <v>1159.22</v>
      </c>
      <c r="Q2" s="3">
        <v>5244.0499999999993</v>
      </c>
      <c r="R2" s="3">
        <v>6955.32</v>
      </c>
      <c r="S2" s="15">
        <v>7341.67</v>
      </c>
      <c r="T2" s="15">
        <v>9273.76</v>
      </c>
      <c r="U2" s="3">
        <f t="shared" ref="U2:U10" si="2">O2*4</f>
        <v>4195.24</v>
      </c>
      <c r="V2" s="3">
        <f t="shared" ref="V2:V10" si="3">P2*6</f>
        <v>6955.32</v>
      </c>
    </row>
    <row r="3" spans="1:26" x14ac:dyDescent="0.2">
      <c r="A3" t="s">
        <v>19</v>
      </c>
      <c r="B3" t="s">
        <v>22</v>
      </c>
      <c r="C3" t="s">
        <v>147</v>
      </c>
      <c r="D3" t="s">
        <v>41</v>
      </c>
      <c r="E3" t="s">
        <v>13</v>
      </c>
      <c r="G3" s="3">
        <f t="shared" ca="1" si="0"/>
        <v>57625.111488451912</v>
      </c>
      <c r="H3" s="3">
        <f t="shared" ca="1" si="1"/>
        <v>58625.111488451912</v>
      </c>
      <c r="I3" s="3" t="s">
        <v>77</v>
      </c>
      <c r="J3">
        <v>9539.652</v>
      </c>
      <c r="K3" s="3"/>
      <c r="L3" s="3">
        <v>55000</v>
      </c>
      <c r="M3" s="3">
        <v>56000</v>
      </c>
      <c r="N3" cm="1">
        <f t="array" aca="1" ref="N3" ca="1">_xlfn.XLOOKUP(A3&amp;B3,Suppliers!$A$2:$A$279 &amp; Suppliers!$B$2:$B$279,Suppliers!$M$2:$M$279) *0.005 *_xlfn.XLOOKUP(B3,TransportationConversion!$A$2:$A$300,TransportationConversion!$B$2:$B$300)</f>
        <v>2625.1114884519134</v>
      </c>
      <c r="O3" s="3">
        <v>1048.81</v>
      </c>
      <c r="P3" s="3">
        <v>1159.22</v>
      </c>
      <c r="Q3" s="3">
        <v>4195.24</v>
      </c>
      <c r="R3" s="3">
        <v>5796.1</v>
      </c>
      <c r="S3" s="15">
        <v>8390.48</v>
      </c>
      <c r="T3" s="15">
        <v>9273.76</v>
      </c>
      <c r="U3" s="3">
        <f t="shared" si="2"/>
        <v>4195.24</v>
      </c>
      <c r="V3" s="3">
        <f t="shared" si="3"/>
        <v>6955.32</v>
      </c>
    </row>
    <row r="4" spans="1:26" x14ac:dyDescent="0.2">
      <c r="A4" t="s">
        <v>19</v>
      </c>
      <c r="B4" t="s">
        <v>1</v>
      </c>
      <c r="C4" t="s">
        <v>147</v>
      </c>
      <c r="D4" t="s">
        <v>42</v>
      </c>
      <c r="E4" t="s">
        <v>13</v>
      </c>
      <c r="G4" s="3">
        <f t="shared" ca="1" si="0"/>
        <v>56590.622010064581</v>
      </c>
      <c r="H4" s="3">
        <f t="shared" ca="1" si="1"/>
        <v>57590.622010064581</v>
      </c>
      <c r="I4" s="3" t="s">
        <v>77</v>
      </c>
      <c r="J4">
        <v>9539.652</v>
      </c>
      <c r="K4" s="3"/>
      <c r="L4" s="3">
        <v>55000</v>
      </c>
      <c r="M4" s="3">
        <v>56000</v>
      </c>
      <c r="N4" cm="1">
        <f t="array" aca="1" ref="N4" ca="1">_xlfn.XLOOKUP(A4&amp;B4,Suppliers!$A$2:$A$279 &amp; Suppliers!$B$2:$B$279,Suppliers!$M$2:$M$279) *0.005 *_xlfn.XLOOKUP(B4,TransportationConversion!$A$2:$A$300,TransportationConversion!$B$2:$B$300)</f>
        <v>1590.6220100645776</v>
      </c>
      <c r="O4" s="3">
        <v>1048.81</v>
      </c>
      <c r="P4" s="3">
        <v>1159.22</v>
      </c>
      <c r="Q4" s="3">
        <v>5244.0499999999993</v>
      </c>
      <c r="R4" s="3">
        <v>5796.1</v>
      </c>
      <c r="S4" s="15">
        <v>8390.48</v>
      </c>
      <c r="T4" s="15">
        <v>8114.54</v>
      </c>
      <c r="U4" s="3">
        <f t="shared" si="2"/>
        <v>4195.24</v>
      </c>
      <c r="V4" s="3">
        <f t="shared" si="3"/>
        <v>6955.32</v>
      </c>
    </row>
    <row r="5" spans="1:26" x14ac:dyDescent="0.2">
      <c r="A5" t="s">
        <v>19</v>
      </c>
      <c r="B5" t="s">
        <v>38</v>
      </c>
      <c r="C5" t="s">
        <v>147</v>
      </c>
      <c r="D5" t="s">
        <v>43</v>
      </c>
      <c r="E5" t="s">
        <v>13</v>
      </c>
      <c r="G5" s="3">
        <f t="shared" ca="1" si="0"/>
        <v>56760.118037553148</v>
      </c>
      <c r="H5" s="3">
        <f t="shared" ca="1" si="1"/>
        <v>57760.118037553148</v>
      </c>
      <c r="I5" s="3" t="s">
        <v>77</v>
      </c>
      <c r="J5">
        <v>9539.652</v>
      </c>
      <c r="K5" s="3"/>
      <c r="L5" s="3">
        <v>55000</v>
      </c>
      <c r="M5" s="3">
        <v>56000</v>
      </c>
      <c r="N5" cm="1">
        <f t="array" aca="1" ref="N5" ca="1">_xlfn.XLOOKUP(A5&amp;B5,Suppliers!$A$2:$A$279 &amp; Suppliers!$B$2:$B$279,Suppliers!$M$2:$M$279) *0.005 *_xlfn.XLOOKUP(B5,TransportationConversion!$A$2:$A$300,TransportationConversion!$B$2:$B$300)</f>
        <v>1760.1180375531478</v>
      </c>
      <c r="O5" s="3">
        <v>1048.81</v>
      </c>
      <c r="P5" s="3">
        <v>1159.22</v>
      </c>
      <c r="Q5" s="3">
        <v>5244.0499999999993</v>
      </c>
      <c r="R5" s="3">
        <v>6955.32</v>
      </c>
      <c r="S5" s="15">
        <v>8390.48</v>
      </c>
      <c r="T5" s="15">
        <v>9273.76</v>
      </c>
      <c r="U5" s="3">
        <f t="shared" si="2"/>
        <v>4195.24</v>
      </c>
      <c r="V5" s="3">
        <f t="shared" si="3"/>
        <v>6955.32</v>
      </c>
    </row>
    <row r="6" spans="1:26" x14ac:dyDescent="0.2">
      <c r="A6" t="s">
        <v>19</v>
      </c>
      <c r="B6" t="s">
        <v>53</v>
      </c>
      <c r="C6" t="s">
        <v>147</v>
      </c>
      <c r="D6" t="s">
        <v>44</v>
      </c>
      <c r="E6" t="s">
        <v>13</v>
      </c>
      <c r="G6" s="3">
        <f t="shared" ca="1" si="0"/>
        <v>59186.744208254779</v>
      </c>
      <c r="H6" s="3">
        <f t="shared" ca="1" si="1"/>
        <v>60186.744208254779</v>
      </c>
      <c r="I6" s="3" t="s">
        <v>77</v>
      </c>
      <c r="J6">
        <v>9539.652</v>
      </c>
      <c r="K6" s="3"/>
      <c r="L6" s="3">
        <v>55000</v>
      </c>
      <c r="M6" s="3">
        <v>56000</v>
      </c>
      <c r="N6" cm="1">
        <f t="array" aca="1" ref="N6" ca="1">_xlfn.XLOOKUP(A6&amp;B6,Suppliers!$A$2:$A$279 &amp; Suppliers!$B$2:$B$279,Suppliers!$M$2:$M$279) *0.005 *_xlfn.XLOOKUP(B6,TransportationConversion!$A$2:$A$300,TransportationConversion!$B$2:$B$300)</f>
        <v>4186.7442082547786</v>
      </c>
      <c r="O6" s="3">
        <v>1048.81</v>
      </c>
      <c r="P6" s="3">
        <v>1159.22</v>
      </c>
      <c r="Q6" s="3">
        <v>4195.24</v>
      </c>
      <c r="R6" s="3">
        <v>5796.1</v>
      </c>
      <c r="S6" s="15">
        <v>8390.48</v>
      </c>
      <c r="T6" s="15">
        <v>9273.76</v>
      </c>
      <c r="U6" s="3">
        <f t="shared" si="2"/>
        <v>4195.24</v>
      </c>
      <c r="V6" s="3">
        <f t="shared" si="3"/>
        <v>6955.32</v>
      </c>
    </row>
    <row r="7" spans="1:26" x14ac:dyDescent="0.2">
      <c r="A7" t="s">
        <v>19</v>
      </c>
      <c r="B7" t="s">
        <v>54</v>
      </c>
      <c r="C7" t="s">
        <v>147</v>
      </c>
      <c r="D7" t="s">
        <v>45</v>
      </c>
      <c r="E7" t="s">
        <v>13</v>
      </c>
      <c r="G7" s="3">
        <f t="shared" ca="1" si="0"/>
        <v>55164.390688740248</v>
      </c>
      <c r="H7" s="3">
        <f t="shared" ca="1" si="1"/>
        <v>56164.390688740248</v>
      </c>
      <c r="I7" s="3" t="s">
        <v>77</v>
      </c>
      <c r="J7">
        <v>9539.652</v>
      </c>
      <c r="K7" s="3"/>
      <c r="L7" s="3">
        <v>55000</v>
      </c>
      <c r="M7" s="3">
        <v>56000</v>
      </c>
      <c r="N7" cm="1">
        <f t="array" aca="1" ref="N7" ca="1">_xlfn.XLOOKUP(A7&amp;B7,Suppliers!$A$2:$A$279 &amp; Suppliers!$B$2:$B$279,Suppliers!$M$2:$M$279) *0.005 *_xlfn.XLOOKUP(B7,TransportationConversion!$A$2:$A$300,TransportationConversion!$B$2:$B$300)</f>
        <v>164.39068874024508</v>
      </c>
      <c r="O7" s="3">
        <v>1048.81</v>
      </c>
      <c r="P7" s="3">
        <v>1159.22</v>
      </c>
      <c r="Q7" s="3">
        <v>4195.24</v>
      </c>
      <c r="R7" s="3">
        <v>5796.1</v>
      </c>
      <c r="S7" s="15">
        <v>7341.67</v>
      </c>
      <c r="T7" s="15">
        <v>8114.54</v>
      </c>
      <c r="U7" s="3">
        <f t="shared" si="2"/>
        <v>4195.24</v>
      </c>
      <c r="V7" s="3">
        <f t="shared" si="3"/>
        <v>6955.32</v>
      </c>
    </row>
    <row r="8" spans="1:26" x14ac:dyDescent="0.2">
      <c r="A8" t="s">
        <v>19</v>
      </c>
      <c r="B8" t="s">
        <v>35</v>
      </c>
      <c r="C8" t="s">
        <v>147</v>
      </c>
      <c r="D8" t="s">
        <v>46</v>
      </c>
      <c r="E8" t="s">
        <v>13</v>
      </c>
      <c r="G8" s="3">
        <f t="shared" ca="1" si="0"/>
        <v>56610.826277743377</v>
      </c>
      <c r="H8" s="3">
        <f t="shared" ca="1" si="1"/>
        <v>57610.826277743377</v>
      </c>
      <c r="I8" s="3" t="s">
        <v>77</v>
      </c>
      <c r="J8">
        <v>9539.652</v>
      </c>
      <c r="K8" s="3"/>
      <c r="L8" s="3">
        <v>55000</v>
      </c>
      <c r="M8" s="3">
        <v>56000</v>
      </c>
      <c r="N8" cm="1">
        <f t="array" aca="1" ref="N8" ca="1">_xlfn.XLOOKUP(A8&amp;B8,Suppliers!$A$2:$A$279 &amp; Suppliers!$B$2:$B$279,Suppliers!$M$2:$M$279) *0.005 *_xlfn.XLOOKUP(B8,TransportationConversion!$A$2:$A$300,TransportationConversion!$B$2:$B$300)</f>
        <v>1610.8262777433781</v>
      </c>
      <c r="O8" s="3">
        <v>1048.81</v>
      </c>
      <c r="P8" s="3">
        <v>1159.22</v>
      </c>
      <c r="Q8" s="3">
        <v>4195.24</v>
      </c>
      <c r="R8" s="3">
        <v>5796.1</v>
      </c>
      <c r="S8" s="15">
        <v>8390.48</v>
      </c>
      <c r="T8" s="15">
        <v>8114.54</v>
      </c>
      <c r="U8" s="3">
        <f t="shared" si="2"/>
        <v>4195.24</v>
      </c>
      <c r="V8" s="3">
        <f t="shared" si="3"/>
        <v>6955.32</v>
      </c>
    </row>
    <row r="9" spans="1:26" x14ac:dyDescent="0.2">
      <c r="A9" t="s">
        <v>19</v>
      </c>
      <c r="B9" t="s">
        <v>55</v>
      </c>
      <c r="C9" t="s">
        <v>147</v>
      </c>
      <c r="D9" t="s">
        <v>47</v>
      </c>
      <c r="E9" t="s">
        <v>13</v>
      </c>
      <c r="G9" s="3">
        <f t="shared" ca="1" si="0"/>
        <v>56531.682522307492</v>
      </c>
      <c r="H9" s="3">
        <f t="shared" ca="1" si="1"/>
        <v>57531.682522307492</v>
      </c>
      <c r="I9" s="3" t="s">
        <v>77</v>
      </c>
      <c r="J9">
        <v>9539.652</v>
      </c>
      <c r="K9" s="3"/>
      <c r="L9" s="3">
        <v>55000</v>
      </c>
      <c r="M9" s="3">
        <v>56000</v>
      </c>
      <c r="N9" cm="1">
        <f t="array" aca="1" ref="N9" ca="1">_xlfn.XLOOKUP(A9&amp;B9,Suppliers!$A$2:$A$279 &amp; Suppliers!$B$2:$B$279,Suppliers!$M$2:$M$279) *0.005 *_xlfn.XLOOKUP(B9,TransportationConversion!$A$2:$A$300,TransportationConversion!$B$2:$B$300)</f>
        <v>1531.6825223074934</v>
      </c>
      <c r="O9" s="3">
        <v>1048.81</v>
      </c>
      <c r="P9" s="3">
        <v>1159.22</v>
      </c>
      <c r="Q9" s="3">
        <v>4195.24</v>
      </c>
      <c r="R9" s="3">
        <v>5796.1</v>
      </c>
      <c r="S9" s="15">
        <v>7341.67</v>
      </c>
      <c r="T9" s="15">
        <v>9273.76</v>
      </c>
      <c r="U9" s="3">
        <f t="shared" si="2"/>
        <v>4195.24</v>
      </c>
      <c r="V9" s="3">
        <f t="shared" si="3"/>
        <v>6955.32</v>
      </c>
    </row>
    <row r="10" spans="1:26" x14ac:dyDescent="0.2">
      <c r="A10" t="s">
        <v>19</v>
      </c>
      <c r="B10" t="s">
        <v>57</v>
      </c>
      <c r="C10" t="s">
        <v>147</v>
      </c>
      <c r="D10" t="s">
        <v>48</v>
      </c>
      <c r="E10" t="s">
        <v>13</v>
      </c>
      <c r="G10" s="3">
        <f t="shared" ca="1" si="0"/>
        <v>55791.19666952415</v>
      </c>
      <c r="H10" s="3">
        <f t="shared" ca="1" si="1"/>
        <v>56791.19666952415</v>
      </c>
      <c r="I10" s="3" t="s">
        <v>77</v>
      </c>
      <c r="J10">
        <v>9539.652</v>
      </c>
      <c r="K10" s="3"/>
      <c r="L10" s="3">
        <v>55000</v>
      </c>
      <c r="M10" s="3">
        <v>56000</v>
      </c>
      <c r="N10" cm="1">
        <f t="array" aca="1" ref="N10" ca="1">_xlfn.XLOOKUP(A10&amp;B10,Suppliers!$A$2:$A$279 &amp; Suppliers!$B$2:$B$279,Suppliers!$M$2:$M$279) *0.005 *_xlfn.XLOOKUP(B10,TransportationConversion!$A$2:$A$300,TransportationConversion!$B$2:$B$300)</f>
        <v>791.19666952415196</v>
      </c>
      <c r="O10" s="3">
        <v>1048.81</v>
      </c>
      <c r="P10" s="3">
        <v>1159.22</v>
      </c>
      <c r="Q10" s="3">
        <v>5244.0499999999993</v>
      </c>
      <c r="R10" s="3">
        <v>6955.32</v>
      </c>
      <c r="S10" s="15">
        <v>8390.48</v>
      </c>
      <c r="T10" s="15">
        <v>9273.76</v>
      </c>
      <c r="U10" s="3">
        <f t="shared" si="2"/>
        <v>4195.24</v>
      </c>
      <c r="V10" s="3">
        <f t="shared" si="3"/>
        <v>6955.32</v>
      </c>
    </row>
    <row r="11" spans="1:26" x14ac:dyDescent="0.2">
      <c r="A11" t="s">
        <v>18</v>
      </c>
      <c r="B11" t="s">
        <v>20</v>
      </c>
      <c r="C11" t="s">
        <v>147</v>
      </c>
      <c r="D11" t="s">
        <v>47</v>
      </c>
      <c r="E11" t="s">
        <v>13</v>
      </c>
      <c r="G11" s="3">
        <f t="shared" ref="G11:G19" ca="1" si="4">L11+N11</f>
        <v>79989.205477971671</v>
      </c>
      <c r="H11" s="3">
        <f t="shared" ref="H11:H19" ca="1" si="5">M11+$N11</f>
        <v>80989.205477971671</v>
      </c>
      <c r="I11" s="3" t="s">
        <v>77</v>
      </c>
      <c r="J11">
        <v>8830.3359999999993</v>
      </c>
      <c r="K11" s="3"/>
      <c r="L11" s="3">
        <v>55000</v>
      </c>
      <c r="M11" s="3">
        <v>56000</v>
      </c>
      <c r="N11" cm="1">
        <f t="array" aca="1" ref="N11" ca="1">_xlfn.XLOOKUP(A11&amp;B11,Suppliers!$A$2:$A$279 &amp; Suppliers!$B$2:$B$279,Suppliers!$M$2:$M$279) *0.005 *_xlfn.XLOOKUP(B11,TransportationConversion!$A$2:$A$300,TransportationConversion!$B$2:$B$300)</f>
        <v>24989.205477971675</v>
      </c>
      <c r="O11" s="3">
        <v>793.82</v>
      </c>
      <c r="P11" s="2">
        <v>877.38</v>
      </c>
      <c r="Q11" s="3">
        <v>3969.1000000000004</v>
      </c>
      <c r="R11" s="2">
        <v>5264.28</v>
      </c>
      <c r="S11" s="15">
        <v>5556.7400000000007</v>
      </c>
      <c r="T11" s="15">
        <v>7019.04</v>
      </c>
      <c r="U11" s="3">
        <f t="shared" ref="U11:U19" si="6">O11*4</f>
        <v>3175.28</v>
      </c>
      <c r="V11" s="3">
        <f t="shared" ref="V11:V19" si="7">P11*6</f>
        <v>5264.28</v>
      </c>
    </row>
    <row r="12" spans="1:26" x14ac:dyDescent="0.2">
      <c r="A12" t="s">
        <v>18</v>
      </c>
      <c r="B12" t="s">
        <v>22</v>
      </c>
      <c r="C12" t="s">
        <v>147</v>
      </c>
      <c r="D12" t="s">
        <v>48</v>
      </c>
      <c r="E12" t="s">
        <v>13</v>
      </c>
      <c r="G12" s="3">
        <f t="shared" ca="1" si="4"/>
        <v>57271.147518366794</v>
      </c>
      <c r="H12" s="3">
        <f t="shared" ca="1" si="5"/>
        <v>58271.147518366794</v>
      </c>
      <c r="I12" s="3" t="s">
        <v>77</v>
      </c>
      <c r="J12">
        <v>8830.3359999999993</v>
      </c>
      <c r="K12" s="3"/>
      <c r="L12" s="3">
        <v>55000</v>
      </c>
      <c r="M12" s="3">
        <v>56000</v>
      </c>
      <c r="N12" cm="1">
        <f t="array" aca="1" ref="N12" ca="1">_xlfn.XLOOKUP(A12&amp;B12,Suppliers!$A$2:$A$279 &amp; Suppliers!$B$2:$B$279,Suppliers!$M$2:$M$279) *0.005 *_xlfn.XLOOKUP(B12,TransportationConversion!$A$2:$A$300,TransportationConversion!$B$2:$B$300)</f>
        <v>2271.1475183667899</v>
      </c>
      <c r="O12" s="3">
        <v>793.82</v>
      </c>
      <c r="P12" s="2">
        <v>877.38</v>
      </c>
      <c r="Q12" s="3">
        <v>3175.28</v>
      </c>
      <c r="R12" s="2">
        <v>5264.28</v>
      </c>
      <c r="S12" s="15">
        <v>6350.56</v>
      </c>
      <c r="T12" s="15">
        <v>7019.04</v>
      </c>
      <c r="U12" s="3">
        <f t="shared" si="6"/>
        <v>3175.28</v>
      </c>
      <c r="V12" s="3">
        <f t="shared" si="7"/>
        <v>5264.28</v>
      </c>
    </row>
    <row r="13" spans="1:26" x14ac:dyDescent="0.2">
      <c r="A13" t="s">
        <v>18</v>
      </c>
      <c r="B13" t="s">
        <v>1</v>
      </c>
      <c r="C13" t="s">
        <v>147</v>
      </c>
      <c r="D13" t="s">
        <v>49</v>
      </c>
      <c r="E13" t="s">
        <v>13</v>
      </c>
      <c r="G13" s="3">
        <f t="shared" ca="1" si="4"/>
        <v>56584.753995073021</v>
      </c>
      <c r="H13" s="3">
        <f t="shared" ca="1" si="5"/>
        <v>57584.753995073021</v>
      </c>
      <c r="I13" s="3" t="s">
        <v>77</v>
      </c>
      <c r="J13">
        <v>8830.3359999999993</v>
      </c>
      <c r="K13" s="3"/>
      <c r="L13" s="3">
        <v>55000</v>
      </c>
      <c r="M13" s="3">
        <v>56000</v>
      </c>
      <c r="N13" cm="1">
        <f t="array" aca="1" ref="N13" ca="1">_xlfn.XLOOKUP(A13&amp;B13,Suppliers!$A$2:$A$279 &amp; Suppliers!$B$2:$B$279,Suppliers!$M$2:$M$279) *0.005 *_xlfn.XLOOKUP(B13,TransportationConversion!$A$2:$A$300,TransportationConversion!$B$2:$B$300)</f>
        <v>1584.7539950730218</v>
      </c>
      <c r="O13" s="3">
        <v>793.82</v>
      </c>
      <c r="P13" s="2">
        <v>877.38</v>
      </c>
      <c r="Q13" s="3">
        <v>3175.28</v>
      </c>
      <c r="R13" s="2">
        <v>4386.8999999999996</v>
      </c>
      <c r="S13" s="15">
        <v>6350.56</v>
      </c>
      <c r="T13" s="15">
        <v>6141.66</v>
      </c>
      <c r="U13" s="3">
        <f t="shared" si="6"/>
        <v>3175.28</v>
      </c>
      <c r="V13" s="3">
        <f t="shared" si="7"/>
        <v>5264.28</v>
      </c>
    </row>
    <row r="14" spans="1:26" x14ac:dyDescent="0.2">
      <c r="A14" t="s">
        <v>18</v>
      </c>
      <c r="B14" t="s">
        <v>38</v>
      </c>
      <c r="C14" t="s">
        <v>147</v>
      </c>
      <c r="D14" t="s">
        <v>50</v>
      </c>
      <c r="E14" t="s">
        <v>13</v>
      </c>
      <c r="G14" s="3">
        <f t="shared" ca="1" si="4"/>
        <v>56946.722851228653</v>
      </c>
      <c r="H14" s="3">
        <f t="shared" ca="1" si="5"/>
        <v>57946.722851228653</v>
      </c>
      <c r="I14" s="3" t="s">
        <v>77</v>
      </c>
      <c r="J14">
        <v>8830.3359999999993</v>
      </c>
      <c r="K14" s="3"/>
      <c r="L14" s="3">
        <v>55000</v>
      </c>
      <c r="M14" s="3">
        <v>56000</v>
      </c>
      <c r="N14" cm="1">
        <f t="array" aca="1" ref="N14" ca="1">_xlfn.XLOOKUP(A14&amp;B14,Suppliers!$A$2:$A$279 &amp; Suppliers!$B$2:$B$279,Suppliers!$M$2:$M$279) *0.005 *_xlfn.XLOOKUP(B14,TransportationConversion!$A$2:$A$300,TransportationConversion!$B$2:$B$300)</f>
        <v>1946.7228512286556</v>
      </c>
      <c r="O14" s="3">
        <v>793.82</v>
      </c>
      <c r="P14" s="2">
        <v>877.38</v>
      </c>
      <c r="Q14" s="3">
        <v>3969.1000000000004</v>
      </c>
      <c r="R14" s="2">
        <v>4386.8999999999996</v>
      </c>
      <c r="S14" s="15">
        <v>6350.56</v>
      </c>
      <c r="T14" s="15">
        <v>7019.04</v>
      </c>
      <c r="U14" s="3">
        <f t="shared" si="6"/>
        <v>3175.28</v>
      </c>
      <c r="V14" s="3">
        <f t="shared" si="7"/>
        <v>5264.28</v>
      </c>
    </row>
    <row r="15" spans="1:26" x14ac:dyDescent="0.2">
      <c r="A15" t="s">
        <v>18</v>
      </c>
      <c r="B15" t="s">
        <v>53</v>
      </c>
      <c r="C15" t="s">
        <v>147</v>
      </c>
      <c r="D15" t="s">
        <v>51</v>
      </c>
      <c r="E15" t="s">
        <v>13</v>
      </c>
      <c r="G15" s="3">
        <f t="shared" ca="1" si="4"/>
        <v>58192.400169968612</v>
      </c>
      <c r="H15" s="3">
        <f t="shared" ca="1" si="5"/>
        <v>59192.400169968612</v>
      </c>
      <c r="I15" s="3" t="s">
        <v>77</v>
      </c>
      <c r="J15">
        <v>8830.3359999999993</v>
      </c>
      <c r="K15" s="3"/>
      <c r="L15" s="3">
        <v>55000</v>
      </c>
      <c r="M15" s="3">
        <v>56000</v>
      </c>
      <c r="N15" cm="1">
        <f t="array" aca="1" ref="N15" ca="1">_xlfn.XLOOKUP(A15&amp;B15,Suppliers!$A$2:$A$279 &amp; Suppliers!$B$2:$B$279,Suppliers!$M$2:$M$279) *0.005 *_xlfn.XLOOKUP(B15,TransportationConversion!$A$2:$A$300,TransportationConversion!$B$2:$B$300)</f>
        <v>3192.4001699686141</v>
      </c>
      <c r="O15" s="3">
        <v>793.82</v>
      </c>
      <c r="P15" s="2">
        <v>877.38</v>
      </c>
      <c r="Q15" s="3">
        <v>3175.28</v>
      </c>
      <c r="R15" s="2">
        <v>4386.8999999999996</v>
      </c>
      <c r="S15" s="15">
        <v>5556.7400000000007</v>
      </c>
      <c r="T15" s="15">
        <v>6141.66</v>
      </c>
      <c r="U15" s="3">
        <f t="shared" si="6"/>
        <v>3175.28</v>
      </c>
      <c r="V15" s="3">
        <f t="shared" si="7"/>
        <v>5264.28</v>
      </c>
    </row>
    <row r="16" spans="1:26" x14ac:dyDescent="0.2">
      <c r="A16" t="s">
        <v>18</v>
      </c>
      <c r="B16" t="s">
        <v>54</v>
      </c>
      <c r="C16" t="s">
        <v>147</v>
      </c>
      <c r="D16" t="s">
        <v>52</v>
      </c>
      <c r="E16" t="s">
        <v>13</v>
      </c>
      <c r="G16" s="3">
        <f t="shared" ca="1" si="4"/>
        <v>55153.820098383701</v>
      </c>
      <c r="H16" s="3">
        <f t="shared" ca="1" si="5"/>
        <v>56153.820098383701</v>
      </c>
      <c r="I16" s="3" t="s">
        <v>77</v>
      </c>
      <c r="J16">
        <v>8830.3359999999993</v>
      </c>
      <c r="K16" s="3"/>
      <c r="L16" s="3">
        <v>55000</v>
      </c>
      <c r="M16" s="3">
        <v>56000</v>
      </c>
      <c r="N16" cm="1">
        <f t="array" aca="1" ref="N16" ca="1">_xlfn.XLOOKUP(A16&amp;B16,Suppliers!$A$2:$A$279 &amp; Suppliers!$B$2:$B$279,Suppliers!$M$2:$M$279) *0.005 *_xlfn.XLOOKUP(B16,TransportationConversion!$A$2:$A$300,TransportationConversion!$B$2:$B$300)</f>
        <v>153.82009838370004</v>
      </c>
      <c r="O16" s="3">
        <v>793.82</v>
      </c>
      <c r="P16" s="2">
        <v>877.38</v>
      </c>
      <c r="Q16" s="3">
        <v>3969.1000000000004</v>
      </c>
      <c r="R16" s="2">
        <v>4386.8999999999996</v>
      </c>
      <c r="S16" s="15">
        <v>5556.7400000000007</v>
      </c>
      <c r="T16" s="15">
        <v>7019.04</v>
      </c>
      <c r="U16" s="3">
        <f t="shared" si="6"/>
        <v>3175.28</v>
      </c>
      <c r="V16" s="3">
        <f t="shared" si="7"/>
        <v>5264.28</v>
      </c>
    </row>
    <row r="17" spans="1:26" x14ac:dyDescent="0.2">
      <c r="A17" t="s">
        <v>18</v>
      </c>
      <c r="B17" t="s">
        <v>35</v>
      </c>
      <c r="C17" t="s">
        <v>147</v>
      </c>
      <c r="D17" t="s">
        <v>41</v>
      </c>
      <c r="E17" t="s">
        <v>13</v>
      </c>
      <c r="G17" s="3">
        <f t="shared" ca="1" si="4"/>
        <v>56321.352026428656</v>
      </c>
      <c r="H17" s="3">
        <f t="shared" ca="1" si="5"/>
        <v>57321.352026428656</v>
      </c>
      <c r="I17" s="3" t="s">
        <v>77</v>
      </c>
      <c r="J17">
        <v>8830.3359999999993</v>
      </c>
      <c r="K17" s="3"/>
      <c r="L17" s="3">
        <v>55000</v>
      </c>
      <c r="M17" s="3">
        <v>56000</v>
      </c>
      <c r="N17" cm="1">
        <f t="array" aca="1" ref="N17" ca="1">_xlfn.XLOOKUP(A17&amp;B17,Suppliers!$A$2:$A$279 &amp; Suppliers!$B$2:$B$279,Suppliers!$M$2:$M$279) *0.005 *_xlfn.XLOOKUP(B17,TransportationConversion!$A$2:$A$300,TransportationConversion!$B$2:$B$300)</f>
        <v>1321.3520264286574</v>
      </c>
      <c r="O17" s="3">
        <v>793.82</v>
      </c>
      <c r="P17" s="2">
        <v>877.38</v>
      </c>
      <c r="Q17" s="3">
        <v>3969.1000000000004</v>
      </c>
      <c r="R17" s="2">
        <v>5264.28</v>
      </c>
      <c r="S17" s="15">
        <v>5556.7400000000007</v>
      </c>
      <c r="T17" s="15">
        <v>7019.04</v>
      </c>
      <c r="U17" s="3">
        <f t="shared" si="6"/>
        <v>3175.28</v>
      </c>
      <c r="V17" s="3">
        <f t="shared" si="7"/>
        <v>5264.28</v>
      </c>
    </row>
    <row r="18" spans="1:26" x14ac:dyDescent="0.2">
      <c r="A18" t="s">
        <v>18</v>
      </c>
      <c r="B18" t="s">
        <v>55</v>
      </c>
      <c r="C18" t="s">
        <v>147</v>
      </c>
      <c r="D18" t="s">
        <v>42</v>
      </c>
      <c r="E18" t="s">
        <v>13</v>
      </c>
      <c r="G18" s="3">
        <f t="shared" ca="1" si="4"/>
        <v>56475.173137127764</v>
      </c>
      <c r="H18" s="3">
        <f t="shared" ca="1" si="5"/>
        <v>57475.173137127764</v>
      </c>
      <c r="I18" s="3" t="s">
        <v>77</v>
      </c>
      <c r="J18">
        <v>8830.3359999999993</v>
      </c>
      <c r="K18" s="3"/>
      <c r="L18" s="3">
        <v>55000</v>
      </c>
      <c r="M18" s="3">
        <v>56000</v>
      </c>
      <c r="N18" cm="1">
        <f t="array" aca="1" ref="N18" ca="1">_xlfn.XLOOKUP(A18&amp;B18,Suppliers!$A$2:$A$279 &amp; Suppliers!$B$2:$B$279,Suppliers!$M$2:$M$279) *0.005 *_xlfn.XLOOKUP(B18,TransportationConversion!$A$2:$A$300,TransportationConversion!$B$2:$B$300)</f>
        <v>1475.1731371277649</v>
      </c>
      <c r="O18" s="3">
        <v>793.82</v>
      </c>
      <c r="P18" s="2">
        <v>877.38</v>
      </c>
      <c r="Q18" s="3">
        <v>3175.28</v>
      </c>
      <c r="R18" s="2">
        <v>4386.8999999999996</v>
      </c>
      <c r="S18" s="15">
        <v>5556.7400000000007</v>
      </c>
      <c r="T18" s="15">
        <v>6141.66</v>
      </c>
      <c r="U18" s="3">
        <f t="shared" si="6"/>
        <v>3175.28</v>
      </c>
      <c r="V18" s="3">
        <f t="shared" si="7"/>
        <v>5264.28</v>
      </c>
    </row>
    <row r="19" spans="1:26" x14ac:dyDescent="0.2">
      <c r="A19" t="s">
        <v>18</v>
      </c>
      <c r="B19" t="s">
        <v>57</v>
      </c>
      <c r="C19" t="s">
        <v>147</v>
      </c>
      <c r="D19" t="s">
        <v>43</v>
      </c>
      <c r="E19" t="s">
        <v>13</v>
      </c>
      <c r="G19" s="3">
        <f t="shared" ca="1" si="4"/>
        <v>55769.638150167775</v>
      </c>
      <c r="H19" s="3">
        <f t="shared" ca="1" si="5"/>
        <v>56769.638150167775</v>
      </c>
      <c r="I19" s="3" t="s">
        <v>77</v>
      </c>
      <c r="J19">
        <v>8830.3359999999993</v>
      </c>
      <c r="K19" s="3"/>
      <c r="L19" s="3">
        <v>55000</v>
      </c>
      <c r="M19" s="3">
        <v>56000</v>
      </c>
      <c r="N19" cm="1">
        <f t="array" aca="1" ref="N19" ca="1">_xlfn.XLOOKUP(A19&amp;B19,Suppliers!$A$2:$A$279 &amp; Suppliers!$B$2:$B$279,Suppliers!$M$2:$M$279) *0.005 *_xlfn.XLOOKUP(B19,TransportationConversion!$A$2:$A$300,TransportationConversion!$B$2:$B$300)</f>
        <v>769.63815016777346</v>
      </c>
      <c r="O19" s="3">
        <v>793.82</v>
      </c>
      <c r="P19" s="2">
        <v>877.38</v>
      </c>
      <c r="Q19" s="3">
        <v>3969.1000000000004</v>
      </c>
      <c r="R19" s="2">
        <v>5264.28</v>
      </c>
      <c r="S19" s="15">
        <v>5556.7400000000007</v>
      </c>
      <c r="T19" s="15">
        <v>6141.66</v>
      </c>
      <c r="U19" s="3">
        <f t="shared" si="6"/>
        <v>3175.28</v>
      </c>
      <c r="V19" s="3">
        <f t="shared" si="7"/>
        <v>5264.28</v>
      </c>
    </row>
    <row r="20" spans="1:26" x14ac:dyDescent="0.2">
      <c r="A20" t="s">
        <v>3</v>
      </c>
      <c r="B20" t="s">
        <v>20</v>
      </c>
      <c r="C20" t="s">
        <v>147</v>
      </c>
      <c r="D20" t="s">
        <v>41</v>
      </c>
      <c r="E20" t="s">
        <v>13</v>
      </c>
      <c r="G20" s="3">
        <f t="shared" ref="G20" ca="1" si="8">L20+N20</f>
        <v>6615.7948990541836</v>
      </c>
      <c r="H20" s="3">
        <f t="shared" ref="H20:H39" ca="1" si="9">M20+$N20</f>
        <v>7193.7948990541836</v>
      </c>
      <c r="I20" s="3" t="s">
        <v>77</v>
      </c>
      <c r="J20">
        <v>9658.18</v>
      </c>
      <c r="K20" s="3"/>
      <c r="L20" s="3">
        <v>922</v>
      </c>
      <c r="M20" s="3">
        <v>1500</v>
      </c>
      <c r="N20" cm="1">
        <f t="array" aca="1" ref="N20" ca="1">_xlfn.XLOOKUP(A20&amp;B20,Suppliers!$A$2:$A$279 &amp; Suppliers!$B$2:$B$279,Suppliers!$M$2:$M$279) *0.005 *_xlfn.XLOOKUP(B20,TransportationConversion!$A$2:$A$300,TransportationConversion!$B$2:$B$300)</f>
        <v>5693.7948990541836</v>
      </c>
      <c r="O20" s="3">
        <v>786.5</v>
      </c>
      <c r="P20" s="2">
        <v>869.29</v>
      </c>
      <c r="Q20" s="3">
        <v>3146</v>
      </c>
      <c r="R20" s="2">
        <v>5215.74</v>
      </c>
      <c r="S20" s="15">
        <v>5505.5</v>
      </c>
      <c r="T20" s="15">
        <v>6954.32</v>
      </c>
      <c r="U20" s="3">
        <f t="shared" ref="U20:U39" si="10">O20*4</f>
        <v>3146</v>
      </c>
      <c r="V20" s="3">
        <f t="shared" ref="V20:V39" si="11">P20*6</f>
        <v>5215.74</v>
      </c>
      <c r="W20" s="3">
        <v>8500</v>
      </c>
      <c r="X20" s="3">
        <v>10500</v>
      </c>
      <c r="Y20" s="3">
        <v>922</v>
      </c>
      <c r="Z20">
        <v>1500</v>
      </c>
    </row>
    <row r="21" spans="1:26" x14ac:dyDescent="0.2">
      <c r="A21" t="s">
        <v>3</v>
      </c>
      <c r="B21" t="s">
        <v>22</v>
      </c>
      <c r="C21" t="s">
        <v>147</v>
      </c>
      <c r="D21" t="s">
        <v>42</v>
      </c>
      <c r="E21" t="s">
        <v>72</v>
      </c>
      <c r="F21" s="3">
        <v>63990</v>
      </c>
      <c r="G21" s="3"/>
      <c r="H21" s="3"/>
      <c r="I21" s="3" t="s">
        <v>77</v>
      </c>
      <c r="J21">
        <v>9658.18</v>
      </c>
      <c r="K21" s="3"/>
      <c r="L21" s="3"/>
      <c r="M21" s="2"/>
      <c r="N21" cm="1">
        <f t="array" aca="1" ref="N21" ca="1">_xlfn.XLOOKUP(A21&amp;B21,Suppliers!$A$2:$A$279 &amp; Suppliers!$B$2:$B$279,Suppliers!$M$2:$M$279) *0.005 *_xlfn.XLOOKUP(B21,TransportationConversion!$A$2:$A$300,TransportationConversion!$B$2:$B$300)</f>
        <v>583.7483724428929</v>
      </c>
      <c r="O21" s="3"/>
      <c r="P21" s="2"/>
      <c r="Q21" s="3"/>
      <c r="R21" s="2"/>
      <c r="S21" s="15">
        <v>0</v>
      </c>
      <c r="T21" s="15">
        <v>0</v>
      </c>
      <c r="U21" s="3">
        <f t="shared" si="10"/>
        <v>0</v>
      </c>
      <c r="V21" s="3">
        <f t="shared" si="11"/>
        <v>0</v>
      </c>
    </row>
    <row r="22" spans="1:26" x14ac:dyDescent="0.2">
      <c r="A22" t="s">
        <v>3</v>
      </c>
      <c r="B22" t="s">
        <v>1</v>
      </c>
      <c r="C22" t="s">
        <v>147</v>
      </c>
      <c r="D22" t="s">
        <v>43</v>
      </c>
      <c r="E22" t="s">
        <v>73</v>
      </c>
      <c r="F22" s="3">
        <v>48266</v>
      </c>
      <c r="G22" s="3"/>
      <c r="H22" s="3"/>
      <c r="I22" s="3" t="s">
        <v>77</v>
      </c>
      <c r="J22">
        <v>9658.18</v>
      </c>
      <c r="K22" s="3"/>
      <c r="L22" s="3"/>
      <c r="M22" s="2"/>
      <c r="N22" cm="1">
        <f t="array" aca="1" ref="N22" ca="1">_xlfn.XLOOKUP(A22&amp;B22,Suppliers!$A$2:$A$279 &amp; Suppliers!$B$2:$B$279,Suppliers!$M$2:$M$279) *0.005 *_xlfn.XLOOKUP(B22,TransportationConversion!$A$2:$A$300,TransportationConversion!$B$2:$B$300)</f>
        <v>317.86888550006256</v>
      </c>
      <c r="O22" s="3"/>
      <c r="P22" s="2"/>
      <c r="Q22" s="3"/>
      <c r="R22" s="2"/>
      <c r="S22" s="15">
        <v>0</v>
      </c>
      <c r="T22" s="15">
        <v>0</v>
      </c>
      <c r="U22" s="3">
        <f t="shared" si="10"/>
        <v>0</v>
      </c>
      <c r="V22" s="3">
        <f t="shared" si="11"/>
        <v>0</v>
      </c>
    </row>
    <row r="23" spans="1:26" x14ac:dyDescent="0.2">
      <c r="A23" t="s">
        <v>3</v>
      </c>
      <c r="B23" t="s">
        <v>22</v>
      </c>
      <c r="C23" t="s">
        <v>147</v>
      </c>
      <c r="D23" t="s">
        <v>44</v>
      </c>
      <c r="E23" t="s">
        <v>13</v>
      </c>
      <c r="G23" s="3">
        <f t="shared" ref="G23:G39" ca="1" si="12">L23+N23</f>
        <v>1505.748372442893</v>
      </c>
      <c r="H23" s="3">
        <f t="shared" ca="1" si="9"/>
        <v>2083.748372442893</v>
      </c>
      <c r="I23" s="3" t="s">
        <v>77</v>
      </c>
      <c r="J23">
        <v>9658.18</v>
      </c>
      <c r="K23" s="3"/>
      <c r="L23" s="3">
        <v>922</v>
      </c>
      <c r="M23" s="3">
        <v>1500</v>
      </c>
      <c r="N23" cm="1">
        <f t="array" aca="1" ref="N23" ca="1">_xlfn.XLOOKUP(A23&amp;B23,Suppliers!$A$2:$A$279 &amp; Suppliers!$B$2:$B$279,Suppliers!$M$2:$M$279) *0.005 *_xlfn.XLOOKUP(B23,TransportationConversion!$A$2:$A$300,TransportationConversion!$B$2:$B$300)</f>
        <v>583.7483724428929</v>
      </c>
      <c r="O23" s="3">
        <v>786.5</v>
      </c>
      <c r="P23" s="3">
        <v>869.29</v>
      </c>
      <c r="Q23" s="3">
        <v>3932.5</v>
      </c>
      <c r="R23" s="3">
        <v>5215.74</v>
      </c>
      <c r="S23" s="15">
        <v>6292</v>
      </c>
      <c r="T23" s="15">
        <v>6085.03</v>
      </c>
      <c r="U23" s="3">
        <f t="shared" si="10"/>
        <v>3146</v>
      </c>
      <c r="V23" s="3">
        <f t="shared" si="11"/>
        <v>5215.74</v>
      </c>
    </row>
    <row r="24" spans="1:26" x14ac:dyDescent="0.2">
      <c r="A24" t="s">
        <v>3</v>
      </c>
      <c r="B24" t="s">
        <v>1</v>
      </c>
      <c r="C24" t="s">
        <v>147</v>
      </c>
      <c r="D24" t="s">
        <v>45</v>
      </c>
      <c r="E24" t="s">
        <v>13</v>
      </c>
      <c r="G24" s="3">
        <f t="shared" ca="1" si="12"/>
        <v>1239.8688855000626</v>
      </c>
      <c r="H24" s="3">
        <f t="shared" ca="1" si="9"/>
        <v>1817.8688855000626</v>
      </c>
      <c r="I24" s="3" t="s">
        <v>77</v>
      </c>
      <c r="J24">
        <v>9658.18</v>
      </c>
      <c r="K24" s="3"/>
      <c r="L24" s="3">
        <v>922</v>
      </c>
      <c r="M24" s="3">
        <v>1500</v>
      </c>
      <c r="N24" cm="1">
        <f t="array" aca="1" ref="N24" ca="1">_xlfn.XLOOKUP(A24&amp;B24,Suppliers!$A$2:$A$279 &amp; Suppliers!$B$2:$B$279,Suppliers!$M$2:$M$279) *0.005 *_xlfn.XLOOKUP(B24,TransportationConversion!$A$2:$A$300,TransportationConversion!$B$2:$B$300)</f>
        <v>317.86888550006256</v>
      </c>
      <c r="O24" s="3">
        <v>786.5</v>
      </c>
      <c r="P24" s="3">
        <v>869.29</v>
      </c>
      <c r="Q24" s="3">
        <v>3146</v>
      </c>
      <c r="R24" s="3">
        <v>5215.74</v>
      </c>
      <c r="S24" s="15">
        <v>5505.5</v>
      </c>
      <c r="T24" s="15">
        <v>6085.03</v>
      </c>
      <c r="U24" s="3">
        <f t="shared" si="10"/>
        <v>3146</v>
      </c>
      <c r="V24" s="3">
        <f t="shared" si="11"/>
        <v>5215.74</v>
      </c>
    </row>
    <row r="25" spans="1:26" x14ac:dyDescent="0.2">
      <c r="A25" t="s">
        <v>3</v>
      </c>
      <c r="B25" t="s">
        <v>38</v>
      </c>
      <c r="C25" t="s">
        <v>147</v>
      </c>
      <c r="D25" t="s">
        <v>46</v>
      </c>
      <c r="E25" t="s">
        <v>13</v>
      </c>
      <c r="G25" s="3">
        <f t="shared" ca="1" si="12"/>
        <v>1297.1761338318258</v>
      </c>
      <c r="H25" s="3">
        <f t="shared" ca="1" si="9"/>
        <v>1875.1761338318258</v>
      </c>
      <c r="I25" s="3" t="s">
        <v>77</v>
      </c>
      <c r="J25">
        <v>9658.18</v>
      </c>
      <c r="K25" s="3"/>
      <c r="L25" s="3">
        <v>922</v>
      </c>
      <c r="M25" s="3">
        <v>1500</v>
      </c>
      <c r="N25" cm="1">
        <f t="array" aca="1" ref="N25" ca="1">_xlfn.XLOOKUP(A25&amp;B25,Suppliers!$A$2:$A$279 &amp; Suppliers!$B$2:$B$279,Suppliers!$M$2:$M$279) *0.005 *_xlfn.XLOOKUP(B25,TransportationConversion!$A$2:$A$300,TransportationConversion!$B$2:$B$300)</f>
        <v>375.17613383182584</v>
      </c>
      <c r="O25" s="3">
        <v>786.5</v>
      </c>
      <c r="P25" s="3">
        <v>869.29</v>
      </c>
      <c r="Q25" s="3">
        <v>3932.5</v>
      </c>
      <c r="R25" s="3">
        <v>4346.45</v>
      </c>
      <c r="S25" s="15">
        <v>6292</v>
      </c>
      <c r="T25" s="15">
        <v>6085.03</v>
      </c>
      <c r="U25" s="3">
        <f t="shared" si="10"/>
        <v>3146</v>
      </c>
      <c r="V25" s="3">
        <f t="shared" si="11"/>
        <v>5215.74</v>
      </c>
    </row>
    <row r="26" spans="1:26" x14ac:dyDescent="0.2">
      <c r="A26" t="s">
        <v>3</v>
      </c>
      <c r="B26" t="s">
        <v>53</v>
      </c>
      <c r="C26" t="s">
        <v>147</v>
      </c>
      <c r="D26" t="s">
        <v>47</v>
      </c>
      <c r="E26" t="s">
        <v>13</v>
      </c>
      <c r="G26" s="3">
        <f t="shared" ca="1" si="12"/>
        <v>1328.9978744542364</v>
      </c>
      <c r="H26" s="3">
        <f t="shared" ca="1" si="9"/>
        <v>1906.9978744542364</v>
      </c>
      <c r="I26" s="3" t="s">
        <v>77</v>
      </c>
      <c r="J26">
        <v>9658.18</v>
      </c>
      <c r="K26" s="3"/>
      <c r="L26" s="3">
        <v>922</v>
      </c>
      <c r="M26" s="3">
        <v>1500</v>
      </c>
      <c r="N26" cm="1">
        <f t="array" aca="1" ref="N26" ca="1">_xlfn.XLOOKUP(A26&amp;B26,Suppliers!$A$2:$A$279 &amp; Suppliers!$B$2:$B$279,Suppliers!$M$2:$M$279) *0.005 *_xlfn.XLOOKUP(B26,TransportationConversion!$A$2:$A$300,TransportationConversion!$B$2:$B$300)</f>
        <v>406.99787445423635</v>
      </c>
      <c r="O26" s="3">
        <v>786.5</v>
      </c>
      <c r="P26" s="3">
        <v>869.29</v>
      </c>
      <c r="Q26" s="3">
        <v>3146</v>
      </c>
      <c r="R26" s="3">
        <v>4346.45</v>
      </c>
      <c r="S26" s="15">
        <v>5505.5</v>
      </c>
      <c r="T26" s="15">
        <v>6954.32</v>
      </c>
      <c r="U26" s="3">
        <f t="shared" si="10"/>
        <v>3146</v>
      </c>
      <c r="V26" s="3">
        <f t="shared" si="11"/>
        <v>5215.74</v>
      </c>
    </row>
    <row r="27" spans="1:26" x14ac:dyDescent="0.2">
      <c r="A27" t="s">
        <v>3</v>
      </c>
      <c r="B27" t="s">
        <v>54</v>
      </c>
      <c r="C27" t="s">
        <v>147</v>
      </c>
      <c r="D27" t="s">
        <v>48</v>
      </c>
      <c r="E27" t="s">
        <v>13</v>
      </c>
      <c r="G27" s="3">
        <f t="shared" ca="1" si="12"/>
        <v>958.61159358749592</v>
      </c>
      <c r="H27" s="3">
        <f t="shared" ca="1" si="9"/>
        <v>1536.6115935874959</v>
      </c>
      <c r="I27" s="3" t="s">
        <v>77</v>
      </c>
      <c r="J27">
        <v>9658.18</v>
      </c>
      <c r="K27" s="3"/>
      <c r="L27" s="3">
        <v>922</v>
      </c>
      <c r="M27" s="3">
        <v>1500</v>
      </c>
      <c r="N27" cm="1">
        <f t="array" aca="1" ref="N27" ca="1">_xlfn.XLOOKUP(A27&amp;B27,Suppliers!$A$2:$A$279 &amp; Suppliers!$B$2:$B$279,Suppliers!$M$2:$M$279) *0.005 *_xlfn.XLOOKUP(B27,TransportationConversion!$A$2:$A$300,TransportationConversion!$B$2:$B$300)</f>
        <v>36.611593587495918</v>
      </c>
      <c r="O27" s="3">
        <v>786.5</v>
      </c>
      <c r="P27" s="3">
        <v>869.29</v>
      </c>
      <c r="Q27" s="3">
        <v>3932.5</v>
      </c>
      <c r="R27" s="3">
        <v>4346.45</v>
      </c>
      <c r="S27" s="15">
        <v>6292</v>
      </c>
      <c r="T27" s="15">
        <v>6954.32</v>
      </c>
      <c r="U27" s="3">
        <f t="shared" si="10"/>
        <v>3146</v>
      </c>
      <c r="V27" s="3">
        <f t="shared" si="11"/>
        <v>5215.74</v>
      </c>
    </row>
    <row r="28" spans="1:26" x14ac:dyDescent="0.2">
      <c r="A28" t="s">
        <v>3</v>
      </c>
      <c r="B28" t="s">
        <v>35</v>
      </c>
      <c r="C28" t="s">
        <v>147</v>
      </c>
      <c r="D28" t="s">
        <v>49</v>
      </c>
      <c r="E28" t="s">
        <v>13</v>
      </c>
      <c r="G28" s="3">
        <f t="shared" ca="1" si="12"/>
        <v>1245.5247497504345</v>
      </c>
      <c r="H28" s="3">
        <f t="shared" ca="1" si="9"/>
        <v>1823.5247497504345</v>
      </c>
      <c r="I28" s="3" t="s">
        <v>77</v>
      </c>
      <c r="J28">
        <v>9658.18</v>
      </c>
      <c r="K28" s="3"/>
      <c r="L28" s="3">
        <v>922</v>
      </c>
      <c r="M28" s="3">
        <v>1500</v>
      </c>
      <c r="N28" cm="1">
        <f t="array" aca="1" ref="N28" ca="1">_xlfn.XLOOKUP(A28&amp;B28,Suppliers!$A$2:$A$279 &amp; Suppliers!$B$2:$B$279,Suppliers!$M$2:$M$279) *0.005 *_xlfn.XLOOKUP(B28,TransportationConversion!$A$2:$A$300,TransportationConversion!$B$2:$B$300)</f>
        <v>323.52474975043447</v>
      </c>
      <c r="O28" s="3">
        <v>786.5</v>
      </c>
      <c r="P28" s="3">
        <v>869.29</v>
      </c>
      <c r="Q28" s="3">
        <v>3932.5</v>
      </c>
      <c r="R28" s="3">
        <v>4346.45</v>
      </c>
      <c r="S28" s="15">
        <v>6292</v>
      </c>
      <c r="T28" s="15">
        <v>6085.03</v>
      </c>
      <c r="U28" s="3">
        <f t="shared" si="10"/>
        <v>3146</v>
      </c>
      <c r="V28" s="3">
        <f t="shared" si="11"/>
        <v>5215.74</v>
      </c>
    </row>
    <row r="29" spans="1:26" x14ac:dyDescent="0.2">
      <c r="A29" t="s">
        <v>3</v>
      </c>
      <c r="B29" t="s">
        <v>55</v>
      </c>
      <c r="C29" t="s">
        <v>147</v>
      </c>
      <c r="D29" t="s">
        <v>50</v>
      </c>
      <c r="E29" t="s">
        <v>13</v>
      </c>
      <c r="G29" s="3">
        <f t="shared" ca="1" si="12"/>
        <v>1290.0241568696456</v>
      </c>
      <c r="H29" s="3">
        <f t="shared" ca="1" si="9"/>
        <v>1868.0241568696456</v>
      </c>
      <c r="I29" s="3" t="s">
        <v>77</v>
      </c>
      <c r="J29">
        <v>9658.18</v>
      </c>
      <c r="K29" s="3"/>
      <c r="L29" s="3">
        <v>922</v>
      </c>
      <c r="M29" s="3">
        <v>1500</v>
      </c>
      <c r="N29" cm="1">
        <f t="array" aca="1" ref="N29" ca="1">_xlfn.XLOOKUP(A29&amp;B29,Suppliers!$A$2:$A$279 &amp; Suppliers!$B$2:$B$279,Suppliers!$M$2:$M$279) *0.005 *_xlfn.XLOOKUP(B29,TransportationConversion!$A$2:$A$300,TransportationConversion!$B$2:$B$300)</f>
        <v>368.02415686964565</v>
      </c>
      <c r="O29" s="3">
        <v>786.5</v>
      </c>
      <c r="P29" s="3">
        <v>869.29</v>
      </c>
      <c r="Q29" s="3">
        <v>3146</v>
      </c>
      <c r="R29" s="3">
        <v>4346.45</v>
      </c>
      <c r="S29" s="15">
        <v>6292</v>
      </c>
      <c r="T29" s="15">
        <v>6954.32</v>
      </c>
      <c r="U29" s="3">
        <f t="shared" si="10"/>
        <v>3146</v>
      </c>
      <c r="V29" s="3">
        <f t="shared" si="11"/>
        <v>5215.74</v>
      </c>
    </row>
    <row r="30" spans="1:26" x14ac:dyDescent="0.2">
      <c r="A30" t="s">
        <v>3</v>
      </c>
      <c r="B30" t="s">
        <v>57</v>
      </c>
      <c r="C30" t="s">
        <v>147</v>
      </c>
      <c r="D30" t="s">
        <v>51</v>
      </c>
      <c r="E30" t="s">
        <v>13</v>
      </c>
      <c r="G30" s="3">
        <f t="shared" ca="1" si="12"/>
        <v>1099.801590512526</v>
      </c>
      <c r="H30" s="3">
        <f t="shared" ca="1" si="9"/>
        <v>1677.801590512526</v>
      </c>
      <c r="I30" s="3" t="s">
        <v>77</v>
      </c>
      <c r="J30">
        <v>9658.18</v>
      </c>
      <c r="K30" s="3"/>
      <c r="L30" s="3">
        <v>922</v>
      </c>
      <c r="M30" s="3">
        <v>1500</v>
      </c>
      <c r="N30" cm="1">
        <f t="array" aca="1" ref="N30" ca="1">_xlfn.XLOOKUP(A30&amp;B30,Suppliers!$A$2:$A$279 &amp; Suppliers!$B$2:$B$279,Suppliers!$M$2:$M$279) *0.005 *_xlfn.XLOOKUP(B30,TransportationConversion!$A$2:$A$300,TransportationConversion!$B$2:$B$300)</f>
        <v>177.80159051252608</v>
      </c>
      <c r="O30" s="3">
        <v>786.5</v>
      </c>
      <c r="P30" s="3">
        <v>869.29</v>
      </c>
      <c r="Q30" s="3">
        <v>3146</v>
      </c>
      <c r="R30" s="3">
        <v>4346.45</v>
      </c>
      <c r="S30" s="15">
        <v>6292</v>
      </c>
      <c r="T30" s="15">
        <v>6085.03</v>
      </c>
      <c r="U30" s="3">
        <f t="shared" si="10"/>
        <v>3146</v>
      </c>
      <c r="V30" s="3">
        <f t="shared" si="11"/>
        <v>5215.74</v>
      </c>
    </row>
    <row r="31" spans="1:26" x14ac:dyDescent="0.2">
      <c r="A31" t="s">
        <v>127</v>
      </c>
      <c r="B31" t="s">
        <v>20</v>
      </c>
      <c r="C31" t="s">
        <v>147</v>
      </c>
      <c r="D31" t="s">
        <v>47</v>
      </c>
      <c r="E31" t="s">
        <v>13</v>
      </c>
      <c r="G31" s="3">
        <f t="shared" ca="1" si="12"/>
        <v>62869.043989987709</v>
      </c>
      <c r="H31" s="3">
        <f t="shared" ca="1" si="9"/>
        <v>72869.043989987709</v>
      </c>
      <c r="I31" s="3" t="s">
        <v>77</v>
      </c>
      <c r="J31">
        <v>10000</v>
      </c>
      <c r="K31" s="3"/>
      <c r="L31" s="3">
        <v>32000</v>
      </c>
      <c r="M31" s="3">
        <v>42000</v>
      </c>
      <c r="N31" cm="1">
        <f t="array" aca="1" ref="N31" ca="1">_xlfn.XLOOKUP(A31&amp;B31,Suppliers!$A$2:$A$279 &amp; Suppliers!$B$2:$B$279,Suppliers!$M$2:$M$279) *0.005 *_xlfn.XLOOKUP(B31,TransportationConversion!$A$2:$A$300,TransportationConversion!$B$2:$B$300)</f>
        <v>30869.043989987706</v>
      </c>
      <c r="O31" s="3">
        <v>680</v>
      </c>
      <c r="P31" s="2">
        <v>780</v>
      </c>
      <c r="Q31" s="3">
        <v>3400</v>
      </c>
      <c r="R31" s="2">
        <v>4680</v>
      </c>
      <c r="S31" s="15">
        <v>4760</v>
      </c>
      <c r="T31" s="15">
        <v>5460</v>
      </c>
      <c r="U31" s="3">
        <f t="shared" si="10"/>
        <v>2720</v>
      </c>
      <c r="V31" s="3">
        <f t="shared" si="11"/>
        <v>4680</v>
      </c>
    </row>
    <row r="32" spans="1:26" x14ac:dyDescent="0.2">
      <c r="A32" t="s">
        <v>127</v>
      </c>
      <c r="B32" t="s">
        <v>22</v>
      </c>
      <c r="C32" t="s">
        <v>147</v>
      </c>
      <c r="D32" t="s">
        <v>48</v>
      </c>
      <c r="E32" t="s">
        <v>13</v>
      </c>
      <c r="G32" s="3">
        <f t="shared" ca="1" si="12"/>
        <v>34923.171966333772</v>
      </c>
      <c r="H32" s="3">
        <f t="shared" ca="1" si="9"/>
        <v>44923.171966333772</v>
      </c>
      <c r="I32" s="3" t="s">
        <v>77</v>
      </c>
      <c r="J32">
        <v>10000</v>
      </c>
      <c r="K32" s="3"/>
      <c r="L32" s="3">
        <v>32000</v>
      </c>
      <c r="M32" s="3">
        <v>42000</v>
      </c>
      <c r="N32" cm="1">
        <f t="array" aca="1" ref="N32" ca="1">_xlfn.XLOOKUP(A32&amp;B32,Suppliers!$A$2:$A$279 &amp; Suppliers!$B$2:$B$279,Suppliers!$M$2:$M$279) *0.005 *_xlfn.XLOOKUP(B32,TransportationConversion!$A$2:$A$300,TransportationConversion!$B$2:$B$300)</f>
        <v>2923.1719663337753</v>
      </c>
      <c r="O32" s="3">
        <v>680</v>
      </c>
      <c r="P32" s="2">
        <v>780</v>
      </c>
      <c r="Q32" s="3">
        <v>2720</v>
      </c>
      <c r="R32" s="2">
        <v>4680</v>
      </c>
      <c r="S32" s="15">
        <v>5440</v>
      </c>
      <c r="T32" s="15">
        <v>6240</v>
      </c>
      <c r="U32" s="3">
        <f t="shared" si="10"/>
        <v>2720</v>
      </c>
      <c r="V32" s="3">
        <f t="shared" si="11"/>
        <v>4680</v>
      </c>
    </row>
    <row r="33" spans="1:23" x14ac:dyDescent="0.2">
      <c r="A33" t="s">
        <v>127</v>
      </c>
      <c r="B33" t="s">
        <v>1</v>
      </c>
      <c r="C33" t="s">
        <v>147</v>
      </c>
      <c r="D33" t="s">
        <v>49</v>
      </c>
      <c r="E33" t="s">
        <v>13</v>
      </c>
      <c r="G33" s="3">
        <f t="shared" ca="1" si="12"/>
        <v>33776.039335621877</v>
      </c>
      <c r="H33" s="3">
        <f t="shared" ca="1" si="9"/>
        <v>43776.039335621877</v>
      </c>
      <c r="I33" s="3" t="s">
        <v>77</v>
      </c>
      <c r="J33">
        <v>10000</v>
      </c>
      <c r="K33" s="3"/>
      <c r="L33" s="3">
        <v>32000</v>
      </c>
      <c r="M33" s="3">
        <v>42000</v>
      </c>
      <c r="N33" cm="1">
        <f t="array" aca="1" ref="N33" ca="1">_xlfn.XLOOKUP(A33&amp;B33,Suppliers!$A$2:$A$279 &amp; Suppliers!$B$2:$B$279,Suppliers!$M$2:$M$279) *0.005 *_xlfn.XLOOKUP(B33,TransportationConversion!$A$2:$A$300,TransportationConversion!$B$2:$B$300)</f>
        <v>1776.0393356218763</v>
      </c>
      <c r="O33" s="3">
        <v>680</v>
      </c>
      <c r="P33" s="2">
        <v>780</v>
      </c>
      <c r="Q33" s="3">
        <v>2720</v>
      </c>
      <c r="R33" s="2">
        <v>3900</v>
      </c>
      <c r="S33" s="15">
        <v>4760</v>
      </c>
      <c r="T33" s="15">
        <v>5460</v>
      </c>
      <c r="U33" s="3">
        <f t="shared" si="10"/>
        <v>2720</v>
      </c>
      <c r="V33" s="3">
        <f t="shared" si="11"/>
        <v>4680</v>
      </c>
    </row>
    <row r="34" spans="1:23" x14ac:dyDescent="0.2">
      <c r="A34" t="s">
        <v>127</v>
      </c>
      <c r="B34" t="s">
        <v>38</v>
      </c>
      <c r="C34" t="s">
        <v>147</v>
      </c>
      <c r="D34" t="s">
        <v>50</v>
      </c>
      <c r="E34" t="s">
        <v>13</v>
      </c>
      <c r="G34" s="3">
        <f t="shared" ca="1" si="12"/>
        <v>33845.043354556976</v>
      </c>
      <c r="H34" s="3">
        <f t="shared" ca="1" si="9"/>
        <v>43845.043354556976</v>
      </c>
      <c r="I34" s="3" t="s">
        <v>77</v>
      </c>
      <c r="J34">
        <v>10000</v>
      </c>
      <c r="K34" s="3"/>
      <c r="L34" s="3">
        <v>32000</v>
      </c>
      <c r="M34" s="3">
        <v>42000</v>
      </c>
      <c r="N34" cm="1">
        <f t="array" aca="1" ref="N34" ca="1">_xlfn.XLOOKUP(A34&amp;B34,Suppliers!$A$2:$A$279 &amp; Suppliers!$B$2:$B$279,Suppliers!$M$2:$M$279) *0.005 *_xlfn.XLOOKUP(B34,TransportationConversion!$A$2:$A$300,TransportationConversion!$B$2:$B$300)</f>
        <v>1845.0433545569747</v>
      </c>
      <c r="O34" s="3">
        <v>680</v>
      </c>
      <c r="P34" s="2">
        <v>780</v>
      </c>
      <c r="Q34" s="3">
        <v>2720</v>
      </c>
      <c r="R34" s="2">
        <v>4680</v>
      </c>
      <c r="S34" s="15">
        <v>4760</v>
      </c>
      <c r="T34" s="15">
        <v>5460</v>
      </c>
      <c r="U34" s="3">
        <f t="shared" si="10"/>
        <v>2720</v>
      </c>
      <c r="V34" s="3">
        <f t="shared" si="11"/>
        <v>4680</v>
      </c>
    </row>
    <row r="35" spans="1:23" x14ac:dyDescent="0.2">
      <c r="A35" t="s">
        <v>127</v>
      </c>
      <c r="B35" t="s">
        <v>53</v>
      </c>
      <c r="C35" t="s">
        <v>147</v>
      </c>
      <c r="D35" t="s">
        <v>51</v>
      </c>
      <c r="E35" t="s">
        <v>13</v>
      </c>
      <c r="G35" s="3">
        <f t="shared" ca="1" si="12"/>
        <v>35833.885594742664</v>
      </c>
      <c r="H35" s="3">
        <f t="shared" ca="1" si="9"/>
        <v>45833.885594742664</v>
      </c>
      <c r="I35" s="3" t="s">
        <v>77</v>
      </c>
      <c r="J35">
        <v>10000</v>
      </c>
      <c r="K35" s="3"/>
      <c r="L35" s="3">
        <v>32000</v>
      </c>
      <c r="M35" s="3">
        <v>42000</v>
      </c>
      <c r="N35" cm="1">
        <f t="array" aca="1" ref="N35" ca="1">_xlfn.XLOOKUP(A35&amp;B35,Suppliers!$A$2:$A$279 &amp; Suppliers!$B$2:$B$279,Suppliers!$M$2:$M$279) *0.005 *_xlfn.XLOOKUP(B35,TransportationConversion!$A$2:$A$300,TransportationConversion!$B$2:$B$300)</f>
        <v>3833.8855947426664</v>
      </c>
      <c r="O35" s="3">
        <v>680</v>
      </c>
      <c r="P35" s="2">
        <v>780</v>
      </c>
      <c r="Q35" s="3">
        <v>3400</v>
      </c>
      <c r="R35" s="2">
        <v>3900</v>
      </c>
      <c r="S35" s="15">
        <v>5440</v>
      </c>
      <c r="T35" s="15">
        <v>5460</v>
      </c>
      <c r="U35" s="3">
        <f t="shared" si="10"/>
        <v>2720</v>
      </c>
      <c r="V35" s="3">
        <f t="shared" si="11"/>
        <v>4680</v>
      </c>
    </row>
    <row r="36" spans="1:23" x14ac:dyDescent="0.2">
      <c r="A36" t="s">
        <v>127</v>
      </c>
      <c r="B36" t="s">
        <v>54</v>
      </c>
      <c r="C36" t="s">
        <v>147</v>
      </c>
      <c r="D36" t="s">
        <v>52</v>
      </c>
      <c r="E36" t="s">
        <v>13</v>
      </c>
      <c r="G36" s="3">
        <f t="shared" ca="1" si="12"/>
        <v>32199.596247942685</v>
      </c>
      <c r="H36" s="3">
        <f t="shared" ca="1" si="9"/>
        <v>42199.596247942689</v>
      </c>
      <c r="I36" s="3" t="s">
        <v>77</v>
      </c>
      <c r="J36">
        <v>10000</v>
      </c>
      <c r="K36" s="3"/>
      <c r="L36" s="3">
        <v>32000</v>
      </c>
      <c r="M36" s="3">
        <v>42000</v>
      </c>
      <c r="N36" cm="1">
        <f t="array" aca="1" ref="N36" ca="1">_xlfn.XLOOKUP(A36&amp;B36,Suppliers!$A$2:$A$279 &amp; Suppliers!$B$2:$B$279,Suppliers!$M$2:$M$279) *0.005 *_xlfn.XLOOKUP(B36,TransportationConversion!$A$2:$A$300,TransportationConversion!$B$2:$B$300)</f>
        <v>199.59624794268643</v>
      </c>
      <c r="O36" s="3">
        <v>680</v>
      </c>
      <c r="P36" s="2">
        <v>780</v>
      </c>
      <c r="Q36" s="3">
        <v>2720</v>
      </c>
      <c r="R36" s="2">
        <v>3900</v>
      </c>
      <c r="S36" s="15">
        <v>5440</v>
      </c>
      <c r="T36" s="15">
        <v>6240</v>
      </c>
      <c r="U36" s="3">
        <f t="shared" si="10"/>
        <v>2720</v>
      </c>
      <c r="V36" s="3">
        <f t="shared" si="11"/>
        <v>4680</v>
      </c>
    </row>
    <row r="37" spans="1:23" x14ac:dyDescent="0.2">
      <c r="A37" t="s">
        <v>127</v>
      </c>
      <c r="B37" t="s">
        <v>35</v>
      </c>
      <c r="C37" t="s">
        <v>147</v>
      </c>
      <c r="D37" t="s">
        <v>41</v>
      </c>
      <c r="E37" t="s">
        <v>13</v>
      </c>
      <c r="G37" s="3">
        <f t="shared" ca="1" si="12"/>
        <v>33767.567256725022</v>
      </c>
      <c r="H37" s="3">
        <f t="shared" ca="1" si="9"/>
        <v>43767.567256725022</v>
      </c>
      <c r="I37" s="3" t="s">
        <v>77</v>
      </c>
      <c r="J37">
        <v>10000</v>
      </c>
      <c r="K37" s="3"/>
      <c r="L37" s="3">
        <v>32000</v>
      </c>
      <c r="M37" s="3">
        <v>42000</v>
      </c>
      <c r="N37" cm="1">
        <f t="array" aca="1" ref="N37" ca="1">_xlfn.XLOOKUP(A37&amp;B37,Suppliers!$A$2:$A$279 &amp; Suppliers!$B$2:$B$279,Suppliers!$M$2:$M$279) *0.005 *_xlfn.XLOOKUP(B37,TransportationConversion!$A$2:$A$300,TransportationConversion!$B$2:$B$300)</f>
        <v>1767.567256725019</v>
      </c>
      <c r="O37" s="3">
        <v>680</v>
      </c>
      <c r="P37" s="2">
        <v>780</v>
      </c>
      <c r="Q37" s="3">
        <v>3400</v>
      </c>
      <c r="R37" s="2">
        <v>4680</v>
      </c>
      <c r="S37" s="15">
        <v>5440</v>
      </c>
      <c r="T37" s="15">
        <v>6240</v>
      </c>
      <c r="U37" s="3">
        <f t="shared" si="10"/>
        <v>2720</v>
      </c>
      <c r="V37" s="3">
        <f t="shared" si="11"/>
        <v>4680</v>
      </c>
    </row>
    <row r="38" spans="1:23" x14ac:dyDescent="0.2">
      <c r="A38" t="s">
        <v>127</v>
      </c>
      <c r="B38" t="s">
        <v>55</v>
      </c>
      <c r="C38" t="s">
        <v>147</v>
      </c>
      <c r="D38" t="s">
        <v>42</v>
      </c>
      <c r="E38" t="s">
        <v>13</v>
      </c>
      <c r="G38" s="3">
        <f t="shared" ca="1" si="12"/>
        <v>33890.778224574889</v>
      </c>
      <c r="H38" s="3">
        <f t="shared" ca="1" si="9"/>
        <v>43890.778224574889</v>
      </c>
      <c r="I38" s="3" t="s">
        <v>77</v>
      </c>
      <c r="J38">
        <v>10000</v>
      </c>
      <c r="K38" s="3"/>
      <c r="L38" s="3">
        <v>32000</v>
      </c>
      <c r="M38" s="3">
        <v>42000</v>
      </c>
      <c r="N38" cm="1">
        <f t="array" aca="1" ref="N38" ca="1">_xlfn.XLOOKUP(A38&amp;B38,Suppliers!$A$2:$A$279 &amp; Suppliers!$B$2:$B$279,Suppliers!$M$2:$M$279) *0.005 *_xlfn.XLOOKUP(B38,TransportationConversion!$A$2:$A$300,TransportationConversion!$B$2:$B$300)</f>
        <v>1890.7782245748924</v>
      </c>
      <c r="O38" s="3">
        <v>680</v>
      </c>
      <c r="P38" s="2">
        <v>780</v>
      </c>
      <c r="Q38" s="3">
        <v>3400</v>
      </c>
      <c r="R38" s="2">
        <v>3900</v>
      </c>
      <c r="S38" s="15">
        <v>5440</v>
      </c>
      <c r="T38" s="15">
        <v>5460</v>
      </c>
      <c r="U38" s="3">
        <f t="shared" si="10"/>
        <v>2720</v>
      </c>
      <c r="V38" s="3">
        <f t="shared" si="11"/>
        <v>4680</v>
      </c>
    </row>
    <row r="39" spans="1:23" x14ac:dyDescent="0.2">
      <c r="A39" t="s">
        <v>127</v>
      </c>
      <c r="B39" t="s">
        <v>57</v>
      </c>
      <c r="C39" t="s">
        <v>147</v>
      </c>
      <c r="D39" t="s">
        <v>43</v>
      </c>
      <c r="E39" t="s">
        <v>13</v>
      </c>
      <c r="G39" s="3">
        <f t="shared" ca="1" si="12"/>
        <v>32912.751774946482</v>
      </c>
      <c r="H39" s="3">
        <f t="shared" ca="1" si="9"/>
        <v>42912.751774946482</v>
      </c>
      <c r="I39" s="3" t="s">
        <v>77</v>
      </c>
      <c r="J39">
        <v>10000</v>
      </c>
      <c r="K39" s="3"/>
      <c r="L39" s="3">
        <v>32000</v>
      </c>
      <c r="M39" s="3">
        <v>42000</v>
      </c>
      <c r="N39" cm="1">
        <f t="array" aca="1" ref="N39" ca="1">_xlfn.XLOOKUP(A39&amp;B39,Suppliers!$A$2:$A$279 &amp; Suppliers!$B$2:$B$279,Suppliers!$M$2:$M$279) *0.005 *_xlfn.XLOOKUP(B39,TransportationConversion!$A$2:$A$300,TransportationConversion!$B$2:$B$300)</f>
        <v>912.75177494647937</v>
      </c>
      <c r="O39" s="3">
        <v>680</v>
      </c>
      <c r="P39" s="2">
        <v>780</v>
      </c>
      <c r="Q39" s="3">
        <v>2720</v>
      </c>
      <c r="R39" s="2">
        <v>3900</v>
      </c>
      <c r="S39" s="15">
        <v>5440</v>
      </c>
      <c r="T39" s="15">
        <v>6240</v>
      </c>
      <c r="U39" s="3">
        <f t="shared" si="10"/>
        <v>2720</v>
      </c>
      <c r="V39" s="3">
        <f t="shared" si="11"/>
        <v>4680</v>
      </c>
    </row>
    <row r="40" spans="1:23" x14ac:dyDescent="0.2">
      <c r="A40" t="s">
        <v>116</v>
      </c>
      <c r="B40" t="s">
        <v>20</v>
      </c>
      <c r="C40" t="s">
        <v>147</v>
      </c>
      <c r="D40" t="s">
        <v>47</v>
      </c>
      <c r="E40" t="s">
        <v>13</v>
      </c>
      <c r="G40" s="3">
        <f t="shared" ref="G40:G50" ca="1" si="13">L40+N40</f>
        <v>57103.800929948709</v>
      </c>
      <c r="H40" s="3">
        <f t="shared" ref="H40:H48" ca="1" si="14">M40+$N40</f>
        <v>67103.800929948717</v>
      </c>
      <c r="I40" s="3" t="s">
        <v>77</v>
      </c>
      <c r="J40">
        <v>10000</v>
      </c>
      <c r="K40" s="3"/>
      <c r="L40" s="3">
        <v>32000</v>
      </c>
      <c r="M40" s="3">
        <v>42000</v>
      </c>
      <c r="N40" cm="1">
        <f t="array" aca="1" ref="N40" ca="1">_xlfn.XLOOKUP(A40&amp;B40,Suppliers!$A$2:$A$279 &amp; Suppliers!$B$2:$B$279,Suppliers!$M$2:$M$279) *0.005 *_xlfn.XLOOKUP(B40,TransportationConversion!$A$2:$A$300,TransportationConversion!$B$2:$B$300)</f>
        <v>25103.800929948709</v>
      </c>
      <c r="O40" s="3">
        <v>4498</v>
      </c>
      <c r="P40" s="2">
        <v>5000</v>
      </c>
      <c r="Q40" s="3">
        <v>10000</v>
      </c>
      <c r="R40" s="2">
        <v>15000</v>
      </c>
      <c r="S40" s="15">
        <v>20000</v>
      </c>
      <c r="T40" s="15">
        <v>24000</v>
      </c>
      <c r="U40" s="3">
        <f t="shared" ref="U40:U48" si="15">O40*4</f>
        <v>17992</v>
      </c>
      <c r="V40" s="3">
        <f t="shared" ref="V40:V48" si="16">P40*6</f>
        <v>30000</v>
      </c>
      <c r="W40" s="14" t="s">
        <v>129</v>
      </c>
    </row>
    <row r="41" spans="1:23" x14ac:dyDescent="0.2">
      <c r="A41" t="s">
        <v>116</v>
      </c>
      <c r="B41" t="s">
        <v>22</v>
      </c>
      <c r="C41" t="s">
        <v>147</v>
      </c>
      <c r="D41" t="s">
        <v>48</v>
      </c>
      <c r="E41" t="s">
        <v>13</v>
      </c>
      <c r="G41" s="3">
        <f t="shared" ca="1" si="13"/>
        <v>34677.220085315923</v>
      </c>
      <c r="H41" s="3">
        <f t="shared" ca="1" si="14"/>
        <v>44677.220085315923</v>
      </c>
      <c r="I41" s="3" t="s">
        <v>77</v>
      </c>
      <c r="J41">
        <v>10000</v>
      </c>
      <c r="K41" s="3"/>
      <c r="L41" s="3">
        <v>32000</v>
      </c>
      <c r="M41" s="3">
        <v>42000</v>
      </c>
      <c r="N41" cm="1">
        <f t="array" aca="1" ref="N41" ca="1">_xlfn.XLOOKUP(A41&amp;B41,Suppliers!$A$2:$A$279 &amp; Suppliers!$B$2:$B$279,Suppliers!$M$2:$M$279) *0.005 *_xlfn.XLOOKUP(B41,TransportationConversion!$A$2:$A$300,TransportationConversion!$B$2:$B$300)</f>
        <v>2677.2200853159225</v>
      </c>
      <c r="O41" s="3">
        <v>4498</v>
      </c>
      <c r="P41" s="2">
        <v>5000</v>
      </c>
      <c r="Q41" s="3">
        <v>10000</v>
      </c>
      <c r="R41" s="2">
        <v>18000</v>
      </c>
      <c r="S41" s="15">
        <v>20000</v>
      </c>
      <c r="T41" s="15">
        <v>24000</v>
      </c>
      <c r="U41" s="3">
        <f t="shared" si="15"/>
        <v>17992</v>
      </c>
      <c r="V41" s="3">
        <f t="shared" si="16"/>
        <v>30000</v>
      </c>
    </row>
    <row r="42" spans="1:23" x14ac:dyDescent="0.2">
      <c r="A42" t="s">
        <v>116</v>
      </c>
      <c r="B42" t="s">
        <v>1</v>
      </c>
      <c r="C42" t="s">
        <v>147</v>
      </c>
      <c r="D42" t="s">
        <v>49</v>
      </c>
      <c r="E42" t="s">
        <v>13</v>
      </c>
      <c r="G42" s="3">
        <f t="shared" ca="1" si="13"/>
        <v>33620.617825768881</v>
      </c>
      <c r="H42" s="3">
        <f t="shared" ca="1" si="14"/>
        <v>43620.617825768881</v>
      </c>
      <c r="I42" s="3" t="s">
        <v>77</v>
      </c>
      <c r="J42">
        <v>10000</v>
      </c>
      <c r="K42" s="3"/>
      <c r="L42" s="3">
        <v>32000</v>
      </c>
      <c r="M42" s="3">
        <v>42000</v>
      </c>
      <c r="N42" cm="1">
        <f t="array" aca="1" ref="N42" ca="1">_xlfn.XLOOKUP(A42&amp;B42,Suppliers!$A$2:$A$279 &amp; Suppliers!$B$2:$B$279,Suppliers!$M$2:$M$279) *0.005 *_xlfn.XLOOKUP(B42,TransportationConversion!$A$2:$A$300,TransportationConversion!$B$2:$B$300)</f>
        <v>1620.6178257688805</v>
      </c>
      <c r="O42" s="3">
        <v>4498</v>
      </c>
      <c r="P42" s="2">
        <v>5000</v>
      </c>
      <c r="Q42" s="3">
        <v>12500</v>
      </c>
      <c r="R42" s="2">
        <v>18000</v>
      </c>
      <c r="S42" s="15">
        <v>20000</v>
      </c>
      <c r="T42" s="15">
        <v>21000</v>
      </c>
      <c r="U42" s="3">
        <f t="shared" si="15"/>
        <v>17992</v>
      </c>
      <c r="V42" s="3">
        <f t="shared" si="16"/>
        <v>30000</v>
      </c>
    </row>
    <row r="43" spans="1:23" x14ac:dyDescent="0.2">
      <c r="A43" t="s">
        <v>116</v>
      </c>
      <c r="B43" t="s">
        <v>38</v>
      </c>
      <c r="C43" t="s">
        <v>147</v>
      </c>
      <c r="D43" t="s">
        <v>50</v>
      </c>
      <c r="E43" t="s">
        <v>13</v>
      </c>
      <c r="G43" s="3">
        <f t="shared" ca="1" si="13"/>
        <v>33788.225085746497</v>
      </c>
      <c r="H43" s="3">
        <f t="shared" ca="1" si="14"/>
        <v>43788.225085746497</v>
      </c>
      <c r="I43" s="3" t="s">
        <v>77</v>
      </c>
      <c r="J43">
        <v>10000</v>
      </c>
      <c r="K43" s="3"/>
      <c r="L43" s="3">
        <v>32000</v>
      </c>
      <c r="M43" s="3">
        <v>42000</v>
      </c>
      <c r="N43" cm="1">
        <f t="array" aca="1" ref="N43" ca="1">_xlfn.XLOOKUP(A43&amp;B43,Suppliers!$A$2:$A$279 &amp; Suppliers!$B$2:$B$279,Suppliers!$M$2:$M$279) *0.005 *_xlfn.XLOOKUP(B43,TransportationConversion!$A$2:$A$300,TransportationConversion!$B$2:$B$300)</f>
        <v>1788.2250857464987</v>
      </c>
      <c r="O43" s="3">
        <v>4498</v>
      </c>
      <c r="P43" s="2">
        <v>5000</v>
      </c>
      <c r="Q43" s="3">
        <v>10000</v>
      </c>
      <c r="R43" s="2">
        <v>18000</v>
      </c>
      <c r="S43" s="15">
        <v>17500</v>
      </c>
      <c r="T43" s="15">
        <v>21000</v>
      </c>
      <c r="U43" s="3">
        <f t="shared" si="15"/>
        <v>17992</v>
      </c>
      <c r="V43" s="3">
        <f t="shared" si="16"/>
        <v>30000</v>
      </c>
    </row>
    <row r="44" spans="1:23" x14ac:dyDescent="0.2">
      <c r="A44" t="s">
        <v>116</v>
      </c>
      <c r="B44" t="s">
        <v>53</v>
      </c>
      <c r="C44" t="s">
        <v>147</v>
      </c>
      <c r="D44" t="s">
        <v>51</v>
      </c>
      <c r="E44" t="s">
        <v>13</v>
      </c>
      <c r="G44" s="3">
        <f t="shared" ca="1" si="13"/>
        <v>35933.172964663965</v>
      </c>
      <c r="H44" s="3">
        <f t="shared" ca="1" si="14"/>
        <v>45933.172964663965</v>
      </c>
      <c r="I44" s="3" t="s">
        <v>77</v>
      </c>
      <c r="J44">
        <v>10000</v>
      </c>
      <c r="K44" s="3"/>
      <c r="L44" s="3">
        <v>32000</v>
      </c>
      <c r="M44" s="3">
        <v>42000</v>
      </c>
      <c r="N44" cm="1">
        <f t="array" aca="1" ref="N44" ca="1">_xlfn.XLOOKUP(A44&amp;B44,Suppliers!$A$2:$A$279 &amp; Suppliers!$B$2:$B$279,Suppliers!$M$2:$M$279) *0.005 *_xlfn.XLOOKUP(B44,TransportationConversion!$A$2:$A$300,TransportationConversion!$B$2:$B$300)</f>
        <v>3933.1729646639637</v>
      </c>
      <c r="O44" s="3">
        <v>4498</v>
      </c>
      <c r="P44" s="2">
        <v>5000</v>
      </c>
      <c r="Q44" s="3">
        <v>12500</v>
      </c>
      <c r="R44" s="2">
        <v>18000</v>
      </c>
      <c r="S44" s="15">
        <v>20000</v>
      </c>
      <c r="T44" s="15">
        <v>24000</v>
      </c>
      <c r="U44" s="3">
        <f t="shared" si="15"/>
        <v>17992</v>
      </c>
      <c r="V44" s="3">
        <f t="shared" si="16"/>
        <v>30000</v>
      </c>
    </row>
    <row r="45" spans="1:23" x14ac:dyDescent="0.2">
      <c r="A45" t="s">
        <v>116</v>
      </c>
      <c r="B45" t="s">
        <v>54</v>
      </c>
      <c r="C45" t="s">
        <v>147</v>
      </c>
      <c r="D45" t="s">
        <v>52</v>
      </c>
      <c r="E45" t="s">
        <v>13</v>
      </c>
      <c r="G45" s="3">
        <f t="shared" ca="1" si="13"/>
        <v>32161.173671059882</v>
      </c>
      <c r="H45" s="3">
        <f t="shared" ca="1" si="14"/>
        <v>42161.173671059878</v>
      </c>
      <c r="I45" s="3" t="s">
        <v>77</v>
      </c>
      <c r="J45">
        <v>10000</v>
      </c>
      <c r="K45" s="3"/>
      <c r="L45" s="3">
        <v>32000</v>
      </c>
      <c r="M45" s="3">
        <v>42000</v>
      </c>
      <c r="N45" cm="1">
        <f t="array" aca="1" ref="N45" ca="1">_xlfn.XLOOKUP(A45&amp;B45,Suppliers!$A$2:$A$279 &amp; Suppliers!$B$2:$B$279,Suppliers!$M$2:$M$279) *0.005 *_xlfn.XLOOKUP(B45,TransportationConversion!$A$2:$A$300,TransportationConversion!$B$2:$B$300)</f>
        <v>161.17367105988112</v>
      </c>
      <c r="O45" s="3">
        <v>4498</v>
      </c>
      <c r="P45" s="2">
        <v>5000</v>
      </c>
      <c r="Q45" s="3">
        <v>10000</v>
      </c>
      <c r="R45" s="2">
        <v>15000</v>
      </c>
      <c r="S45" s="15">
        <v>20000</v>
      </c>
      <c r="T45" s="15">
        <v>24000</v>
      </c>
      <c r="U45" s="3">
        <f t="shared" si="15"/>
        <v>17992</v>
      </c>
      <c r="V45" s="3">
        <f t="shared" si="16"/>
        <v>30000</v>
      </c>
    </row>
    <row r="46" spans="1:23" x14ac:dyDescent="0.2">
      <c r="A46" t="s">
        <v>116</v>
      </c>
      <c r="B46" t="s">
        <v>35</v>
      </c>
      <c r="C46" t="s">
        <v>147</v>
      </c>
      <c r="D46" t="s">
        <v>41</v>
      </c>
      <c r="E46" t="s">
        <v>13</v>
      </c>
      <c r="G46" s="3">
        <f t="shared" ca="1" si="13"/>
        <v>33800.505103816235</v>
      </c>
      <c r="H46" s="3">
        <f t="shared" ca="1" si="14"/>
        <v>43800.505103816235</v>
      </c>
      <c r="I46" s="3" t="s">
        <v>77</v>
      </c>
      <c r="J46">
        <v>10000</v>
      </c>
      <c r="K46" s="3"/>
      <c r="L46" s="3">
        <v>32000</v>
      </c>
      <c r="M46" s="3">
        <v>42000</v>
      </c>
      <c r="N46" cm="1">
        <f t="array" aca="1" ref="N46" ca="1">_xlfn.XLOOKUP(A46&amp;B46,Suppliers!$A$2:$A$279 &amp; Suppliers!$B$2:$B$279,Suppliers!$M$2:$M$279) *0.005 *_xlfn.XLOOKUP(B46,TransportationConversion!$A$2:$A$300,TransportationConversion!$B$2:$B$300)</f>
        <v>1800.5051038162321</v>
      </c>
      <c r="O46" s="3">
        <v>4498</v>
      </c>
      <c r="P46" s="2">
        <v>5000</v>
      </c>
      <c r="Q46" s="3">
        <v>12500</v>
      </c>
      <c r="R46" s="2">
        <v>15000</v>
      </c>
      <c r="S46" s="15">
        <v>20000</v>
      </c>
      <c r="T46" s="15">
        <v>24000</v>
      </c>
      <c r="U46" s="3">
        <f t="shared" si="15"/>
        <v>17992</v>
      </c>
      <c r="V46" s="3">
        <f t="shared" si="16"/>
        <v>30000</v>
      </c>
    </row>
    <row r="47" spans="1:23" x14ac:dyDescent="0.2">
      <c r="A47" t="s">
        <v>116</v>
      </c>
      <c r="B47" t="s">
        <v>55</v>
      </c>
      <c r="C47" t="s">
        <v>147</v>
      </c>
      <c r="D47" t="s">
        <v>42</v>
      </c>
      <c r="E47" t="s">
        <v>13</v>
      </c>
      <c r="G47" s="3">
        <f t="shared" ca="1" si="13"/>
        <v>33591.957643956186</v>
      </c>
      <c r="H47" s="3">
        <f t="shared" ca="1" si="14"/>
        <v>43591.957643956186</v>
      </c>
      <c r="I47" s="3" t="s">
        <v>77</v>
      </c>
      <c r="J47">
        <v>10000</v>
      </c>
      <c r="K47" s="3"/>
      <c r="L47" s="3">
        <v>32000</v>
      </c>
      <c r="M47" s="3">
        <v>42000</v>
      </c>
      <c r="N47" cm="1">
        <f t="array" aca="1" ref="N47" ca="1">_xlfn.XLOOKUP(A47&amp;B47,Suppliers!$A$2:$A$279 &amp; Suppliers!$B$2:$B$279,Suppliers!$M$2:$M$279) *0.005 *_xlfn.XLOOKUP(B47,TransportationConversion!$A$2:$A$300,TransportationConversion!$B$2:$B$300)</f>
        <v>1591.9576439561827</v>
      </c>
      <c r="O47" s="3">
        <v>4498</v>
      </c>
      <c r="P47" s="2">
        <v>5000</v>
      </c>
      <c r="Q47" s="3">
        <v>10000</v>
      </c>
      <c r="R47" s="2">
        <v>18000</v>
      </c>
      <c r="S47" s="15">
        <v>17500</v>
      </c>
      <c r="T47" s="15">
        <v>21000</v>
      </c>
      <c r="U47" s="3">
        <f t="shared" si="15"/>
        <v>17992</v>
      </c>
      <c r="V47" s="3">
        <f t="shared" si="16"/>
        <v>30000</v>
      </c>
    </row>
    <row r="48" spans="1:23" x14ac:dyDescent="0.2">
      <c r="A48" t="s">
        <v>116</v>
      </c>
      <c r="B48" t="s">
        <v>57</v>
      </c>
      <c r="C48" t="s">
        <v>147</v>
      </c>
      <c r="D48" t="s">
        <v>43</v>
      </c>
      <c r="E48" t="s">
        <v>13</v>
      </c>
      <c r="G48" s="3">
        <f t="shared" ca="1" si="13"/>
        <v>32870.672496315412</v>
      </c>
      <c r="H48" s="3">
        <f t="shared" ca="1" si="14"/>
        <v>42870.672496315412</v>
      </c>
      <c r="I48" s="3" t="s">
        <v>77</v>
      </c>
      <c r="J48">
        <v>10000</v>
      </c>
      <c r="K48" s="3"/>
      <c r="L48" s="3">
        <v>32000</v>
      </c>
      <c r="M48" s="3">
        <v>42000</v>
      </c>
      <c r="N48" cm="1">
        <f t="array" aca="1" ref="N48" ca="1">_xlfn.XLOOKUP(A48&amp;B48,Suppliers!$A$2:$A$279 &amp; Suppliers!$B$2:$B$279,Suppliers!$M$2:$M$279) *0.005 *_xlfn.XLOOKUP(B48,TransportationConversion!$A$2:$A$300,TransportationConversion!$B$2:$B$300)</f>
        <v>870.67249631541415</v>
      </c>
      <c r="O48" s="3">
        <v>4498</v>
      </c>
      <c r="P48" s="2">
        <v>5000</v>
      </c>
      <c r="Q48" s="3">
        <v>12500</v>
      </c>
      <c r="R48" s="2">
        <v>18000</v>
      </c>
      <c r="S48" s="15">
        <v>17500</v>
      </c>
      <c r="T48" s="15">
        <v>24000</v>
      </c>
      <c r="U48" s="3">
        <f t="shared" si="15"/>
        <v>17992</v>
      </c>
      <c r="V48" s="3">
        <f t="shared" si="16"/>
        <v>30000</v>
      </c>
    </row>
    <row r="49" spans="1:22" x14ac:dyDescent="0.2">
      <c r="A49" s="4" t="s">
        <v>120</v>
      </c>
      <c r="B49" s="4" t="s">
        <v>20</v>
      </c>
      <c r="C49" t="s">
        <v>147</v>
      </c>
      <c r="D49" s="4" t="s">
        <v>47</v>
      </c>
      <c r="E49" s="4" t="s">
        <v>13</v>
      </c>
      <c r="F49" s="11"/>
      <c r="G49" s="3">
        <f t="shared" ca="1" si="13"/>
        <v>59408.719111543236</v>
      </c>
      <c r="H49" s="3">
        <f t="shared" ref="H49:H57" ca="1" si="17">M49+$N49</f>
        <v>69408.719111543236</v>
      </c>
      <c r="I49" s="11" t="s">
        <v>77</v>
      </c>
      <c r="J49" s="4">
        <v>10000</v>
      </c>
      <c r="K49" s="11"/>
      <c r="L49" s="3">
        <v>32000</v>
      </c>
      <c r="M49" s="3">
        <v>42000</v>
      </c>
      <c r="N49" cm="1">
        <f t="array" aca="1" ref="N49" ca="1">_xlfn.XLOOKUP(A49&amp;B49,Suppliers!$A$2:$A$279 &amp; Suppliers!$B$2:$B$279,Suppliers!$M$2:$M$279) *0.005 *_xlfn.XLOOKUP(B49,TransportationConversion!$A$2:$A$300,TransportationConversion!$B$2:$B$300)</f>
        <v>27408.71911154324</v>
      </c>
      <c r="O49" s="11">
        <v>4100</v>
      </c>
      <c r="P49" s="12">
        <v>4200</v>
      </c>
      <c r="Q49" s="11">
        <v>5000</v>
      </c>
      <c r="R49" s="12">
        <v>7200</v>
      </c>
      <c r="S49" s="15">
        <v>8000</v>
      </c>
      <c r="T49" s="15">
        <v>8400</v>
      </c>
      <c r="U49" s="3">
        <f t="shared" ref="U49:U57" si="18">O49*4</f>
        <v>16400</v>
      </c>
      <c r="V49" s="3">
        <f t="shared" ref="V49:V57" si="19">P49*6</f>
        <v>25200</v>
      </c>
    </row>
    <row r="50" spans="1:22" x14ac:dyDescent="0.2">
      <c r="A50" s="4" t="s">
        <v>120</v>
      </c>
      <c r="B50" s="4" t="s">
        <v>22</v>
      </c>
      <c r="C50" t="s">
        <v>147</v>
      </c>
      <c r="D50" s="4" t="s">
        <v>48</v>
      </c>
      <c r="E50" s="4" t="s">
        <v>13</v>
      </c>
      <c r="F50" s="11"/>
      <c r="G50" s="3">
        <f t="shared" ca="1" si="13"/>
        <v>34718.796634281898</v>
      </c>
      <c r="H50" s="3">
        <f t="shared" ca="1" si="17"/>
        <v>44718.796634281898</v>
      </c>
      <c r="I50" s="11" t="s">
        <v>77</v>
      </c>
      <c r="J50" s="4">
        <v>10000</v>
      </c>
      <c r="K50" s="11"/>
      <c r="L50" s="3">
        <v>32000</v>
      </c>
      <c r="M50" s="3">
        <v>42000</v>
      </c>
      <c r="N50" cm="1">
        <f t="array" aca="1" ref="N50" ca="1">_xlfn.XLOOKUP(A50&amp;B50,Suppliers!$A$2:$A$279 &amp; Suppliers!$B$2:$B$279,Suppliers!$M$2:$M$279) *0.005 *_xlfn.XLOOKUP(B50,TransportationConversion!$A$2:$A$300,TransportationConversion!$B$2:$B$300)</f>
        <v>2718.7966342818977</v>
      </c>
      <c r="O50" s="11">
        <v>4100</v>
      </c>
      <c r="P50" s="12">
        <v>4200</v>
      </c>
      <c r="Q50" s="11">
        <v>4000</v>
      </c>
      <c r="R50" s="12">
        <v>6000</v>
      </c>
      <c r="S50" s="15">
        <v>7000</v>
      </c>
      <c r="T50" s="15">
        <v>8400</v>
      </c>
      <c r="U50" s="3">
        <f t="shared" si="18"/>
        <v>16400</v>
      </c>
      <c r="V50" s="3">
        <f t="shared" si="19"/>
        <v>25200</v>
      </c>
    </row>
    <row r="51" spans="1:22" x14ac:dyDescent="0.2">
      <c r="A51" s="4" t="s">
        <v>120</v>
      </c>
      <c r="B51" s="4" t="s">
        <v>1</v>
      </c>
      <c r="C51" t="s">
        <v>147</v>
      </c>
      <c r="D51" s="4" t="s">
        <v>49</v>
      </c>
      <c r="E51" s="4" t="s">
        <v>13</v>
      </c>
      <c r="F51" s="11"/>
      <c r="G51" s="3">
        <f t="shared" ref="G51:G57" ca="1" si="20">L51+N51</f>
        <v>33750.170288038687</v>
      </c>
      <c r="H51" s="3">
        <f t="shared" ca="1" si="17"/>
        <v>43750.170288038687</v>
      </c>
      <c r="I51" s="11" t="s">
        <v>77</v>
      </c>
      <c r="J51" s="4">
        <v>10000</v>
      </c>
      <c r="K51" s="11"/>
      <c r="L51" s="3">
        <v>32000</v>
      </c>
      <c r="M51" s="3">
        <v>42000</v>
      </c>
      <c r="N51" cm="1">
        <f t="array" aca="1" ref="N51" ca="1">_xlfn.XLOOKUP(A51&amp;B51,Suppliers!$A$2:$A$279 &amp; Suppliers!$B$2:$B$279,Suppliers!$M$2:$M$279) *0.005 *_xlfn.XLOOKUP(B51,TransportationConversion!$A$2:$A$300,TransportationConversion!$B$2:$B$300)</f>
        <v>1750.1702880386888</v>
      </c>
      <c r="O51" s="11">
        <v>4100</v>
      </c>
      <c r="P51" s="12">
        <v>4200</v>
      </c>
      <c r="Q51" s="11">
        <v>4000</v>
      </c>
      <c r="R51" s="12">
        <v>7200</v>
      </c>
      <c r="S51" s="15">
        <v>8000</v>
      </c>
      <c r="T51" s="15">
        <v>8400</v>
      </c>
      <c r="U51" s="3">
        <f t="shared" si="18"/>
        <v>16400</v>
      </c>
      <c r="V51" s="3">
        <f t="shared" si="19"/>
        <v>25200</v>
      </c>
    </row>
    <row r="52" spans="1:22" x14ac:dyDescent="0.2">
      <c r="A52" s="4" t="s">
        <v>120</v>
      </c>
      <c r="B52" s="4" t="s">
        <v>38</v>
      </c>
      <c r="C52" t="s">
        <v>147</v>
      </c>
      <c r="D52" s="4" t="s">
        <v>50</v>
      </c>
      <c r="E52" s="4" t="s">
        <v>13</v>
      </c>
      <c r="F52" s="11"/>
      <c r="G52" s="3">
        <f t="shared" ca="1" si="20"/>
        <v>34041.116493386631</v>
      </c>
      <c r="H52" s="3">
        <f t="shared" ca="1" si="17"/>
        <v>44041.116493386631</v>
      </c>
      <c r="I52" s="11" t="s">
        <v>77</v>
      </c>
      <c r="J52" s="4">
        <v>10000</v>
      </c>
      <c r="K52" s="11"/>
      <c r="L52" s="3">
        <v>32000</v>
      </c>
      <c r="M52" s="3">
        <v>42000</v>
      </c>
      <c r="N52" cm="1">
        <f t="array" aca="1" ref="N52" ca="1">_xlfn.XLOOKUP(A52&amp;B52,Suppliers!$A$2:$A$279 &amp; Suppliers!$B$2:$B$279,Suppliers!$M$2:$M$279) *0.005 *_xlfn.XLOOKUP(B52,TransportationConversion!$A$2:$A$300,TransportationConversion!$B$2:$B$300)</f>
        <v>2041.1164933866339</v>
      </c>
      <c r="O52" s="11">
        <v>4100</v>
      </c>
      <c r="P52" s="12">
        <v>4200</v>
      </c>
      <c r="Q52" s="11">
        <v>5000</v>
      </c>
      <c r="R52" s="12">
        <v>6000</v>
      </c>
      <c r="S52" s="15">
        <v>7000</v>
      </c>
      <c r="T52" s="15">
        <v>8400</v>
      </c>
      <c r="U52" s="3">
        <f t="shared" si="18"/>
        <v>16400</v>
      </c>
      <c r="V52" s="3">
        <f t="shared" si="19"/>
        <v>25200</v>
      </c>
    </row>
    <row r="53" spans="1:22" x14ac:dyDescent="0.2">
      <c r="A53" s="4" t="s">
        <v>120</v>
      </c>
      <c r="B53" s="4" t="s">
        <v>53</v>
      </c>
      <c r="C53" t="s">
        <v>147</v>
      </c>
      <c r="D53" s="4" t="s">
        <v>51</v>
      </c>
      <c r="E53" s="4" t="s">
        <v>13</v>
      </c>
      <c r="F53" s="11"/>
      <c r="G53" s="3">
        <f t="shared" ca="1" si="20"/>
        <v>33835.57638017671</v>
      </c>
      <c r="H53" s="3">
        <f t="shared" ca="1" si="17"/>
        <v>43835.57638017671</v>
      </c>
      <c r="I53" s="11" t="s">
        <v>77</v>
      </c>
      <c r="J53" s="4">
        <v>10000</v>
      </c>
      <c r="K53" s="11"/>
      <c r="L53" s="3">
        <v>32000</v>
      </c>
      <c r="M53" s="3">
        <v>42000</v>
      </c>
      <c r="N53" cm="1">
        <f t="array" aca="1" ref="N53" ca="1">_xlfn.XLOOKUP(A53&amp;B53,Suppliers!$A$2:$A$279 &amp; Suppliers!$B$2:$B$279,Suppliers!$M$2:$M$279) *0.005 *_xlfn.XLOOKUP(B53,TransportationConversion!$A$2:$A$300,TransportationConversion!$B$2:$B$300)</f>
        <v>1835.5763801767123</v>
      </c>
      <c r="O53" s="11">
        <v>4100</v>
      </c>
      <c r="P53" s="12">
        <v>4200</v>
      </c>
      <c r="Q53" s="11">
        <v>5000</v>
      </c>
      <c r="R53" s="12">
        <v>6000</v>
      </c>
      <c r="S53" s="15">
        <v>7000</v>
      </c>
      <c r="T53" s="15">
        <v>9600</v>
      </c>
      <c r="U53" s="3">
        <f t="shared" si="18"/>
        <v>16400</v>
      </c>
      <c r="V53" s="3">
        <f t="shared" si="19"/>
        <v>25200</v>
      </c>
    </row>
    <row r="54" spans="1:22" x14ac:dyDescent="0.2">
      <c r="A54" s="4" t="s">
        <v>120</v>
      </c>
      <c r="B54" s="4" t="s">
        <v>54</v>
      </c>
      <c r="C54" t="s">
        <v>147</v>
      </c>
      <c r="D54" s="4" t="s">
        <v>52</v>
      </c>
      <c r="E54" s="4" t="s">
        <v>13</v>
      </c>
      <c r="F54" s="11"/>
      <c r="G54" s="3">
        <f t="shared" ca="1" si="20"/>
        <v>32167.094262577812</v>
      </c>
      <c r="H54" s="3">
        <f t="shared" ca="1" si="17"/>
        <v>42167.094262577812</v>
      </c>
      <c r="I54" s="11" t="s">
        <v>77</v>
      </c>
      <c r="J54" s="4">
        <v>10000</v>
      </c>
      <c r="K54" s="11"/>
      <c r="L54" s="3">
        <v>32000</v>
      </c>
      <c r="M54" s="3">
        <v>42000</v>
      </c>
      <c r="N54" cm="1">
        <f t="array" aca="1" ref="N54" ca="1">_xlfn.XLOOKUP(A54&amp;B54,Suppliers!$A$2:$A$279 &amp; Suppliers!$B$2:$B$279,Suppliers!$M$2:$M$279) *0.005 *_xlfn.XLOOKUP(B54,TransportationConversion!$A$2:$A$300,TransportationConversion!$B$2:$B$300)</f>
        <v>167.09426257781075</v>
      </c>
      <c r="O54" s="11">
        <v>4100</v>
      </c>
      <c r="P54" s="12">
        <v>4200</v>
      </c>
      <c r="Q54" s="11">
        <v>4000</v>
      </c>
      <c r="R54" s="12">
        <v>6000</v>
      </c>
      <c r="S54" s="15">
        <v>7000</v>
      </c>
      <c r="T54" s="15">
        <v>8400</v>
      </c>
      <c r="U54" s="3">
        <f t="shared" si="18"/>
        <v>16400</v>
      </c>
      <c r="V54" s="3">
        <f t="shared" si="19"/>
        <v>25200</v>
      </c>
    </row>
    <row r="55" spans="1:22" x14ac:dyDescent="0.2">
      <c r="A55" s="4" t="s">
        <v>120</v>
      </c>
      <c r="B55" s="4" t="s">
        <v>35</v>
      </c>
      <c r="C55" t="s">
        <v>147</v>
      </c>
      <c r="D55" s="4" t="s">
        <v>41</v>
      </c>
      <c r="E55" s="4" t="s">
        <v>13</v>
      </c>
      <c r="F55" s="11"/>
      <c r="G55" s="3">
        <f t="shared" ca="1" si="20"/>
        <v>33942.689476122854</v>
      </c>
      <c r="H55" s="3">
        <f t="shared" ca="1" si="17"/>
        <v>43942.689476122854</v>
      </c>
      <c r="I55" s="11" t="s">
        <v>77</v>
      </c>
      <c r="J55" s="4">
        <v>10000</v>
      </c>
      <c r="K55" s="11"/>
      <c r="L55" s="3">
        <v>32000</v>
      </c>
      <c r="M55" s="3">
        <v>42000</v>
      </c>
      <c r="N55" cm="1">
        <f t="array" aca="1" ref="N55" ca="1">_xlfn.XLOOKUP(A55&amp;B55,Suppliers!$A$2:$A$279 &amp; Suppliers!$B$2:$B$279,Suppliers!$M$2:$M$279) *0.005 *_xlfn.XLOOKUP(B55,TransportationConversion!$A$2:$A$300,TransportationConversion!$B$2:$B$300)</f>
        <v>1942.6894761228552</v>
      </c>
      <c r="O55" s="11">
        <v>4100</v>
      </c>
      <c r="P55" s="12">
        <v>4200</v>
      </c>
      <c r="Q55" s="11">
        <v>4000</v>
      </c>
      <c r="R55" s="12">
        <v>7200</v>
      </c>
      <c r="S55" s="15">
        <v>7000</v>
      </c>
      <c r="T55" s="15">
        <v>9600</v>
      </c>
      <c r="U55" s="3">
        <f t="shared" si="18"/>
        <v>16400</v>
      </c>
      <c r="V55" s="3">
        <f t="shared" si="19"/>
        <v>25200</v>
      </c>
    </row>
    <row r="56" spans="1:22" x14ac:dyDescent="0.2">
      <c r="A56" s="4" t="s">
        <v>120</v>
      </c>
      <c r="B56" s="4" t="s">
        <v>55</v>
      </c>
      <c r="C56" t="s">
        <v>147</v>
      </c>
      <c r="D56" s="4" t="s">
        <v>42</v>
      </c>
      <c r="E56" s="4" t="s">
        <v>13</v>
      </c>
      <c r="F56" s="11"/>
      <c r="G56" s="3">
        <f t="shared" ca="1" si="20"/>
        <v>33680.725203796654</v>
      </c>
      <c r="H56" s="3">
        <f t="shared" ca="1" si="17"/>
        <v>43680.725203796654</v>
      </c>
      <c r="I56" s="11" t="s">
        <v>77</v>
      </c>
      <c r="J56" s="4">
        <v>10000</v>
      </c>
      <c r="K56" s="11"/>
      <c r="L56" s="3">
        <v>32000</v>
      </c>
      <c r="M56" s="3">
        <v>42000</v>
      </c>
      <c r="N56" cm="1">
        <f t="array" aca="1" ref="N56" ca="1">_xlfn.XLOOKUP(A56&amp;B56,Suppliers!$A$2:$A$279 &amp; Suppliers!$B$2:$B$279,Suppliers!$M$2:$M$279) *0.005 *_xlfn.XLOOKUP(B56,TransportationConversion!$A$2:$A$300,TransportationConversion!$B$2:$B$300)</f>
        <v>1680.725203796655</v>
      </c>
      <c r="O56" s="11">
        <v>4100</v>
      </c>
      <c r="P56" s="12">
        <v>4200</v>
      </c>
      <c r="Q56" s="11">
        <v>5000</v>
      </c>
      <c r="R56" s="12">
        <v>7200</v>
      </c>
      <c r="S56" s="15">
        <v>7000</v>
      </c>
      <c r="T56" s="15">
        <v>9600</v>
      </c>
      <c r="U56" s="3">
        <f t="shared" si="18"/>
        <v>16400</v>
      </c>
      <c r="V56" s="3">
        <f t="shared" si="19"/>
        <v>25200</v>
      </c>
    </row>
    <row r="57" spans="1:22" x14ac:dyDescent="0.2">
      <c r="A57" s="4" t="s">
        <v>120</v>
      </c>
      <c r="B57" s="4" t="s">
        <v>57</v>
      </c>
      <c r="C57" t="s">
        <v>147</v>
      </c>
      <c r="D57" s="4" t="s">
        <v>43</v>
      </c>
      <c r="E57" s="4" t="s">
        <v>13</v>
      </c>
      <c r="F57" s="11"/>
      <c r="G57" s="3">
        <f t="shared" ca="1" si="20"/>
        <v>32928.425347305776</v>
      </c>
      <c r="H57" s="3">
        <f t="shared" ca="1" si="17"/>
        <v>42928.425347305776</v>
      </c>
      <c r="I57" s="11" t="s">
        <v>77</v>
      </c>
      <c r="J57" s="4">
        <v>10000</v>
      </c>
      <c r="K57" s="11"/>
      <c r="L57" s="3">
        <v>32000</v>
      </c>
      <c r="M57" s="3">
        <v>42000</v>
      </c>
      <c r="N57" cm="1">
        <f t="array" aca="1" ref="N57" ca="1">_xlfn.XLOOKUP(A57&amp;B57,Suppliers!$A$2:$A$279 &amp; Suppliers!$B$2:$B$279,Suppliers!$M$2:$M$279) *0.005 *_xlfn.XLOOKUP(B57,TransportationConversion!$A$2:$A$300,TransportationConversion!$B$2:$B$300)</f>
        <v>928.4253473057795</v>
      </c>
      <c r="O57" s="11">
        <v>4100</v>
      </c>
      <c r="P57" s="12">
        <v>4200</v>
      </c>
      <c r="Q57" s="11">
        <v>5000</v>
      </c>
      <c r="R57" s="12">
        <v>6000</v>
      </c>
      <c r="S57" s="15">
        <v>8000</v>
      </c>
      <c r="T57" s="15">
        <v>9600</v>
      </c>
      <c r="U57" s="3">
        <f t="shared" si="18"/>
        <v>16400</v>
      </c>
      <c r="V57" s="3">
        <f t="shared" si="19"/>
        <v>25200</v>
      </c>
    </row>
  </sheetData>
  <phoneticPr fontId="2" type="noConversion"/>
  <hyperlinks>
    <hyperlink ref="W40" r:id="rId1" xr:uid="{1543FA4D-1096-FC47-8F05-8606AB9FAE7B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8E3-FA56-B044-BEFF-DAA13AE49E39}">
  <sheetPr codeName="Sheet10"/>
  <dimension ref="A1:M16"/>
  <sheetViews>
    <sheetView topLeftCell="B1" zoomScale="136" workbookViewId="0">
      <selection activeCell="D19" sqref="D19"/>
    </sheetView>
  </sheetViews>
  <sheetFormatPr baseColWidth="10" defaultRowHeight="16" x14ac:dyDescent="0.2"/>
  <cols>
    <col min="1" max="1" width="22.1640625" bestFit="1" customWidth="1"/>
    <col min="2" max="2" width="25" bestFit="1" customWidth="1"/>
    <col min="6" max="6" width="10.1640625" bestFit="1" customWidth="1"/>
    <col min="7" max="7" width="12.33203125" bestFit="1" customWidth="1"/>
    <col min="8" max="8" width="13" bestFit="1" customWidth="1"/>
    <col min="9" max="9" width="13.5" bestFit="1" customWidth="1"/>
    <col min="16" max="16" width="11.1640625" bestFit="1" customWidth="1"/>
  </cols>
  <sheetData>
    <row r="1" spans="1:13" s="1" customFormat="1" ht="19" x14ac:dyDescent="0.25">
      <c r="A1" s="1" t="s">
        <v>71</v>
      </c>
      <c r="B1" s="1" t="s">
        <v>30</v>
      </c>
      <c r="C1" s="1" t="s">
        <v>12</v>
      </c>
      <c r="D1" s="1" t="s">
        <v>11</v>
      </c>
      <c r="E1" s="1" t="s">
        <v>74</v>
      </c>
      <c r="F1" s="1" t="s">
        <v>4</v>
      </c>
      <c r="G1" s="1" t="s">
        <v>6</v>
      </c>
      <c r="H1" s="1" t="s">
        <v>14</v>
      </c>
      <c r="I1" s="1" t="s">
        <v>15</v>
      </c>
      <c r="J1" s="1" t="s">
        <v>28</v>
      </c>
      <c r="K1" s="1" t="s">
        <v>29</v>
      </c>
      <c r="L1" s="1" t="s">
        <v>8</v>
      </c>
      <c r="M1" s="1" t="s">
        <v>9</v>
      </c>
    </row>
    <row r="2" spans="1:13" x14ac:dyDescent="0.2">
      <c r="A2" t="s">
        <v>147</v>
      </c>
      <c r="B2" t="s">
        <v>142</v>
      </c>
      <c r="C2" t="s">
        <v>73</v>
      </c>
      <c r="D2" t="s">
        <v>46</v>
      </c>
      <c r="E2">
        <v>50</v>
      </c>
      <c r="G2" t="s">
        <v>86</v>
      </c>
      <c r="H2">
        <v>1.5808E-3</v>
      </c>
      <c r="I2">
        <v>1.8544E-3</v>
      </c>
      <c r="J2" t="b">
        <f>VLOOKUP(A2,National_Transportation_In!$A$1:$N$12,11,FALSE)</f>
        <v>0</v>
      </c>
      <c r="K2" t="b">
        <f>VLOOKUP(A2,National_Transportation_In!$A$1:$N$12,12,FALSE)</f>
        <v>0</v>
      </c>
      <c r="L2">
        <f>VLOOKUP(B2,National_Market!$1:$1048576,7,FALSE)</f>
        <v>-27.469010999999998</v>
      </c>
      <c r="M2">
        <f>VLOOKUP(B2,National_Market!$1:$1048576,8,FALSE)</f>
        <v>153.02633800000001</v>
      </c>
    </row>
    <row r="3" spans="1:13" x14ac:dyDescent="0.2">
      <c r="A3" t="s">
        <v>147</v>
      </c>
      <c r="B3" t="s">
        <v>142</v>
      </c>
      <c r="C3" t="s">
        <v>72</v>
      </c>
      <c r="D3" t="s">
        <v>47</v>
      </c>
      <c r="E3">
        <v>50</v>
      </c>
      <c r="F3">
        <v>7.5049999999999997E-4</v>
      </c>
      <c r="G3" t="s">
        <v>86</v>
      </c>
      <c r="J3" t="b">
        <f>VLOOKUP(A3,National_Transportation_In!$A$1:$N$12,11,FALSE)</f>
        <v>0</v>
      </c>
      <c r="K3" t="b">
        <f>VLOOKUP(A3,National_Transportation_In!$A$1:$N$12,12,FALSE)</f>
        <v>0</v>
      </c>
      <c r="L3">
        <f>VLOOKUP(B3,National_Market!$1:$1048576,7,FALSE)</f>
        <v>-27.469010999999998</v>
      </c>
      <c r="M3">
        <f>VLOOKUP(B3,National_Market!$1:$1048576,8,FALSE)</f>
        <v>153.02633800000001</v>
      </c>
    </row>
    <row r="4" spans="1:13" x14ac:dyDescent="0.2">
      <c r="A4" t="s">
        <v>147</v>
      </c>
      <c r="B4" t="s">
        <v>142</v>
      </c>
      <c r="C4" t="s">
        <v>13</v>
      </c>
      <c r="D4" t="s">
        <v>48</v>
      </c>
      <c r="E4">
        <v>50</v>
      </c>
      <c r="F4">
        <v>5.3770000000000001E-4</v>
      </c>
      <c r="G4" t="s">
        <v>86</v>
      </c>
      <c r="J4" t="b">
        <f>VLOOKUP(A4,National_Transportation_In!$A$1:$N$12,11,FALSE)</f>
        <v>0</v>
      </c>
      <c r="K4" t="b">
        <f>VLOOKUP(A4,National_Transportation_In!$A$1:$N$12,12,FALSE)</f>
        <v>0</v>
      </c>
      <c r="L4">
        <f>VLOOKUP(B4,National_Market!$1:$1048576,7,FALSE)</f>
        <v>-27.469010999999998</v>
      </c>
      <c r="M4">
        <f>VLOOKUP(B4,National_Market!$1:$1048576,8,FALSE)</f>
        <v>153.02633800000001</v>
      </c>
    </row>
    <row r="5" spans="1:13" x14ac:dyDescent="0.2">
      <c r="A5" t="s">
        <v>147</v>
      </c>
      <c r="B5" t="s">
        <v>143</v>
      </c>
      <c r="C5" t="s">
        <v>73</v>
      </c>
      <c r="D5" t="s">
        <v>49</v>
      </c>
      <c r="E5">
        <v>50</v>
      </c>
      <c r="G5" t="s">
        <v>86</v>
      </c>
      <c r="H5">
        <v>1.5808E-3</v>
      </c>
      <c r="I5">
        <v>1.8544E-3</v>
      </c>
      <c r="J5" t="b">
        <f>VLOOKUP(A5,National_Transportation_In!$A$1:$N$12,11,FALSE)</f>
        <v>0</v>
      </c>
      <c r="K5" t="b">
        <f>VLOOKUP(A5,National_Transportation_In!$A$1:$N$12,12,FALSE)</f>
        <v>0</v>
      </c>
      <c r="L5">
        <f>VLOOKUP(B5,National_Market!$1:$1048576,7,FALSE)</f>
        <v>-37.813727</v>
      </c>
      <c r="M5">
        <f>VLOOKUP(B5,National_Market!$1:$1048576,8,FALSE)</f>
        <v>144.963155</v>
      </c>
    </row>
    <row r="6" spans="1:13" x14ac:dyDescent="0.2">
      <c r="A6" t="s">
        <v>147</v>
      </c>
      <c r="B6" t="s">
        <v>143</v>
      </c>
      <c r="C6" t="s">
        <v>72</v>
      </c>
      <c r="D6" t="s">
        <v>50</v>
      </c>
      <c r="E6">
        <v>50</v>
      </c>
      <c r="F6">
        <v>7.5049999999999997E-4</v>
      </c>
      <c r="G6" t="s">
        <v>86</v>
      </c>
      <c r="J6" t="b">
        <f>VLOOKUP(A6,National_Transportation_In!$A$1:$N$12,11,FALSE)</f>
        <v>0</v>
      </c>
      <c r="K6" t="b">
        <f>VLOOKUP(A6,National_Transportation_In!$A$1:$N$12,12,FALSE)</f>
        <v>0</v>
      </c>
      <c r="L6">
        <f>VLOOKUP(B6,National_Market!$1:$1048576,7,FALSE)</f>
        <v>-37.813727</v>
      </c>
      <c r="M6">
        <f>VLOOKUP(B6,National_Market!$1:$1048576,8,FALSE)</f>
        <v>144.963155</v>
      </c>
    </row>
    <row r="7" spans="1:13" x14ac:dyDescent="0.2">
      <c r="A7" t="s">
        <v>147</v>
      </c>
      <c r="B7" t="s">
        <v>143</v>
      </c>
      <c r="C7" t="s">
        <v>13</v>
      </c>
      <c r="D7" t="s">
        <v>51</v>
      </c>
      <c r="E7">
        <v>50</v>
      </c>
      <c r="F7">
        <v>5.3770000000000001E-4</v>
      </c>
      <c r="G7" t="s">
        <v>86</v>
      </c>
      <c r="J7" t="b">
        <f>VLOOKUP(A7,National_Transportation_In!$A$1:$N$12,11,FALSE)</f>
        <v>0</v>
      </c>
      <c r="K7" t="b">
        <f>VLOOKUP(A7,National_Transportation_In!$A$1:$N$12,12,FALSE)</f>
        <v>0</v>
      </c>
      <c r="L7">
        <f>VLOOKUP(B7,National_Market!$1:$1048576,7,FALSE)</f>
        <v>-37.813727</v>
      </c>
      <c r="M7">
        <f>VLOOKUP(B7,National_Market!$1:$1048576,8,FALSE)</f>
        <v>144.963155</v>
      </c>
    </row>
    <row r="8" spans="1:13" x14ac:dyDescent="0.2">
      <c r="A8" t="s">
        <v>147</v>
      </c>
      <c r="B8" t="s">
        <v>144</v>
      </c>
      <c r="C8" t="s">
        <v>73</v>
      </c>
      <c r="D8" t="s">
        <v>52</v>
      </c>
      <c r="E8">
        <v>50</v>
      </c>
      <c r="G8" t="s">
        <v>86</v>
      </c>
      <c r="H8">
        <v>1.5808E-3</v>
      </c>
      <c r="I8">
        <v>1.8544E-3</v>
      </c>
      <c r="J8" t="b">
        <f>VLOOKUP(A8,National_Transportation_In!$A$1:$N$12,11,FALSE)</f>
        <v>0</v>
      </c>
      <c r="K8" t="b">
        <f>VLOOKUP(A8,National_Transportation_In!$A$1:$N$12,12,FALSE)</f>
        <v>0</v>
      </c>
      <c r="L8">
        <f>VLOOKUP(B8,National_Market!$1:$1048576,7,FALSE)</f>
        <v>-33.859774000000002</v>
      </c>
      <c r="M8">
        <f>VLOOKUP(B8,National_Market!$1:$1048576,8,FALSE)</f>
        <v>151.205172</v>
      </c>
    </row>
    <row r="9" spans="1:13" x14ac:dyDescent="0.2">
      <c r="A9" t="s">
        <v>147</v>
      </c>
      <c r="B9" t="s">
        <v>144</v>
      </c>
      <c r="C9" t="s">
        <v>72</v>
      </c>
      <c r="D9" t="s">
        <v>41</v>
      </c>
      <c r="E9">
        <v>50</v>
      </c>
      <c r="F9">
        <v>100000</v>
      </c>
      <c r="G9" t="s">
        <v>86</v>
      </c>
      <c r="J9" t="b">
        <f>VLOOKUP(A9,National_Transportation_In!$A$1:$N$12,11,FALSE)</f>
        <v>0</v>
      </c>
      <c r="K9" t="b">
        <f>VLOOKUP(A9,National_Transportation_In!$A$1:$N$12,12,FALSE)</f>
        <v>0</v>
      </c>
      <c r="L9">
        <f>VLOOKUP(B9,National_Market!$1:$1048576,7,FALSE)</f>
        <v>-33.859774000000002</v>
      </c>
      <c r="M9">
        <f>VLOOKUP(B9,National_Market!$1:$1048576,8,FALSE)</f>
        <v>151.205172</v>
      </c>
    </row>
    <row r="10" spans="1:13" x14ac:dyDescent="0.2">
      <c r="A10" t="s">
        <v>147</v>
      </c>
      <c r="B10" t="s">
        <v>144</v>
      </c>
      <c r="C10" t="s">
        <v>13</v>
      </c>
      <c r="D10" t="s">
        <v>42</v>
      </c>
      <c r="E10">
        <v>50</v>
      </c>
      <c r="F10">
        <v>5.3770000000000001E-4</v>
      </c>
      <c r="G10" t="s">
        <v>86</v>
      </c>
      <c r="J10" t="b">
        <f>VLOOKUP(A10,National_Transportation_In!$A$1:$N$12,11,FALSE)</f>
        <v>0</v>
      </c>
      <c r="K10" t="b">
        <f>VLOOKUP(A10,National_Transportation_In!$A$1:$N$12,12,FALSE)</f>
        <v>0</v>
      </c>
      <c r="L10">
        <f>VLOOKUP(B10,National_Market!$1:$1048576,7,FALSE)</f>
        <v>-33.859774000000002</v>
      </c>
      <c r="M10">
        <f>VLOOKUP(B10,National_Market!$1:$1048576,8,FALSE)</f>
        <v>151.205172</v>
      </c>
    </row>
    <row r="11" spans="1:13" x14ac:dyDescent="0.2">
      <c r="A11" t="s">
        <v>147</v>
      </c>
      <c r="B11" t="s">
        <v>145</v>
      </c>
      <c r="C11" t="s">
        <v>73</v>
      </c>
      <c r="D11" t="s">
        <v>43</v>
      </c>
      <c r="E11">
        <v>50</v>
      </c>
      <c r="G11" t="s">
        <v>86</v>
      </c>
      <c r="H11">
        <v>1.5808E-3</v>
      </c>
      <c r="I11">
        <v>1.8544E-3</v>
      </c>
      <c r="J11" t="b">
        <f>VLOOKUP(A11,National_Transportation_In!$A$1:$N$12,11,FALSE)</f>
        <v>0</v>
      </c>
      <c r="K11" t="b">
        <f>VLOOKUP(A11,National_Transportation_In!$A$1:$N$12,12,FALSE)</f>
        <v>0</v>
      </c>
      <c r="L11">
        <f>VLOOKUP(B11,National_Market!$1:$1048576,7,FALSE)</f>
        <v>-34.931458999999997</v>
      </c>
      <c r="M11">
        <f>VLOOKUP(B11,National_Market!$1:$1048576,8,FALSE)</f>
        <v>138.59927200000001</v>
      </c>
    </row>
    <row r="12" spans="1:13" x14ac:dyDescent="0.2">
      <c r="A12" t="s">
        <v>147</v>
      </c>
      <c r="B12" t="s">
        <v>145</v>
      </c>
      <c r="C12" t="s">
        <v>72</v>
      </c>
      <c r="D12" t="s">
        <v>44</v>
      </c>
      <c r="E12">
        <v>50</v>
      </c>
      <c r="F12">
        <v>7.5049999999999997E-4</v>
      </c>
      <c r="G12" t="s">
        <v>86</v>
      </c>
      <c r="J12" t="b">
        <f>VLOOKUP(A12,National_Transportation_In!$A$1:$N$12,11,FALSE)</f>
        <v>0</v>
      </c>
      <c r="K12" t="b">
        <f>VLOOKUP(A12,National_Transportation_In!$A$1:$N$12,12,FALSE)</f>
        <v>0</v>
      </c>
      <c r="L12">
        <f>VLOOKUP(B12,National_Market!$1:$1048576,7,FALSE)</f>
        <v>-34.931458999999997</v>
      </c>
      <c r="M12">
        <f>VLOOKUP(B12,National_Market!$1:$1048576,8,FALSE)</f>
        <v>138.59927200000001</v>
      </c>
    </row>
    <row r="13" spans="1:13" x14ac:dyDescent="0.2">
      <c r="A13" t="s">
        <v>147</v>
      </c>
      <c r="B13" t="s">
        <v>145</v>
      </c>
      <c r="C13" t="s">
        <v>13</v>
      </c>
      <c r="D13" t="s">
        <v>45</v>
      </c>
      <c r="E13">
        <v>50</v>
      </c>
      <c r="F13">
        <v>5.3770000000000001E-4</v>
      </c>
      <c r="G13" t="s">
        <v>86</v>
      </c>
      <c r="J13" t="b">
        <f>VLOOKUP(A13,National_Transportation_In!$A$1:$N$12,11,FALSE)</f>
        <v>0</v>
      </c>
      <c r="K13" t="b">
        <f>VLOOKUP(A13,National_Transportation_In!$A$1:$N$12,12,FALSE)</f>
        <v>0</v>
      </c>
      <c r="L13">
        <f>VLOOKUP(B13,National_Market!$1:$1048576,7,FALSE)</f>
        <v>-34.931458999999997</v>
      </c>
      <c r="M13">
        <f>VLOOKUP(B13,National_Market!$1:$1048576,8,FALSE)</f>
        <v>138.59927200000001</v>
      </c>
    </row>
    <row r="14" spans="1:13" x14ac:dyDescent="0.2">
      <c r="A14" t="s">
        <v>147</v>
      </c>
      <c r="B14" t="s">
        <v>146</v>
      </c>
      <c r="C14" t="s">
        <v>73</v>
      </c>
      <c r="D14" t="s">
        <v>46</v>
      </c>
      <c r="E14">
        <v>50</v>
      </c>
      <c r="G14" t="s">
        <v>86</v>
      </c>
      <c r="H14">
        <v>1.5808E-3</v>
      </c>
      <c r="I14">
        <v>1.8544E-3</v>
      </c>
      <c r="J14" t="b">
        <f>VLOOKUP(A14,National_Transportation_In!$A$1:$N$12,11,FALSE)</f>
        <v>0</v>
      </c>
      <c r="K14" t="b">
        <f>VLOOKUP(A14,National_Transportation_In!$A$1:$N$12,12,FALSE)</f>
        <v>0</v>
      </c>
      <c r="L14">
        <f>VLOOKUP(B14,National_Market!$1:$1048576,7,FALSE)</f>
        <v>-31.950617999999999</v>
      </c>
      <c r="M14">
        <f>VLOOKUP(B14,National_Market!$1:$1048576,8,FALSE)</f>
        <v>115.86047499999999</v>
      </c>
    </row>
    <row r="15" spans="1:13" x14ac:dyDescent="0.2">
      <c r="A15" t="s">
        <v>147</v>
      </c>
      <c r="B15" t="s">
        <v>146</v>
      </c>
      <c r="C15" t="s">
        <v>72</v>
      </c>
      <c r="D15" t="s">
        <v>47</v>
      </c>
      <c r="E15">
        <v>50</v>
      </c>
      <c r="F15">
        <v>7.5049999999999997E-4</v>
      </c>
      <c r="G15" t="s">
        <v>86</v>
      </c>
      <c r="J15" t="b">
        <f>VLOOKUP(A15,National_Transportation_In!$A$1:$N$12,11,FALSE)</f>
        <v>0</v>
      </c>
      <c r="K15" t="b">
        <f>VLOOKUP(A15,National_Transportation_In!$A$1:$N$12,12,FALSE)</f>
        <v>0</v>
      </c>
      <c r="L15">
        <f>VLOOKUP(B15,National_Market!$1:$1048576,7,FALSE)</f>
        <v>-31.950617999999999</v>
      </c>
      <c r="M15">
        <f>VLOOKUP(B15,National_Market!$1:$1048576,8,FALSE)</f>
        <v>115.86047499999999</v>
      </c>
    </row>
    <row r="16" spans="1:13" x14ac:dyDescent="0.2">
      <c r="A16" t="s">
        <v>147</v>
      </c>
      <c r="B16" t="s">
        <v>146</v>
      </c>
      <c r="C16" t="s">
        <v>13</v>
      </c>
      <c r="D16" t="s">
        <v>48</v>
      </c>
      <c r="E16">
        <v>50</v>
      </c>
      <c r="F16">
        <v>5.3770000000000001E-4</v>
      </c>
      <c r="G16" t="s">
        <v>86</v>
      </c>
      <c r="J16" t="b">
        <f>VLOOKUP(A16,National_Transportation_In!$A$1:$N$12,11,FALSE)</f>
        <v>0</v>
      </c>
      <c r="K16" t="b">
        <f>VLOOKUP(A16,National_Transportation_In!$A$1:$N$12,12,FALSE)</f>
        <v>0</v>
      </c>
      <c r="L16">
        <f>VLOOKUP(B16,National_Market!$1:$1048576,7,FALSE)</f>
        <v>-31.950617999999999</v>
      </c>
      <c r="M16">
        <f>VLOOKUP(B16,National_Market!$1:$1048576,8,FALSE)</f>
        <v>115.86047499999999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D90E-0984-A343-AAD4-6BC4B2F3437F}">
  <sheetPr codeName="Sheet11"/>
  <dimension ref="A1:M16"/>
  <sheetViews>
    <sheetView zoomScale="125" zoomScaleNormal="140" workbookViewId="0">
      <selection activeCell="E2" sqref="E2:E16"/>
    </sheetView>
  </sheetViews>
  <sheetFormatPr baseColWidth="10" defaultRowHeight="16" x14ac:dyDescent="0.2"/>
  <cols>
    <col min="1" max="1" width="16.6640625" bestFit="1" customWidth="1"/>
    <col min="2" max="2" width="25.33203125" bestFit="1" customWidth="1"/>
    <col min="3" max="3" width="10.83203125" customWidth="1"/>
    <col min="5" max="5" width="12.6640625" bestFit="1" customWidth="1"/>
    <col min="7" max="7" width="12.33203125" bestFit="1" customWidth="1"/>
    <col min="8" max="8" width="13" bestFit="1" customWidth="1"/>
    <col min="9" max="9" width="13.6640625" bestFit="1" customWidth="1"/>
  </cols>
  <sheetData>
    <row r="1" spans="1:13" ht="19" x14ac:dyDescent="0.25">
      <c r="A1" s="1" t="s">
        <v>21</v>
      </c>
      <c r="B1" s="1" t="s">
        <v>30</v>
      </c>
      <c r="C1" s="1" t="s">
        <v>12</v>
      </c>
      <c r="D1" s="1" t="s">
        <v>11</v>
      </c>
      <c r="E1" s="1" t="s">
        <v>74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 x14ac:dyDescent="0.2">
      <c r="A2" t="s">
        <v>141</v>
      </c>
      <c r="B2" t="s">
        <v>142</v>
      </c>
      <c r="C2" t="s">
        <v>73</v>
      </c>
      <c r="D2" t="s">
        <v>41</v>
      </c>
      <c r="E2">
        <v>50</v>
      </c>
      <c r="G2" t="s">
        <v>86</v>
      </c>
      <c r="H2">
        <v>1.5808E-3</v>
      </c>
      <c r="I2">
        <v>1.8544E-3</v>
      </c>
      <c r="J2">
        <f>VLOOKUP(A2,Potential_Manufacturer!$A$1:$T$31,19,FALSE)</f>
        <v>-32.934047999999997</v>
      </c>
      <c r="K2">
        <f>VLOOKUP(A2,Potential_Manufacturer!$A$1:$T$31,20,FALSE)</f>
        <v>151.761807</v>
      </c>
      <c r="L2">
        <f>VLOOKUP(B2,National_Market!$A$3:$H$9,7,FALSE)</f>
        <v>-27.469010999999998</v>
      </c>
      <c r="M2">
        <f>VLOOKUP(B2,National_Market!$A$3:$H$9,8,FALSE)</f>
        <v>153.02633800000001</v>
      </c>
    </row>
    <row r="3" spans="1:13" x14ac:dyDescent="0.2">
      <c r="A3" t="s">
        <v>141</v>
      </c>
      <c r="B3" t="s">
        <v>142</v>
      </c>
      <c r="C3" t="s">
        <v>72</v>
      </c>
      <c r="D3" t="s">
        <v>47</v>
      </c>
      <c r="E3">
        <v>50</v>
      </c>
      <c r="F3">
        <v>7.5049999999999997E-4</v>
      </c>
      <c r="G3" t="s">
        <v>86</v>
      </c>
      <c r="J3">
        <f>VLOOKUP(A3,Potential_Manufacturer!$A$1:$T$31,19,FALSE)</f>
        <v>-32.934047999999997</v>
      </c>
      <c r="K3">
        <f>VLOOKUP(A3,Potential_Manufacturer!$A$1:$T$31,20,FALSE)</f>
        <v>151.761807</v>
      </c>
      <c r="L3">
        <f>VLOOKUP(B3,National_Market!$A$3:$H$9,7,FALSE)</f>
        <v>-27.469010999999998</v>
      </c>
      <c r="M3">
        <f>VLOOKUP(B3,National_Market!$A$3:$H$9,8,FALSE)</f>
        <v>153.02633800000001</v>
      </c>
    </row>
    <row r="4" spans="1:13" x14ac:dyDescent="0.2">
      <c r="A4" t="s">
        <v>141</v>
      </c>
      <c r="B4" t="s">
        <v>142</v>
      </c>
      <c r="C4" t="s">
        <v>13</v>
      </c>
      <c r="D4" t="s">
        <v>48</v>
      </c>
      <c r="E4">
        <v>50</v>
      </c>
      <c r="F4">
        <v>5.3770000000000001E-4</v>
      </c>
      <c r="G4" t="s">
        <v>86</v>
      </c>
      <c r="J4">
        <f>VLOOKUP(A4,Potential_Manufacturer!$A$1:$T$31,19,FALSE)</f>
        <v>-32.934047999999997</v>
      </c>
      <c r="K4">
        <f>VLOOKUP(A4,Potential_Manufacturer!$A$1:$T$31,20,FALSE)</f>
        <v>151.761807</v>
      </c>
      <c r="L4">
        <f>VLOOKUP(B4,National_Market!$A$3:$H$9,7,FALSE)</f>
        <v>-27.469010999999998</v>
      </c>
      <c r="M4">
        <f>VLOOKUP(B4,National_Market!$A$3:$H$9,8,FALSE)</f>
        <v>153.02633800000001</v>
      </c>
    </row>
    <row r="5" spans="1:13" x14ac:dyDescent="0.2">
      <c r="A5" t="s">
        <v>141</v>
      </c>
      <c r="B5" t="s">
        <v>143</v>
      </c>
      <c r="C5" t="s">
        <v>73</v>
      </c>
      <c r="D5" t="s">
        <v>49</v>
      </c>
      <c r="E5">
        <v>50</v>
      </c>
      <c r="G5" t="s">
        <v>86</v>
      </c>
      <c r="H5">
        <v>1.5808E-3</v>
      </c>
      <c r="I5">
        <v>1.8544E-3</v>
      </c>
      <c r="J5">
        <f>VLOOKUP(A5,Potential_Manufacturer!$A$1:$T$31,19,FALSE)</f>
        <v>-32.934047999999997</v>
      </c>
      <c r="K5">
        <f>VLOOKUP(A5,Potential_Manufacturer!$A$1:$T$31,20,FALSE)</f>
        <v>151.761807</v>
      </c>
      <c r="L5">
        <f>VLOOKUP(B5,National_Market!$A$3:$H$9,7,FALSE)</f>
        <v>-37.813727</v>
      </c>
      <c r="M5">
        <f>VLOOKUP(B5,National_Market!$A$3:$H$9,8,FALSE)</f>
        <v>144.963155</v>
      </c>
    </row>
    <row r="6" spans="1:13" x14ac:dyDescent="0.2">
      <c r="A6" t="s">
        <v>141</v>
      </c>
      <c r="B6" t="s">
        <v>143</v>
      </c>
      <c r="C6" t="s">
        <v>72</v>
      </c>
      <c r="D6" t="s">
        <v>50</v>
      </c>
      <c r="E6">
        <v>50</v>
      </c>
      <c r="F6">
        <v>7.5049999999999997E-4</v>
      </c>
      <c r="G6" t="s">
        <v>86</v>
      </c>
      <c r="J6">
        <f>VLOOKUP(A6,Potential_Manufacturer!$A$1:$T$31,19,FALSE)</f>
        <v>-32.934047999999997</v>
      </c>
      <c r="K6">
        <f>VLOOKUP(A6,Potential_Manufacturer!$A$1:$T$31,20,FALSE)</f>
        <v>151.761807</v>
      </c>
      <c r="L6">
        <f>VLOOKUP(B6,National_Market!$A$3:$H$9,7,FALSE)</f>
        <v>-37.813727</v>
      </c>
      <c r="M6">
        <f>VLOOKUP(B6,National_Market!$A$3:$H$9,8,FALSE)</f>
        <v>144.963155</v>
      </c>
    </row>
    <row r="7" spans="1:13" x14ac:dyDescent="0.2">
      <c r="A7" t="s">
        <v>141</v>
      </c>
      <c r="B7" t="s">
        <v>143</v>
      </c>
      <c r="C7" t="s">
        <v>13</v>
      </c>
      <c r="D7" t="s">
        <v>51</v>
      </c>
      <c r="E7">
        <v>50</v>
      </c>
      <c r="F7">
        <v>5.3770000000000001E-4</v>
      </c>
      <c r="G7" t="s">
        <v>86</v>
      </c>
      <c r="J7">
        <f>VLOOKUP(A7,Potential_Manufacturer!$A$1:$T$31,19,FALSE)</f>
        <v>-32.934047999999997</v>
      </c>
      <c r="K7">
        <f>VLOOKUP(A7,Potential_Manufacturer!$A$1:$T$31,20,FALSE)</f>
        <v>151.761807</v>
      </c>
      <c r="L7">
        <f>VLOOKUP(B7,National_Market!$A$3:$H$9,7,FALSE)</f>
        <v>-37.813727</v>
      </c>
      <c r="M7">
        <f>VLOOKUP(B7,National_Market!$A$3:$H$9,8,FALSE)</f>
        <v>144.963155</v>
      </c>
    </row>
    <row r="8" spans="1:13" x14ac:dyDescent="0.2">
      <c r="A8" t="s">
        <v>141</v>
      </c>
      <c r="B8" t="s">
        <v>144</v>
      </c>
      <c r="C8" t="s">
        <v>73</v>
      </c>
      <c r="D8" t="s">
        <v>52</v>
      </c>
      <c r="E8">
        <v>50</v>
      </c>
      <c r="G8" t="s">
        <v>86</v>
      </c>
      <c r="H8">
        <v>1.5808E-3</v>
      </c>
      <c r="I8">
        <v>1.8544E-3</v>
      </c>
      <c r="J8">
        <f>VLOOKUP(A8,Potential_Manufacturer!$A$1:$T$31,19,FALSE)</f>
        <v>-32.934047999999997</v>
      </c>
      <c r="K8">
        <f>VLOOKUP(A8,Potential_Manufacturer!$A$1:$T$31,20,FALSE)</f>
        <v>151.761807</v>
      </c>
      <c r="L8">
        <f>VLOOKUP(B8,National_Market!$A$3:$H$9,7,FALSE)</f>
        <v>-33.859774000000002</v>
      </c>
      <c r="M8">
        <f>VLOOKUP(B8,National_Market!$A$3:$H$9,8,FALSE)</f>
        <v>151.205172</v>
      </c>
    </row>
    <row r="9" spans="1:13" x14ac:dyDescent="0.2">
      <c r="A9" t="s">
        <v>141</v>
      </c>
      <c r="B9" t="s">
        <v>144</v>
      </c>
      <c r="C9" t="s">
        <v>72</v>
      </c>
      <c r="D9" t="s">
        <v>41</v>
      </c>
      <c r="E9">
        <v>50</v>
      </c>
      <c r="F9">
        <v>7.5049999999999997E-4</v>
      </c>
      <c r="G9" t="s">
        <v>86</v>
      </c>
      <c r="J9">
        <f>VLOOKUP(A9,Potential_Manufacturer!$A$1:$T$31,19,FALSE)</f>
        <v>-32.934047999999997</v>
      </c>
      <c r="K9">
        <f>VLOOKUP(A9,Potential_Manufacturer!$A$1:$T$31,20,FALSE)</f>
        <v>151.761807</v>
      </c>
      <c r="L9">
        <f>VLOOKUP(B9,National_Market!$A$3:$H$9,7,FALSE)</f>
        <v>-33.859774000000002</v>
      </c>
      <c r="M9">
        <f>VLOOKUP(B9,National_Market!$A$3:$H$9,8,FALSE)</f>
        <v>151.205172</v>
      </c>
    </row>
    <row r="10" spans="1:13" x14ac:dyDescent="0.2">
      <c r="A10" t="s">
        <v>141</v>
      </c>
      <c r="B10" t="s">
        <v>144</v>
      </c>
      <c r="C10" t="s">
        <v>13</v>
      </c>
      <c r="D10" t="s">
        <v>42</v>
      </c>
      <c r="E10">
        <v>50</v>
      </c>
      <c r="F10">
        <v>5.3770000000000001E-4</v>
      </c>
      <c r="G10" t="s">
        <v>86</v>
      </c>
      <c r="J10">
        <f>VLOOKUP(A10,Potential_Manufacturer!$A$1:$T$31,19,FALSE)</f>
        <v>-32.934047999999997</v>
      </c>
      <c r="K10">
        <f>VLOOKUP(A10,Potential_Manufacturer!$A$1:$T$31,20,FALSE)</f>
        <v>151.761807</v>
      </c>
      <c r="L10">
        <f>VLOOKUP(B10,National_Market!$A$3:$H$9,7,FALSE)</f>
        <v>-33.859774000000002</v>
      </c>
      <c r="M10">
        <f>VLOOKUP(B10,National_Market!$A$3:$H$9,8,FALSE)</f>
        <v>151.205172</v>
      </c>
    </row>
    <row r="11" spans="1:13" x14ac:dyDescent="0.2">
      <c r="A11" t="s">
        <v>141</v>
      </c>
      <c r="B11" t="s">
        <v>145</v>
      </c>
      <c r="C11" t="s">
        <v>73</v>
      </c>
      <c r="D11" t="s">
        <v>43</v>
      </c>
      <c r="E11">
        <v>50</v>
      </c>
      <c r="G11" t="s">
        <v>86</v>
      </c>
      <c r="H11">
        <v>1.5808E-3</v>
      </c>
      <c r="I11">
        <v>1.8544E-3</v>
      </c>
      <c r="J11">
        <f>VLOOKUP(A11,Potential_Manufacturer!$A$1:$T$31,19,FALSE)</f>
        <v>-32.934047999999997</v>
      </c>
      <c r="K11">
        <f>VLOOKUP(A11,Potential_Manufacturer!$A$1:$T$31,20,FALSE)</f>
        <v>151.761807</v>
      </c>
      <c r="L11">
        <f>VLOOKUP(B11,National_Market!$A$3:$H$9,7,FALSE)</f>
        <v>-34.931458999999997</v>
      </c>
      <c r="M11">
        <f>VLOOKUP(B11,National_Market!$A$3:$H$9,8,FALSE)</f>
        <v>138.59927200000001</v>
      </c>
    </row>
    <row r="12" spans="1:13" x14ac:dyDescent="0.2">
      <c r="A12" t="s">
        <v>141</v>
      </c>
      <c r="B12" t="s">
        <v>145</v>
      </c>
      <c r="C12" t="s">
        <v>72</v>
      </c>
      <c r="D12" t="s">
        <v>44</v>
      </c>
      <c r="E12">
        <v>50</v>
      </c>
      <c r="F12">
        <v>7.5049999999999997E-4</v>
      </c>
      <c r="G12" t="s">
        <v>86</v>
      </c>
      <c r="J12">
        <f>VLOOKUP(A12,Potential_Manufacturer!$A$1:$T$31,19,FALSE)</f>
        <v>-32.934047999999997</v>
      </c>
      <c r="K12">
        <f>VLOOKUP(A12,Potential_Manufacturer!$A$1:$T$31,20,FALSE)</f>
        <v>151.761807</v>
      </c>
      <c r="L12">
        <f>VLOOKUP(B12,National_Market!$A$3:$H$9,7,FALSE)</f>
        <v>-34.931458999999997</v>
      </c>
      <c r="M12">
        <f>VLOOKUP(B12,National_Market!$A$3:$H$9,8,FALSE)</f>
        <v>138.59927200000001</v>
      </c>
    </row>
    <row r="13" spans="1:13" x14ac:dyDescent="0.2">
      <c r="A13" t="s">
        <v>141</v>
      </c>
      <c r="B13" t="s">
        <v>145</v>
      </c>
      <c r="C13" t="s">
        <v>13</v>
      </c>
      <c r="D13" t="s">
        <v>45</v>
      </c>
      <c r="E13">
        <v>50</v>
      </c>
      <c r="F13">
        <v>5.3770000000000001E-4</v>
      </c>
      <c r="G13" t="s">
        <v>86</v>
      </c>
      <c r="J13">
        <f>VLOOKUP(A13,Potential_Manufacturer!$A$1:$T$31,19,FALSE)</f>
        <v>-32.934047999999997</v>
      </c>
      <c r="K13">
        <f>VLOOKUP(A13,Potential_Manufacturer!$A$1:$T$31,20,FALSE)</f>
        <v>151.761807</v>
      </c>
      <c r="L13">
        <f>VLOOKUP(B13,National_Market!$A$3:$H$9,7,FALSE)</f>
        <v>-34.931458999999997</v>
      </c>
      <c r="M13">
        <f>VLOOKUP(B13,National_Market!$A$3:$H$9,8,FALSE)</f>
        <v>138.59927200000001</v>
      </c>
    </row>
    <row r="14" spans="1:13" x14ac:dyDescent="0.2">
      <c r="A14" t="s">
        <v>141</v>
      </c>
      <c r="B14" t="s">
        <v>146</v>
      </c>
      <c r="C14" t="s">
        <v>73</v>
      </c>
      <c r="D14" t="s">
        <v>46</v>
      </c>
      <c r="E14">
        <v>50</v>
      </c>
      <c r="G14" t="s">
        <v>86</v>
      </c>
      <c r="H14">
        <v>1.5808E-3</v>
      </c>
      <c r="I14">
        <v>1.8544E-3</v>
      </c>
      <c r="J14">
        <f>VLOOKUP(A14,Potential_Manufacturer!$A$1:$T$31,19,FALSE)</f>
        <v>-32.934047999999997</v>
      </c>
      <c r="K14">
        <f>VLOOKUP(A14,Potential_Manufacturer!$A$1:$T$31,20,FALSE)</f>
        <v>151.761807</v>
      </c>
      <c r="L14">
        <f>VLOOKUP(B14,National_Market!$A$3:$H$9,7,FALSE)</f>
        <v>-31.950617999999999</v>
      </c>
      <c r="M14">
        <f>VLOOKUP(B14,National_Market!$A$3:$H$9,8,FALSE)</f>
        <v>115.86047499999999</v>
      </c>
    </row>
    <row r="15" spans="1:13" x14ac:dyDescent="0.2">
      <c r="A15" t="s">
        <v>141</v>
      </c>
      <c r="B15" t="s">
        <v>146</v>
      </c>
      <c r="C15" t="s">
        <v>72</v>
      </c>
      <c r="D15" t="s">
        <v>47</v>
      </c>
      <c r="E15">
        <v>50</v>
      </c>
      <c r="F15">
        <v>7.5049999999999997E-4</v>
      </c>
      <c r="G15" t="s">
        <v>86</v>
      </c>
      <c r="J15">
        <f>VLOOKUP(A15,Potential_Manufacturer!$A$1:$T$31,19,FALSE)</f>
        <v>-32.934047999999997</v>
      </c>
      <c r="K15">
        <f>VLOOKUP(A15,Potential_Manufacturer!$A$1:$T$31,20,FALSE)</f>
        <v>151.761807</v>
      </c>
      <c r="L15">
        <f>VLOOKUP(B15,National_Market!$A$3:$H$9,7,FALSE)</f>
        <v>-31.950617999999999</v>
      </c>
      <c r="M15">
        <f>VLOOKUP(B15,National_Market!$A$3:$H$9,8,FALSE)</f>
        <v>115.86047499999999</v>
      </c>
    </row>
    <row r="16" spans="1:13" x14ac:dyDescent="0.2">
      <c r="A16" t="s">
        <v>141</v>
      </c>
      <c r="B16" t="s">
        <v>146</v>
      </c>
      <c r="C16" t="s">
        <v>13</v>
      </c>
      <c r="D16" t="s">
        <v>48</v>
      </c>
      <c r="E16">
        <v>50</v>
      </c>
      <c r="F16">
        <v>5.3770000000000001E-4</v>
      </c>
      <c r="G16" t="s">
        <v>86</v>
      </c>
      <c r="J16">
        <f>VLOOKUP(A16,Potential_Manufacturer!$A$1:$T$31,19,FALSE)</f>
        <v>-32.934047999999997</v>
      </c>
      <c r="K16">
        <f>VLOOKUP(A16,Potential_Manufacturer!$A$1:$T$31,20,FALSE)</f>
        <v>151.761807</v>
      </c>
      <c r="L16">
        <f>VLOOKUP(B16,National_Market!$A$3:$H$9,7,FALSE)</f>
        <v>-31.950617999999999</v>
      </c>
      <c r="M16">
        <f>VLOOKUP(B16,National_Market!$A$3:$H$9,8,FALSE)</f>
        <v>115.86047499999999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CE0-EF86-9F49-8AEC-68816EFC6FEF}">
  <sheetPr codeName="Sheet12"/>
  <dimension ref="A1:N12"/>
  <sheetViews>
    <sheetView tabSelected="1" topLeftCell="C1" zoomScale="136" zoomScaleNormal="136" workbookViewId="0">
      <selection activeCell="K2" sqref="K2:N12"/>
    </sheetView>
  </sheetViews>
  <sheetFormatPr baseColWidth="10" defaultRowHeight="16" x14ac:dyDescent="0.2"/>
  <cols>
    <col min="1" max="1" width="22.1640625" bestFit="1" customWidth="1"/>
    <col min="2" max="2" width="22.1640625" customWidth="1"/>
    <col min="3" max="3" width="16.6640625" bestFit="1" customWidth="1"/>
    <col min="7" max="7" width="7.1640625" bestFit="1" customWidth="1"/>
    <col min="8" max="8" width="10.1640625" bestFit="1" customWidth="1"/>
    <col min="9" max="9" width="13" bestFit="1" customWidth="1"/>
    <col min="10" max="10" width="13.5" bestFit="1" customWidth="1"/>
  </cols>
  <sheetData>
    <row r="1" spans="1:14" s="1" customFormat="1" ht="19" x14ac:dyDescent="0.25">
      <c r="A1" s="1" t="s">
        <v>71</v>
      </c>
      <c r="B1" s="1" t="s">
        <v>17</v>
      </c>
      <c r="C1" s="1" t="s">
        <v>21</v>
      </c>
      <c r="D1" s="1" t="s">
        <v>12</v>
      </c>
      <c r="E1" s="1" t="s">
        <v>11</v>
      </c>
      <c r="F1" s="1" t="s">
        <v>74</v>
      </c>
      <c r="G1" s="1" t="s">
        <v>4</v>
      </c>
      <c r="H1" s="1" t="s">
        <v>6</v>
      </c>
      <c r="I1" s="1" t="s">
        <v>14</v>
      </c>
      <c r="J1" s="1" t="s">
        <v>15</v>
      </c>
      <c r="K1" s="1" t="s">
        <v>28</v>
      </c>
      <c r="L1" s="1" t="s">
        <v>29</v>
      </c>
      <c r="M1" s="1" t="s">
        <v>8</v>
      </c>
      <c r="N1" s="1" t="s">
        <v>9</v>
      </c>
    </row>
    <row r="2" spans="1:14" x14ac:dyDescent="0.2">
      <c r="A2" t="s">
        <v>147</v>
      </c>
      <c r="B2" s="4" t="s">
        <v>20</v>
      </c>
      <c r="C2" t="s">
        <v>141</v>
      </c>
      <c r="D2" t="s">
        <v>73</v>
      </c>
      <c r="E2" t="s">
        <v>41</v>
      </c>
      <c r="F2">
        <v>60</v>
      </c>
      <c r="H2" t="s">
        <v>81</v>
      </c>
      <c r="I2">
        <v>8.3200000000000003E-5</v>
      </c>
      <c r="J2">
        <v>9.7600000000000001E-5</v>
      </c>
      <c r="K2" t="b">
        <f t="shared" ref="K2:K12" si="0">IF(A2="Darwin",-12.47105186,IF(A2="Brisbane",-27.37860913,IF(A2="Fremantle",-32.2098311673479,IF(A2="Adelaide",-34.771177,IF(A2="Sydney",-33.989005987515,IF(A2="Melbourne",-37.829758))))))</f>
        <v>0</v>
      </c>
      <c r="L2" t="b">
        <f t="shared" ref="L2:L12" si="1">IF(A2="Darwin",130.845189159444,IF(A2="Brisbane",153.164657703591,IF(A2="Fremantle",115.770572778394,IF(A2="Adelaide",138.491435854299,IF(A2="Sydney",151.23194012331,IF(A2="Melbourne",144.912334639383))))))</f>
        <v>0</v>
      </c>
      <c r="M2">
        <f>VLOOKUP(C2,Potential_Manufacturer!$A$1:$T$31,19,FALSE)</f>
        <v>-32.934047999999997</v>
      </c>
      <c r="N2">
        <f>VLOOKUP(C2,Potential_Manufacturer!$A$1:$T$31,20,FALSE)</f>
        <v>151.761807</v>
      </c>
    </row>
    <row r="3" spans="1:14" x14ac:dyDescent="0.2">
      <c r="A3" t="s">
        <v>147</v>
      </c>
      <c r="B3" s="4" t="s">
        <v>22</v>
      </c>
      <c r="C3" t="s">
        <v>141</v>
      </c>
      <c r="D3" t="s">
        <v>73</v>
      </c>
      <c r="E3" t="s">
        <v>42</v>
      </c>
      <c r="F3">
        <v>60</v>
      </c>
      <c r="H3" t="s">
        <v>81</v>
      </c>
      <c r="I3">
        <v>8.3200000000000003E-5</v>
      </c>
      <c r="J3">
        <v>9.7600000000000001E-5</v>
      </c>
      <c r="K3" t="b">
        <f t="shared" si="0"/>
        <v>0</v>
      </c>
      <c r="L3" t="b">
        <f t="shared" si="1"/>
        <v>0</v>
      </c>
      <c r="M3">
        <f>VLOOKUP(C3,Potential_Manufacturer!$A$1:$T$31,19,FALSE)</f>
        <v>-32.934047999999997</v>
      </c>
      <c r="N3">
        <f>VLOOKUP(C3,Potential_Manufacturer!$A$1:$T$31,20,FALSE)</f>
        <v>151.761807</v>
      </c>
    </row>
    <row r="4" spans="1:14" x14ac:dyDescent="0.2">
      <c r="A4" t="s">
        <v>147</v>
      </c>
      <c r="B4" s="4" t="s">
        <v>1</v>
      </c>
      <c r="C4" t="s">
        <v>141</v>
      </c>
      <c r="D4" t="s">
        <v>73</v>
      </c>
      <c r="E4" t="s">
        <v>43</v>
      </c>
      <c r="F4">
        <v>60</v>
      </c>
      <c r="H4" t="s">
        <v>81</v>
      </c>
      <c r="I4">
        <v>8.3200000000000003E-5</v>
      </c>
      <c r="J4">
        <v>9.7600000000000001E-5</v>
      </c>
      <c r="K4" t="b">
        <f t="shared" si="0"/>
        <v>0</v>
      </c>
      <c r="L4" t="b">
        <f t="shared" si="1"/>
        <v>0</v>
      </c>
      <c r="M4">
        <f>VLOOKUP(C4,Potential_Manufacturer!$A$1:$T$31,19,FALSE)</f>
        <v>-32.934047999999997</v>
      </c>
      <c r="N4">
        <f>VLOOKUP(C4,Potential_Manufacturer!$A$1:$T$31,20,FALSE)</f>
        <v>151.761807</v>
      </c>
    </row>
    <row r="5" spans="1:14" x14ac:dyDescent="0.2">
      <c r="A5" t="s">
        <v>147</v>
      </c>
      <c r="B5" s="4" t="s">
        <v>38</v>
      </c>
      <c r="C5" t="s">
        <v>141</v>
      </c>
      <c r="D5" t="s">
        <v>73</v>
      </c>
      <c r="E5" t="s">
        <v>44</v>
      </c>
      <c r="F5">
        <v>60</v>
      </c>
      <c r="H5" t="s">
        <v>81</v>
      </c>
      <c r="I5">
        <v>8.3200000000000003E-5</v>
      </c>
      <c r="J5">
        <v>9.7600000000000001E-5</v>
      </c>
      <c r="K5" t="b">
        <f t="shared" si="0"/>
        <v>0</v>
      </c>
      <c r="L5" t="b">
        <f t="shared" si="1"/>
        <v>0</v>
      </c>
      <c r="M5">
        <f>VLOOKUP(C5,Potential_Manufacturer!$A$1:$T$31,19,FALSE)</f>
        <v>-32.934047999999997</v>
      </c>
      <c r="N5">
        <f>VLOOKUP(C5,Potential_Manufacturer!$A$1:$T$31,20,FALSE)</f>
        <v>151.761807</v>
      </c>
    </row>
    <row r="6" spans="1:14" x14ac:dyDescent="0.2">
      <c r="A6" t="s">
        <v>147</v>
      </c>
      <c r="B6" s="4" t="s">
        <v>53</v>
      </c>
      <c r="C6" t="s">
        <v>141</v>
      </c>
      <c r="D6" t="s">
        <v>73</v>
      </c>
      <c r="E6" t="s">
        <v>45</v>
      </c>
      <c r="F6">
        <v>60</v>
      </c>
      <c r="H6" t="s">
        <v>81</v>
      </c>
      <c r="I6">
        <v>8.3200000000000003E-5</v>
      </c>
      <c r="J6">
        <v>9.7600000000000001E-5</v>
      </c>
      <c r="K6" t="b">
        <f t="shared" si="0"/>
        <v>0</v>
      </c>
      <c r="L6" t="b">
        <f t="shared" si="1"/>
        <v>0</v>
      </c>
      <c r="M6">
        <f>VLOOKUP(C6,Potential_Manufacturer!$A$1:$T$31,19,FALSE)</f>
        <v>-32.934047999999997</v>
      </c>
      <c r="N6">
        <f>VLOOKUP(C6,Potential_Manufacturer!$A$1:$T$31,20,FALSE)</f>
        <v>151.761807</v>
      </c>
    </row>
    <row r="7" spans="1:14" x14ac:dyDescent="0.2">
      <c r="A7" t="s">
        <v>147</v>
      </c>
      <c r="B7" s="4" t="s">
        <v>54</v>
      </c>
      <c r="C7" t="s">
        <v>141</v>
      </c>
      <c r="D7" t="s">
        <v>73</v>
      </c>
      <c r="E7" t="s">
        <v>46</v>
      </c>
      <c r="F7">
        <v>60</v>
      </c>
      <c r="H7" t="s">
        <v>81</v>
      </c>
      <c r="I7">
        <v>8.3200000000000003E-5</v>
      </c>
      <c r="J7">
        <v>9.7600000000000001E-5</v>
      </c>
      <c r="K7" t="b">
        <f t="shared" si="0"/>
        <v>0</v>
      </c>
      <c r="L7" t="b">
        <f t="shared" si="1"/>
        <v>0</v>
      </c>
      <c r="M7">
        <f>VLOOKUP(C7,Potential_Manufacturer!$A$1:$T$31,19,FALSE)</f>
        <v>-32.934047999999997</v>
      </c>
      <c r="N7">
        <f>VLOOKUP(C7,Potential_Manufacturer!$A$1:$T$31,20,FALSE)</f>
        <v>151.761807</v>
      </c>
    </row>
    <row r="8" spans="1:14" x14ac:dyDescent="0.2">
      <c r="A8" t="s">
        <v>147</v>
      </c>
      <c r="B8" s="4" t="s">
        <v>35</v>
      </c>
      <c r="C8" t="s">
        <v>141</v>
      </c>
      <c r="D8" t="s">
        <v>73</v>
      </c>
      <c r="E8" t="s">
        <v>47</v>
      </c>
      <c r="F8">
        <v>60</v>
      </c>
      <c r="H8" t="s">
        <v>81</v>
      </c>
      <c r="I8">
        <v>8.3200000000000003E-5</v>
      </c>
      <c r="J8">
        <v>9.7600000000000001E-5</v>
      </c>
      <c r="K8" t="b">
        <f t="shared" si="0"/>
        <v>0</v>
      </c>
      <c r="L8" t="b">
        <f t="shared" si="1"/>
        <v>0</v>
      </c>
      <c r="M8">
        <f>VLOOKUP(C8,Potential_Manufacturer!$A$1:$T$31,19,FALSE)</f>
        <v>-32.934047999999997</v>
      </c>
      <c r="N8">
        <f>VLOOKUP(C8,Potential_Manufacturer!$A$1:$T$31,20,FALSE)</f>
        <v>151.761807</v>
      </c>
    </row>
    <row r="9" spans="1:14" x14ac:dyDescent="0.2">
      <c r="A9" t="s">
        <v>147</v>
      </c>
      <c r="B9" s="4" t="s">
        <v>55</v>
      </c>
      <c r="C9" t="s">
        <v>141</v>
      </c>
      <c r="D9" t="s">
        <v>73</v>
      </c>
      <c r="E9" t="s">
        <v>48</v>
      </c>
      <c r="F9">
        <v>60</v>
      </c>
      <c r="H9" t="s">
        <v>81</v>
      </c>
      <c r="I9">
        <v>8.3200000000000003E-5</v>
      </c>
      <c r="J9">
        <v>9.7600000000000001E-5</v>
      </c>
      <c r="K9" t="b">
        <f t="shared" si="0"/>
        <v>0</v>
      </c>
      <c r="L9" t="b">
        <f t="shared" si="1"/>
        <v>0</v>
      </c>
      <c r="M9">
        <f>VLOOKUP(C9,Potential_Manufacturer!$A$1:$T$31,19,FALSE)</f>
        <v>-32.934047999999997</v>
      </c>
      <c r="N9">
        <f>VLOOKUP(C9,Potential_Manufacturer!$A$1:$T$31,20,FALSE)</f>
        <v>151.761807</v>
      </c>
    </row>
    <row r="10" spans="1:14" x14ac:dyDescent="0.2">
      <c r="A10" t="s">
        <v>147</v>
      </c>
      <c r="B10" s="4" t="s">
        <v>57</v>
      </c>
      <c r="C10" t="s">
        <v>141</v>
      </c>
      <c r="D10" t="s">
        <v>73</v>
      </c>
      <c r="E10" t="s">
        <v>49</v>
      </c>
      <c r="F10">
        <v>60</v>
      </c>
      <c r="H10" t="s">
        <v>81</v>
      </c>
      <c r="I10">
        <v>8.3200000000000003E-5</v>
      </c>
      <c r="J10">
        <v>9.7600000000000001E-5</v>
      </c>
      <c r="K10" t="b">
        <f t="shared" si="0"/>
        <v>0</v>
      </c>
      <c r="L10" t="b">
        <f t="shared" si="1"/>
        <v>0</v>
      </c>
      <c r="M10">
        <f>VLOOKUP(C10,Potential_Manufacturer!$A$1:$T$31,19,FALSE)</f>
        <v>-32.934047999999997</v>
      </c>
      <c r="N10">
        <f>VLOOKUP(C10,Potential_Manufacturer!$A$1:$T$31,20,FALSE)</f>
        <v>151.761807</v>
      </c>
    </row>
    <row r="11" spans="1:14" x14ac:dyDescent="0.2">
      <c r="A11" t="s">
        <v>147</v>
      </c>
      <c r="B11" s="4" t="s">
        <v>22</v>
      </c>
      <c r="C11" t="s">
        <v>141</v>
      </c>
      <c r="D11" t="s">
        <v>13</v>
      </c>
      <c r="E11" t="s">
        <v>50</v>
      </c>
      <c r="F11">
        <v>60</v>
      </c>
      <c r="G11">
        <v>2.8299999999999999E-2</v>
      </c>
      <c r="H11" t="s">
        <v>81</v>
      </c>
      <c r="K11" t="b">
        <f t="shared" si="0"/>
        <v>0</v>
      </c>
      <c r="L11" t="b">
        <f t="shared" si="1"/>
        <v>0</v>
      </c>
      <c r="M11">
        <f>VLOOKUP(C11,Potential_Manufacturer!$A$1:$T$31,19,FALSE)</f>
        <v>-32.934047999999997</v>
      </c>
      <c r="N11">
        <f>VLOOKUP(C11,Potential_Manufacturer!$A$1:$T$31,20,FALSE)</f>
        <v>151.761807</v>
      </c>
    </row>
    <row r="12" spans="1:14" x14ac:dyDescent="0.2">
      <c r="A12" t="s">
        <v>147</v>
      </c>
      <c r="B12" s="4" t="s">
        <v>22</v>
      </c>
      <c r="C12" t="s">
        <v>141</v>
      </c>
      <c r="D12" t="s">
        <v>72</v>
      </c>
      <c r="E12" t="s">
        <v>51</v>
      </c>
      <c r="F12">
        <v>60</v>
      </c>
      <c r="G12">
        <v>3.95E-2</v>
      </c>
      <c r="H12" t="s">
        <v>81</v>
      </c>
      <c r="K12" t="b">
        <f t="shared" si="0"/>
        <v>0</v>
      </c>
      <c r="L12" t="b">
        <f t="shared" si="1"/>
        <v>0</v>
      </c>
      <c r="M12">
        <f>VLOOKUP(C12,Potential_Manufacturer!$A$1:$T$31,19,FALSE)</f>
        <v>-32.934047999999997</v>
      </c>
      <c r="N12">
        <f>VLOOKUP(C12,Potential_Manufacturer!$A$1:$T$31,20,FALSE)</f>
        <v>151.761807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860E-B9B0-0148-AF05-3E77E6138452}">
  <sheetPr codeName="Sheet13"/>
  <dimension ref="A1:S21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42.5" customWidth="1"/>
    <col min="3" max="3" width="12.6640625" bestFit="1" customWidth="1"/>
    <col min="4" max="4" width="13.1640625" bestFit="1" customWidth="1"/>
    <col min="5" max="5" width="17.33203125" bestFit="1" customWidth="1"/>
  </cols>
  <sheetData>
    <row r="1" spans="1:19" s="1" customFormat="1" ht="19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5</v>
      </c>
    </row>
    <row r="2" spans="1:19" x14ac:dyDescent="0.2">
      <c r="A2" s="6" t="s">
        <v>89</v>
      </c>
      <c r="B2" s="6"/>
      <c r="C2" s="6">
        <v>533.33333333333337</v>
      </c>
      <c r="D2" s="6">
        <v>600</v>
      </c>
      <c r="E2" s="6"/>
      <c r="F2" s="6"/>
      <c r="G2" s="6">
        <v>533.33333333333337</v>
      </c>
      <c r="H2" s="6">
        <v>600</v>
      </c>
      <c r="I2" s="6"/>
      <c r="J2">
        <v>2560</v>
      </c>
      <c r="K2">
        <v>5040</v>
      </c>
      <c r="M2" s="6"/>
      <c r="N2" s="6">
        <v>640</v>
      </c>
      <c r="O2" s="6">
        <v>840</v>
      </c>
      <c r="Q2" s="6"/>
      <c r="R2" s="6">
        <v>320</v>
      </c>
      <c r="S2" s="6">
        <v>420</v>
      </c>
    </row>
    <row r="3" spans="1:19" x14ac:dyDescent="0.2">
      <c r="A3" s="6" t="s">
        <v>90</v>
      </c>
      <c r="B3" s="6">
        <v>370</v>
      </c>
      <c r="C3" s="6"/>
      <c r="D3" s="6"/>
      <c r="E3" s="6"/>
      <c r="F3" s="6"/>
      <c r="G3" s="6"/>
      <c r="H3" s="6"/>
      <c r="I3" s="6">
        <v>1776</v>
      </c>
      <c r="M3" s="6">
        <v>444</v>
      </c>
      <c r="N3" s="6"/>
      <c r="O3" s="6"/>
      <c r="Q3" s="6">
        <v>444</v>
      </c>
      <c r="R3" s="6"/>
      <c r="S3" s="6"/>
    </row>
    <row r="4" spans="1:19" x14ac:dyDescent="0.2">
      <c r="A4" s="6" t="s">
        <v>91</v>
      </c>
      <c r="B4" s="6"/>
      <c r="C4" s="6">
        <v>83.333333333333343</v>
      </c>
      <c r="D4" s="6">
        <v>92.857142857142861</v>
      </c>
      <c r="E4" s="6"/>
      <c r="F4" s="6"/>
      <c r="G4" s="6">
        <v>83.333333333333343</v>
      </c>
      <c r="H4" s="6">
        <v>92.857142857142861</v>
      </c>
      <c r="I4" s="6"/>
      <c r="J4">
        <v>400</v>
      </c>
      <c r="K4">
        <v>650</v>
      </c>
      <c r="M4" s="6"/>
      <c r="N4" s="6">
        <v>100</v>
      </c>
      <c r="O4" s="6">
        <v>130</v>
      </c>
      <c r="Q4" s="6"/>
      <c r="R4" s="6">
        <v>50</v>
      </c>
      <c r="S4" s="6">
        <v>65</v>
      </c>
    </row>
    <row r="5" spans="1:19" x14ac:dyDescent="0.2">
      <c r="A5" s="6" t="s">
        <v>92</v>
      </c>
      <c r="B5" s="6">
        <v>7.56</v>
      </c>
      <c r="C5" s="6"/>
      <c r="D5" s="6"/>
      <c r="E5" s="6"/>
      <c r="F5" s="6"/>
      <c r="G5" s="6"/>
      <c r="H5" s="6"/>
      <c r="I5" s="6">
        <v>37.799999999999997</v>
      </c>
      <c r="M5" s="6">
        <v>7.56</v>
      </c>
      <c r="N5" s="6"/>
      <c r="O5" s="6"/>
      <c r="Q5" s="6">
        <v>7.56</v>
      </c>
      <c r="R5" s="6"/>
      <c r="S5" s="6"/>
    </row>
    <row r="6" spans="1:19" x14ac:dyDescent="0.2">
      <c r="A6" s="6" t="s">
        <v>93</v>
      </c>
      <c r="B6" s="6">
        <v>87.25</v>
      </c>
      <c r="C6" s="6"/>
      <c r="D6" s="6"/>
      <c r="E6" s="6"/>
      <c r="F6" s="6">
        <v>87.25</v>
      </c>
      <c r="G6" s="6"/>
      <c r="H6" s="6"/>
      <c r="I6" s="6">
        <v>418.8</v>
      </c>
      <c r="M6" s="6">
        <v>104.7</v>
      </c>
      <c r="N6" s="6"/>
      <c r="O6" s="6"/>
      <c r="Q6" s="6">
        <v>104.7</v>
      </c>
      <c r="R6" s="6"/>
      <c r="S6" s="6"/>
    </row>
    <row r="7" spans="1:19" x14ac:dyDescent="0.2">
      <c r="A7" s="6" t="s">
        <v>94</v>
      </c>
      <c r="B7" s="6">
        <v>66.150000000000006</v>
      </c>
      <c r="C7" s="6"/>
      <c r="D7" s="6"/>
      <c r="E7" s="6"/>
      <c r="F7" s="6">
        <v>66.150000000000006</v>
      </c>
      <c r="G7" s="6"/>
      <c r="H7" s="6"/>
      <c r="I7" s="6">
        <v>317.52</v>
      </c>
      <c r="M7" s="6">
        <v>79.38</v>
      </c>
      <c r="N7" s="6"/>
      <c r="O7" s="6"/>
      <c r="Q7" s="6">
        <v>79.38</v>
      </c>
      <c r="R7" s="6"/>
      <c r="S7" s="6"/>
    </row>
    <row r="8" spans="1:19" x14ac:dyDescent="0.2">
      <c r="A8" s="6" t="s">
        <v>95</v>
      </c>
      <c r="B8" s="6">
        <v>146.50000000000003</v>
      </c>
      <c r="C8" s="6"/>
      <c r="D8" s="6"/>
      <c r="E8" s="6"/>
      <c r="F8" s="6">
        <v>146.50000000000003</v>
      </c>
      <c r="G8" s="6"/>
      <c r="H8" s="6"/>
      <c r="I8" s="6">
        <v>703.2</v>
      </c>
      <c r="M8" s="6">
        <v>175.8</v>
      </c>
      <c r="N8" s="6"/>
      <c r="O8" s="6"/>
      <c r="Q8" s="6">
        <v>87.9</v>
      </c>
      <c r="R8" s="6"/>
      <c r="S8" s="6"/>
    </row>
    <row r="9" spans="1:19" x14ac:dyDescent="0.2">
      <c r="A9" s="6" t="s">
        <v>96</v>
      </c>
      <c r="B9" s="6">
        <v>41.666666666666671</v>
      </c>
      <c r="C9" s="6"/>
      <c r="D9" s="6"/>
      <c r="E9" s="6"/>
      <c r="F9" s="6">
        <v>41.666666666666671</v>
      </c>
      <c r="G9" s="6"/>
      <c r="H9" s="6"/>
      <c r="I9" s="6">
        <v>200</v>
      </c>
      <c r="M9" s="6">
        <v>50</v>
      </c>
      <c r="N9" s="6"/>
      <c r="O9" s="6"/>
      <c r="Q9" s="6">
        <v>50</v>
      </c>
      <c r="R9" s="6"/>
      <c r="S9" s="6"/>
    </row>
    <row r="10" spans="1:19" ht="51" x14ac:dyDescent="0.2">
      <c r="A10" s="7" t="s">
        <v>97</v>
      </c>
      <c r="B10" s="6">
        <v>166.66666666666669</v>
      </c>
      <c r="C10" s="6"/>
      <c r="D10" s="6"/>
      <c r="E10" s="6"/>
      <c r="F10" s="6">
        <v>166.66666666666669</v>
      </c>
      <c r="G10" s="6"/>
      <c r="H10" s="6"/>
      <c r="I10" s="6">
        <v>1000</v>
      </c>
      <c r="M10" s="6">
        <v>200</v>
      </c>
      <c r="N10" s="6"/>
      <c r="O10" s="6"/>
      <c r="Q10" s="6">
        <v>100</v>
      </c>
      <c r="R10" s="6"/>
      <c r="S10" s="6"/>
    </row>
    <row r="13" spans="1:19" x14ac:dyDescent="0.2">
      <c r="B13" s="6"/>
      <c r="C13" s="6"/>
      <c r="D13" s="6"/>
    </row>
    <row r="14" spans="1:19" x14ac:dyDescent="0.2">
      <c r="B14" s="6"/>
      <c r="C14" s="6"/>
      <c r="D14" s="6"/>
    </row>
    <row r="15" spans="1:19" x14ac:dyDescent="0.2">
      <c r="B15" s="6"/>
      <c r="C15" s="6"/>
      <c r="D15" s="6"/>
    </row>
    <row r="16" spans="1:19" x14ac:dyDescent="0.2">
      <c r="B16" s="6"/>
      <c r="C16" s="6"/>
      <c r="D16" s="6"/>
    </row>
    <row r="17" spans="2:4" x14ac:dyDescent="0.2">
      <c r="B17" s="6"/>
      <c r="C17" s="6"/>
      <c r="D17" s="6"/>
    </row>
    <row r="18" spans="2:4" x14ac:dyDescent="0.2">
      <c r="B18" s="6"/>
      <c r="C18" s="6"/>
      <c r="D18" s="6"/>
    </row>
    <row r="19" spans="2:4" x14ac:dyDescent="0.2">
      <c r="B19" s="6"/>
      <c r="C19" s="6"/>
      <c r="D19" s="6"/>
    </row>
    <row r="20" spans="2:4" x14ac:dyDescent="0.2">
      <c r="B20" s="6"/>
      <c r="C20" s="6"/>
      <c r="D20" s="6"/>
    </row>
    <row r="21" spans="2:4" x14ac:dyDescent="0.2">
      <c r="B21" s="6"/>
      <c r="C21" s="6"/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Suppliers</vt:lpstr>
      <vt:lpstr>Potential_Manufacturer</vt:lpstr>
      <vt:lpstr>National_Market</vt:lpstr>
      <vt:lpstr>International_Market</vt:lpstr>
      <vt:lpstr>Policy</vt:lpstr>
      <vt:lpstr>TransportationConversion</vt:lpstr>
      <vt:lpstr>International_Transportation_In</vt:lpstr>
      <vt:lpstr>ImportModule</vt:lpstr>
      <vt:lpstr>National_Transportation_Out</vt:lpstr>
      <vt:lpstr>National_Transportation_In</vt:lpstr>
      <vt:lpstr>Logistic_Fixed_Cost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Mohammad Dehghanimadvar</cp:lastModifiedBy>
  <dcterms:created xsi:type="dcterms:W3CDTF">2021-05-22T04:52:23Z</dcterms:created>
  <dcterms:modified xsi:type="dcterms:W3CDTF">2024-01-26T13:21:37Z</dcterms:modified>
</cp:coreProperties>
</file>