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. Jahrhundert" sheetId="1" r:id="rId4"/>
    <sheet state="visible" name="19. Jahrhundert" sheetId="2" r:id="rId5"/>
    <sheet state="visible" name="20. Jahrhundert" sheetId="3" r:id="rId6"/>
    <sheet state="visible" name="21. Jahrhundert" sheetId="4" r:id="rId7"/>
    <sheet state="visible" name="Alle Jahrhunderte" sheetId="5" r:id="rId8"/>
    <sheet state="visible" name="Testtexte" sheetId="6" r:id="rId9"/>
  </sheets>
  <definedNames/>
  <calcPr/>
</workbook>
</file>

<file path=xl/sharedStrings.xml><?xml version="1.0" encoding="utf-8"?>
<sst xmlns="http://schemas.openxmlformats.org/spreadsheetml/2006/main" count="254" uniqueCount="125">
  <si>
    <t>1702 Hunold "Die liebenswürdige Adalie</t>
  </si>
  <si>
    <t>1743 Schnabel "Wunderliche Fata einiger See-Fahrer"</t>
  </si>
  <si>
    <t>1748 Gellert "Das Leben der schwedischen Gräfin"</t>
  </si>
  <si>
    <t>1766 Wieland "Agathon"</t>
  </si>
  <si>
    <t>1776 Miller "Siegwart Eine Klostergeschichte"</t>
  </si>
  <si>
    <t>1779 Müller "Siegfried von Lindenberg"</t>
  </si>
  <si>
    <t>1780 Wezel "Herrmann und Ulrike"</t>
  </si>
  <si>
    <t>1781 Pestalozzi "Lienhard"</t>
  </si>
  <si>
    <t>1784 Unger "Julchen Grünthal"</t>
  </si>
  <si>
    <t>1786 Moritz "Andreas Hartknopf"</t>
  </si>
  <si>
    <t>1786 Schilling "Die Denwürdihkeiten des Herrn v H"</t>
  </si>
  <si>
    <t>1788 Ehrmann "Amalie Eine wahre Geschichte in Briefen"</t>
  </si>
  <si>
    <t>1788 Ehrmann "Nina's Briefe an ihren Geliebten"</t>
  </si>
  <si>
    <t>1788 Naubert "Hermann von Unna"</t>
  </si>
  <si>
    <t>1787 Schiller "Der Geisterseher"</t>
  </si>
  <si>
    <t>1790 Moritz "Anton Reiser"</t>
  </si>
  <si>
    <t>1792 Jacobi "Aus Eduard Allwills Papieren"</t>
  </si>
  <si>
    <t>1795 Hölderlin "Hyperions Jugend"</t>
  </si>
  <si>
    <t>1795 Jean Paul "Hesperus oder die 45 Hundposttage"</t>
  </si>
  <si>
    <t>1796 Heinse "Hildegard von Hohenthal"</t>
  </si>
  <si>
    <t>1796 Huber "Die Familie Seldorf"</t>
  </si>
  <si>
    <t>1796 Huber "Luise"</t>
  </si>
  <si>
    <t>1796 Jean Paul "Das Leben des Quintus Fi*lein"</t>
  </si>
  <si>
    <t>1797 Hölderlin "Hyperion Fragment"</t>
  </si>
  <si>
    <t>1797 Jean Paul "Blumen-, Frucht- und Dornenstücke"</t>
  </si>
  <si>
    <t>Durchschnitt</t>
  </si>
  <si>
    <t>Standardabweichung</t>
  </si>
  <si>
    <t>Te*t</t>
  </si>
  <si>
    <t>Formel/ =(Orte + Relationen + =(Raumhinweise * 0,5) + =(Raumbeschreibung * 0,6) + =(Raumthema * 0,7) + Relationale Verben * 0,8)) / Wortzahl * 100</t>
  </si>
  <si>
    <t>RIW</t>
  </si>
  <si>
    <t>OIW</t>
  </si>
  <si>
    <t>ThIW</t>
  </si>
  <si>
    <t>RelIW</t>
  </si>
  <si>
    <t>1802 Novalis "Die Lehlinge zu Sais"</t>
  </si>
  <si>
    <t>1805 Klingemann "Die Nachtwachen des Bonaventura"</t>
  </si>
  <si>
    <t>1809 Jean Paul "Des Feldpredigers Reise"</t>
  </si>
  <si>
    <t>1810 de la Motte Fouque "Die Frau des Falkensteins"</t>
  </si>
  <si>
    <t>1815 Eichendorff "Ahnung und Gegenwart"</t>
  </si>
  <si>
    <t>1820 Schopenhauer "Gabriele"</t>
  </si>
  <si>
    <t>1830 Stendhal "Rot und Schwarz"</t>
  </si>
  <si>
    <t>1845 Schopenhauer "Anna"</t>
  </si>
  <si>
    <t>1846 Stifter "Zwei Schwestern"</t>
  </si>
  <si>
    <t>1847 Gerstäcker "Die Flusspiraten des Mississippi"</t>
  </si>
  <si>
    <t>1848 Aston "Lydia"</t>
  </si>
  <si>
    <t>1857 Auerbach "Barfüßele"</t>
  </si>
  <si>
    <t>1857 Goedsche "Sebastopol"</t>
  </si>
  <si>
    <t>1862 Spielhagen "Problematische Naturen Zweite Abteilung"</t>
  </si>
  <si>
    <t>1863 Auerbach "Der Lehnhold"</t>
  </si>
  <si>
    <t>1866 Marlitt "Goldelse"</t>
  </si>
  <si>
    <t>1867 Stifter "Witiko"</t>
  </si>
  <si>
    <t>1881 Keller "Das Sinngedicht"</t>
  </si>
  <si>
    <t>1886 Keller "Martin Salander"</t>
  </si>
  <si>
    <t>1890 Bahr "Die gute Schule"</t>
  </si>
  <si>
    <t>1891 Fontane "Unwiederbringlich"</t>
  </si>
  <si>
    <t>1894 May "Satan und Ischariot I"</t>
  </si>
  <si>
    <t>1895 Andreas-Salomé "Ruth"</t>
  </si>
  <si>
    <t>1896 Franzos "Leib Weihnachtskuchen"</t>
  </si>
  <si>
    <t>1897 Spielhagen "Zum Zeitvertreib"</t>
  </si>
  <si>
    <t>Raumwert</t>
  </si>
  <si>
    <t>Orts-Inde*-Wert</t>
  </si>
  <si>
    <t>1902 Heyking Briefe, die ihn nicht erreichten</t>
  </si>
  <si>
    <t>1905 Ernst Semper der Jüngling</t>
  </si>
  <si>
    <t>1905 May Im Lande des Mahdi I</t>
  </si>
  <si>
    <t>1905 May Im Lande des Mahdi II</t>
  </si>
  <si>
    <t>1907 Meysenbug Unerfüllt</t>
  </si>
  <si>
    <t>1907 Spitteler Die Mädchenfeinde</t>
  </si>
  <si>
    <t>1909 Wille Abendburg</t>
  </si>
  <si>
    <t>1910 Ernst Der schmale Weg zum Glück</t>
  </si>
  <si>
    <t>1910 Rilke Malte Lauids Brigge</t>
  </si>
  <si>
    <t>1911 Keyserling Wellen</t>
  </si>
  <si>
    <t>1914 Christ Mathias Bichler</t>
  </si>
  <si>
    <t>1914 Ganghofer Ochsenkrieg</t>
  </si>
  <si>
    <t>1914 Heyking Tschun</t>
  </si>
  <si>
    <t>1914 Keyserling abendliche Häuser</t>
  </si>
  <si>
    <t>1915 Boy-Ed Vor der Ehe</t>
  </si>
  <si>
    <t>1917 Sudermann Jons und Erdme</t>
  </si>
  <si>
    <t>1920 Engel Caus Störtebeker</t>
  </si>
  <si>
    <t>1925 Reventlow Selbstmordverein</t>
  </si>
  <si>
    <t>1931 Tucholsky Gripsholm</t>
  </si>
  <si>
    <t>1932 Hofmannsthal Andreas</t>
  </si>
  <si>
    <t>1967 Ball Tenderenda</t>
  </si>
  <si>
    <t>1978 Timm Kopfjäger</t>
  </si>
  <si>
    <t>1986 Timm Morenga</t>
  </si>
  <si>
    <t>1993 Timm Entdeckung</t>
  </si>
  <si>
    <t>1999 Lenz Arnes Nachlass</t>
  </si>
  <si>
    <t>2002 Uebel Horror Vacui</t>
  </si>
  <si>
    <t>2002 Herrndorf In Plüschgewittern</t>
  </si>
  <si>
    <t>2003 Genazino Eine Frau, eine Wohnung, ein Roman</t>
  </si>
  <si>
    <t>2003 Stern Pias Labyrinth</t>
  </si>
  <si>
    <t>2005 Geiger Es geht uns gut</t>
  </si>
  <si>
    <t>2006 Trojanow Weltensammler</t>
  </si>
  <si>
    <t>2007 Lange-Müller Böse Schafe</t>
  </si>
  <si>
    <t>2008 Steinhöfel Mitte der Welt</t>
  </si>
  <si>
    <t>2009 Müller Atemschaukel</t>
  </si>
  <si>
    <t>2010 Haratischwili Juja</t>
  </si>
  <si>
    <t>2011 Weins Lazyboy</t>
  </si>
  <si>
    <t>2012 Berg Vielen Dank für das Leben</t>
  </si>
  <si>
    <t>2013 Mora Ungeheuer</t>
  </si>
  <si>
    <t>2013 Gruber Über Nacht</t>
  </si>
  <si>
    <t>2013 Kuckart Wünsche</t>
  </si>
  <si>
    <t>2014 Herrndorf Bilder einer großen Liebe</t>
  </si>
  <si>
    <t>2014 Zaimoglu Isabel</t>
  </si>
  <si>
    <t>2014 Stanisic Vor dem Fest</t>
  </si>
  <si>
    <t>2015 Meyerhoff Ach diese Lücke</t>
  </si>
  <si>
    <t>2015 Bovenschen Sarahs Gesetz</t>
  </si>
  <si>
    <t>2016 Steinfest Allesforscher</t>
  </si>
  <si>
    <t>2016 Moosdorf Die Freundinnen</t>
  </si>
  <si>
    <t>2017 Kehlmann Tyll</t>
  </si>
  <si>
    <t>2017 Regener Wiener Straße</t>
  </si>
  <si>
    <t>2018 Josten Frau Pfeiffer</t>
  </si>
  <si>
    <t>Titel</t>
  </si>
  <si>
    <t>Orte * 1</t>
  </si>
  <si>
    <t>Relation * 1</t>
  </si>
  <si>
    <t>Raumhinweis * 0,5</t>
  </si>
  <si>
    <t>RAUMBESCHREIBUNG * 0,6</t>
  </si>
  <si>
    <t>RAUMTHEMA * 0,7</t>
  </si>
  <si>
    <t>RELATIONALES VERB * 0,8</t>
  </si>
  <si>
    <t>18 Schiller</t>
  </si>
  <si>
    <t>18 Huber</t>
  </si>
  <si>
    <t>19 Spielhagen</t>
  </si>
  <si>
    <t>19 Salome</t>
  </si>
  <si>
    <t>20 Tucholsky</t>
  </si>
  <si>
    <t>20 Reventlow</t>
  </si>
  <si>
    <t>21 Stanisic</t>
  </si>
  <si>
    <t>21 Josten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</si>
</sst>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</font>
    <font/>
    <font>
      <color theme="1"/>
      <name val="Arial"/>
    </font>
    <font>
      <sz val="12.0"/>
      <color rgb="FF000000"/>
      <name val="Cambria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Raumwert und Text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0005A"/>
              </a:solidFill>
              <a:ln cmpd="sng">
                <a:solidFill>
                  <a:srgbClr val="40005A"/>
                </a:solidFill>
              </a:ln>
            </c:spPr>
          </c:marker>
          <c:xVal>
            <c:numRef>
              <c:f>'19. Jahrhundert'!$A$3:$A$28</c:f>
            </c:numRef>
          </c:xVal>
          <c:yVal>
            <c:numRef>
              <c:f>'19. Jahrhundert'!$C$3:$C$28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66836"/>
        <c:axId val="256277490"/>
      </c:scatterChart>
      <c:valAx>
        <c:axId val="17313668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Text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277490"/>
      </c:valAx>
      <c:valAx>
        <c:axId val="256277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Raumwert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366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ThIW und Titel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'Alle Jahrhunderte'!$D$1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28585"/>
              </a:solidFill>
              <a:ln cmpd="sng">
                <a:solidFill>
                  <a:srgbClr val="F28585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'Alle Jahrhunderte'!$A$2:$A$103</c:f>
            </c:numRef>
          </c:xVal>
          <c:yVal>
            <c:numRef>
              <c:f>'Alle Jahrhunderte'!$D$2:$D$103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527178"/>
        <c:axId val="1388138343"/>
      </c:scatterChart>
      <c:valAx>
        <c:axId val="12055271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138343"/>
      </c:valAx>
      <c:valAx>
        <c:axId val="1388138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ThIW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527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RelIW und Titel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'Alle Jahrhunderte'!$E$1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95656"/>
              </a:solidFill>
              <a:ln cmpd="sng">
                <a:solidFill>
                  <a:srgbClr val="695656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'Alle Jahrhunderte'!$A$2:$A$103</c:f>
            </c:numRef>
          </c:xVal>
          <c:yVal>
            <c:numRef>
              <c:f>'Alle Jahrhunderte'!$E$2:$E$103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79617"/>
        <c:axId val="1169788883"/>
      </c:scatterChart>
      <c:valAx>
        <c:axId val="20371796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788883"/>
      </c:valAx>
      <c:valAx>
        <c:axId val="1169788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RelIW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179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DD00"/>
              </a:solidFill>
              <a:ln cmpd="sng">
                <a:solidFill>
                  <a:srgbClr val="FFDD00"/>
                </a:solidFill>
              </a:ln>
            </c:spPr>
          </c:marker>
          <c:xVal>
            <c:numRef>
              <c:f>'19. Jahrhundert'!$A$2:$A$28</c:f>
            </c:numRef>
          </c:xVal>
          <c:yVal>
            <c:numRef>
              <c:f>'19. Jahrhundert'!$D$2:$D$28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31964"/>
        <c:axId val="1269368666"/>
      </c:scatterChart>
      <c:valAx>
        <c:axId val="1890319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368666"/>
      </c:valAx>
      <c:valAx>
        <c:axId val="1269368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31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0005A"/>
              </a:solidFill>
              <a:ln cmpd="sng">
                <a:solidFill>
                  <a:srgbClr val="40005A"/>
                </a:solidFill>
              </a:ln>
            </c:spPr>
          </c:marker>
          <c:dPt>
            <c:idx val="21"/>
            <c:marker>
              <c:symbol val="none"/>
            </c:marker>
          </c:dPt>
          <c:xVal>
            <c:numRef>
              <c:f>'20. Jahrhundert'!$A$1:$A$26</c:f>
            </c:numRef>
          </c:xVal>
          <c:yVal>
            <c:numRef>
              <c:f>'20. Jahrhundert'!$C$1:$C$26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18989"/>
        <c:axId val="1685097448"/>
      </c:scatterChart>
      <c:valAx>
        <c:axId val="939218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097448"/>
      </c:valAx>
      <c:valAx>
        <c:axId val="1685097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Raumwert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218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OIW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DD00"/>
              </a:solidFill>
              <a:ln cmpd="sng">
                <a:solidFill>
                  <a:srgbClr val="FFDD00"/>
                </a:solidFill>
              </a:ln>
            </c:spPr>
          </c:marker>
          <c:xVal>
            <c:numRef>
              <c:f>'20. Jahrhundert'!$A$1:$A$28</c:f>
            </c:numRef>
          </c:xVal>
          <c:yVal>
            <c:numRef>
              <c:f>'20. Jahrhundert'!$D$2:$D$28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264624"/>
        <c:axId val="966173184"/>
      </c:scatterChart>
      <c:valAx>
        <c:axId val="18612646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173184"/>
      </c:valAx>
      <c:valAx>
        <c:axId val="96617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264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'21. Jahrhundert'!$C$1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0005A"/>
              </a:solidFill>
              <a:ln cmpd="sng">
                <a:solidFill>
                  <a:srgbClr val="40005A"/>
                </a:solidFill>
              </a:ln>
            </c:spPr>
          </c:marker>
          <c:xVal>
            <c:numRef>
              <c:f>'21. Jahrhundert'!$A$2:$A$29</c:f>
            </c:numRef>
          </c:xVal>
          <c:yVal>
            <c:numRef>
              <c:f>'21. Jahrhundert'!$C$2:$C$29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88312"/>
        <c:axId val="774000354"/>
      </c:scatterChart>
      <c:valAx>
        <c:axId val="568788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Text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000354"/>
      </c:valAx>
      <c:valAx>
        <c:axId val="774000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Raumwert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788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OIW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'21. Jahrhundert'!$D$1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D00"/>
              </a:solidFill>
              <a:ln cmpd="sng">
                <a:solidFill>
                  <a:srgbClr val="FFDD00"/>
                </a:solidFill>
              </a:ln>
            </c:spPr>
          </c:marker>
          <c:xVal>
            <c:numRef>
              <c:f>'21. Jahrhundert'!$A$2:$A$28</c:f>
            </c:numRef>
          </c:xVal>
          <c:yVal>
            <c:numRef>
              <c:f>'21. Jahrhundert'!$D$2:$D$26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10449"/>
        <c:axId val="119905209"/>
      </c:scatterChart>
      <c:valAx>
        <c:axId val="7372104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Text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05209"/>
      </c:valAx>
      <c:valAx>
        <c:axId val="119905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Orts-Index-Wert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210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0005A"/>
              </a:solidFill>
              <a:ln cmpd="sng">
                <a:solidFill>
                  <a:srgbClr val="40005A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'Alle Jahrhunderte'!$A$2:$A$101</c:f>
            </c:numRef>
          </c:xVal>
          <c:yVal>
            <c:numRef>
              <c:f>'Alle Jahrhunderte'!$B$2:$B$101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44705"/>
        <c:axId val="1932921418"/>
      </c:scatterChart>
      <c:valAx>
        <c:axId val="375444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921418"/>
      </c:valAx>
      <c:valAx>
        <c:axId val="1932921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444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Orts-Index-Werte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DD00"/>
              </a:solidFill>
              <a:ln cmpd="sng">
                <a:solidFill>
                  <a:srgbClr val="FFDD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'Alle Jahrhunderte'!$A$2:$A$102</c:f>
            </c:numRef>
          </c:xVal>
          <c:yVal>
            <c:numRef>
              <c:f>'Alle Jahrhunderte'!$C$2:$C$102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4337"/>
        <c:axId val="1249429005"/>
      </c:scatterChart>
      <c:valAx>
        <c:axId val="2672243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429005"/>
      </c:valAx>
      <c:valAx>
        <c:axId val="124942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224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'Alle Jahrhunderte'!$B$1</c:f>
            </c:strRef>
          </c:tx>
          <c:spPr>
            <a:ln cmpd="sng">
              <a:solidFill>
                <a:srgbClr val="40005A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'Alle Jahrhunderte'!$B$2:$B$101</c:f>
              <c:numCache/>
            </c:numRef>
          </c:val>
          <c:smooth val="1"/>
        </c:ser>
        <c:ser>
          <c:idx val="1"/>
          <c:order val="1"/>
          <c:tx>
            <c:strRef>
              <c:f>'Alle Jahrhunderte'!$C$1</c:f>
            </c:strRef>
          </c:tx>
          <c:spPr>
            <a:ln cmpd="sng">
              <a:solidFill>
                <a:srgbClr val="FFDD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'Alle Jahrhunderte'!$C$2:$C$101</c:f>
              <c:numCache/>
            </c:numRef>
          </c:val>
          <c:smooth val="1"/>
        </c:ser>
        <c:ser>
          <c:idx val="2"/>
          <c:order val="2"/>
          <c:tx>
            <c:strRef>
              <c:f>'Alle Jahrhunderte'!$D$1</c:f>
            </c:strRef>
          </c:tx>
          <c:spPr>
            <a:ln cmpd="sng">
              <a:solidFill>
                <a:srgbClr val="F2858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'Alle Jahrhunderte'!$D$2:$D$1001</c:f>
              <c:numCache/>
            </c:numRef>
          </c:val>
          <c:smooth val="1"/>
        </c:ser>
        <c:ser>
          <c:idx val="3"/>
          <c:order val="3"/>
          <c:tx>
            <c:strRef>
              <c:f>'Alle Jahrhunderte'!$E$1</c:f>
            </c:strRef>
          </c:tx>
          <c:spPr>
            <a:ln cmpd="sng">
              <a:solidFill>
                <a:srgbClr val="69565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'Alle Jahrhunderte'!$E$2:$E$1001</c:f>
              <c:numCache/>
            </c:numRef>
          </c:val>
          <c:smooth val="1"/>
        </c:ser>
        <c:axId val="815003431"/>
        <c:axId val="1913688705"/>
      </c:lineChart>
      <c:catAx>
        <c:axId val="815003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688705"/>
      </c:catAx>
      <c:valAx>
        <c:axId val="1913688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OIW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003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30</xdr:row>
      <xdr:rowOff>57150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2781300</xdr:colOff>
      <xdr:row>30</xdr:row>
      <xdr:rowOff>66675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0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3190875</xdr:colOff>
      <xdr:row>28</xdr:row>
      <xdr:rowOff>152400</xdr:rowOff>
    </xdr:from>
    <xdr:ext cx="5715000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31</xdr:row>
      <xdr:rowOff>38100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3362325</xdr:colOff>
      <xdr:row>31</xdr:row>
      <xdr:rowOff>38100</xdr:rowOff>
    </xdr:from>
    <xdr:ext cx="5715000" cy="3533775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1</xdr:row>
      <xdr:rowOff>85725</xdr:rowOff>
    </xdr:from>
    <xdr:ext cx="10191750" cy="3533775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266700</xdr:colOff>
      <xdr:row>20</xdr:row>
      <xdr:rowOff>19050</xdr:rowOff>
    </xdr:from>
    <xdr:ext cx="10191750" cy="3533775"/>
    <xdr:graphicFrame>
      <xdr:nvGraphicFramePr>
        <xdr:cNvPr id="8" name="Chart 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266700</xdr:colOff>
      <xdr:row>77</xdr:row>
      <xdr:rowOff>114300</xdr:rowOff>
    </xdr:from>
    <xdr:ext cx="10191750" cy="3533775"/>
    <xdr:graphicFrame>
      <xdr:nvGraphicFramePr>
        <xdr:cNvPr id="9" name="Chart 9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266700</xdr:colOff>
      <xdr:row>39</xdr:row>
      <xdr:rowOff>28575</xdr:rowOff>
    </xdr:from>
    <xdr:ext cx="10191750" cy="3533775"/>
    <xdr:graphicFrame>
      <xdr:nvGraphicFramePr>
        <xdr:cNvPr id="10" name="Chart 10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266700</xdr:colOff>
      <xdr:row>58</xdr:row>
      <xdr:rowOff>104775</xdr:rowOff>
    </xdr:from>
    <xdr:ext cx="10191750" cy="3533775"/>
    <xdr:graphicFrame>
      <xdr:nvGraphicFramePr>
        <xdr:cNvPr id="11" name="Chart 1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57"/>
    <col customWidth="1" min="2" max="2" width="66.14"/>
    <col customWidth="1" min="3" max="3" width="11.29"/>
  </cols>
  <sheetData>
    <row r="1">
      <c r="A1" s="1" t="s">
        <v>0</v>
      </c>
      <c r="B1" s="2">
        <f>(1089+2680+743+57+168.7+1392.8)/90075*100</f>
        <v>6.805995004</v>
      </c>
      <c r="C1" s="1">
        <v>6.81</v>
      </c>
      <c r="D1" s="2">
        <f>1089/90075*100</f>
        <v>1.208992506</v>
      </c>
      <c r="E1" s="2">
        <f>168.7/90075*100</f>
        <v>0.1872883708</v>
      </c>
      <c r="F1" s="2">
        <f>(2680+1392.8)/90075*100</f>
        <v>4.521565362</v>
      </c>
    </row>
    <row r="2">
      <c r="A2" s="1" t="s">
        <v>1</v>
      </c>
      <c r="B2" s="2">
        <f>(7060+17240+5691.8+573+1418.2+10812)/488911*100</f>
        <v>8.753126847</v>
      </c>
      <c r="C2" s="1">
        <v>8.75</v>
      </c>
      <c r="D2" s="2">
        <f>7060/488911*100</f>
        <v>1.4440256</v>
      </c>
      <c r="E2" s="2">
        <f>1418.2/488911*100</f>
        <v>0.2900732444</v>
      </c>
      <c r="F2" s="2">
        <f>(17240+10812)/488911*100</f>
        <v>5.737649593</v>
      </c>
    </row>
    <row r="3">
      <c r="A3" s="1" t="s">
        <v>2</v>
      </c>
      <c r="B3" s="2">
        <f>(574+1446+513.5+61.2+166.6+1258.4)/47753*100</f>
        <v>8.417691035</v>
      </c>
      <c r="C3" s="1">
        <v>8.42</v>
      </c>
      <c r="D3" s="2">
        <f>574/47753*100</f>
        <v>1.202018721</v>
      </c>
      <c r="E3" s="2">
        <f>166.6/47753*100</f>
        <v>0.3488786045</v>
      </c>
      <c r="F3" s="2">
        <f>(1446+1258.4)/90075*100</f>
        <v>3.0023869</v>
      </c>
    </row>
    <row r="4">
      <c r="A4" s="1" t="s">
        <v>3</v>
      </c>
      <c r="B4" s="2">
        <f>(1546+4179+1644+251.4+277.2+2861.6)/161598*100</f>
        <v>6.658003193</v>
      </c>
      <c r="C4" s="1">
        <v>6.66</v>
      </c>
      <c r="D4" s="2">
        <f>1546/161598*100</f>
        <v>0.9566950086</v>
      </c>
      <c r="E4" s="2">
        <f>277.2/161598*100</f>
        <v>0.1715367764</v>
      </c>
      <c r="F4" s="2">
        <f>(4179+2861.6)/161598*100</f>
        <v>4.356860852</v>
      </c>
    </row>
    <row r="5">
      <c r="A5" s="1" t="s">
        <v>4</v>
      </c>
      <c r="B5" s="2">
        <f>(3557+8547+2909.5+209.4+517.3+7098.4)/199692*100</f>
        <v>11.43691285</v>
      </c>
      <c r="C5" s="1">
        <v>11.44</v>
      </c>
      <c r="D5" s="2">
        <f>3557/199692*100</f>
        <v>1.781243114</v>
      </c>
      <c r="E5" s="2">
        <f>517.3/199692*100</f>
        <v>0.2590489354</v>
      </c>
      <c r="F5" s="2">
        <f>(8547+7098.4)/199692*100</f>
        <v>7.834765539</v>
      </c>
    </row>
    <row r="6">
      <c r="A6" s="1" t="s">
        <v>5</v>
      </c>
      <c r="B6" s="2">
        <f>(729+1449+610+116.4+67.2+919.2)/47847*100</f>
        <v>8.131753297</v>
      </c>
      <c r="C6" s="1">
        <v>8.13</v>
      </c>
      <c r="D6" s="2">
        <f>729/47847*100</f>
        <v>1.523606496</v>
      </c>
      <c r="E6" s="2">
        <f>67.2/47847*100</f>
        <v>0.140447677</v>
      </c>
      <c r="F6" s="2">
        <f>(1449+919.2)/47847*100</f>
        <v>4.949526616</v>
      </c>
    </row>
    <row r="7">
      <c r="A7" s="1" t="s">
        <v>6</v>
      </c>
      <c r="B7" s="2">
        <f>(3480+10289+4189.5+622.8+888.3+7509.6)/259048*100</f>
        <v>10.41474939</v>
      </c>
      <c r="C7" s="1">
        <v>10.41</v>
      </c>
      <c r="D7" s="2">
        <f>3480/259048*100</f>
        <v>1.343380377</v>
      </c>
      <c r="E7" s="2">
        <f>888.3/259048*100</f>
        <v>0.3429094222</v>
      </c>
      <c r="F7" s="2">
        <f>(10289+7509.6)/259048*100</f>
        <v>6.870772984</v>
      </c>
    </row>
    <row r="8">
      <c r="A8" s="1" t="s">
        <v>7</v>
      </c>
      <c r="B8" s="2">
        <f>(2008+5996+2294.5+127.8+272.3+3716)/152873*100</f>
        <v>9.429133987</v>
      </c>
      <c r="C8" s="1">
        <v>9.43</v>
      </c>
      <c r="D8" s="2">
        <f>2008/152873*100</f>
        <v>1.313508599</v>
      </c>
      <c r="E8" s="2">
        <f>272.3/152873*100</f>
        <v>0.1781217089</v>
      </c>
      <c r="F8" s="2">
        <f>(5996+3716)/152873*100</f>
        <v>6.352985812</v>
      </c>
    </row>
    <row r="9">
      <c r="A9" s="1" t="s">
        <v>8</v>
      </c>
      <c r="B9" s="2">
        <f>(1161+3154+1415.5+206.4+192.5+2656.8)/98153*100</f>
        <v>8.951534849</v>
      </c>
      <c r="C9" s="1">
        <v>8.95</v>
      </c>
      <c r="D9" s="2">
        <f>1161/98153*100</f>
        <v>1.182847188</v>
      </c>
      <c r="E9" s="2">
        <f>192.5/98153*100</f>
        <v>0.1961223804</v>
      </c>
      <c r="F9" s="2">
        <f>(3154+2656.8)/98153*100</f>
        <v>5.92014508</v>
      </c>
    </row>
    <row r="10">
      <c r="A10" s="1" t="s">
        <v>9</v>
      </c>
      <c r="B10" s="2">
        <f>(529+1135+499+68.4+52.5+740.8)/25052*100</f>
        <v>12.07368673</v>
      </c>
      <c r="C10" s="1">
        <v>12.07</v>
      </c>
      <c r="D10" s="2">
        <f>529/25052*100</f>
        <v>2.111607856</v>
      </c>
      <c r="E10" s="2">
        <f>52.5/25052*100</f>
        <v>0.2095641067</v>
      </c>
      <c r="F10" s="2">
        <f>(1135+740.8)/25052*100</f>
        <v>7.487625738</v>
      </c>
    </row>
    <row r="11">
      <c r="A11" s="1" t="s">
        <v>10</v>
      </c>
      <c r="B11" s="2">
        <f>(527+1905+1127+130.8+184.8+2109.6)/46274*100</f>
        <v>12.9321001</v>
      </c>
      <c r="C11" s="1">
        <v>12.93</v>
      </c>
      <c r="D11" s="2">
        <f>527/46274*100</f>
        <v>1.138868479</v>
      </c>
      <c r="E11" s="2">
        <f>184.8/46274*100</f>
        <v>0.3993603319</v>
      </c>
      <c r="F11" s="2">
        <f>(1905+2109.6)/46274*100</f>
        <v>8.675714224</v>
      </c>
    </row>
    <row r="12">
      <c r="A12" s="1" t="s">
        <v>11</v>
      </c>
      <c r="B12" s="2">
        <f>(1232+3307+1499+181.8+316.4+1949.6)/118917*100</f>
        <v>7.135901511</v>
      </c>
      <c r="C12" s="1">
        <v>7.14</v>
      </c>
      <c r="D12" s="2">
        <f>1232/118917*100</f>
        <v>1.036016718</v>
      </c>
      <c r="E12" s="2">
        <f>316.4/118917*100</f>
        <v>0.2660679297</v>
      </c>
      <c r="F12" s="2">
        <f>(3307+1949.6)/118917*100</f>
        <v>4.420394056</v>
      </c>
    </row>
    <row r="13">
      <c r="A13" s="1" t="s">
        <v>12</v>
      </c>
      <c r="B13" s="2">
        <f>(364+1227+534+46.2+81.9+839.2)/44363*100</f>
        <v>6.970448347</v>
      </c>
      <c r="C13" s="1">
        <v>6.97</v>
      </c>
      <c r="D13" s="2">
        <f>364/44363*100</f>
        <v>0.8205035728</v>
      </c>
      <c r="E13" s="2">
        <f>81.9/44363*100</f>
        <v>0.1846133039</v>
      </c>
      <c r="F13" s="2">
        <f>(1227+839.2)/44363*100</f>
        <v>4.657484841</v>
      </c>
    </row>
    <row r="14">
      <c r="A14" s="1" t="s">
        <v>13</v>
      </c>
      <c r="B14" s="2">
        <f>(1861+4320+1673+203.4+434.7+3968)/131828*100</f>
        <v>9.45178566</v>
      </c>
      <c r="C14" s="1">
        <v>9.45</v>
      </c>
      <c r="D14" s="2">
        <f>1861/131828*100</f>
        <v>1.411687957</v>
      </c>
      <c r="E14" s="2">
        <f>343.7/131828*100</f>
        <v>0.260718512</v>
      </c>
      <c r="F14" s="2">
        <f>(4320+3968)/131828*100</f>
        <v>6.286980004</v>
      </c>
    </row>
    <row r="15">
      <c r="A15" s="1" t="s">
        <v>14</v>
      </c>
      <c r="B15" s="2">
        <f>(584+1497+592+66.6+146.3+1257.6)/38175*100</f>
        <v>10.85396202</v>
      </c>
      <c r="C15" s="1">
        <v>10.85</v>
      </c>
      <c r="D15" s="2">
        <f>584/38175*100</f>
        <v>1.529796988</v>
      </c>
      <c r="E15" s="2">
        <f>146.3/38175*100</f>
        <v>0.3832351015</v>
      </c>
      <c r="F15" s="2">
        <f>(1497+1257.6)/38175*100</f>
        <v>7.215717092</v>
      </c>
    </row>
    <row r="16">
      <c r="A16" s="1" t="s">
        <v>15</v>
      </c>
      <c r="B16" s="2">
        <f>(2233+5289+1691.5+310.8+393.4+3456)/131584*100</f>
        <v>10.16362172</v>
      </c>
      <c r="C16" s="1">
        <v>10.16</v>
      </c>
      <c r="D16" s="2">
        <f>2233/131584*100</f>
        <v>1.697014835</v>
      </c>
      <c r="E16" s="2">
        <f>393.4/131584*100</f>
        <v>0.2989725195</v>
      </c>
      <c r="F16" s="2">
        <f>(5289+3456)/131584*100</f>
        <v>6.645944796</v>
      </c>
    </row>
    <row r="17">
      <c r="A17" s="1" t="s">
        <v>16</v>
      </c>
      <c r="B17" s="2">
        <f>(320+858+376.5+40.8+39.9+556)/24924*100</f>
        <v>8.79152624</v>
      </c>
      <c r="C17" s="1">
        <v>8.79</v>
      </c>
      <c r="D17" s="2">
        <f>320/24924*100</f>
        <v>1.283903065</v>
      </c>
      <c r="E17" s="2">
        <f>39.9/24924*100</f>
        <v>0.1600866635</v>
      </c>
      <c r="F17" s="2">
        <f>(858+556)/24924*100</f>
        <v>5.67324667</v>
      </c>
    </row>
    <row r="18">
      <c r="A18" s="1" t="s">
        <v>17</v>
      </c>
      <c r="B18" s="2">
        <f>(207+496+197+25.8+38.5+375.2)/12019*100</f>
        <v>11.14485398</v>
      </c>
      <c r="C18" s="1">
        <v>11.14</v>
      </c>
      <c r="D18" s="2">
        <f>207/12019*100</f>
        <v>1.722273068</v>
      </c>
      <c r="E18" s="2">
        <f>38.5/12019*100</f>
        <v>0.3203261503</v>
      </c>
      <c r="F18" s="2">
        <f>(496+375.2)/12019*100</f>
        <v>7.248523172</v>
      </c>
    </row>
    <row r="19">
      <c r="A19" s="1" t="s">
        <v>18</v>
      </c>
      <c r="B19" s="2">
        <f>(4566+11352+5244.5+800.4+581+6794.4)/248433*100</f>
        <v>11.80934095</v>
      </c>
      <c r="C19" s="1">
        <v>11.81</v>
      </c>
      <c r="D19" s="2">
        <f>4566/248433*100</f>
        <v>1.837920083</v>
      </c>
      <c r="E19" s="2">
        <f>581/248433*100</f>
        <v>0.2338658713</v>
      </c>
      <c r="F19" s="2">
        <f>(11352+3794.4)/248433*100</f>
        <v>6.096774583</v>
      </c>
    </row>
    <row r="20">
      <c r="A20" s="1" t="s">
        <v>19</v>
      </c>
      <c r="B20" s="2">
        <f>(2043+4781+1759.5+314.4+272.3+2800.8)/132018*100</f>
        <v>9.067702889</v>
      </c>
      <c r="C20" s="1">
        <v>9.06</v>
      </c>
      <c r="D20" s="2">
        <f>2043/132018*100</f>
        <v>1.547516248</v>
      </c>
      <c r="E20" s="2">
        <f>272.3/132018*100</f>
        <v>0.2062597525</v>
      </c>
      <c r="F20" s="2">
        <f>(4781+2800.8)/132018*100</f>
        <v>5.743004742</v>
      </c>
    </row>
    <row r="21">
      <c r="A21" s="1" t="s">
        <v>20</v>
      </c>
      <c r="B21" s="2">
        <f>(1491+3936+1768.5+152.4+317.8+3189.6)/92443*100</f>
        <v>11.7426955</v>
      </c>
      <c r="C21" s="1">
        <v>11.74</v>
      </c>
      <c r="D21" s="2">
        <f>1491/92443*100</f>
        <v>1.612885778</v>
      </c>
      <c r="E21" s="2">
        <f>317.8/92443*100</f>
        <v>0.34377941</v>
      </c>
      <c r="F21" s="2">
        <f>(3936+3189.6)/92443*100</f>
        <v>7.708101208</v>
      </c>
    </row>
    <row r="22">
      <c r="A22" s="1" t="s">
        <v>21</v>
      </c>
      <c r="B22" s="2">
        <f>(388+1192+968+42+161+1034.4)/39317*100</f>
        <v>9.62789633</v>
      </c>
      <c r="C22" s="1">
        <v>9.63</v>
      </c>
      <c r="D22" s="2">
        <f>388/39317*100</f>
        <v>0.9868504718</v>
      </c>
      <c r="E22" s="2">
        <f>161/39317*100</f>
        <v>0.4094920772</v>
      </c>
      <c r="F22" s="2">
        <f>(1192+1034.4)/39317*100</f>
        <v>5.662690439</v>
      </c>
    </row>
    <row r="23">
      <c r="A23" s="1" t="s">
        <v>22</v>
      </c>
      <c r="B23" s="2">
        <f>(1406+3529+1590.5+258.6+160.3+1980.8)/77904*100</f>
        <v>11.45666461</v>
      </c>
      <c r="C23" s="1">
        <v>11.46</v>
      </c>
      <c r="D23" s="2">
        <f>1406/77904*100</f>
        <v>1.804785377</v>
      </c>
      <c r="E23" s="2">
        <f>160.3/77904*100</f>
        <v>0.2057660711</v>
      </c>
      <c r="F23" s="2">
        <f>(3529+1980.8)/77904*100</f>
        <v>7.072550832</v>
      </c>
    </row>
    <row r="24">
      <c r="A24" s="1" t="s">
        <v>23</v>
      </c>
      <c r="B24" s="2">
        <f>(173+342+124+13.2+28+254.4)/7024*100</f>
        <v>13.30580866</v>
      </c>
      <c r="C24" s="1">
        <v>13.31</v>
      </c>
      <c r="D24" s="2">
        <f>173/7024*100</f>
        <v>2.462984055</v>
      </c>
      <c r="E24" s="2">
        <f>28/7024*100</f>
        <v>0.3986332574</v>
      </c>
      <c r="F24" s="2">
        <f>(342+254.4)/7024*100</f>
        <v>8.490888383</v>
      </c>
    </row>
    <row r="25">
      <c r="A25" s="1" t="s">
        <v>24</v>
      </c>
      <c r="B25" s="2">
        <f>(2919+8072+3652.5+571.8+396.9+4832.8)/178698*100</f>
        <v>11.44109056</v>
      </c>
      <c r="C25" s="1">
        <v>11.44</v>
      </c>
      <c r="D25" s="2">
        <f>2919/178698*100</f>
        <v>1.633482188</v>
      </c>
      <c r="E25" s="2">
        <f>396.9/178698*100</f>
        <v>0.2221065709</v>
      </c>
      <c r="F25" s="2">
        <f>(8072+4832.8)/178698*100</f>
        <v>7.221569352</v>
      </c>
    </row>
    <row r="26">
      <c r="A26" s="1" t="s">
        <v>25</v>
      </c>
      <c r="C26" s="3">
        <f>AVERAGE(C1:C25)</f>
        <v>9.878</v>
      </c>
    </row>
    <row r="27">
      <c r="A27" s="1" t="s">
        <v>26</v>
      </c>
      <c r="C27" s="3">
        <f>STDEV(C1:C25)</f>
        <v>1.922613239</v>
      </c>
    </row>
    <row r="28">
      <c r="A28" s="1" t="s">
        <v>27</v>
      </c>
      <c r="B28" s="4" t="s">
        <v>28</v>
      </c>
      <c r="C28" s="1" t="s">
        <v>29</v>
      </c>
      <c r="D28" s="1" t="s">
        <v>30</v>
      </c>
      <c r="E28" s="1" t="s">
        <v>31</v>
      </c>
      <c r="F28" s="1" t="s">
        <v>32</v>
      </c>
    </row>
    <row r="29">
      <c r="D29" s="3">
        <f t="shared" ref="D29:F29" si="1">AVERAGE(D2:D26)</f>
        <v>1.474392577</v>
      </c>
      <c r="E29" s="3">
        <f t="shared" si="1"/>
        <v>0.2679160991</v>
      </c>
      <c r="F29" s="3">
        <f t="shared" si="1"/>
        <v>6.305512646</v>
      </c>
    </row>
    <row r="30">
      <c r="D30" s="3">
        <f t="shared" ref="D30:F30" si="2">STDEV(D2:D26)</f>
        <v>0.3825863024</v>
      </c>
      <c r="E30" s="3">
        <f t="shared" si="2"/>
        <v>0.08382828301</v>
      </c>
      <c r="F30" s="3">
        <f t="shared" si="2"/>
        <v>1.385333665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55.29"/>
    <col customWidth="1" min="3" max="3" width="10.29"/>
  </cols>
  <sheetData>
    <row r="1">
      <c r="A1" s="1" t="s">
        <v>27</v>
      </c>
      <c r="B1" s="4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>
      <c r="A2" s="1" t="s">
        <v>33</v>
      </c>
      <c r="B2" s="2">
        <f>(286+405+185.5+29.4+28+289.6)/10712*100</f>
        <v>11.42176998</v>
      </c>
      <c r="C2" s="1">
        <v>11.42</v>
      </c>
      <c r="D2" s="3">
        <f>286/10712*100</f>
        <v>2.669902913</v>
      </c>
      <c r="E2" s="3">
        <f>28/10712*100</f>
        <v>0.2613890963</v>
      </c>
      <c r="F2" s="3">
        <f>(405+289.6)/10712*100</f>
        <v>6.484316654</v>
      </c>
    </row>
    <row r="3">
      <c r="A3" s="1" t="s">
        <v>34</v>
      </c>
      <c r="B3" s="2">
        <f>(628+1879+801.5+99.6+72.8+1243.2)/38813*100</f>
        <v>12.1714374</v>
      </c>
      <c r="C3" s="1">
        <v>12.17</v>
      </c>
      <c r="D3" s="3">
        <f>628/38813*100</f>
        <v>1.618014583</v>
      </c>
      <c r="E3" s="3">
        <f>72.8/38813*100</f>
        <v>0.1875660217</v>
      </c>
      <c r="F3" s="3">
        <f>(1879+1243.2)/38813*100</f>
        <v>8.044211991</v>
      </c>
    </row>
    <row r="4">
      <c r="A4" s="1" t="s">
        <v>35</v>
      </c>
      <c r="B4" s="2">
        <f>(392+940+376.5+63+55.3+508)/22385*100</f>
        <v>10.43019879</v>
      </c>
      <c r="C4" s="1">
        <v>10.43</v>
      </c>
      <c r="D4" s="3">
        <f>382/22385*100</f>
        <v>1.706499888</v>
      </c>
      <c r="E4" s="3">
        <f>55.3/22385*100</f>
        <v>0.2470404289</v>
      </c>
      <c r="F4" s="3">
        <f>(940+508)/22385*100</f>
        <v>6.468617378</v>
      </c>
    </row>
    <row r="5">
      <c r="A5" s="1" t="s">
        <v>36</v>
      </c>
      <c r="B5" s="2">
        <f>(1095+3105+1222+191.4+252+2534.4)/65471*100</f>
        <v>12.82980251</v>
      </c>
      <c r="C5" s="1">
        <v>12.83</v>
      </c>
      <c r="D5" s="3">
        <f>1095/65471*100</f>
        <v>1.67249622</v>
      </c>
      <c r="E5" s="3">
        <f>252/65471*100</f>
        <v>0.3849032396</v>
      </c>
      <c r="F5" s="3">
        <f>(3105+2534.4)/65471*100</f>
        <v>8.613584641</v>
      </c>
    </row>
    <row r="6">
      <c r="A6" s="1" t="s">
        <v>37</v>
      </c>
      <c r="B6" s="2">
        <f>(2722+5909+1985+388.2+448.7+4036)/89604*100</f>
        <v>17.28594706</v>
      </c>
      <c r="C6" s="1">
        <v>17.29</v>
      </c>
      <c r="D6" s="3">
        <f>2722/89604*100</f>
        <v>3.037810812</v>
      </c>
      <c r="E6" s="3">
        <f>448.7/89604*100</f>
        <v>0.5007588947</v>
      </c>
      <c r="F6" s="3">
        <f>(5909+4036)/89604*100</f>
        <v>11.09883487</v>
      </c>
    </row>
    <row r="7">
      <c r="A7" s="1" t="s">
        <v>38</v>
      </c>
      <c r="B7" s="5">
        <f>(2493+6042+2416+384+574.7+4632)/152588*100</f>
        <v>10.84076074</v>
      </c>
      <c r="C7" s="1">
        <v>11.0</v>
      </c>
      <c r="D7" s="3">
        <f>2493/152588*100</f>
        <v>1.633811309</v>
      </c>
      <c r="E7" s="3">
        <f>574.7/152588*100</f>
        <v>0.376635122</v>
      </c>
      <c r="F7" s="3">
        <f>(6042+4632)/152588*100</f>
        <v>6.995307626</v>
      </c>
    </row>
    <row r="8">
      <c r="A8" s="1" t="s">
        <v>39</v>
      </c>
      <c r="B8" s="2">
        <f>(2461+5762+2102.5+364.8+420+4336.8)/161612*100</f>
        <v>9.558139247</v>
      </c>
      <c r="C8" s="1">
        <v>9.56</v>
      </c>
      <c r="D8" s="3">
        <f>2461/161612*100</f>
        <v>1.522782962</v>
      </c>
      <c r="E8" s="3">
        <f>420/161612*100</f>
        <v>0.259881692</v>
      </c>
      <c r="F8" s="3">
        <f>(5762+4336.8)/161612*100</f>
        <v>6.248793406</v>
      </c>
    </row>
    <row r="9">
      <c r="A9" s="1" t="s">
        <v>40</v>
      </c>
      <c r="B9" s="2">
        <f>(1419+3478+1411+209.4+331.1+3003.2)/89340*100</f>
        <v>11.02719946</v>
      </c>
      <c r="C9" s="1">
        <v>11.02</v>
      </c>
      <c r="D9" s="3">
        <f>1419/89340*100</f>
        <v>1.588314305</v>
      </c>
      <c r="E9" s="3">
        <f>331.1/89340*100</f>
        <v>0.3706066711</v>
      </c>
      <c r="F9" s="3">
        <f>(3478+3003.2)/89340*100</f>
        <v>7.254533244</v>
      </c>
    </row>
    <row r="10">
      <c r="A10" s="1" t="s">
        <v>41</v>
      </c>
      <c r="B10" s="2">
        <f>(1398+3091+987.5+153+265.3+2237.6)/49641*100</f>
        <v>16.38242582</v>
      </c>
      <c r="C10" s="1">
        <v>16.38</v>
      </c>
      <c r="D10" s="3">
        <f>1398/49641*100</f>
        <v>2.816220463</v>
      </c>
      <c r="E10" s="3">
        <f>265.3/49641*100</f>
        <v>0.5344372595</v>
      </c>
      <c r="F10" s="3">
        <f>(3091+2237.6)/49641*100</f>
        <v>10.73427207</v>
      </c>
    </row>
    <row r="11">
      <c r="A11" s="1" t="s">
        <v>42</v>
      </c>
      <c r="B11" s="2">
        <f>(3714+7984+3220.5+519.6+567.7+6627.2)/158145*100</f>
        <v>14.31154953</v>
      </c>
      <c r="C11" s="1">
        <v>14.31</v>
      </c>
      <c r="D11" s="3">
        <f>3714/158145*100</f>
        <v>2.348477663</v>
      </c>
      <c r="E11" s="3">
        <f>567.7/158145*100</f>
        <v>0.358974359</v>
      </c>
      <c r="F11" s="3">
        <f>(7984+6627.2)/158145*100</f>
        <v>9.239116001</v>
      </c>
    </row>
    <row r="12">
      <c r="A12" s="1" t="s">
        <v>43</v>
      </c>
      <c r="B12" s="2">
        <f>(747+2241+987+117.6+204.4+1799.2)/50218*100</f>
        <v>12.1394719</v>
      </c>
      <c r="C12" s="1">
        <v>12.14</v>
      </c>
      <c r="D12" s="3">
        <f>747/50218*100</f>
        <v>1.487514437</v>
      </c>
      <c r="E12" s="3">
        <f>204.4/50218*100</f>
        <v>0.4070253694</v>
      </c>
      <c r="F12" s="3">
        <f>(2241+1799)/50218*100</f>
        <v>8.044924131</v>
      </c>
      <c r="H12" s="6"/>
    </row>
    <row r="13">
      <c r="A13" s="1" t="s">
        <v>44</v>
      </c>
      <c r="B13" s="2">
        <f>(1280+2943+986+122.4+109.9+2114.4)/62749*100</f>
        <v>12.04114807</v>
      </c>
      <c r="C13" s="1">
        <v>12.04</v>
      </c>
      <c r="D13" s="3">
        <f>1280/62749*100</f>
        <v>2.039873145</v>
      </c>
      <c r="E13" s="3">
        <f>109.9/62749*100</f>
        <v>0.1751422333</v>
      </c>
      <c r="F13" s="3">
        <f>(2943+2114.4)/62749*100</f>
        <v>8.059730036</v>
      </c>
    </row>
    <row r="14">
      <c r="A14" s="1" t="s">
        <v>45</v>
      </c>
      <c r="B14" s="2">
        <f>(12854+27513+11182.5+2038.8+2588.6+18524.8)/528777*100</f>
        <v>14.1272597</v>
      </c>
      <c r="C14" s="1">
        <v>14.13</v>
      </c>
      <c r="D14" s="3">
        <f>12854/528777*100</f>
        <v>2.430892418</v>
      </c>
      <c r="E14" s="3">
        <f>2588.6/528777*100</f>
        <v>0.4895447419</v>
      </c>
      <c r="F14" s="3">
        <f>(27513+18524.8)/528777*100</f>
        <v>8.706467944</v>
      </c>
    </row>
    <row r="15">
      <c r="A15" s="1" t="s">
        <v>46</v>
      </c>
      <c r="B15" s="2">
        <f>(3083+7470+3137.5+472.8+648.9+5338.4)/168350*100</f>
        <v>11.96946837</v>
      </c>
      <c r="C15" s="1">
        <v>11.97</v>
      </c>
      <c r="D15" s="3">
        <f>3093/168350*100</f>
        <v>1.837243837</v>
      </c>
      <c r="E15" s="3">
        <f>648.9/168350*100</f>
        <v>0.3854469854</v>
      </c>
      <c r="F15" s="3">
        <f>(7470+5338.5)/168350*100</f>
        <v>7.608256608</v>
      </c>
    </row>
    <row r="16">
      <c r="A16" s="1" t="s">
        <v>47</v>
      </c>
      <c r="B16" s="2">
        <f>(1273+2593+852+108.6+123.2+1885.6)/56255*100</f>
        <v>12.15074216</v>
      </c>
      <c r="C16" s="1">
        <v>12.15</v>
      </c>
      <c r="D16" s="3">
        <f>1273/56255*100</f>
        <v>2.262909964</v>
      </c>
      <c r="E16" s="3">
        <f>123.2/56255*100</f>
        <v>0.2190027553</v>
      </c>
      <c r="F16" s="3">
        <f>(2593+1885.6)/56255*100</f>
        <v>7.961247889</v>
      </c>
    </row>
    <row r="17">
      <c r="A17" s="1" t="s">
        <v>48</v>
      </c>
      <c r="B17" s="2">
        <f>(2170+5152+2238.5+366.6+446.6+4003.2)/99954*100</f>
        <v>14.38351642</v>
      </c>
      <c r="C17" s="1">
        <v>14.38</v>
      </c>
      <c r="D17" s="3">
        <f>2170/99954*100</f>
        <v>2.170998659</v>
      </c>
      <c r="E17" s="3">
        <f>446.6/99954*100</f>
        <v>0.4468055305</v>
      </c>
      <c r="F17" s="3">
        <f>(5152+4003.2)/99954*100</f>
        <v>9.15941333</v>
      </c>
    </row>
    <row r="18">
      <c r="A18" s="1" t="s">
        <v>49</v>
      </c>
      <c r="B18" s="2">
        <f>(9298+16443+5273+813+968.1+11778.4)/276680*100</f>
        <v>16.11012722</v>
      </c>
      <c r="C18" s="1">
        <v>16.11</v>
      </c>
      <c r="D18" s="3">
        <f>9298/276680*100</f>
        <v>3.360560937</v>
      </c>
      <c r="E18" s="3">
        <f>968.1/276680*100</f>
        <v>0.3498988001</v>
      </c>
      <c r="F18" s="3">
        <f>(16443+11778.4)/276680*100</f>
        <v>10.20001446</v>
      </c>
    </row>
    <row r="19">
      <c r="A19" s="1" t="s">
        <v>50</v>
      </c>
      <c r="B19" s="2">
        <f>(1573+3808+1661.5+279+396.9+3353.6)/87880*100</f>
        <v>12.59899863</v>
      </c>
      <c r="C19" s="1">
        <v>12.6</v>
      </c>
      <c r="D19" s="3">
        <f>1573/87880*100</f>
        <v>1.789940828</v>
      </c>
      <c r="E19" s="3">
        <f>396.9/87880*100</f>
        <v>0.4516385981</v>
      </c>
      <c r="F19" s="3">
        <f>(3808+3353.6)/87880*100</f>
        <v>8.149294492</v>
      </c>
    </row>
    <row r="20">
      <c r="A20" s="1" t="s">
        <v>51</v>
      </c>
      <c r="B20" s="2">
        <f>(1634+3756+1511.5+196.2+227.5+3280.8)/94558*100</f>
        <v>11.21639629</v>
      </c>
      <c r="C20" s="1">
        <v>11.22</v>
      </c>
      <c r="D20" s="3">
        <f>1634/94558*100</f>
        <v>1.728039933</v>
      </c>
      <c r="E20" s="3">
        <f>227.5/94558*100</f>
        <v>0.2405930751</v>
      </c>
      <c r="F20" s="3">
        <f>(3756+3280.8)/94558*100</f>
        <v>7.441781764</v>
      </c>
    </row>
    <row r="21">
      <c r="A21" s="1" t="s">
        <v>52</v>
      </c>
      <c r="B21" s="2">
        <f>(425+1863+744+133.2+88.2+1116.8)/53613*100</f>
        <v>8.151381195</v>
      </c>
      <c r="C21" s="1">
        <v>8.15</v>
      </c>
      <c r="D21" s="3">
        <f>425/53613*100</f>
        <v>0.792718184</v>
      </c>
      <c r="E21" s="3">
        <f>88.2/53613*100</f>
        <v>0.1645123384</v>
      </c>
      <c r="F21" s="3">
        <f>(1863+1116.8)/53613*100</f>
        <v>5.557980341</v>
      </c>
    </row>
    <row r="22">
      <c r="A22" s="1" t="s">
        <v>53</v>
      </c>
      <c r="B22" s="2">
        <f>(1519+3252+1137+189.6+261.8+2247.2)/80837*100</f>
        <v>10.64685726</v>
      </c>
      <c r="C22" s="1">
        <v>10.65</v>
      </c>
      <c r="D22" s="3">
        <f>1519/80837*100</f>
        <v>1.879090021</v>
      </c>
      <c r="E22" s="3">
        <f>261.8/80337*100</f>
        <v>0.3258772421</v>
      </c>
      <c r="F22" s="3">
        <f>(3252+2247.2)/80837*100</f>
        <v>6.802825439</v>
      </c>
    </row>
    <row r="23">
      <c r="A23" s="1" t="s">
        <v>54</v>
      </c>
      <c r="B23" s="2">
        <f>(2351+5696+2313.5+314.4+442.4+5796.8)/140880*100</f>
        <v>12.0060335</v>
      </c>
      <c r="C23" s="1">
        <v>12.0</v>
      </c>
      <c r="D23" s="3">
        <f>2351/140880*100</f>
        <v>1.668796139</v>
      </c>
      <c r="E23" s="3">
        <f>442.4/140880*100</f>
        <v>0.3140261215</v>
      </c>
      <c r="F23" s="3">
        <f>(5696+5796.8)/140880*100</f>
        <v>8.15786485</v>
      </c>
    </row>
    <row r="24">
      <c r="A24" s="1" t="s">
        <v>55</v>
      </c>
      <c r="B24" s="2">
        <f>(1127+3665+1478.5+231+268.1+2745.6)/70171*100</f>
        <v>13.56001767</v>
      </c>
      <c r="C24" s="1">
        <v>13.56</v>
      </c>
      <c r="D24" s="3">
        <f>1127/70171*100</f>
        <v>1.606076584</v>
      </c>
      <c r="E24" s="3">
        <f>268.1/70171*100</f>
        <v>0.3820666657</v>
      </c>
      <c r="F24" s="3">
        <f>(3665+2745.6)/70171*100</f>
        <v>9.135682832</v>
      </c>
    </row>
    <row r="25">
      <c r="A25" s="1" t="s">
        <v>56</v>
      </c>
      <c r="B25" s="2">
        <f>(813+2090+884+109.8+106.4+2035.2)/59051*100</f>
        <v>10.22573707</v>
      </c>
      <c r="C25" s="1">
        <v>10.23</v>
      </c>
      <c r="D25" s="3">
        <f>813/59051*100</f>
        <v>1.376776007</v>
      </c>
      <c r="E25" s="3">
        <f>106.4/59051*100</f>
        <v>0.1801832314</v>
      </c>
      <c r="F25" s="3">
        <f>(2090+2035.2)/59051*100</f>
        <v>6.985825812</v>
      </c>
    </row>
    <row r="26">
      <c r="A26" s="1" t="s">
        <v>57</v>
      </c>
      <c r="B26" s="2">
        <f>(840+2357+956+142.8+184.8+1636)/57157*100</f>
        <v>10.7014014</v>
      </c>
      <c r="C26" s="1">
        <v>10.7</v>
      </c>
      <c r="D26" s="3">
        <f>840/57157*100</f>
        <v>1.469636265</v>
      </c>
      <c r="E26" s="3">
        <f>184.8/57157*100</f>
        <v>0.3233199783</v>
      </c>
      <c r="F26" s="3">
        <f>(2357+1636)/57157*100</f>
        <v>6.98602096</v>
      </c>
    </row>
    <row r="27">
      <c r="A27" s="1" t="s">
        <v>25</v>
      </c>
      <c r="C27" s="3">
        <f t="shared" ref="C27:F27" si="1">AVERAGE(C3:C26)</f>
        <v>12.37583333</v>
      </c>
      <c r="D27" s="3">
        <f t="shared" si="1"/>
        <v>1.910228982</v>
      </c>
      <c r="E27" s="3">
        <f t="shared" si="1"/>
        <v>0.3364953065</v>
      </c>
      <c r="F27" s="3">
        <f t="shared" si="1"/>
        <v>8.068941755</v>
      </c>
    </row>
    <row r="28">
      <c r="A28" s="1" t="s">
        <v>26</v>
      </c>
      <c r="C28" s="3">
        <f t="shared" ref="C28:F28" si="2">STDEV(C3:C26)</f>
        <v>2.20886734</v>
      </c>
      <c r="D28" s="3">
        <f t="shared" si="2"/>
        <v>0.5707584455</v>
      </c>
      <c r="E28" s="3">
        <f t="shared" si="2"/>
        <v>0.1083785011</v>
      </c>
      <c r="F28" s="3">
        <f t="shared" si="2"/>
        <v>1.380008151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71"/>
    <col customWidth="1" min="2" max="2" width="53.43"/>
    <col customWidth="1" min="3" max="3" width="11.71"/>
  </cols>
  <sheetData>
    <row r="1">
      <c r="A1" s="1" t="s">
        <v>27</v>
      </c>
      <c r="B1" s="4" t="s">
        <v>28</v>
      </c>
      <c r="C1" s="1" t="s">
        <v>58</v>
      </c>
      <c r="D1" s="1" t="s">
        <v>59</v>
      </c>
      <c r="E1" s="1" t="s">
        <v>31</v>
      </c>
      <c r="F1" s="1" t="s">
        <v>32</v>
      </c>
    </row>
    <row r="2">
      <c r="A2" s="1" t="s">
        <v>60</v>
      </c>
      <c r="B2" s="2">
        <f>(1354+2099+680.5+251.4+189.7+1387.2)/48107*100</f>
        <v>12.39279107</v>
      </c>
      <c r="C2" s="1">
        <v>12.39</v>
      </c>
      <c r="D2" s="3">
        <f>1354/48107*100</f>
        <v>2.814559212</v>
      </c>
      <c r="E2" s="3">
        <f>189.7/48107*100</f>
        <v>0.3943293076</v>
      </c>
      <c r="F2" s="3">
        <f>(2099+1387.2)/48107*100</f>
        <v>7.246762425</v>
      </c>
    </row>
    <row r="3">
      <c r="A3" s="1" t="s">
        <v>61</v>
      </c>
      <c r="B3" s="2">
        <f>(1218+2959+1260+181.2+192.5+2318.4)/84523*100</f>
        <v>9.617618873</v>
      </c>
      <c r="C3" s="1">
        <v>9.62</v>
      </c>
      <c r="D3" s="3">
        <f>1218/84523*100</f>
        <v>1.441027886</v>
      </c>
      <c r="E3" s="3">
        <f>192.5/84523*100</f>
        <v>0.2277486601</v>
      </c>
      <c r="F3" s="3">
        <f>(2959+2318.4)/84523*100</f>
        <v>6.243744306</v>
      </c>
    </row>
    <row r="4">
      <c r="A4" s="1" t="s">
        <v>62</v>
      </c>
      <c r="B4" s="2">
        <f>(2761+6594+2825.5+336+444.5+6661.6)/162297*100</f>
        <v>12.09055004</v>
      </c>
      <c r="C4" s="1">
        <v>12.09</v>
      </c>
      <c r="D4" s="3">
        <f>2761/162297*100</f>
        <v>1.701202117</v>
      </c>
      <c r="E4" s="3">
        <f>444.5/162297*100</f>
        <v>0.2738806016</v>
      </c>
      <c r="F4" s="3">
        <f>(6594+6661.6)/162297*100</f>
        <v>8.167495394</v>
      </c>
    </row>
    <row r="5">
      <c r="A5" s="1" t="s">
        <v>63</v>
      </c>
      <c r="B5" s="2">
        <f>(2093+5992+2415+231.6+492.1+6071.2)/149272*100</f>
        <v>11.58616485</v>
      </c>
      <c r="C5" s="1">
        <v>11.59</v>
      </c>
      <c r="D5" s="3">
        <f>2093/149272*100</f>
        <v>1.402138378</v>
      </c>
      <c r="E5" s="3">
        <f>492.1/149272*100</f>
        <v>0.3296666488</v>
      </c>
      <c r="F5" s="3">
        <f>(5992+6071.2)/149272*100</f>
        <v>8.081354842</v>
      </c>
    </row>
    <row r="6">
      <c r="A6" s="1" t="s">
        <v>64</v>
      </c>
      <c r="B6" s="2">
        <f>(592+1378+606+70.8+95.2+1237.6)/34158*100</f>
        <v>11.65056502</v>
      </c>
      <c r="C6" s="1">
        <v>11.65</v>
      </c>
      <c r="D6" s="3">
        <f>592/34158*100</f>
        <v>1.733122548</v>
      </c>
      <c r="E6" s="3">
        <f>95.2/34158*100</f>
        <v>0.2787048422</v>
      </c>
      <c r="F6" s="3">
        <f>(1378+1237.6)/34158*100</f>
        <v>7.657356988</v>
      </c>
    </row>
    <row r="7">
      <c r="A7" s="1" t="s">
        <v>65</v>
      </c>
      <c r="B7" s="2">
        <f>(515+1418+624+54.6+131.6+920.8)/26216*100</f>
        <v>13.97619774</v>
      </c>
      <c r="C7" s="1">
        <v>13.98</v>
      </c>
      <c r="D7" s="3">
        <f>515/26216*100</f>
        <v>1.964449191</v>
      </c>
      <c r="E7" s="3">
        <f>131.6/26216*100</f>
        <v>0.5019835215</v>
      </c>
      <c r="F7" s="3">
        <f>(1418+920.8)/26216*100</f>
        <v>8.921269454</v>
      </c>
    </row>
    <row r="8">
      <c r="A8" s="1" t="s">
        <v>66</v>
      </c>
      <c r="B8" s="2">
        <f>(3368+7217+3461+251.4+473.2+5664.8)/148290*100</f>
        <v>13.78069998</v>
      </c>
      <c r="C8" s="1">
        <v>13.78</v>
      </c>
      <c r="D8" s="3">
        <f>3368/148290*100</f>
        <v>2.271225302</v>
      </c>
      <c r="E8" s="3">
        <f>473.2/148290*100</f>
        <v>0.3191044575</v>
      </c>
      <c r="F8" s="3">
        <f>(7217+5664.8)/148290*100</f>
        <v>8.686897296</v>
      </c>
    </row>
    <row r="9">
      <c r="A9" s="1" t="s">
        <v>67</v>
      </c>
      <c r="B9" s="5">
        <f>(1651+4279+1754+352.8+292.6+3324.8)/101608*100</f>
        <v>11.46976616</v>
      </c>
      <c r="C9" s="1">
        <v>11.0</v>
      </c>
      <c r="D9" s="3">
        <f>1651/101608*100</f>
        <v>1.624872057</v>
      </c>
      <c r="E9" s="3">
        <f>292.6/101608*100</f>
        <v>0.2879694512</v>
      </c>
      <c r="F9" s="3">
        <f>(4279+3324.8)/101608*100</f>
        <v>7.483465869</v>
      </c>
    </row>
    <row r="10">
      <c r="A10" s="1" t="s">
        <v>68</v>
      </c>
      <c r="B10" s="2">
        <f>(948+2635+1059+231.6+195.3+2102.4)/59400*100</f>
        <v>12.07289562</v>
      </c>
      <c r="C10" s="1">
        <v>12.07</v>
      </c>
      <c r="D10" s="3">
        <f>948/59400*100</f>
        <v>1.595959596</v>
      </c>
      <c r="E10" s="3">
        <f>195.3/59400*100</f>
        <v>0.3287878788</v>
      </c>
      <c r="F10" s="3">
        <f>(2635+2102.4)/59400*100</f>
        <v>7.975420875</v>
      </c>
    </row>
    <row r="11">
      <c r="A11" s="1" t="s">
        <v>69</v>
      </c>
      <c r="B11" s="2">
        <f>(1038+2458+1053+178.2+155.4+1976)/44409*100</f>
        <v>15.44416672</v>
      </c>
      <c r="C11" s="1">
        <v>15.44</v>
      </c>
      <c r="D11" s="3">
        <f>1038/44409*100</f>
        <v>2.337364048</v>
      </c>
      <c r="E11" s="3">
        <f>155.4/44409*100</f>
        <v>0.3499290684</v>
      </c>
      <c r="F11" s="3">
        <f>(2458+1976)/44409*100</f>
        <v>9.984462609</v>
      </c>
    </row>
    <row r="12">
      <c r="A12" s="1" t="s">
        <v>70</v>
      </c>
      <c r="B12" s="2">
        <f>(1370+3513+1477+180+247.8+2845.6)/67568*100</f>
        <v>14.25734075</v>
      </c>
      <c r="C12" s="1">
        <v>14.26</v>
      </c>
      <c r="D12" s="3">
        <f>1370/67568*100</f>
        <v>2.027587023</v>
      </c>
      <c r="E12" s="3">
        <f>247.8/67568*100</f>
        <v>0.3667416529</v>
      </c>
      <c r="F12" s="3">
        <f>(3513+2845.6)/67568*100</f>
        <v>9.410667772</v>
      </c>
    </row>
    <row r="13">
      <c r="A13" s="1" t="s">
        <v>71</v>
      </c>
      <c r="B13" s="2">
        <f>(4062+10147+4561.5+678.6+603.4+6730.4)/174263*100</f>
        <v>15.36924075</v>
      </c>
      <c r="C13" s="1">
        <v>15.37</v>
      </c>
      <c r="D13" s="3">
        <f>4062/174263*100</f>
        <v>2.330959527</v>
      </c>
      <c r="E13" s="3">
        <f>603.4/174263*100</f>
        <v>0.3462582419</v>
      </c>
      <c r="F13" s="3">
        <f>(10147+6730.4)/174263*100</f>
        <v>9.685016326</v>
      </c>
    </row>
    <row r="14">
      <c r="A14" s="1" t="s">
        <v>72</v>
      </c>
      <c r="B14" s="2">
        <f>(1305+2642+949+343.8+206.5+2056.8)/62909*100</f>
        <v>11.9269103</v>
      </c>
      <c r="C14" s="1">
        <v>11.93</v>
      </c>
      <c r="D14" s="3">
        <f>1305/62909*100</f>
        <v>2.074424963</v>
      </c>
      <c r="E14" s="3">
        <f>206.5/62909*100</f>
        <v>0.3282519194</v>
      </c>
      <c r="F14" s="3">
        <f>(2642+2056.8)/62909*100</f>
        <v>7.469201545</v>
      </c>
    </row>
    <row r="15">
      <c r="A15" s="1" t="s">
        <v>73</v>
      </c>
      <c r="B15" s="2">
        <f>(1174+2604+1133.5+222.6+181.3+2102.4)/46360*100</f>
        <v>16.00043141</v>
      </c>
      <c r="C15" s="1">
        <v>16.0</v>
      </c>
      <c r="D15" s="3">
        <f>1174/46360*100</f>
        <v>2.532355479</v>
      </c>
      <c r="E15" s="3">
        <f>181.3/46360*100</f>
        <v>0.3910698878</v>
      </c>
      <c r="F15" s="3">
        <f>(2604+2102.4)/46360*100</f>
        <v>10.15185505</v>
      </c>
    </row>
    <row r="16">
      <c r="A16" s="1" t="s">
        <v>74</v>
      </c>
      <c r="B16" s="2">
        <f>(1129+2996+1207.5+228.6+246.4+2251.2)/79375*100</f>
        <v>10.15269291</v>
      </c>
      <c r="C16" s="1">
        <v>10.15</v>
      </c>
      <c r="D16" s="3">
        <f>1129/79375*100</f>
        <v>1.422362205</v>
      </c>
      <c r="E16" s="3">
        <f>246.4/79375*100</f>
        <v>0.3104251969</v>
      </c>
      <c r="F16" s="3">
        <f>(2996+2251.2)/79375*100</f>
        <v>6.610645669</v>
      </c>
    </row>
    <row r="17">
      <c r="A17" s="1" t="s">
        <v>75</v>
      </c>
      <c r="B17" s="2">
        <f>(749+1771+744.5+122.4+97.3+1408.8)/40472*100</f>
        <v>12.08983989</v>
      </c>
      <c r="C17" s="1">
        <v>12.09</v>
      </c>
      <c r="D17" s="3">
        <f>749/40472*100</f>
        <v>1.850662186</v>
      </c>
      <c r="E17" s="3">
        <f>97.3/40472*100</f>
        <v>0.2404131251</v>
      </c>
      <c r="F17" s="3">
        <f>(1771+1408.8)/40472*100</f>
        <v>7.856789879</v>
      </c>
    </row>
    <row r="18">
      <c r="A18" s="1" t="s">
        <v>76</v>
      </c>
      <c r="B18" s="2">
        <f>(1966+6475+3246+424.2+396.9+4619.2)/116844*100</f>
        <v>14.6582623</v>
      </c>
      <c r="C18" s="1">
        <v>14.66</v>
      </c>
      <c r="D18" s="3">
        <f>1966/116844*100</f>
        <v>1.682585327</v>
      </c>
      <c r="E18" s="3">
        <f>396.9/116844*100</f>
        <v>0.3396836808</v>
      </c>
      <c r="F18" s="3">
        <f>(6475+4619.2)/116844*100</f>
        <v>9.494882065</v>
      </c>
    </row>
    <row r="19">
      <c r="A19" s="1" t="s">
        <v>77</v>
      </c>
      <c r="B19" s="2">
        <f>(521+1467+493.5+60+108.5+1373.6)/41055*100</f>
        <v>9.800511509</v>
      </c>
      <c r="C19" s="1">
        <v>9.8</v>
      </c>
      <c r="D19" s="3">
        <f>521/41055*100</f>
        <v>1.269029351</v>
      </c>
      <c r="E19" s="3">
        <f>108.5/41055*100</f>
        <v>0.2642796249</v>
      </c>
      <c r="F19" s="3">
        <f>(1467+1373.6)/41055*100</f>
        <v>6.919011083</v>
      </c>
    </row>
    <row r="20">
      <c r="A20" s="1" t="s">
        <v>78</v>
      </c>
      <c r="B20" s="2">
        <f>(871+1592+580+138+126.7+1376.8)/37394*100</f>
        <v>12.52741081</v>
      </c>
      <c r="C20" s="1">
        <v>12.53</v>
      </c>
      <c r="D20" s="3">
        <f>871/37394*100</f>
        <v>2.329250682</v>
      </c>
      <c r="E20" s="3">
        <f>126.7/37394*100</f>
        <v>0.3388244103</v>
      </c>
      <c r="F20" s="3">
        <f>(1592+1376.8)/37394*100</f>
        <v>7.93924159</v>
      </c>
    </row>
    <row r="21">
      <c r="A21" s="1" t="s">
        <v>79</v>
      </c>
      <c r="B21" s="2">
        <f>(762+2047+793+117+191.1+1364)/37191*100</f>
        <v>14.18111909</v>
      </c>
      <c r="C21" s="1">
        <v>14.18</v>
      </c>
      <c r="D21" s="3">
        <f>762/37191*100</f>
        <v>2.048882794</v>
      </c>
      <c r="E21" s="3">
        <f>191.1/37191*100</f>
        <v>0.5138339921</v>
      </c>
      <c r="F21" s="3">
        <f>(2047+1364)/37191*100</f>
        <v>9.171573768</v>
      </c>
    </row>
    <row r="22">
      <c r="A22" s="1" t="s">
        <v>80</v>
      </c>
      <c r="B22" s="2">
        <f>(213+488+265+25.8+22.4+356.8)/9620*100</f>
        <v>14.25155925</v>
      </c>
      <c r="C22" s="1">
        <v>14.25</v>
      </c>
      <c r="D22" s="3">
        <f>213/9620*100</f>
        <v>2.214137214</v>
      </c>
      <c r="E22" s="3">
        <f>22.4/9620*100</f>
        <v>0.2328482328</v>
      </c>
      <c r="F22" s="3">
        <f>(488+356.8)/9620*100</f>
        <v>8.781704782</v>
      </c>
    </row>
    <row r="23">
      <c r="A23" s="1" t="s">
        <v>81</v>
      </c>
      <c r="B23" s="2">
        <f>(2639+5760+2386.5+358.8+438.9+4268.8)/109385*100</f>
        <v>14.49193217</v>
      </c>
      <c r="C23" s="1">
        <v>14.49</v>
      </c>
      <c r="D23" s="3">
        <f>2639/109385*100</f>
        <v>2.412579421</v>
      </c>
      <c r="E23" s="3">
        <f>438.9/109385*100</f>
        <v>0.4012433149</v>
      </c>
      <c r="F23" s="3">
        <f>(5760+4268.8)/109385*100</f>
        <v>9.168350322</v>
      </c>
    </row>
    <row r="24">
      <c r="A24" s="1" t="s">
        <v>82</v>
      </c>
      <c r="B24" s="2">
        <f>(2569+5431+2218.5+399.6+356.3+3568.8)/108732*100</f>
        <v>13.37527131</v>
      </c>
      <c r="C24" s="1">
        <v>13.38</v>
      </c>
      <c r="D24" s="3">
        <f>2569/108732*100</f>
        <v>2.362689916</v>
      </c>
      <c r="E24" s="3">
        <f>356.3/108732*100</f>
        <v>0.3276864217</v>
      </c>
      <c r="F24" s="3">
        <f>(5431+3568.8)/108732*100</f>
        <v>8.277048155</v>
      </c>
    </row>
    <row r="25">
      <c r="A25" s="1" t="s">
        <v>83</v>
      </c>
      <c r="B25" s="2">
        <f>(1046+2551+1122.5+131.4+233.8+1959.2)/45189*100</f>
        <v>15.58764301</v>
      </c>
      <c r="C25" s="1">
        <v>15.59</v>
      </c>
      <c r="D25" s="3">
        <f>1046/45189*100</f>
        <v>2.314722609</v>
      </c>
      <c r="E25" s="3">
        <f>233.8/45189*100</f>
        <v>0.5173825489</v>
      </c>
      <c r="F25" s="3">
        <f>(2551+1959.2)/45189*100</f>
        <v>9.980747527</v>
      </c>
    </row>
    <row r="26">
      <c r="A26" s="1" t="s">
        <v>84</v>
      </c>
      <c r="B26" s="2">
        <f>(636+2418+1111.5+75.6+213.5+2319.2)/44152*100</f>
        <v>15.34200036</v>
      </c>
      <c r="C26" s="1">
        <v>15.34</v>
      </c>
      <c r="D26" s="3">
        <f>636/44152*100</f>
        <v>1.440478348</v>
      </c>
      <c r="E26" s="3">
        <f>213.5/44152*100</f>
        <v>0.4835568038</v>
      </c>
      <c r="F26" s="3">
        <f>(2418+2319.2)/44152*100</f>
        <v>10.72929879</v>
      </c>
    </row>
    <row r="27">
      <c r="A27" s="1" t="s">
        <v>25</v>
      </c>
      <c r="C27" s="2">
        <f t="shared" ref="C27:F27" si="1">AVERAGE(C2:C26)</f>
        <v>13.1052</v>
      </c>
      <c r="D27" s="2">
        <f t="shared" si="1"/>
        <v>1.967945095</v>
      </c>
      <c r="E27" s="2">
        <f t="shared" si="1"/>
        <v>0.3477841397</v>
      </c>
      <c r="F27" s="2">
        <f t="shared" si="1"/>
        <v>8.483770575</v>
      </c>
    </row>
    <row r="28">
      <c r="A28" s="1" t="s">
        <v>26</v>
      </c>
      <c r="C28" s="7">
        <f t="shared" ref="C28:F28" si="2">STDEV(C2:C26)</f>
        <v>1.888180606</v>
      </c>
      <c r="D28" s="7">
        <f t="shared" si="2"/>
        <v>0.4194056766</v>
      </c>
      <c r="E28" s="7">
        <f t="shared" si="2"/>
        <v>0.08405915112</v>
      </c>
      <c r="F28" s="7">
        <f t="shared" si="2"/>
        <v>1.179268534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  <col customWidth="1" min="2" max="2" width="58.29"/>
  </cols>
  <sheetData>
    <row r="1">
      <c r="A1" s="1" t="s">
        <v>27</v>
      </c>
      <c r="B1" s="4" t="s">
        <v>28</v>
      </c>
      <c r="C1" s="1" t="s">
        <v>58</v>
      </c>
      <c r="D1" s="1" t="s">
        <v>30</v>
      </c>
      <c r="E1" s="1" t="s">
        <v>31</v>
      </c>
      <c r="F1" s="1" t="s">
        <v>32</v>
      </c>
    </row>
    <row r="2">
      <c r="A2" s="1" t="s">
        <v>85</v>
      </c>
      <c r="B2" s="2">
        <f>(1405+3176+1321+180.6+102.9+1992)/76739*100</f>
        <v>10.65625041</v>
      </c>
      <c r="C2" s="1">
        <v>10.66</v>
      </c>
      <c r="D2" s="2">
        <f>1405/76739*100</f>
        <v>1.830881299</v>
      </c>
      <c r="E2" s="3">
        <f>207.2/76739*100</f>
        <v>0.2700061247</v>
      </c>
      <c r="F2" s="3">
        <f>(2411+1992)/76739*100</f>
        <v>5.737630149</v>
      </c>
    </row>
    <row r="3">
      <c r="A3" s="1" t="s">
        <v>86</v>
      </c>
      <c r="B3" s="2">
        <f>(903+2464+1020+98.4+210.7+1716.8)/48051*100</f>
        <v>13.34602818</v>
      </c>
      <c r="C3" s="1">
        <v>13.35</v>
      </c>
      <c r="D3" s="2">
        <f>903/48015*100</f>
        <v>1.880662293</v>
      </c>
      <c r="E3" s="3">
        <f>210.7/48051*100</f>
        <v>0.4384924351</v>
      </c>
      <c r="F3" s="3">
        <f>(2464+1716.8)/48051*100</f>
        <v>8.700755447</v>
      </c>
    </row>
    <row r="4">
      <c r="A4" s="1" t="s">
        <v>87</v>
      </c>
      <c r="B4" s="2">
        <f>(770+2197+821.5+129+188.3+1584)/39793*100</f>
        <v>14.29849471</v>
      </c>
      <c r="C4" s="1">
        <v>14.3</v>
      </c>
      <c r="D4" s="2">
        <f>770/39793*100</f>
        <v>1.935013696</v>
      </c>
      <c r="E4" s="3">
        <f>188.3/39793*100</f>
        <v>0.4731988038</v>
      </c>
      <c r="F4" s="3">
        <f>(2968+1584)/39793*100</f>
        <v>11.43919785</v>
      </c>
    </row>
    <row r="5">
      <c r="A5" s="1" t="s">
        <v>88</v>
      </c>
      <c r="B5" s="2">
        <f>(907+2968+1224.5+108+186.2+2180)/63600*100</f>
        <v>11.90833333</v>
      </c>
      <c r="C5" s="1">
        <v>11.9</v>
      </c>
      <c r="D5" s="2">
        <f>907/63600*100</f>
        <v>1.426100629</v>
      </c>
      <c r="E5" s="3">
        <f>186.2/63600*100</f>
        <v>0.2927672956</v>
      </c>
      <c r="F5" s="3">
        <f>(2968+2180)/63600*100</f>
        <v>8.094339623</v>
      </c>
    </row>
    <row r="6">
      <c r="A6" s="1" t="s">
        <v>89</v>
      </c>
      <c r="B6" s="2">
        <f>(1857+5295+2329+214.2+516.6+3283.2)/107521*100</f>
        <v>12.55103654</v>
      </c>
      <c r="C6" s="1">
        <v>12.55</v>
      </c>
      <c r="D6" s="2">
        <f>1857/107521*100</f>
        <v>1.727104473</v>
      </c>
      <c r="E6" s="3">
        <f>404.6/107521*100</f>
        <v>0.3762985835</v>
      </c>
      <c r="F6" s="3">
        <f>(1857+3283.2)/107521*100</f>
        <v>4.780647501</v>
      </c>
    </row>
    <row r="7">
      <c r="A7" s="1" t="s">
        <v>90</v>
      </c>
      <c r="B7" s="2">
        <f>(2638+5787+2574.5+328.2+404.6+4644)/142572*100</f>
        <v>11.48633673</v>
      </c>
      <c r="C7" s="1">
        <v>11.48</v>
      </c>
      <c r="D7" s="2">
        <f>2638/142572*100</f>
        <v>1.850293185</v>
      </c>
      <c r="E7" s="3">
        <f>404.6/142572*100</f>
        <v>0.2837864377</v>
      </c>
      <c r="F7" s="3">
        <f>(5787+4644)/142572*100</f>
        <v>7.316303341</v>
      </c>
    </row>
    <row r="8">
      <c r="A8" s="1" t="s">
        <v>91</v>
      </c>
      <c r="B8" s="2">
        <f>(562+1963+1010+115.2+164.5+1396)/46761*100</f>
        <v>11.14326041</v>
      </c>
      <c r="C8" s="1">
        <v>11.14</v>
      </c>
      <c r="D8" s="2">
        <f>562/46761*100</f>
        <v>1.201856248</v>
      </c>
      <c r="E8" s="3">
        <f>164.5/46761*100</f>
        <v>0.3517888839</v>
      </c>
      <c r="F8" s="3">
        <f>(1963+1396)/46761*100</f>
        <v>7.183336541</v>
      </c>
    </row>
    <row r="9">
      <c r="A9" s="1" t="s">
        <v>92</v>
      </c>
      <c r="B9" s="2">
        <f>(2244+5784+2776+412.2+460.6+4156.8)/111885*100</f>
        <v>14.15167359</v>
      </c>
      <c r="C9" s="1">
        <v>14.15</v>
      </c>
      <c r="D9" s="2">
        <f>2244/111885*100</f>
        <v>2.005630782</v>
      </c>
      <c r="E9" s="3">
        <f>460.6/111885*100</f>
        <v>0.4116726996</v>
      </c>
      <c r="F9" s="3">
        <f>(5784+4156.8)/111885*100</f>
        <v>8.88483711</v>
      </c>
    </row>
    <row r="10">
      <c r="A10" s="1" t="s">
        <v>93</v>
      </c>
      <c r="B10" s="2">
        <f>(1641+4333+2181.5+232.8+212.2+2316.8)/67294*100</f>
        <v>16.22328885</v>
      </c>
      <c r="C10" s="1">
        <v>16.22</v>
      </c>
      <c r="D10" s="2">
        <f>1641/67294*100</f>
        <v>2.438553214</v>
      </c>
      <c r="E10" s="3">
        <f>212.2/67294*100</f>
        <v>0.3153327191</v>
      </c>
      <c r="F10" s="3">
        <f>(4333+2316.8)/67294*100</f>
        <v>9.88171308</v>
      </c>
    </row>
    <row r="11">
      <c r="A11" s="1" t="s">
        <v>94</v>
      </c>
      <c r="B11" s="2">
        <f>(1439+3288+1287+212.4+270.2+3669)/77079*100</f>
        <v>13.18854682</v>
      </c>
      <c r="C11" s="1">
        <v>13.19</v>
      </c>
      <c r="D11" s="2">
        <f>1439/77079*100</f>
        <v>1.866915762</v>
      </c>
      <c r="E11" s="3">
        <f>270.2/77079*100</f>
        <v>0.3505494363</v>
      </c>
      <c r="F11" s="3">
        <f>(3288+3669)/77079*100</f>
        <v>9.025804694</v>
      </c>
    </row>
    <row r="12">
      <c r="A12" s="1" t="s">
        <v>95</v>
      </c>
      <c r="B12" s="2">
        <f>(2068+4701+1879+258.6+693+3072)/82816*100</f>
        <v>15.30090804</v>
      </c>
      <c r="C12" s="1">
        <v>15.3</v>
      </c>
      <c r="D12" s="2">
        <f>2068/82816*100</f>
        <v>2.497102009</v>
      </c>
      <c r="E12" s="3">
        <f>693/82816*100</f>
        <v>0.8367948223</v>
      </c>
      <c r="F12" s="3">
        <f>(4701+3072)/82816*100</f>
        <v>9.385867465</v>
      </c>
    </row>
    <row r="13">
      <c r="A13" s="1" t="s">
        <v>96</v>
      </c>
      <c r="B13" s="2">
        <f>(2543+4162+1701.5+280.2+359.1+3126.4)/95939*100</f>
        <v>12.68743681</v>
      </c>
      <c r="C13" s="1">
        <v>12.69</v>
      </c>
      <c r="D13" s="2">
        <f>2543/95939*100</f>
        <v>2.650642596</v>
      </c>
      <c r="E13" s="3">
        <f>359.1/96559*100</f>
        <v>0.3718969749</v>
      </c>
      <c r="F13" s="3">
        <f>(4162+3126.4)/95939*100</f>
        <v>7.596910537</v>
      </c>
    </row>
    <row r="14">
      <c r="A14" s="1" t="s">
        <v>97</v>
      </c>
      <c r="B14" s="2">
        <f>(3663+6767+2741+338.4+606.2+4743.2)/154070*100</f>
        <v>12.2404102</v>
      </c>
      <c r="C14" s="1">
        <v>12.24</v>
      </c>
      <c r="D14" s="2">
        <f>3663/154070*100</f>
        <v>2.377490751</v>
      </c>
      <c r="E14" s="3">
        <f>606.2/154070*100</f>
        <v>0.3934575193</v>
      </c>
      <c r="F14" s="3">
        <f>(6767+4743.2)/154070*100</f>
        <v>7.470760044</v>
      </c>
    </row>
    <row r="15">
      <c r="A15" s="1" t="s">
        <v>98</v>
      </c>
      <c r="B15" s="2">
        <f>(1299+3820+1753+114.6+324.1+3116.8)/61907*100</f>
        <v>16.84381411</v>
      </c>
      <c r="C15" s="1">
        <v>16.84</v>
      </c>
      <c r="D15" s="2">
        <f>1299/61907*100</f>
        <v>2.098308753</v>
      </c>
      <c r="E15" s="3">
        <f>324.1/61907*100</f>
        <v>0.5235272263</v>
      </c>
      <c r="F15" s="3">
        <f>(3820+3116.8)/61907*100</f>
        <v>11.20519489</v>
      </c>
    </row>
    <row r="16">
      <c r="A16" s="1" t="s">
        <v>99</v>
      </c>
      <c r="B16" s="2">
        <f>(1938+4876+1958.5+258.6+409.5+2852.8)/74167*100</f>
        <v>16.57529629</v>
      </c>
      <c r="C16" s="1">
        <v>16.58</v>
      </c>
      <c r="D16" s="2">
        <f>1938/74167*100</f>
        <v>2.613021964</v>
      </c>
      <c r="E16" s="3">
        <f>409.5/74167*100</f>
        <v>0.55213235</v>
      </c>
      <c r="F16" s="3">
        <f>(4876+2852.8)/74167*100</f>
        <v>10.4208071</v>
      </c>
    </row>
    <row r="17">
      <c r="A17" s="1" t="s">
        <v>100</v>
      </c>
      <c r="B17" s="2">
        <f>(554+1596+711+84+113.5+1108.8)/27036*100</f>
        <v>15.41389259</v>
      </c>
      <c r="C17" s="1">
        <v>15.41</v>
      </c>
      <c r="D17" s="2">
        <f>554/27036*100</f>
        <v>2.049119692</v>
      </c>
      <c r="E17" s="3">
        <f>113.5/27036*100</f>
        <v>0.4198106229</v>
      </c>
      <c r="F17" s="3">
        <f>(1596+1108.8)/27695*100</f>
        <v>9.766383824</v>
      </c>
    </row>
    <row r="18">
      <c r="A18" s="1" t="s">
        <v>101</v>
      </c>
      <c r="B18" s="2">
        <f>(938+2979+1352.5+128.4+231+2288.8)/52783*100</f>
        <v>15.00047364</v>
      </c>
      <c r="C18" s="1">
        <v>15.0</v>
      </c>
      <c r="D18" s="2">
        <f>938/52783*100</f>
        <v>1.77708732</v>
      </c>
      <c r="E18" s="3">
        <f>236.6/52783*100</f>
        <v>0.4482503836</v>
      </c>
      <c r="F18" s="3">
        <f>(2979+2288.8)/52783*100</f>
        <v>9.980107231</v>
      </c>
    </row>
    <row r="19">
      <c r="A19" s="1" t="s">
        <v>102</v>
      </c>
      <c r="B19" s="2">
        <f>(1557+2981+1276.5+155.4+233.8+1861.6)/63599*100</f>
        <v>12.6814887</v>
      </c>
      <c r="C19" s="1">
        <v>12.68</v>
      </c>
      <c r="D19" s="2">
        <f>1557/63599*100</f>
        <v>2.4481517</v>
      </c>
      <c r="E19" s="3">
        <f>233.8/63599*100</f>
        <v>0.367615843</v>
      </c>
      <c r="F19" s="3">
        <f>(2981+1861.6)/63599*100</f>
        <v>7.614270665</v>
      </c>
    </row>
    <row r="20">
      <c r="A20" s="1" t="s">
        <v>103</v>
      </c>
      <c r="B20" s="2">
        <f>(1927+5360+2399.5+261+398.3+3972.8)/101361*100</f>
        <v>14.12634051</v>
      </c>
      <c r="C20" s="1">
        <v>14.12</v>
      </c>
      <c r="D20" s="2">
        <f>1927/101361*100</f>
        <v>1.90112568</v>
      </c>
      <c r="E20" s="3">
        <f>398.3/101361*100</f>
        <v>0.3929519243</v>
      </c>
      <c r="F20" s="3">
        <f>(5360+3972.8)/102548*100</f>
        <v>9.100908843</v>
      </c>
    </row>
    <row r="21">
      <c r="A21" s="1" t="s">
        <v>104</v>
      </c>
      <c r="B21" s="2">
        <f>(890+1556+471+106.8+133.7+873.6)/39021*100</f>
        <v>10.33059122</v>
      </c>
      <c r="C21" s="1">
        <v>10.33</v>
      </c>
      <c r="D21" s="2">
        <f>890/39021*100</f>
        <v>2.280823147</v>
      </c>
      <c r="E21" s="3">
        <f>133.7/39021*100</f>
        <v>0.3426360165</v>
      </c>
      <c r="F21" s="3">
        <f>(1556+873.6)/39021*100</f>
        <v>6.226390918</v>
      </c>
    </row>
    <row r="22">
      <c r="A22" s="1" t="s">
        <v>105</v>
      </c>
      <c r="B22" s="2">
        <f>(1793+3745+1684+300.6+246.4+2906.4)/110530*100</f>
        <v>9.658373292</v>
      </c>
      <c r="C22" s="1">
        <v>9.66</v>
      </c>
      <c r="D22" s="2">
        <f>1793/101110*100</f>
        <v>1.77331619</v>
      </c>
      <c r="E22" s="3">
        <f>346.4/101110*100</f>
        <v>0.3425971714</v>
      </c>
      <c r="F22" s="3">
        <f>(3922+2906.4)/101110*100</f>
        <v>6.753436851</v>
      </c>
    </row>
    <row r="23">
      <c r="A23" s="1" t="s">
        <v>106</v>
      </c>
      <c r="B23" s="2">
        <f>(1298+3700+1604+240.6+316.4+2748)/82131*100</f>
        <v>12.06243684</v>
      </c>
      <c r="C23" s="1">
        <v>12.06</v>
      </c>
      <c r="D23" s="2">
        <f>1298/82131*100</f>
        <v>1.580402041</v>
      </c>
      <c r="E23" s="3">
        <f>316.4/82131*100</f>
        <v>0.385238217</v>
      </c>
      <c r="F23" s="3">
        <f>(3700+2748)/82131*100</f>
        <v>7.850872387</v>
      </c>
    </row>
    <row r="24">
      <c r="A24" s="1" t="s">
        <v>107</v>
      </c>
      <c r="B24" s="2">
        <f>(1702+3922+1779+319.8+296.1+3500)/95482*100</f>
        <v>12.06394923</v>
      </c>
      <c r="C24" s="1">
        <v>12.06</v>
      </c>
      <c r="D24" s="1">
        <v>1.78</v>
      </c>
      <c r="E24" s="3">
        <f>296.1/95482*100</f>
        <v>0.3101108062</v>
      </c>
      <c r="F24" s="3">
        <f>(3922+3500)/95482*100</f>
        <v>7.773192853</v>
      </c>
    </row>
    <row r="25">
      <c r="A25" s="1" t="s">
        <v>108</v>
      </c>
      <c r="B25" s="2">
        <f>(1206+2631+1062.5+118.2+247.1+2126.4)/65625*100</f>
        <v>11.26278095</v>
      </c>
      <c r="C25" s="1">
        <v>11.26</v>
      </c>
      <c r="D25" s="1">
        <v>1.84</v>
      </c>
      <c r="E25" s="3">
        <f>247.1/65625*100</f>
        <v>0.3765333333</v>
      </c>
      <c r="F25" s="3">
        <f>(2631+2126.4)/65625*100</f>
        <v>7.249371429</v>
      </c>
    </row>
    <row r="26">
      <c r="A26" s="1" t="s">
        <v>109</v>
      </c>
      <c r="B26" s="2">
        <f>(1092+2580+1035.5+105+235.9+1765.6)/57304*100</f>
        <v>11.89096747</v>
      </c>
      <c r="C26" s="1">
        <v>11.89</v>
      </c>
      <c r="D26" s="2">
        <f>1092/57304*100</f>
        <v>1.905626134</v>
      </c>
      <c r="E26" s="3">
        <f>247.1/57304*100</f>
        <v>0.4312089906</v>
      </c>
      <c r="F26" s="3">
        <f>(2580+1765.6)/57546*100</f>
        <v>7.551523998</v>
      </c>
    </row>
    <row r="27">
      <c r="A27" s="1" t="s">
        <v>25</v>
      </c>
      <c r="C27" s="3">
        <f t="shared" ref="C27:F27" si="1">AVERAGE(C2:C26)</f>
        <v>13.0824</v>
      </c>
      <c r="D27" s="3">
        <f t="shared" si="1"/>
        <v>1.989409182</v>
      </c>
      <c r="E27" s="3">
        <f t="shared" si="1"/>
        <v>0.4023462248</v>
      </c>
      <c r="F27" s="3">
        <f t="shared" si="1"/>
        <v>8.279622575</v>
      </c>
    </row>
    <row r="28">
      <c r="A28" s="1" t="s">
        <v>26</v>
      </c>
      <c r="C28" s="8">
        <f t="shared" ref="C28:F28" si="2">STDEV(C2:C26)</f>
        <v>1.989868672</v>
      </c>
      <c r="D28" s="8">
        <f t="shared" si="2"/>
        <v>0.3633153323</v>
      </c>
      <c r="E28" s="8">
        <f t="shared" si="2"/>
        <v>0.1139250604</v>
      </c>
      <c r="F28" s="8">
        <f t="shared" si="2"/>
        <v>1.643201624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110</v>
      </c>
      <c r="B1" s="1" t="s">
        <v>29</v>
      </c>
      <c r="C1" s="1" t="s">
        <v>30</v>
      </c>
      <c r="D1" s="1" t="s">
        <v>31</v>
      </c>
      <c r="E1" s="1" t="s">
        <v>32</v>
      </c>
    </row>
    <row r="2">
      <c r="A2" s="1" t="s">
        <v>0</v>
      </c>
      <c r="B2" s="1">
        <v>6.81</v>
      </c>
      <c r="C2" s="2">
        <f>1089/90075*100</f>
        <v>1.208992506</v>
      </c>
      <c r="D2" s="2">
        <f>168.7/90075*100</f>
        <v>0.1872883708</v>
      </c>
      <c r="E2" s="2">
        <f>(2680+1392.8)/90075*100</f>
        <v>4.521565362</v>
      </c>
    </row>
    <row r="3">
      <c r="A3" s="1" t="s">
        <v>1</v>
      </c>
      <c r="B3" s="1">
        <v>8.75</v>
      </c>
      <c r="C3" s="2">
        <f>7060/488911*100</f>
        <v>1.4440256</v>
      </c>
      <c r="D3" s="2">
        <f>1418.2/488911*100</f>
        <v>0.2900732444</v>
      </c>
      <c r="E3" s="2">
        <f>(17240+10812)/488911*100</f>
        <v>5.737649593</v>
      </c>
    </row>
    <row r="4">
      <c r="A4" s="1" t="s">
        <v>2</v>
      </c>
      <c r="B4" s="1">
        <v>8.42</v>
      </c>
      <c r="C4" s="2">
        <f>574/47753*100</f>
        <v>1.202018721</v>
      </c>
      <c r="D4" s="2">
        <f>166.6/47753*100</f>
        <v>0.3488786045</v>
      </c>
      <c r="E4" s="2">
        <f>(1446+1258.4)/90075*100</f>
        <v>3.0023869</v>
      </c>
    </row>
    <row r="5">
      <c r="A5" s="1" t="s">
        <v>3</v>
      </c>
      <c r="B5" s="1">
        <v>6.66</v>
      </c>
      <c r="C5" s="2">
        <f>1546/161598*100</f>
        <v>0.9566950086</v>
      </c>
      <c r="D5" s="2">
        <f>277.2/161598*100</f>
        <v>0.1715367764</v>
      </c>
      <c r="E5" s="2">
        <f>(4179+2861.6)/161598*100</f>
        <v>4.356860852</v>
      </c>
    </row>
    <row r="6">
      <c r="A6" s="1" t="s">
        <v>4</v>
      </c>
      <c r="B6" s="1">
        <v>11.44</v>
      </c>
      <c r="C6" s="2">
        <f>3557/199692*100</f>
        <v>1.781243114</v>
      </c>
      <c r="D6" s="2">
        <f>517.3/199692*100</f>
        <v>0.2590489354</v>
      </c>
      <c r="E6" s="2">
        <f>(8547+7098.4)/199692*100</f>
        <v>7.834765539</v>
      </c>
    </row>
    <row r="7">
      <c r="A7" s="1" t="s">
        <v>5</v>
      </c>
      <c r="B7" s="1">
        <v>8.13</v>
      </c>
      <c r="C7" s="2">
        <f>729/47847*100</f>
        <v>1.523606496</v>
      </c>
      <c r="D7" s="2">
        <f>67.2/47847*100</f>
        <v>0.140447677</v>
      </c>
      <c r="E7" s="2">
        <f>(1449+919.2)/47847*100</f>
        <v>4.949526616</v>
      </c>
    </row>
    <row r="8">
      <c r="A8" s="1" t="s">
        <v>6</v>
      </c>
      <c r="B8" s="1">
        <v>10.41</v>
      </c>
      <c r="C8" s="2">
        <f>3480/259048*100</f>
        <v>1.343380377</v>
      </c>
      <c r="D8" s="2">
        <f>888.3/259048*100</f>
        <v>0.3429094222</v>
      </c>
      <c r="E8" s="2">
        <f>(10289+7509.6)/259048*100</f>
        <v>6.870772984</v>
      </c>
    </row>
    <row r="9">
      <c r="A9" s="1" t="s">
        <v>7</v>
      </c>
      <c r="B9" s="1">
        <v>9.43</v>
      </c>
      <c r="C9" s="2">
        <f>2008/152873*100</f>
        <v>1.313508599</v>
      </c>
      <c r="D9" s="2">
        <f>272.3/152873*100</f>
        <v>0.1781217089</v>
      </c>
      <c r="E9" s="2">
        <f>(5996+3716)/152873*100</f>
        <v>6.352985812</v>
      </c>
    </row>
    <row r="10">
      <c r="A10" s="1" t="s">
        <v>8</v>
      </c>
      <c r="B10" s="1">
        <v>8.95</v>
      </c>
      <c r="C10" s="2">
        <f>1161/98153*100</f>
        <v>1.182847188</v>
      </c>
      <c r="D10" s="2">
        <f>192.5/98153*100</f>
        <v>0.1961223804</v>
      </c>
      <c r="E10" s="2">
        <f>(3154+2656.8)/98153*100</f>
        <v>5.92014508</v>
      </c>
    </row>
    <row r="11">
      <c r="A11" s="1" t="s">
        <v>9</v>
      </c>
      <c r="B11" s="1">
        <v>12.07</v>
      </c>
      <c r="C11" s="2">
        <f>529/25052*100</f>
        <v>2.111607856</v>
      </c>
      <c r="D11" s="2">
        <f>52.5/25052*100</f>
        <v>0.2095641067</v>
      </c>
      <c r="E11" s="2">
        <f>(1135+740.8)/25052*100</f>
        <v>7.487625738</v>
      </c>
    </row>
    <row r="12">
      <c r="A12" s="1" t="s">
        <v>10</v>
      </c>
      <c r="B12" s="1">
        <v>12.93</v>
      </c>
      <c r="C12" s="2">
        <f>527/46274*100</f>
        <v>1.138868479</v>
      </c>
      <c r="D12" s="2">
        <f>184.8/46274*100</f>
        <v>0.3993603319</v>
      </c>
      <c r="E12" s="2">
        <f>(1905+2109.6)/46274*100</f>
        <v>8.675714224</v>
      </c>
    </row>
    <row r="13">
      <c r="A13" s="1" t="s">
        <v>11</v>
      </c>
      <c r="B13" s="1">
        <v>7.14</v>
      </c>
      <c r="C13" s="2">
        <f>1232/118917*100</f>
        <v>1.036016718</v>
      </c>
      <c r="D13" s="2">
        <f>316.4/118917*100</f>
        <v>0.2660679297</v>
      </c>
      <c r="E13" s="2">
        <f>(3307+1949.6)/118917*100</f>
        <v>4.420394056</v>
      </c>
    </row>
    <row r="14">
      <c r="A14" s="1" t="s">
        <v>12</v>
      </c>
      <c r="B14" s="1">
        <v>6.97</v>
      </c>
      <c r="C14" s="2">
        <f>364/44363*100</f>
        <v>0.8205035728</v>
      </c>
      <c r="D14" s="2">
        <f>81.9/44363*100</f>
        <v>0.1846133039</v>
      </c>
      <c r="E14" s="2">
        <f>(1227+839.2)/44363*100</f>
        <v>4.657484841</v>
      </c>
    </row>
    <row r="15">
      <c r="A15" s="1" t="s">
        <v>13</v>
      </c>
      <c r="B15" s="1">
        <v>9.45</v>
      </c>
      <c r="C15" s="2">
        <f>1861/131828*100</f>
        <v>1.411687957</v>
      </c>
      <c r="D15" s="2">
        <f>343.7/131828*100</f>
        <v>0.260718512</v>
      </c>
      <c r="E15" s="2">
        <f>(4320+3968)/131828*100</f>
        <v>6.286980004</v>
      </c>
    </row>
    <row r="16">
      <c r="A16" s="1" t="s">
        <v>14</v>
      </c>
      <c r="B16" s="1">
        <v>10.85</v>
      </c>
      <c r="C16" s="2">
        <f>584/38175*100</f>
        <v>1.529796988</v>
      </c>
      <c r="D16" s="2">
        <f>146.3/38175*100</f>
        <v>0.3832351015</v>
      </c>
      <c r="E16" s="2">
        <f>(1497+1257.6)/38175*100</f>
        <v>7.215717092</v>
      </c>
    </row>
    <row r="17">
      <c r="A17" s="1" t="s">
        <v>15</v>
      </c>
      <c r="B17" s="1">
        <v>10.16</v>
      </c>
      <c r="C17" s="2">
        <f>2233/131584*100</f>
        <v>1.697014835</v>
      </c>
      <c r="D17" s="2">
        <f>393.4/131584*100</f>
        <v>0.2989725195</v>
      </c>
      <c r="E17" s="2">
        <f>(5289+3456)/131584*100</f>
        <v>6.645944796</v>
      </c>
    </row>
    <row r="18">
      <c r="A18" s="1" t="s">
        <v>16</v>
      </c>
      <c r="B18" s="1">
        <v>8.79</v>
      </c>
      <c r="C18" s="2">
        <f>320/24924*100</f>
        <v>1.283903065</v>
      </c>
      <c r="D18" s="2">
        <f>39.9/24924*100</f>
        <v>0.1600866635</v>
      </c>
      <c r="E18" s="2">
        <f>(858+556)/24924*100</f>
        <v>5.67324667</v>
      </c>
    </row>
    <row r="19">
      <c r="A19" s="1" t="s">
        <v>17</v>
      </c>
      <c r="B19" s="1">
        <v>11.14</v>
      </c>
      <c r="C19" s="2">
        <f>207/12019*100</f>
        <v>1.722273068</v>
      </c>
      <c r="D19" s="2">
        <f>38.5/12019*100</f>
        <v>0.3203261503</v>
      </c>
      <c r="E19" s="2">
        <f>(496+375.2)/12019*100</f>
        <v>7.248523172</v>
      </c>
    </row>
    <row r="20">
      <c r="A20" s="1" t="s">
        <v>18</v>
      </c>
      <c r="B20" s="1">
        <v>11.81</v>
      </c>
      <c r="C20" s="2">
        <f>4566/248433*100</f>
        <v>1.837920083</v>
      </c>
      <c r="D20" s="2">
        <f>581/248433*100</f>
        <v>0.2338658713</v>
      </c>
      <c r="E20" s="2">
        <f>(11352+3794.4)/248433*100</f>
        <v>6.096774583</v>
      </c>
    </row>
    <row r="21">
      <c r="A21" s="1" t="s">
        <v>19</v>
      </c>
      <c r="B21" s="1">
        <v>9.06</v>
      </c>
      <c r="C21" s="2">
        <f>2043/132018*100</f>
        <v>1.547516248</v>
      </c>
      <c r="D21" s="2">
        <f>272.3/132018*100</f>
        <v>0.2062597525</v>
      </c>
      <c r="E21" s="2">
        <f>(4781+2800.8)/132018*100</f>
        <v>5.743004742</v>
      </c>
    </row>
    <row r="22">
      <c r="A22" s="1" t="s">
        <v>20</v>
      </c>
      <c r="B22" s="1">
        <v>11.74</v>
      </c>
      <c r="C22" s="2">
        <f>1491/92443*100</f>
        <v>1.612885778</v>
      </c>
      <c r="D22" s="2">
        <f>317.8/92443*100</f>
        <v>0.34377941</v>
      </c>
      <c r="E22" s="2">
        <f>(3936+3189.6)/92443*100</f>
        <v>7.708101208</v>
      </c>
    </row>
    <row r="23">
      <c r="A23" s="1" t="s">
        <v>21</v>
      </c>
      <c r="B23" s="1">
        <v>9.63</v>
      </c>
      <c r="C23" s="2">
        <f>388/39317*100</f>
        <v>0.9868504718</v>
      </c>
      <c r="D23" s="2">
        <f>161/39317*100</f>
        <v>0.4094920772</v>
      </c>
      <c r="E23" s="2">
        <f>(1192+1034.4)/39317*100</f>
        <v>5.662690439</v>
      </c>
    </row>
    <row r="24">
      <c r="A24" s="1" t="s">
        <v>22</v>
      </c>
      <c r="B24" s="1">
        <v>11.46</v>
      </c>
      <c r="C24" s="2">
        <f>1406/77904*100</f>
        <v>1.804785377</v>
      </c>
      <c r="D24" s="2">
        <f>160.3/77904*100</f>
        <v>0.2057660711</v>
      </c>
      <c r="E24" s="2">
        <f>(3529+1980.8)/77904*100</f>
        <v>7.072550832</v>
      </c>
    </row>
    <row r="25">
      <c r="A25" s="1" t="s">
        <v>23</v>
      </c>
      <c r="B25" s="1">
        <v>13.31</v>
      </c>
      <c r="C25" s="2">
        <f>173/7024*100</f>
        <v>2.462984055</v>
      </c>
      <c r="D25" s="2">
        <f>28/7024*100</f>
        <v>0.3986332574</v>
      </c>
      <c r="E25" s="2">
        <f>(342+254.4)/7024*100</f>
        <v>8.490888383</v>
      </c>
    </row>
    <row r="26">
      <c r="A26" s="1" t="s">
        <v>24</v>
      </c>
      <c r="B26" s="1">
        <v>11.44</v>
      </c>
      <c r="C26" s="2">
        <f>2919/178698*100</f>
        <v>1.633482188</v>
      </c>
      <c r="D26" s="2">
        <f>396.9/178698*100</f>
        <v>0.2221065709</v>
      </c>
      <c r="E26" s="2">
        <f>(8072+4832.8)/178698*100</f>
        <v>7.221569352</v>
      </c>
    </row>
    <row r="27">
      <c r="A27" s="1" t="s">
        <v>33</v>
      </c>
      <c r="B27" s="1">
        <v>11.42</v>
      </c>
      <c r="C27" s="3">
        <f>286/10712*100</f>
        <v>2.669902913</v>
      </c>
      <c r="D27" s="3">
        <f>28/10712*100</f>
        <v>0.2613890963</v>
      </c>
      <c r="E27" s="3">
        <f>(405+289.6)/10712*100</f>
        <v>6.484316654</v>
      </c>
    </row>
    <row r="28">
      <c r="A28" s="1" t="s">
        <v>34</v>
      </c>
      <c r="B28" s="1">
        <v>12.17</v>
      </c>
      <c r="C28" s="3">
        <f>628/38813*100</f>
        <v>1.618014583</v>
      </c>
      <c r="D28" s="3">
        <f>72.8/38813*100</f>
        <v>0.1875660217</v>
      </c>
      <c r="E28" s="3">
        <f>(1879+1243.2)/38813*100</f>
        <v>8.044211991</v>
      </c>
    </row>
    <row r="29">
      <c r="A29" s="1" t="s">
        <v>35</v>
      </c>
      <c r="B29" s="1">
        <v>10.43</v>
      </c>
      <c r="C29" s="3">
        <f>382/22385*100</f>
        <v>1.706499888</v>
      </c>
      <c r="D29" s="3">
        <f>55.3/22385*100</f>
        <v>0.2470404289</v>
      </c>
      <c r="E29" s="3">
        <f>(940+508)/22385*100</f>
        <v>6.468617378</v>
      </c>
    </row>
    <row r="30">
      <c r="A30" s="1" t="s">
        <v>36</v>
      </c>
      <c r="B30" s="1">
        <v>12.83</v>
      </c>
      <c r="C30" s="3">
        <f>1095/65471*100</f>
        <v>1.67249622</v>
      </c>
      <c r="D30" s="3">
        <f>252/65471*100</f>
        <v>0.3849032396</v>
      </c>
      <c r="E30" s="3">
        <f>(3105+2534.4)/65471*100</f>
        <v>8.613584641</v>
      </c>
    </row>
    <row r="31">
      <c r="A31" s="1" t="s">
        <v>37</v>
      </c>
      <c r="B31" s="1">
        <v>17.29</v>
      </c>
      <c r="C31" s="3">
        <f>2722/89604*100</f>
        <v>3.037810812</v>
      </c>
      <c r="D31" s="3">
        <f>448.7/89604*100</f>
        <v>0.5007588947</v>
      </c>
      <c r="E31" s="3">
        <f>(5909+4036)/89604*100</f>
        <v>11.09883487</v>
      </c>
    </row>
    <row r="32">
      <c r="A32" s="1" t="s">
        <v>38</v>
      </c>
      <c r="B32" s="1">
        <v>11.0</v>
      </c>
      <c r="C32" s="3">
        <f>2493/152588*100</f>
        <v>1.633811309</v>
      </c>
      <c r="D32" s="3">
        <f>574.7/152588*100</f>
        <v>0.376635122</v>
      </c>
      <c r="E32" s="3">
        <f>(6042+4632)/152588*100</f>
        <v>6.995307626</v>
      </c>
    </row>
    <row r="33">
      <c r="A33" s="1" t="s">
        <v>39</v>
      </c>
      <c r="B33" s="1">
        <v>9.56</v>
      </c>
      <c r="C33" s="3">
        <f>2461/161612*100</f>
        <v>1.522782962</v>
      </c>
      <c r="D33" s="3">
        <f>420/161612*100</f>
        <v>0.259881692</v>
      </c>
      <c r="E33" s="3">
        <f>(5762+4336.8)/161612*100</f>
        <v>6.248793406</v>
      </c>
    </row>
    <row r="34">
      <c r="A34" s="1" t="s">
        <v>40</v>
      </c>
      <c r="B34" s="1">
        <v>11.02</v>
      </c>
      <c r="C34" s="3">
        <f>1419/89340*100</f>
        <v>1.588314305</v>
      </c>
      <c r="D34" s="3">
        <f>331.1/89340*100</f>
        <v>0.3706066711</v>
      </c>
      <c r="E34" s="3">
        <f>(3478+3003.2)/89340*100</f>
        <v>7.254533244</v>
      </c>
    </row>
    <row r="35">
      <c r="A35" s="1" t="s">
        <v>41</v>
      </c>
      <c r="B35" s="1">
        <v>16.38</v>
      </c>
      <c r="C35" s="3">
        <f>1398/49641*100</f>
        <v>2.816220463</v>
      </c>
      <c r="D35" s="3">
        <f>265.3/49641*100</f>
        <v>0.5344372595</v>
      </c>
      <c r="E35" s="3">
        <f>(3091+2237.6)/49641*100</f>
        <v>10.73427207</v>
      </c>
    </row>
    <row r="36">
      <c r="A36" s="1" t="s">
        <v>42</v>
      </c>
      <c r="B36" s="1">
        <v>14.31</v>
      </c>
      <c r="C36" s="3">
        <f>3714/158145*100</f>
        <v>2.348477663</v>
      </c>
      <c r="D36" s="3">
        <f>567.7/158145*100</f>
        <v>0.358974359</v>
      </c>
      <c r="E36" s="3">
        <f>(7984+6627.2)/158145*100</f>
        <v>9.239116001</v>
      </c>
    </row>
    <row r="37">
      <c r="A37" s="1" t="s">
        <v>43</v>
      </c>
      <c r="B37" s="1">
        <v>12.14</v>
      </c>
      <c r="C37" s="3">
        <f>747/50218*100</f>
        <v>1.487514437</v>
      </c>
      <c r="D37" s="3">
        <f>204.4/50218*100</f>
        <v>0.4070253694</v>
      </c>
      <c r="E37" s="3">
        <f>(2241+1799)/50218*100</f>
        <v>8.044924131</v>
      </c>
    </row>
    <row r="38">
      <c r="A38" s="1" t="s">
        <v>44</v>
      </c>
      <c r="B38" s="1">
        <v>12.04</v>
      </c>
      <c r="C38" s="3">
        <f>1280/62749*100</f>
        <v>2.039873145</v>
      </c>
      <c r="D38" s="3">
        <f>109.9/62749*100</f>
        <v>0.1751422333</v>
      </c>
      <c r="E38" s="3">
        <f>(2943+2114.4)/62749*100</f>
        <v>8.059730036</v>
      </c>
    </row>
    <row r="39">
      <c r="A39" s="1" t="s">
        <v>45</v>
      </c>
      <c r="B39" s="1">
        <v>14.13</v>
      </c>
      <c r="C39" s="3">
        <f>12854/528777*100</f>
        <v>2.430892418</v>
      </c>
      <c r="D39" s="3">
        <f>2588.6/528777*100</f>
        <v>0.4895447419</v>
      </c>
      <c r="E39" s="3">
        <f>(27513+18524.8)/528777*100</f>
        <v>8.706467944</v>
      </c>
    </row>
    <row r="40">
      <c r="A40" s="1" t="s">
        <v>46</v>
      </c>
      <c r="B40" s="1">
        <v>11.97</v>
      </c>
      <c r="C40" s="3">
        <f>3093/168350*100</f>
        <v>1.837243837</v>
      </c>
      <c r="D40" s="3">
        <f>648.9/168350*100</f>
        <v>0.3854469854</v>
      </c>
      <c r="E40" s="3">
        <f>(7470+5338.5)/168350*100</f>
        <v>7.608256608</v>
      </c>
    </row>
    <row r="41">
      <c r="A41" s="1" t="s">
        <v>47</v>
      </c>
      <c r="B41" s="1">
        <v>12.15</v>
      </c>
      <c r="C41" s="3">
        <f>1273/56255*100</f>
        <v>2.262909964</v>
      </c>
      <c r="D41" s="3">
        <f>123.2/56255*100</f>
        <v>0.2190027553</v>
      </c>
      <c r="E41" s="3">
        <f>(2593+1885.6)/56255*100</f>
        <v>7.961247889</v>
      </c>
    </row>
    <row r="42">
      <c r="A42" s="1" t="s">
        <v>48</v>
      </c>
      <c r="B42" s="1">
        <v>14.38</v>
      </c>
      <c r="C42" s="3">
        <f>2170/99954*100</f>
        <v>2.170998659</v>
      </c>
      <c r="D42" s="3">
        <f>446.6/99954*100</f>
        <v>0.4468055305</v>
      </c>
      <c r="E42" s="3">
        <f>(5152+4003.2)/99954*100</f>
        <v>9.15941333</v>
      </c>
    </row>
    <row r="43">
      <c r="A43" s="1" t="s">
        <v>49</v>
      </c>
      <c r="B43" s="1">
        <v>16.11</v>
      </c>
      <c r="C43" s="3">
        <f>9298/276680*100</f>
        <v>3.360560937</v>
      </c>
      <c r="D43" s="3">
        <f>968.1/276680*100</f>
        <v>0.3498988001</v>
      </c>
      <c r="E43" s="3">
        <f>(16443+11778.4)/276680*100</f>
        <v>10.20001446</v>
      </c>
    </row>
    <row r="44">
      <c r="A44" s="1" t="s">
        <v>50</v>
      </c>
      <c r="B44" s="1">
        <v>12.6</v>
      </c>
      <c r="C44" s="3">
        <f>1573/87880*100</f>
        <v>1.789940828</v>
      </c>
      <c r="D44" s="3">
        <f>396.9/87880*100</f>
        <v>0.4516385981</v>
      </c>
      <c r="E44" s="3">
        <f>(3808+3353.6)/87880*100</f>
        <v>8.149294492</v>
      </c>
    </row>
    <row r="45">
      <c r="A45" s="1" t="s">
        <v>51</v>
      </c>
      <c r="B45" s="1">
        <v>11.22</v>
      </c>
      <c r="C45" s="3">
        <f>1634/94558*100</f>
        <v>1.728039933</v>
      </c>
      <c r="D45" s="3">
        <f>227.5/94558*100</f>
        <v>0.2405930751</v>
      </c>
      <c r="E45" s="3">
        <f>(3756+3280.8)/94558*100</f>
        <v>7.441781764</v>
      </c>
    </row>
    <row r="46">
      <c r="A46" s="1" t="s">
        <v>52</v>
      </c>
      <c r="B46" s="1">
        <v>8.15</v>
      </c>
      <c r="C46" s="3">
        <f>425/53613*100</f>
        <v>0.792718184</v>
      </c>
      <c r="D46" s="3">
        <f>88.2/53613*100</f>
        <v>0.1645123384</v>
      </c>
      <c r="E46" s="3">
        <f>(1863+1116.8)/53613*100</f>
        <v>5.557980341</v>
      </c>
    </row>
    <row r="47">
      <c r="A47" s="1" t="s">
        <v>53</v>
      </c>
      <c r="B47" s="1">
        <v>10.65</v>
      </c>
      <c r="C47" s="3">
        <f>1519/80837*100</f>
        <v>1.879090021</v>
      </c>
      <c r="D47" s="3">
        <f>261.8/80337*100</f>
        <v>0.3258772421</v>
      </c>
      <c r="E47" s="3">
        <f>(3252+2247.2)/80837*100</f>
        <v>6.802825439</v>
      </c>
    </row>
    <row r="48">
      <c r="A48" s="1" t="s">
        <v>54</v>
      </c>
      <c r="B48" s="1">
        <v>12.0</v>
      </c>
      <c r="C48" s="3">
        <f>2351/140880*100</f>
        <v>1.668796139</v>
      </c>
      <c r="D48" s="3">
        <f>442.4/140880*100</f>
        <v>0.3140261215</v>
      </c>
      <c r="E48" s="3">
        <f>(5696+5796.8)/140880*100</f>
        <v>8.15786485</v>
      </c>
    </row>
    <row r="49">
      <c r="A49" s="1" t="s">
        <v>55</v>
      </c>
      <c r="B49" s="1">
        <v>13.56</v>
      </c>
      <c r="C49" s="3">
        <f>1127/70171*100</f>
        <v>1.606076584</v>
      </c>
      <c r="D49" s="3">
        <f>268.1/70171*100</f>
        <v>0.3820666657</v>
      </c>
      <c r="E49" s="3">
        <f>(3665+2745.6)/70171*100</f>
        <v>9.135682832</v>
      </c>
    </row>
    <row r="50">
      <c r="A50" s="1" t="s">
        <v>56</v>
      </c>
      <c r="B50" s="1">
        <v>10.23</v>
      </c>
      <c r="C50" s="3">
        <f>813/59051*100</f>
        <v>1.376776007</v>
      </c>
      <c r="D50" s="3">
        <f>106.4/59051*100</f>
        <v>0.1801832314</v>
      </c>
      <c r="E50" s="3">
        <f>(2090+2035.2)/59051*100</f>
        <v>6.985825812</v>
      </c>
    </row>
    <row r="51">
      <c r="A51" s="1" t="s">
        <v>57</v>
      </c>
      <c r="B51" s="1">
        <v>10.7</v>
      </c>
      <c r="C51" s="3">
        <f>840/57157*100</f>
        <v>1.469636265</v>
      </c>
      <c r="D51" s="3">
        <f>184.8/57157*100</f>
        <v>0.3233199783</v>
      </c>
      <c r="E51" s="3">
        <f>(2357+1636)/57157*100</f>
        <v>6.98602096</v>
      </c>
    </row>
    <row r="52">
      <c r="A52" s="1" t="s">
        <v>60</v>
      </c>
      <c r="B52" s="1">
        <v>12.39</v>
      </c>
      <c r="C52" s="3">
        <f>1354/48107*100</f>
        <v>2.814559212</v>
      </c>
      <c r="D52" s="3">
        <f>189.7/48107*100</f>
        <v>0.3943293076</v>
      </c>
      <c r="E52" s="3">
        <f>(2099+1387.2)/48107*100</f>
        <v>7.246762425</v>
      </c>
    </row>
    <row r="53">
      <c r="A53" s="1" t="s">
        <v>61</v>
      </c>
      <c r="B53" s="1">
        <v>9.62</v>
      </c>
      <c r="C53" s="3">
        <f>1218/84523*100</f>
        <v>1.441027886</v>
      </c>
      <c r="D53" s="3">
        <f>192.5/84523*100</f>
        <v>0.2277486601</v>
      </c>
      <c r="E53" s="3">
        <f>(2959+2318.4)/84523*100</f>
        <v>6.243744306</v>
      </c>
    </row>
    <row r="54">
      <c r="A54" s="1" t="s">
        <v>62</v>
      </c>
      <c r="B54" s="1">
        <v>12.09</v>
      </c>
      <c r="C54" s="3">
        <f>2761/162297*100</f>
        <v>1.701202117</v>
      </c>
      <c r="D54" s="3">
        <f>444.5/162297*100</f>
        <v>0.2738806016</v>
      </c>
      <c r="E54" s="3">
        <f>(6594+6661.6)/162297*100</f>
        <v>8.167495394</v>
      </c>
    </row>
    <row r="55">
      <c r="A55" s="1" t="s">
        <v>63</v>
      </c>
      <c r="B55" s="1">
        <v>11.59</v>
      </c>
      <c r="C55" s="3">
        <f>2093/149272*100</f>
        <v>1.402138378</v>
      </c>
      <c r="D55" s="3">
        <f>492.1/149272*100</f>
        <v>0.3296666488</v>
      </c>
      <c r="E55" s="3">
        <f>(5992+6071.2)/149272*100</f>
        <v>8.081354842</v>
      </c>
    </row>
    <row r="56">
      <c r="A56" s="1" t="s">
        <v>64</v>
      </c>
      <c r="B56" s="1">
        <v>11.65</v>
      </c>
      <c r="C56" s="3">
        <f>592/34158*100</f>
        <v>1.733122548</v>
      </c>
      <c r="D56" s="3">
        <f>95.2/34158*100</f>
        <v>0.2787048422</v>
      </c>
      <c r="E56" s="3">
        <f>(1378+1237.6)/34158*100</f>
        <v>7.657356988</v>
      </c>
    </row>
    <row r="57">
      <c r="A57" s="1" t="s">
        <v>65</v>
      </c>
      <c r="B57" s="1">
        <v>13.98</v>
      </c>
      <c r="C57" s="3">
        <f>515/26216*100</f>
        <v>1.964449191</v>
      </c>
      <c r="D57" s="3">
        <f>131.6/26216*100</f>
        <v>0.5019835215</v>
      </c>
      <c r="E57" s="3">
        <f>(1418+920.8)/26216*100</f>
        <v>8.921269454</v>
      </c>
    </row>
    <row r="58">
      <c r="A58" s="1" t="s">
        <v>66</v>
      </c>
      <c r="B58" s="1">
        <v>13.78</v>
      </c>
      <c r="C58" s="3">
        <f>3368/148290*100</f>
        <v>2.271225302</v>
      </c>
      <c r="D58" s="3">
        <f>473.2/148290*100</f>
        <v>0.3191044575</v>
      </c>
      <c r="E58" s="3">
        <f>(7217+5664.8)/148290*100</f>
        <v>8.686897296</v>
      </c>
    </row>
    <row r="59">
      <c r="A59" s="1" t="s">
        <v>67</v>
      </c>
      <c r="B59" s="1">
        <v>11.0</v>
      </c>
      <c r="C59" s="3">
        <f>1651/101608*100</f>
        <v>1.624872057</v>
      </c>
      <c r="D59" s="3">
        <f>292.6/101608*100</f>
        <v>0.2879694512</v>
      </c>
      <c r="E59" s="3">
        <f>(4279+3324.8)/101608*100</f>
        <v>7.483465869</v>
      </c>
    </row>
    <row r="60">
      <c r="A60" s="1" t="s">
        <v>68</v>
      </c>
      <c r="B60" s="1">
        <v>12.07</v>
      </c>
      <c r="C60" s="3">
        <f>948/59400*100</f>
        <v>1.595959596</v>
      </c>
      <c r="D60" s="3">
        <f>195.3/59400*100</f>
        <v>0.3287878788</v>
      </c>
      <c r="E60" s="3">
        <f>(2635+2102.4)/59400*100</f>
        <v>7.975420875</v>
      </c>
    </row>
    <row r="61">
      <c r="A61" s="1" t="s">
        <v>69</v>
      </c>
      <c r="B61" s="1">
        <v>15.44</v>
      </c>
      <c r="C61" s="3">
        <f>1038/44409*100</f>
        <v>2.337364048</v>
      </c>
      <c r="D61" s="3">
        <f>155.4/44409*100</f>
        <v>0.3499290684</v>
      </c>
      <c r="E61" s="3">
        <f>(2458+1976)/44409*100</f>
        <v>9.984462609</v>
      </c>
    </row>
    <row r="62">
      <c r="A62" s="1" t="s">
        <v>70</v>
      </c>
      <c r="B62" s="1">
        <v>14.26</v>
      </c>
      <c r="C62" s="3">
        <f>1370/67568*100</f>
        <v>2.027587023</v>
      </c>
      <c r="D62" s="3">
        <f>247.8/67568*100</f>
        <v>0.3667416529</v>
      </c>
      <c r="E62" s="3">
        <f>(3513+2845.6)/67568*100</f>
        <v>9.410667772</v>
      </c>
    </row>
    <row r="63">
      <c r="A63" s="1" t="s">
        <v>71</v>
      </c>
      <c r="B63" s="1">
        <v>15.37</v>
      </c>
      <c r="C63" s="3">
        <f>4062/174263*100</f>
        <v>2.330959527</v>
      </c>
      <c r="D63" s="3">
        <f>603.4/174263*100</f>
        <v>0.3462582419</v>
      </c>
      <c r="E63" s="3">
        <f>(10147+6730.4)/174263*100</f>
        <v>9.685016326</v>
      </c>
    </row>
    <row r="64">
      <c r="A64" s="1" t="s">
        <v>72</v>
      </c>
      <c r="B64" s="1">
        <v>11.93</v>
      </c>
      <c r="C64" s="3">
        <f>1305/62909*100</f>
        <v>2.074424963</v>
      </c>
      <c r="D64" s="3">
        <f>206.5/62909*100</f>
        <v>0.3282519194</v>
      </c>
      <c r="E64" s="3">
        <f>(2642+2056.8)/62909*100</f>
        <v>7.469201545</v>
      </c>
    </row>
    <row r="65">
      <c r="A65" s="1" t="s">
        <v>73</v>
      </c>
      <c r="B65" s="1">
        <v>16.0</v>
      </c>
      <c r="C65" s="3">
        <f>1174/46360*100</f>
        <v>2.532355479</v>
      </c>
      <c r="D65" s="3">
        <f>181.3/46360*100</f>
        <v>0.3910698878</v>
      </c>
      <c r="E65" s="3">
        <f>(2604+2102.4)/46360*100</f>
        <v>10.15185505</v>
      </c>
    </row>
    <row r="66">
      <c r="A66" s="1" t="s">
        <v>74</v>
      </c>
      <c r="B66" s="1">
        <v>10.15</v>
      </c>
      <c r="C66" s="3">
        <f>1129/79375*100</f>
        <v>1.422362205</v>
      </c>
      <c r="D66" s="3">
        <f>246.4/79375*100</f>
        <v>0.3104251969</v>
      </c>
      <c r="E66" s="3">
        <f>(2996+2251.2)/79375*100</f>
        <v>6.610645669</v>
      </c>
    </row>
    <row r="67">
      <c r="A67" s="1" t="s">
        <v>75</v>
      </c>
      <c r="B67" s="1">
        <v>12.09</v>
      </c>
      <c r="C67" s="3">
        <f>749/40472*100</f>
        <v>1.850662186</v>
      </c>
      <c r="D67" s="3">
        <f>97.3/40472*100</f>
        <v>0.2404131251</v>
      </c>
      <c r="E67" s="3">
        <f>(1771+1408.8)/40472*100</f>
        <v>7.856789879</v>
      </c>
    </row>
    <row r="68">
      <c r="A68" s="1" t="s">
        <v>76</v>
      </c>
      <c r="B68" s="1">
        <v>14.66</v>
      </c>
      <c r="C68" s="3">
        <f>1966/116844*100</f>
        <v>1.682585327</v>
      </c>
      <c r="D68" s="3">
        <f>396.9/116844*100</f>
        <v>0.3396836808</v>
      </c>
      <c r="E68" s="3">
        <f>(6475+4619.2)/116844*100</f>
        <v>9.494882065</v>
      </c>
    </row>
    <row r="69">
      <c r="A69" s="1" t="s">
        <v>77</v>
      </c>
      <c r="B69" s="1">
        <v>9.8</v>
      </c>
      <c r="C69" s="3">
        <f>521/41055*100</f>
        <v>1.269029351</v>
      </c>
      <c r="D69" s="3">
        <f>108.5/41055*100</f>
        <v>0.2642796249</v>
      </c>
      <c r="E69" s="3">
        <f>(1467+1373.6)/41055*100</f>
        <v>6.919011083</v>
      </c>
    </row>
    <row r="70">
      <c r="A70" s="1" t="s">
        <v>78</v>
      </c>
      <c r="B70" s="1">
        <v>12.53</v>
      </c>
      <c r="C70" s="3">
        <f>871/37394*100</f>
        <v>2.329250682</v>
      </c>
      <c r="D70" s="3">
        <f>126.7/37394*100</f>
        <v>0.3388244103</v>
      </c>
      <c r="E70" s="3">
        <f>(1592+1376.8)/37394*100</f>
        <v>7.93924159</v>
      </c>
    </row>
    <row r="71">
      <c r="A71" s="1" t="s">
        <v>79</v>
      </c>
      <c r="B71" s="1">
        <v>14.18</v>
      </c>
      <c r="C71" s="3">
        <f>762/37191*100</f>
        <v>2.048882794</v>
      </c>
      <c r="D71" s="3">
        <f>191.1/37191*100</f>
        <v>0.5138339921</v>
      </c>
      <c r="E71" s="3">
        <f>(2047+1364)/37191*100</f>
        <v>9.171573768</v>
      </c>
    </row>
    <row r="72">
      <c r="A72" s="1" t="s">
        <v>80</v>
      </c>
      <c r="B72" s="1">
        <v>14.25</v>
      </c>
      <c r="C72" s="3">
        <f>213/9620*100</f>
        <v>2.214137214</v>
      </c>
      <c r="D72" s="3">
        <f>22.4/9620*100</f>
        <v>0.2328482328</v>
      </c>
      <c r="E72" s="3">
        <f>(488+356.8)/9620*100</f>
        <v>8.781704782</v>
      </c>
    </row>
    <row r="73">
      <c r="A73" s="1" t="s">
        <v>81</v>
      </c>
      <c r="B73" s="1">
        <v>14.49</v>
      </c>
      <c r="C73" s="3">
        <f>2639/109385*100</f>
        <v>2.412579421</v>
      </c>
      <c r="D73" s="3">
        <f>438.9/109385*100</f>
        <v>0.4012433149</v>
      </c>
      <c r="E73" s="3">
        <f>(5760+4268.8)/109385*100</f>
        <v>9.168350322</v>
      </c>
    </row>
    <row r="74">
      <c r="A74" s="1" t="s">
        <v>82</v>
      </c>
      <c r="B74" s="1">
        <v>13.38</v>
      </c>
      <c r="C74" s="3">
        <f>2569/108732*100</f>
        <v>2.362689916</v>
      </c>
      <c r="D74" s="3">
        <f>356.3/108732*100</f>
        <v>0.3276864217</v>
      </c>
      <c r="E74" s="3">
        <f>(5431+3568.8)/108732*100</f>
        <v>8.277048155</v>
      </c>
    </row>
    <row r="75">
      <c r="A75" s="1" t="s">
        <v>83</v>
      </c>
      <c r="B75" s="1">
        <v>15.59</v>
      </c>
      <c r="C75" s="3">
        <f>1046/45189*100</f>
        <v>2.314722609</v>
      </c>
      <c r="D75" s="3">
        <f>233.8/45189*100</f>
        <v>0.5173825489</v>
      </c>
      <c r="E75" s="3">
        <f>(2551+1959.2)/45189*100</f>
        <v>9.980747527</v>
      </c>
    </row>
    <row r="76">
      <c r="A76" s="1" t="s">
        <v>84</v>
      </c>
      <c r="B76" s="1">
        <v>15.34</v>
      </c>
      <c r="C76" s="3">
        <f>636/44152*100</f>
        <v>1.440478348</v>
      </c>
      <c r="D76" s="3">
        <f>213.5/44152*100</f>
        <v>0.4835568038</v>
      </c>
      <c r="E76" s="3">
        <f>(2418+2319.2)/44152*100</f>
        <v>10.72929879</v>
      </c>
    </row>
    <row r="77">
      <c r="A77" s="1" t="s">
        <v>85</v>
      </c>
      <c r="B77" s="1">
        <v>10.66</v>
      </c>
      <c r="C77" s="2">
        <f>1405/76739*100</f>
        <v>1.830881299</v>
      </c>
      <c r="D77" s="3">
        <f>207.2/76739*100</f>
        <v>0.2700061247</v>
      </c>
      <c r="E77" s="3">
        <f>(2411+1992)/76739*100</f>
        <v>5.737630149</v>
      </c>
    </row>
    <row r="78">
      <c r="A78" s="1" t="s">
        <v>86</v>
      </c>
      <c r="B78" s="1">
        <v>13.35</v>
      </c>
      <c r="C78" s="2">
        <f>903/48015*100</f>
        <v>1.880662293</v>
      </c>
      <c r="D78" s="3">
        <f>210.7/48051*100</f>
        <v>0.4384924351</v>
      </c>
      <c r="E78" s="3">
        <f>(2464+1716.8)/48051*100</f>
        <v>8.700755447</v>
      </c>
    </row>
    <row r="79">
      <c r="A79" s="1" t="s">
        <v>87</v>
      </c>
      <c r="B79" s="1">
        <v>14.3</v>
      </c>
      <c r="C79" s="2">
        <f>770/39793*100</f>
        <v>1.935013696</v>
      </c>
      <c r="D79" s="3">
        <f>188.3/39793*100</f>
        <v>0.4731988038</v>
      </c>
      <c r="E79" s="3">
        <f>(2968+1584)/39793*100</f>
        <v>11.43919785</v>
      </c>
    </row>
    <row r="80">
      <c r="A80" s="1" t="s">
        <v>88</v>
      </c>
      <c r="B80" s="1">
        <v>11.9</v>
      </c>
      <c r="C80" s="2">
        <f>907/63600*100</f>
        <v>1.426100629</v>
      </c>
      <c r="D80" s="3">
        <f>186.2/63600*100</f>
        <v>0.2927672956</v>
      </c>
      <c r="E80" s="3">
        <f>(2968+2180)/63600*100</f>
        <v>8.094339623</v>
      </c>
    </row>
    <row r="81">
      <c r="A81" s="1" t="s">
        <v>89</v>
      </c>
      <c r="B81" s="1">
        <v>12.55</v>
      </c>
      <c r="C81" s="2">
        <f>1857/107521*100</f>
        <v>1.727104473</v>
      </c>
      <c r="D81" s="3">
        <f>404.6/107521*100</f>
        <v>0.3762985835</v>
      </c>
      <c r="E81" s="3">
        <f>(1857+3283.2)/107521*100</f>
        <v>4.780647501</v>
      </c>
    </row>
    <row r="82">
      <c r="A82" s="1" t="s">
        <v>90</v>
      </c>
      <c r="B82" s="1">
        <v>11.48</v>
      </c>
      <c r="C82" s="2">
        <f>2638/142572*100</f>
        <v>1.850293185</v>
      </c>
      <c r="D82" s="3">
        <f>404.6/142572*100</f>
        <v>0.2837864377</v>
      </c>
      <c r="E82" s="3">
        <f>(5787+4644)/142572*100</f>
        <v>7.316303341</v>
      </c>
    </row>
    <row r="83">
      <c r="A83" s="1" t="s">
        <v>91</v>
      </c>
      <c r="B83" s="1">
        <v>11.14</v>
      </c>
      <c r="C83" s="2">
        <f>562/46761*100</f>
        <v>1.201856248</v>
      </c>
      <c r="D83" s="3">
        <f>164.5/46761*100</f>
        <v>0.3517888839</v>
      </c>
      <c r="E83" s="3">
        <f>(1963+1396)/46761*100</f>
        <v>7.183336541</v>
      </c>
    </row>
    <row r="84">
      <c r="A84" s="1" t="s">
        <v>92</v>
      </c>
      <c r="B84" s="1">
        <v>14.15</v>
      </c>
      <c r="C84" s="2">
        <f>2244/111885*100</f>
        <v>2.005630782</v>
      </c>
      <c r="D84" s="3">
        <f>460.6/111885*100</f>
        <v>0.4116726996</v>
      </c>
      <c r="E84" s="3">
        <f>(5784+4156.8)/111885*100</f>
        <v>8.88483711</v>
      </c>
    </row>
    <row r="85">
      <c r="A85" s="1" t="s">
        <v>93</v>
      </c>
      <c r="B85" s="1">
        <v>16.22</v>
      </c>
      <c r="C85" s="2">
        <f>1641/67294*100</f>
        <v>2.438553214</v>
      </c>
      <c r="D85" s="3">
        <f>212.2/67294*100</f>
        <v>0.3153327191</v>
      </c>
      <c r="E85" s="3">
        <f>(4333+2316.8)/67294*100</f>
        <v>9.88171308</v>
      </c>
    </row>
    <row r="86">
      <c r="A86" s="1" t="s">
        <v>94</v>
      </c>
      <c r="B86" s="1">
        <v>13.19</v>
      </c>
      <c r="C86" s="2">
        <f>1439/77079*100</f>
        <v>1.866915762</v>
      </c>
      <c r="D86" s="3">
        <f>270.2/77079*100</f>
        <v>0.3505494363</v>
      </c>
      <c r="E86" s="3">
        <f>(3288+3669)/77079*100</f>
        <v>9.025804694</v>
      </c>
    </row>
    <row r="87">
      <c r="A87" s="1" t="s">
        <v>95</v>
      </c>
      <c r="B87" s="1">
        <v>15.3</v>
      </c>
      <c r="C87" s="2">
        <f>2068/82816*100</f>
        <v>2.497102009</v>
      </c>
      <c r="D87" s="3">
        <f>693/82816*100</f>
        <v>0.8367948223</v>
      </c>
      <c r="E87" s="3">
        <f>(4701+3072)/82816*100</f>
        <v>9.385867465</v>
      </c>
    </row>
    <row r="88">
      <c r="A88" s="1" t="s">
        <v>96</v>
      </c>
      <c r="B88" s="1">
        <v>12.69</v>
      </c>
      <c r="C88" s="2">
        <f>2543/95939*100</f>
        <v>2.650642596</v>
      </c>
      <c r="D88" s="3">
        <f>359.1/96559*100</f>
        <v>0.3718969749</v>
      </c>
      <c r="E88" s="3">
        <f>(4162+3126.4)/95939*100</f>
        <v>7.596910537</v>
      </c>
    </row>
    <row r="89">
      <c r="A89" s="1" t="s">
        <v>97</v>
      </c>
      <c r="B89" s="1">
        <v>12.24</v>
      </c>
      <c r="C89" s="2">
        <f>3663/154070*100</f>
        <v>2.377490751</v>
      </c>
      <c r="D89" s="3">
        <f>606.2/154070*100</f>
        <v>0.3934575193</v>
      </c>
      <c r="E89" s="3">
        <f>(6767+4743.2)/154070*100</f>
        <v>7.470760044</v>
      </c>
    </row>
    <row r="90">
      <c r="A90" s="1" t="s">
        <v>98</v>
      </c>
      <c r="B90" s="1">
        <v>16.84</v>
      </c>
      <c r="C90" s="2">
        <f>1299/61907*100</f>
        <v>2.098308753</v>
      </c>
      <c r="D90" s="3">
        <f>324.1/61907*100</f>
        <v>0.5235272263</v>
      </c>
      <c r="E90" s="3">
        <f>(3820+3116.8)/61907*100</f>
        <v>11.20519489</v>
      </c>
    </row>
    <row r="91">
      <c r="A91" s="1" t="s">
        <v>99</v>
      </c>
      <c r="B91" s="1">
        <v>16.58</v>
      </c>
      <c r="C91" s="2">
        <f>1938/74167*100</f>
        <v>2.613021964</v>
      </c>
      <c r="D91" s="3">
        <f>409.5/74167*100</f>
        <v>0.55213235</v>
      </c>
      <c r="E91" s="3">
        <f>(4876+2852.8)/74167*100</f>
        <v>10.4208071</v>
      </c>
    </row>
    <row r="92">
      <c r="A92" s="1" t="s">
        <v>100</v>
      </c>
      <c r="B92" s="1">
        <v>15.41</v>
      </c>
      <c r="C92" s="2">
        <f>554/27036*100</f>
        <v>2.049119692</v>
      </c>
      <c r="D92" s="3">
        <f>113.5/27036*100</f>
        <v>0.4198106229</v>
      </c>
      <c r="E92" s="3">
        <f>(1596+1108.8)/27695*100</f>
        <v>9.766383824</v>
      </c>
    </row>
    <row r="93">
      <c r="A93" s="1" t="s">
        <v>101</v>
      </c>
      <c r="B93" s="1">
        <v>15.0</v>
      </c>
      <c r="C93" s="2">
        <f>938/52783*100</f>
        <v>1.77708732</v>
      </c>
      <c r="D93" s="3">
        <f>236.6/52783*100</f>
        <v>0.4482503836</v>
      </c>
      <c r="E93" s="3">
        <f>(2979+2288.8)/52783*100</f>
        <v>9.980107231</v>
      </c>
    </row>
    <row r="94">
      <c r="A94" s="1" t="s">
        <v>102</v>
      </c>
      <c r="B94" s="1">
        <v>12.68</v>
      </c>
      <c r="C94" s="2">
        <f>1557/63599*100</f>
        <v>2.4481517</v>
      </c>
      <c r="D94" s="3">
        <f>233.8/63599*100</f>
        <v>0.367615843</v>
      </c>
      <c r="E94" s="3">
        <f>(2981+1861.6)/63599*100</f>
        <v>7.614270665</v>
      </c>
    </row>
    <row r="95">
      <c r="A95" s="1" t="s">
        <v>103</v>
      </c>
      <c r="B95" s="1">
        <v>14.12</v>
      </c>
      <c r="C95" s="2">
        <f>1927/101361*100</f>
        <v>1.90112568</v>
      </c>
      <c r="D95" s="3">
        <f>398.3/101361*100</f>
        <v>0.3929519243</v>
      </c>
      <c r="E95" s="3">
        <f>(5360+3972.8)/102548*100</f>
        <v>9.100908843</v>
      </c>
    </row>
    <row r="96">
      <c r="A96" s="1" t="s">
        <v>104</v>
      </c>
      <c r="B96" s="1">
        <v>10.33</v>
      </c>
      <c r="C96" s="2">
        <f>890/39021*100</f>
        <v>2.280823147</v>
      </c>
      <c r="D96" s="3">
        <f>133.7/39021*100</f>
        <v>0.3426360165</v>
      </c>
      <c r="E96" s="3">
        <f>(1556+873.6)/39021*100</f>
        <v>6.226390918</v>
      </c>
    </row>
    <row r="97">
      <c r="A97" s="1" t="s">
        <v>105</v>
      </c>
      <c r="B97" s="1">
        <v>9.66</v>
      </c>
      <c r="C97" s="2">
        <f>1793/101110*100</f>
        <v>1.77331619</v>
      </c>
      <c r="D97" s="3">
        <f>346.4/101110*100</f>
        <v>0.3425971714</v>
      </c>
      <c r="E97" s="3">
        <f>(3922+2906.4)/101110*100</f>
        <v>6.753436851</v>
      </c>
    </row>
    <row r="98">
      <c r="A98" s="1" t="s">
        <v>106</v>
      </c>
      <c r="B98" s="1">
        <v>12.06</v>
      </c>
      <c r="C98" s="2">
        <f>1298/82131*100</f>
        <v>1.580402041</v>
      </c>
      <c r="D98" s="3">
        <f>316.4/82131*100</f>
        <v>0.385238217</v>
      </c>
      <c r="E98" s="3">
        <f>(3700+2748)/82131*100</f>
        <v>7.850872387</v>
      </c>
    </row>
    <row r="99">
      <c r="A99" s="1" t="s">
        <v>107</v>
      </c>
      <c r="B99" s="1">
        <v>12.06</v>
      </c>
      <c r="C99" s="1">
        <v>1.78</v>
      </c>
      <c r="D99" s="3">
        <f>296.1/95482*100</f>
        <v>0.3101108062</v>
      </c>
      <c r="E99" s="3">
        <f>(3922+3500)/95482*100</f>
        <v>7.773192853</v>
      </c>
    </row>
    <row r="100">
      <c r="A100" s="1" t="s">
        <v>108</v>
      </c>
      <c r="B100" s="1">
        <v>11.26</v>
      </c>
      <c r="C100" s="1">
        <v>1.84</v>
      </c>
      <c r="D100" s="3">
        <f>247.1/65625*100</f>
        <v>0.3765333333</v>
      </c>
      <c r="E100" s="3">
        <f>(2631+2126.4)/65625*100</f>
        <v>7.249371429</v>
      </c>
    </row>
    <row r="101">
      <c r="A101" s="1" t="s">
        <v>109</v>
      </c>
      <c r="B101" s="1">
        <v>11.89</v>
      </c>
      <c r="C101" s="2">
        <f>1092/57304*100</f>
        <v>1.905626134</v>
      </c>
      <c r="D101" s="3">
        <f>247.1/57304*100</f>
        <v>0.4312089906</v>
      </c>
      <c r="E101" s="3">
        <f>(2580+1765.6)/57546*100</f>
        <v>7.551523998</v>
      </c>
    </row>
    <row r="102">
      <c r="A102" s="1" t="s">
        <v>25</v>
      </c>
      <c r="B102" s="3">
        <f t="shared" ref="B102:E102" si="1">AVERAGE(B2:B101)</f>
        <v>12.1008</v>
      </c>
      <c r="C102" s="3">
        <f t="shared" si="1"/>
        <v>1.840436698</v>
      </c>
      <c r="D102" s="3">
        <f t="shared" si="1"/>
        <v>0.3370781031</v>
      </c>
      <c r="E102" s="3">
        <f t="shared" si="1"/>
        <v>7.750776164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29"/>
    <col customWidth="1" min="5" max="5" width="29.29"/>
    <col customWidth="1" min="6" max="6" width="21.0"/>
    <col customWidth="1" min="7" max="7" width="26.71"/>
  </cols>
  <sheetData>
    <row r="1">
      <c r="A1" s="1" t="s">
        <v>27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2" t="s">
        <v>29</v>
      </c>
    </row>
    <row r="2">
      <c r="A2" s="2" t="s">
        <v>117</v>
      </c>
      <c r="B2" s="2">
        <v>181.0</v>
      </c>
      <c r="C2" s="2">
        <v>896.0</v>
      </c>
      <c r="D2" s="2">
        <v>149.5</v>
      </c>
      <c r="E2" s="2">
        <v>24.0</v>
      </c>
      <c r="F2" s="2">
        <v>55.3</v>
      </c>
      <c r="G2" s="2">
        <v>408.8</v>
      </c>
      <c r="H2" s="2">
        <v>17.15</v>
      </c>
    </row>
    <row r="3">
      <c r="A3" s="2" t="s">
        <v>118</v>
      </c>
      <c r="B3" s="2">
        <v>73.0</v>
      </c>
      <c r="C3" s="2">
        <v>409.0</v>
      </c>
      <c r="D3" s="2">
        <v>64.5</v>
      </c>
      <c r="E3" s="2">
        <v>13.2</v>
      </c>
      <c r="F3" s="2">
        <v>42.7</v>
      </c>
      <c r="G3" s="2">
        <v>183.2</v>
      </c>
      <c r="H3" s="2">
        <v>7.86</v>
      </c>
    </row>
    <row r="4">
      <c r="A4" s="2" t="s">
        <v>119</v>
      </c>
      <c r="B4" s="2">
        <v>133.0</v>
      </c>
      <c r="C4" s="2">
        <v>766.0</v>
      </c>
      <c r="D4" s="2">
        <v>166.5</v>
      </c>
      <c r="E4" s="2">
        <v>44.4</v>
      </c>
      <c r="F4" s="2">
        <v>39.9</v>
      </c>
      <c r="G4" s="2">
        <v>324.8</v>
      </c>
      <c r="H4" s="2">
        <v>14.75</v>
      </c>
    </row>
    <row r="5">
      <c r="A5" s="2" t="s">
        <v>120</v>
      </c>
      <c r="B5" s="1">
        <v>274.0</v>
      </c>
      <c r="C5" s="1">
        <v>1129.0</v>
      </c>
      <c r="D5" s="1">
        <v>224.0</v>
      </c>
      <c r="E5" s="1">
        <v>57.0</v>
      </c>
      <c r="F5" s="1">
        <v>56.7</v>
      </c>
      <c r="G5" s="1">
        <v>472.0</v>
      </c>
      <c r="H5" s="1">
        <v>22.127</v>
      </c>
    </row>
    <row r="6">
      <c r="A6" s="2" t="s">
        <v>121</v>
      </c>
      <c r="B6" s="2">
        <v>315.0</v>
      </c>
      <c r="C6" s="2">
        <v>745.0</v>
      </c>
      <c r="D6" s="2">
        <v>115.5</v>
      </c>
      <c r="E6" s="2">
        <v>55.8</v>
      </c>
      <c r="F6" s="2">
        <v>49.0</v>
      </c>
      <c r="G6" s="2">
        <v>322.4</v>
      </c>
      <c r="H6" s="2">
        <v>16.03</v>
      </c>
    </row>
    <row r="7">
      <c r="A7" s="2" t="s">
        <v>122</v>
      </c>
      <c r="B7" s="2">
        <v>103.0</v>
      </c>
      <c r="C7" s="2">
        <v>600.0</v>
      </c>
      <c r="D7" s="2">
        <v>100.0</v>
      </c>
      <c r="E7" s="2">
        <v>15.6</v>
      </c>
      <c r="F7" s="2">
        <v>22.4</v>
      </c>
      <c r="G7" s="2">
        <v>280.8</v>
      </c>
      <c r="H7" s="2">
        <v>10.29</v>
      </c>
    </row>
    <row r="8">
      <c r="A8" s="2" t="s">
        <v>123</v>
      </c>
      <c r="B8" s="2">
        <v>301.0</v>
      </c>
      <c r="C8" s="2">
        <v>802.0</v>
      </c>
      <c r="D8" s="2">
        <v>162.0</v>
      </c>
      <c r="E8" s="2">
        <v>22.2</v>
      </c>
      <c r="F8" s="2">
        <v>53.2</v>
      </c>
      <c r="G8" s="2">
        <v>294.4</v>
      </c>
      <c r="H8" s="2">
        <v>16.35</v>
      </c>
    </row>
    <row r="9">
      <c r="A9" s="2" t="s">
        <v>124</v>
      </c>
      <c r="B9" s="2">
        <v>192.0</v>
      </c>
      <c r="C9" s="2">
        <v>758.0</v>
      </c>
      <c r="D9" s="2">
        <v>159.0</v>
      </c>
      <c r="E9" s="2">
        <v>14.4</v>
      </c>
      <c r="F9" s="2">
        <v>51.1</v>
      </c>
      <c r="G9" s="2">
        <v>342.4</v>
      </c>
      <c r="H9" s="2">
        <v>15.17</v>
      </c>
    </row>
    <row r="12">
      <c r="B12" s="1"/>
    </row>
  </sheetData>
  <drawing r:id="rId1"/>
</worksheet>
</file>