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C43312DB-AAC8-46A3-AF93-AD6778CE1FE0}" xr6:coauthVersionLast="47" xr6:coauthVersionMax="47" xr10:uidLastSave="{00000000-0000-0000-0000-000000000000}"/>
  <bookViews>
    <workbookView xWindow="-36450" yWindow="1950" windowWidth="28800" windowHeight="17355" xr2:uid="{00000000-000D-0000-FFFF-FFFF00000000}"/>
  </bookViews>
  <sheets>
    <sheet name="Rocket Sizing" sheetId="1" r:id="rId1"/>
    <sheet name="Misc Siz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3" i="1" s="1"/>
  <c r="G9" i="1"/>
  <c r="G6" i="2"/>
  <c r="F6" i="2"/>
  <c r="F5" i="2"/>
  <c r="G5" i="2"/>
  <c r="E5" i="2"/>
  <c r="E4" i="2"/>
  <c r="F4" i="2"/>
  <c r="G4" i="2"/>
  <c r="D4" i="2"/>
  <c r="D3" i="2"/>
  <c r="E3" i="2"/>
  <c r="F3" i="2"/>
  <c r="G3" i="2"/>
  <c r="C3" i="2"/>
  <c r="F2" i="2"/>
  <c r="D2" i="2"/>
  <c r="B6" i="2"/>
  <c r="B4" i="2"/>
  <c r="D67" i="1"/>
  <c r="E67" i="1"/>
  <c r="F67" i="1"/>
  <c r="G67" i="1"/>
  <c r="H67" i="1"/>
  <c r="I67" i="1"/>
  <c r="J67" i="1"/>
  <c r="K67" i="1"/>
  <c r="C67" i="1"/>
  <c r="D66" i="1"/>
  <c r="E66" i="1"/>
  <c r="F66" i="1"/>
  <c r="G66" i="1"/>
  <c r="H66" i="1"/>
  <c r="I66" i="1"/>
  <c r="J66" i="1"/>
  <c r="K66" i="1"/>
  <c r="C66" i="1"/>
  <c r="D60" i="1"/>
  <c r="E60" i="1"/>
  <c r="F60" i="1"/>
  <c r="G60" i="1"/>
  <c r="H60" i="1"/>
  <c r="I60" i="1"/>
  <c r="J60" i="1"/>
  <c r="K60" i="1"/>
  <c r="C60" i="1"/>
  <c r="D57" i="1"/>
  <c r="E57" i="1"/>
  <c r="F57" i="1"/>
  <c r="G57" i="1"/>
  <c r="H57" i="1"/>
  <c r="I57" i="1"/>
  <c r="J57" i="1"/>
  <c r="K57" i="1"/>
  <c r="C57" i="1"/>
  <c r="D55" i="1"/>
  <c r="E55" i="1"/>
  <c r="F55" i="1"/>
  <c r="G55" i="1"/>
  <c r="H55" i="1"/>
  <c r="I55" i="1"/>
  <c r="J55" i="1"/>
  <c r="K55" i="1"/>
  <c r="C55" i="1"/>
  <c r="E54" i="1"/>
  <c r="D53" i="1"/>
  <c r="E53" i="1"/>
  <c r="F53" i="1"/>
  <c r="G53" i="1"/>
  <c r="H53" i="1"/>
  <c r="I53" i="1"/>
  <c r="J53" i="1"/>
  <c r="K53" i="1"/>
  <c r="C53" i="1"/>
  <c r="F27" i="1"/>
  <c r="H27" i="1"/>
  <c r="D49" i="1"/>
  <c r="D50" i="1" s="1"/>
  <c r="E49" i="1"/>
  <c r="E50" i="1" s="1"/>
  <c r="F49" i="1"/>
  <c r="F50" i="1" s="1"/>
  <c r="G49" i="1"/>
  <c r="G50" i="1" s="1"/>
  <c r="H49" i="1"/>
  <c r="H50" i="1" s="1"/>
  <c r="I49" i="1"/>
  <c r="I50" i="1" s="1"/>
  <c r="J49" i="1"/>
  <c r="J50" i="1" s="1"/>
  <c r="K49" i="1"/>
  <c r="K50" i="1" s="1"/>
  <c r="C49" i="1"/>
  <c r="C50" i="1" s="1"/>
  <c r="J13" i="1"/>
  <c r="K13" i="1"/>
  <c r="I4" i="1"/>
  <c r="I54" i="1" s="1"/>
  <c r="H4" i="1"/>
  <c r="H54" i="1" s="1"/>
  <c r="D41" i="1"/>
  <c r="D42" i="1" s="1"/>
  <c r="D45" i="1" s="1"/>
  <c r="E41" i="1"/>
  <c r="E42" i="1" s="1"/>
  <c r="E45" i="1" s="1"/>
  <c r="F41" i="1"/>
  <c r="F42" i="1" s="1"/>
  <c r="F45" i="1" s="1"/>
  <c r="G41" i="1"/>
  <c r="G42" i="1" s="1"/>
  <c r="G45" i="1" s="1"/>
  <c r="H41" i="1"/>
  <c r="H42" i="1" s="1"/>
  <c r="H45" i="1" s="1"/>
  <c r="I41" i="1"/>
  <c r="I42" i="1" s="1"/>
  <c r="I45" i="1" s="1"/>
  <c r="J41" i="1"/>
  <c r="J42" i="1" s="1"/>
  <c r="J45" i="1" s="1"/>
  <c r="K41" i="1"/>
  <c r="K42" i="1" s="1"/>
  <c r="K45" i="1" s="1"/>
  <c r="C41" i="1"/>
  <c r="C42" i="1" s="1"/>
  <c r="C45" i="1" s="1"/>
  <c r="D26" i="1"/>
  <c r="D27" i="1" s="1"/>
  <c r="E26" i="1"/>
  <c r="E27" i="1" s="1"/>
  <c r="F26" i="1"/>
  <c r="G26" i="1"/>
  <c r="G27" i="1" s="1"/>
  <c r="H26" i="1"/>
  <c r="I26" i="1"/>
  <c r="I27" i="1" s="1"/>
  <c r="J26" i="1"/>
  <c r="J27" i="1" s="1"/>
  <c r="K26" i="1"/>
  <c r="K27" i="1" s="1"/>
  <c r="C26" i="1"/>
  <c r="C27" i="1" s="1"/>
  <c r="E39" i="1"/>
  <c r="F39" i="1"/>
  <c r="G39" i="1"/>
  <c r="H39" i="1"/>
  <c r="I39" i="1"/>
  <c r="J39" i="1"/>
  <c r="K39" i="1"/>
  <c r="E23" i="1"/>
  <c r="E29" i="1" s="1"/>
  <c r="F23" i="1"/>
  <c r="F29" i="1" s="1"/>
  <c r="G29" i="1"/>
  <c r="H23" i="1"/>
  <c r="H29" i="1" s="1"/>
  <c r="I23" i="1"/>
  <c r="I29" i="1" s="1"/>
  <c r="J23" i="1"/>
  <c r="J29" i="1" s="1"/>
  <c r="K23" i="1"/>
  <c r="K29" i="1" s="1"/>
  <c r="E24" i="1"/>
  <c r="F24" i="1"/>
  <c r="G24" i="1"/>
  <c r="H24" i="1"/>
  <c r="I24" i="1"/>
  <c r="J24" i="1"/>
  <c r="K24" i="1"/>
  <c r="I34" i="1"/>
  <c r="H34" i="1"/>
  <c r="K34" i="1"/>
  <c r="J34" i="1"/>
  <c r="H13" i="1"/>
  <c r="I13" i="1"/>
  <c r="J4" i="1"/>
  <c r="J54" i="1" s="1"/>
  <c r="K4" i="1"/>
  <c r="K54" i="1" s="1"/>
  <c r="G34" i="1"/>
  <c r="F34" i="1"/>
  <c r="D4" i="1"/>
  <c r="D54" i="1" s="1"/>
  <c r="E4" i="1"/>
  <c r="F4" i="1"/>
  <c r="F54" i="1" s="1"/>
  <c r="G4" i="1"/>
  <c r="G54" i="1" s="1"/>
  <c r="E13" i="1"/>
  <c r="F13" i="1"/>
  <c r="D34" i="1"/>
  <c r="C34" i="1"/>
  <c r="E34" i="1"/>
  <c r="D39" i="1"/>
  <c r="D23" i="1"/>
  <c r="D29" i="1" s="1"/>
  <c r="D24" i="1"/>
  <c r="D13" i="1"/>
  <c r="C39" i="1"/>
  <c r="N58" i="1"/>
  <c r="O60" i="1" s="1"/>
  <c r="C24" i="1"/>
  <c r="C23" i="1"/>
  <c r="C29" i="1" s="1"/>
  <c r="C13" i="1"/>
  <c r="C4" i="1"/>
  <c r="C54" i="1" s="1"/>
  <c r="M8" i="1" l="1"/>
  <c r="M7" i="1"/>
  <c r="K36" i="1"/>
  <c r="G36" i="1"/>
  <c r="G46" i="1" s="1"/>
  <c r="C36" i="1"/>
  <c r="C46" i="1" s="1"/>
  <c r="K46" i="1"/>
  <c r="J36" i="1"/>
  <c r="J46" i="1" s="1"/>
  <c r="I36" i="1"/>
  <c r="I46" i="1" s="1"/>
  <c r="E36" i="1"/>
  <c r="E46" i="1" s="1"/>
  <c r="H36" i="1"/>
  <c r="H46" i="1" s="1"/>
  <c r="F36" i="1"/>
  <c r="F46" i="1" s="1"/>
  <c r="D36" i="1"/>
  <c r="D46" i="1" s="1"/>
</calcChain>
</file>

<file path=xl/sharedStrings.xml><?xml version="1.0" encoding="utf-8"?>
<sst xmlns="http://schemas.openxmlformats.org/spreadsheetml/2006/main" count="117" uniqueCount="84">
  <si>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</si>
  <si>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</si>
  <si>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</si>
  <si>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</si>
  <si>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</si>
  <si>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</si>
  <si>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</si>
  <si>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</si>
  <si>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</si>
  <si>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</si>
  <si>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</si>
  <si>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</si>
  <si>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</si>
  <si>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</si>
  <si>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</si>
  <si>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</si>
  <si>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</si>
  <si>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</si>
  <si>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</si>
  <si>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</si>
  <si>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</si>
  <si>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</si>
  <si>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</si>
  <si>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</si>
  <si>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</si>
  <si>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</si>
  <si>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</si>
  <si>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</si>
  <si>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</si>
  <si>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</si>
  <si>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</si>
  <si>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</si>
  <si>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</si>
  <si>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</si>
  <si>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</si>
  <si>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</si>
  <si>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</si>
  <si>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</si>
  <si>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</si>
  <si>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</si>
  <si>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</si>
  <si>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</si>
  <si>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</si>
  <si>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</si>
  <si>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</si>
  <si>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</si>
  <si>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</si>
  <si>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</si>
  <si>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</si>
  <si>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</si>
  <si>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</si>
  <si>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</si>
  <si>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</si>
  <si>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</si>
  <si>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</si>
  <si>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</si>
  <si>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</si>
  <si>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</si>
  <si>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</si>
  <si>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</si>
  <si>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</si>
  <si>
    <t>kg</t>
  </si>
  <si>
    <t>N</t>
  </si>
  <si>
    <t>Cross-section</t>
  </si>
  <si>
    <t>in^2</t>
  </si>
  <si>
    <t>axial aero stress</t>
  </si>
  <si>
    <t>FOS on vMises</t>
  </si>
  <si>
    <t>Leak Before Break</t>
  </si>
  <si>
    <t>6061-T6 Fracture Toughness</t>
  </si>
  <si>
    <t>psi*sqrt(in)</t>
  </si>
  <si>
    <t>Critical crack size</t>
  </si>
  <si>
    <t>FOS Cc vs thickness</t>
  </si>
  <si>
    <t>ID\OD</t>
  </si>
  <si>
    <t>Area Ratios in Concentric Tubes</t>
  </si>
  <si>
    <t>Burst Disk Design</t>
  </si>
  <si>
    <t>ORFS ID</t>
  </si>
  <si>
    <t>0.437500in</t>
  </si>
  <si>
    <t>Face OD</t>
  </si>
  <si>
    <t>0.718750in</t>
  </si>
  <si>
    <t>ORFS Thread</t>
  </si>
  <si>
    <t>ORB Thread</t>
  </si>
  <si>
    <t>3/4"-16</t>
  </si>
  <si>
    <t>13/16"-16</t>
  </si>
  <si>
    <t>NOTE: REEXAMINE VALIDITY OF VON MISES IN FRACTURE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</si>
</sst>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G29" sqref="G29"/>
    </sheetView>
  </sheetViews>
  <sheetFormatPr defaultRowHeight="15" x14ac:dyDescent="0.25"/>
  <cols>
    <col min="1" max="1" width="26.42578125" bestFit="1" customWidth="1"/>
    <col min="2" max="2" width="10.85546875" bestFit="1" customWidth="1"/>
    <col min="3" max="3" width="10.85546875" customWidth="1"/>
    <col min="4" max="5" width="11.7109375" bestFit="1" customWidth="1"/>
    <col min="6" max="11" width="10.140625" bestFit="1" customWidth="1"/>
  </cols>
  <sheetData>
    <row r="1" spans="1:13" x14ac:dyDescent="0.2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1" t="s">
        <v>41</v>
      </c>
      <c r="H1" t="s">
        <v>42</v>
      </c>
      <c r="J1" t="s">
        <v>43</v>
      </c>
    </row>
    <row r="2" spans="1:13" x14ac:dyDescent="0.2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3" x14ac:dyDescent="0.2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3" x14ac:dyDescent="0.2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3" x14ac:dyDescent="0.25">
      <c r="G5" s="11"/>
    </row>
    <row r="6" spans="1:13" x14ac:dyDescent="0.25">
      <c r="A6" s="1" t="s">
        <v>5</v>
      </c>
      <c r="B6" s="1"/>
      <c r="G6" s="11"/>
    </row>
    <row r="7" spans="1:13" x14ac:dyDescent="0.2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  <c r="M7">
        <f>SUM(G7:G10)</f>
        <v>43.5</v>
      </c>
    </row>
    <row r="8" spans="1:13" x14ac:dyDescent="0.2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  <c r="M8">
        <f>SUM(G11:G12)</f>
        <v>16.5</v>
      </c>
    </row>
    <row r="9" spans="1:13" x14ac:dyDescent="0.2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f>18*3/4</f>
        <v>13.5</v>
      </c>
      <c r="H9">
        <v>18</v>
      </c>
      <c r="I9">
        <v>18</v>
      </c>
      <c r="J9">
        <v>13</v>
      </c>
      <c r="K9">
        <v>13</v>
      </c>
    </row>
    <row r="10" spans="1:13" x14ac:dyDescent="0.2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f>16*3/4</f>
        <v>12</v>
      </c>
      <c r="H10">
        <v>16</v>
      </c>
      <c r="I10">
        <v>16</v>
      </c>
      <c r="J10">
        <v>12</v>
      </c>
      <c r="K10">
        <v>12</v>
      </c>
    </row>
    <row r="11" spans="1:13" x14ac:dyDescent="0.2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f>10*3/4</f>
        <v>7.5</v>
      </c>
      <c r="H11">
        <v>10</v>
      </c>
      <c r="I11">
        <v>10</v>
      </c>
      <c r="J11">
        <v>7</v>
      </c>
      <c r="K11">
        <v>7</v>
      </c>
    </row>
    <row r="12" spans="1:13" x14ac:dyDescent="0.2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3" x14ac:dyDescent="0.2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60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3" x14ac:dyDescent="0.2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3" x14ac:dyDescent="0.2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2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25">
      <c r="A19" s="1" t="s">
        <v>17</v>
      </c>
    </row>
    <row r="20" spans="1:11" s="9" customFormat="1" x14ac:dyDescent="0.2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2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2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2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v>8.5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2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2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25">
      <c r="A26" s="2" t="s">
        <v>44</v>
      </c>
      <c r="B26" t="s">
        <v>22</v>
      </c>
      <c r="C26">
        <f t="shared" ref="C26:K26" si="8">C20-C21</f>
        <v>2.4699999999999989</v>
      </c>
      <c r="D26">
        <f t="shared" si="8"/>
        <v>2.2900000000000009</v>
      </c>
      <c r="E26">
        <f t="shared" si="8"/>
        <v>2.9000000000000004</v>
      </c>
      <c r="F26">
        <f t="shared" si="8"/>
        <v>2.34</v>
      </c>
      <c r="G26">
        <f t="shared" si="8"/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25">
      <c r="A27" s="2"/>
      <c r="B27" t="s">
        <v>61</v>
      </c>
      <c r="C27">
        <f>C26*0.453592</f>
        <v>1.1203722399999996</v>
      </c>
      <c r="D27">
        <f t="shared" ref="D27:K27" si="9">D26*0.453592</f>
        <v>1.0387256800000004</v>
      </c>
      <c r="E27">
        <f t="shared" si="9"/>
        <v>1.3154168000000002</v>
      </c>
      <c r="F27">
        <f t="shared" si="9"/>
        <v>1.06140528</v>
      </c>
      <c r="G27">
        <f t="shared" si="9"/>
        <v>1.0976926400000004</v>
      </c>
      <c r="H27">
        <f t="shared" si="9"/>
        <v>2.3133192000000005</v>
      </c>
      <c r="I27">
        <f t="shared" si="9"/>
        <v>2.4947559999999998</v>
      </c>
      <c r="J27">
        <f t="shared" si="9"/>
        <v>1.587572</v>
      </c>
      <c r="K27">
        <f t="shared" si="9"/>
        <v>1.7236496000000003</v>
      </c>
    </row>
    <row r="28" spans="1:11" x14ac:dyDescent="0.25">
      <c r="A28" s="2"/>
    </row>
    <row r="29" spans="1:11" x14ac:dyDescent="0.25">
      <c r="A29" s="1" t="s">
        <v>21</v>
      </c>
      <c r="B29" s="1" t="s">
        <v>22</v>
      </c>
      <c r="C29" s="1">
        <f t="shared" ref="C29:K29" si="10">C23*C25</f>
        <v>58.5</v>
      </c>
      <c r="D29" s="1">
        <f t="shared" si="10"/>
        <v>54</v>
      </c>
      <c r="E29" s="1">
        <f t="shared" si="10"/>
        <v>72</v>
      </c>
      <c r="F29" s="1">
        <f t="shared" si="10"/>
        <v>44.95</v>
      </c>
      <c r="G29" s="1">
        <f t="shared" si="10"/>
        <v>42.5</v>
      </c>
      <c r="H29" s="1">
        <f t="shared" si="10"/>
        <v>96.5</v>
      </c>
      <c r="I29" s="1">
        <f t="shared" si="10"/>
        <v>84</v>
      </c>
      <c r="J29" s="1">
        <f t="shared" si="10"/>
        <v>82</v>
      </c>
      <c r="K29" s="1">
        <f t="shared" si="10"/>
        <v>72</v>
      </c>
    </row>
    <row r="30" spans="1:11" x14ac:dyDescent="0.25">
      <c r="A30" s="2"/>
    </row>
    <row r="31" spans="1:11" x14ac:dyDescent="0.25">
      <c r="A31" s="1" t="s">
        <v>38</v>
      </c>
    </row>
    <row r="32" spans="1:11" x14ac:dyDescent="0.25">
      <c r="A32" s="2" t="s">
        <v>30</v>
      </c>
      <c r="B32" t="s">
        <v>31</v>
      </c>
      <c r="C32">
        <v>8.11</v>
      </c>
      <c r="D32">
        <v>6.77</v>
      </c>
      <c r="E32">
        <v>4.6100000000000003</v>
      </c>
      <c r="F32">
        <v>6.19</v>
      </c>
      <c r="G32">
        <v>5.633</v>
      </c>
      <c r="H32">
        <v>1.75</v>
      </c>
      <c r="I32">
        <v>1.6</v>
      </c>
      <c r="J32">
        <v>1.22</v>
      </c>
      <c r="K32">
        <v>0.96699999999999997</v>
      </c>
    </row>
    <row r="34" spans="1:11" x14ac:dyDescent="0.25">
      <c r="A34" t="s">
        <v>58</v>
      </c>
      <c r="B34" t="s">
        <v>29</v>
      </c>
      <c r="C34" s="4">
        <f>191.86/288</f>
        <v>0.66618055555555555</v>
      </c>
      <c r="D34" s="4">
        <f>191.86/288</f>
        <v>0.66618055555555555</v>
      </c>
      <c r="E34" s="4">
        <f>95.26/240</f>
        <v>0.3969166666666667</v>
      </c>
      <c r="F34" s="4">
        <f>401.3/288</f>
        <v>1.3934027777777778</v>
      </c>
      <c r="G34" s="4">
        <f>304.97/288</f>
        <v>1.0589236111111111</v>
      </c>
      <c r="H34" s="4">
        <f>165.47/288</f>
        <v>0.57454861111111111</v>
      </c>
      <c r="I34" s="4">
        <f>543.86/288</f>
        <v>1.8884027777777779</v>
      </c>
      <c r="J34" s="4">
        <f>165.47/288</f>
        <v>0.57454861111111111</v>
      </c>
      <c r="K34" s="4">
        <f>543.86/288</f>
        <v>1.8884027777777779</v>
      </c>
    </row>
    <row r="35" spans="1:11" x14ac:dyDescent="0.25">
      <c r="A35" t="s">
        <v>59</v>
      </c>
      <c r="B35" t="s">
        <v>29</v>
      </c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t="s">
        <v>37</v>
      </c>
      <c r="B36" t="s">
        <v>28</v>
      </c>
      <c r="C36" s="4">
        <f t="shared" ref="C36:K36" si="11">C34*C13</f>
        <v>53.960625</v>
      </c>
      <c r="D36" s="4">
        <f t="shared" si="11"/>
        <v>47.298819444444447</v>
      </c>
      <c r="E36" s="4">
        <f t="shared" si="11"/>
        <v>28.181083333333337</v>
      </c>
      <c r="F36" s="4">
        <f t="shared" si="11"/>
        <v>98.931597222222223</v>
      </c>
      <c r="G36" s="4">
        <f t="shared" si="11"/>
        <v>63.535416666666663</v>
      </c>
      <c r="H36" s="4">
        <f t="shared" si="11"/>
        <v>43.091145833333336</v>
      </c>
      <c r="I36" s="4">
        <f t="shared" si="11"/>
        <v>141.63020833333334</v>
      </c>
      <c r="J36" s="4">
        <f t="shared" si="11"/>
        <v>36.196562499999999</v>
      </c>
      <c r="K36" s="4">
        <f t="shared" si="11"/>
        <v>118.969375</v>
      </c>
    </row>
    <row r="38" spans="1:11" x14ac:dyDescent="0.25">
      <c r="A38" t="s">
        <v>32</v>
      </c>
      <c r="B38" t="s">
        <v>33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</row>
    <row r="39" spans="1:11" x14ac:dyDescent="0.25">
      <c r="A39" t="s">
        <v>34</v>
      </c>
      <c r="B39" t="s">
        <v>33</v>
      </c>
      <c r="C39" s="5">
        <f t="shared" ref="C39:K39" si="12">C38*(C9/(C9+C10+C11))</f>
        <v>444.4444444444444</v>
      </c>
      <c r="D39" s="5">
        <f t="shared" si="12"/>
        <v>409.09090909090912</v>
      </c>
      <c r="E39" s="5">
        <f t="shared" si="12"/>
        <v>409.09090909090912</v>
      </c>
      <c r="F39" s="5">
        <f t="shared" si="12"/>
        <v>409.09090909090912</v>
      </c>
      <c r="G39" s="5">
        <f t="shared" si="12"/>
        <v>409.09090909090912</v>
      </c>
      <c r="H39" s="5">
        <f t="shared" si="12"/>
        <v>409.09090909090912</v>
      </c>
      <c r="I39" s="5">
        <f t="shared" si="12"/>
        <v>409.09090909090912</v>
      </c>
      <c r="J39" s="5">
        <f t="shared" si="12"/>
        <v>406.25</v>
      </c>
      <c r="K39" s="5">
        <f t="shared" si="12"/>
        <v>406.25</v>
      </c>
    </row>
    <row r="41" spans="1:11" x14ac:dyDescent="0.25">
      <c r="A41" t="s">
        <v>45</v>
      </c>
      <c r="B41" t="s">
        <v>23</v>
      </c>
      <c r="C41" s="4">
        <f t="shared" ref="C41:K41" si="13">C20/C21</f>
        <v>1.2829324169530354</v>
      </c>
      <c r="D41" s="4">
        <f t="shared" si="13"/>
        <v>1.285892634207241</v>
      </c>
      <c r="E41" s="4">
        <f t="shared" si="13"/>
        <v>1.2636363636363637</v>
      </c>
      <c r="F41" s="4">
        <f t="shared" si="13"/>
        <v>1.3804878048780487</v>
      </c>
      <c r="G41" s="4">
        <f t="shared" si="13"/>
        <v>1.4298401420959148</v>
      </c>
      <c r="H41" s="4">
        <f t="shared" si="13"/>
        <v>1.3722627737226278</v>
      </c>
      <c r="I41" s="4">
        <f t="shared" si="13"/>
        <v>1.5092592592592593</v>
      </c>
      <c r="J41" s="4">
        <f t="shared" si="13"/>
        <v>1.282258064516129</v>
      </c>
      <c r="K41" s="4">
        <f t="shared" si="13"/>
        <v>1.3762376237623763</v>
      </c>
    </row>
    <row r="42" spans="1:11" x14ac:dyDescent="0.25">
      <c r="A42" t="s">
        <v>46</v>
      </c>
      <c r="B42" t="s">
        <v>23</v>
      </c>
      <c r="C42" s="4">
        <f>LN(C41)</f>
        <v>0.24914840844953792</v>
      </c>
      <c r="D42" s="4">
        <f t="shared" ref="D42:K42" si="14">LN(D41)</f>
        <v>0.25145313415532228</v>
      </c>
      <c r="E42" s="4">
        <f t="shared" si="14"/>
        <v>0.23399356733827556</v>
      </c>
      <c r="F42" s="4">
        <f t="shared" si="14"/>
        <v>0.32243691850482936</v>
      </c>
      <c r="G42" s="4">
        <f t="shared" si="14"/>
        <v>0.35756264927887305</v>
      </c>
      <c r="H42" s="4">
        <f t="shared" si="14"/>
        <v>0.31646103700182437</v>
      </c>
      <c r="I42" s="4">
        <f t="shared" si="14"/>
        <v>0.41161897368254269</v>
      </c>
      <c r="J42" s="4">
        <f t="shared" si="14"/>
        <v>0.24862263661519463</v>
      </c>
      <c r="K42" s="4">
        <f t="shared" si="14"/>
        <v>0.31935341628943237</v>
      </c>
    </row>
    <row r="44" spans="1:11" x14ac:dyDescent="0.25">
      <c r="A44" t="s">
        <v>47</v>
      </c>
      <c r="B44" t="s">
        <v>49</v>
      </c>
      <c r="C44">
        <v>2200</v>
      </c>
      <c r="D44">
        <v>2200</v>
      </c>
      <c r="E44">
        <v>2200</v>
      </c>
      <c r="F44">
        <v>2200</v>
      </c>
      <c r="G44">
        <v>2200</v>
      </c>
      <c r="H44">
        <v>2200</v>
      </c>
      <c r="I44">
        <v>2200</v>
      </c>
      <c r="J44">
        <v>2200</v>
      </c>
      <c r="K44">
        <v>2200</v>
      </c>
    </row>
    <row r="45" spans="1:11" x14ac:dyDescent="0.25">
      <c r="A45" t="s">
        <v>48</v>
      </c>
      <c r="B45" t="s">
        <v>49</v>
      </c>
      <c r="C45" s="5">
        <f>C42*C44</f>
        <v>548.1264985889834</v>
      </c>
      <c r="D45" s="5">
        <f t="shared" ref="D45:K45" si="15">D42*D44</f>
        <v>553.19689514170898</v>
      </c>
      <c r="E45" s="5">
        <f t="shared" si="15"/>
        <v>514.78584814420628</v>
      </c>
      <c r="F45" s="5">
        <f t="shared" si="15"/>
        <v>709.36122071062459</v>
      </c>
      <c r="G45" s="10">
        <f t="shared" si="15"/>
        <v>786.63782841352065</v>
      </c>
      <c r="H45" s="5">
        <f t="shared" si="15"/>
        <v>696.2142814040136</v>
      </c>
      <c r="I45" s="5">
        <f t="shared" si="15"/>
        <v>905.56174210159395</v>
      </c>
      <c r="J45" s="5">
        <f t="shared" si="15"/>
        <v>546.96980055342817</v>
      </c>
      <c r="K45" s="5">
        <f t="shared" si="15"/>
        <v>702.57751583675122</v>
      </c>
    </row>
    <row r="46" spans="1:11" x14ac:dyDescent="0.25">
      <c r="A46" t="s">
        <v>50</v>
      </c>
      <c r="B46" t="s">
        <v>51</v>
      </c>
      <c r="C46" s="6">
        <f>C45/C36</f>
        <v>10.157897514882071</v>
      </c>
      <c r="D46" s="6">
        <f t="shared" ref="D46:K46" si="16">D45/D36</f>
        <v>11.695786525739292</v>
      </c>
      <c r="E46" s="7">
        <f t="shared" si="16"/>
        <v>18.267070930353619</v>
      </c>
      <c r="F46" s="6">
        <f t="shared" si="16"/>
        <v>7.1702190263565901</v>
      </c>
      <c r="G46" s="6">
        <f t="shared" si="16"/>
        <v>12.381091833245563</v>
      </c>
      <c r="H46" s="6">
        <f t="shared" si="16"/>
        <v>16.156782743647863</v>
      </c>
      <c r="I46" s="6">
        <f t="shared" si="16"/>
        <v>6.3938460075573138</v>
      </c>
      <c r="J46" s="6">
        <f t="shared" si="16"/>
        <v>15.111097926866071</v>
      </c>
      <c r="K46" s="6">
        <f t="shared" si="16"/>
        <v>5.9055325442934468</v>
      </c>
    </row>
    <row r="48" spans="1:11" x14ac:dyDescent="0.25">
      <c r="A48" s="1" t="s">
        <v>56</v>
      </c>
    </row>
    <row r="49" spans="1:15" x14ac:dyDescent="0.25">
      <c r="A49" t="s">
        <v>52</v>
      </c>
      <c r="B49" t="s">
        <v>33</v>
      </c>
      <c r="C49">
        <f t="shared" ref="C49:K49" si="17">C38*(C2/2)/C3</f>
        <v>8000</v>
      </c>
      <c r="D49">
        <f t="shared" si="17"/>
        <v>8000</v>
      </c>
      <c r="E49">
        <f t="shared" si="17"/>
        <v>7711.0389610389611</v>
      </c>
      <c r="F49">
        <f t="shared" si="17"/>
        <v>15384.615384615385</v>
      </c>
      <c r="G49">
        <f t="shared" si="17"/>
        <v>20408.163265306121</v>
      </c>
      <c r="H49">
        <f t="shared" si="17"/>
        <v>12000</v>
      </c>
      <c r="I49">
        <f t="shared" si="17"/>
        <v>23076.923076923074</v>
      </c>
      <c r="J49">
        <f t="shared" si="17"/>
        <v>12000</v>
      </c>
      <c r="K49">
        <f t="shared" si="17"/>
        <v>23076.923076923074</v>
      </c>
    </row>
    <row r="50" spans="1:15" x14ac:dyDescent="0.25">
      <c r="A50" t="s">
        <v>53</v>
      </c>
      <c r="B50" t="s">
        <v>33</v>
      </c>
      <c r="C50">
        <f>C49/2</f>
        <v>4000</v>
      </c>
      <c r="D50">
        <f t="shared" ref="D50:K50" si="18">D49/2</f>
        <v>4000</v>
      </c>
      <c r="E50">
        <f t="shared" si="18"/>
        <v>3855.5194805194806</v>
      </c>
      <c r="F50">
        <f t="shared" si="18"/>
        <v>7692.3076923076924</v>
      </c>
      <c r="G50">
        <f t="shared" si="18"/>
        <v>10204.08163265306</v>
      </c>
      <c r="H50">
        <f t="shared" si="18"/>
        <v>6000</v>
      </c>
      <c r="I50">
        <f t="shared" si="18"/>
        <v>11538.461538461537</v>
      </c>
      <c r="J50">
        <f t="shared" si="18"/>
        <v>6000</v>
      </c>
      <c r="K50">
        <f t="shared" si="18"/>
        <v>11538.461538461537</v>
      </c>
    </row>
    <row r="52" spans="1:15" x14ac:dyDescent="0.25">
      <c r="A52" t="s">
        <v>54</v>
      </c>
      <c r="B52" t="s">
        <v>62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</row>
    <row r="53" spans="1:15" x14ac:dyDescent="0.25">
      <c r="B53" t="s">
        <v>22</v>
      </c>
      <c r="C53" s="6">
        <f>C52*0.22480894387</f>
        <v>22.480894386999999</v>
      </c>
      <c r="D53" s="6">
        <f t="shared" ref="D53:K53" si="19">D52*0.22480894387</f>
        <v>22.480894386999999</v>
      </c>
      <c r="E53" s="6">
        <f t="shared" si="19"/>
        <v>22.480894386999999</v>
      </c>
      <c r="F53" s="6">
        <f t="shared" si="19"/>
        <v>22.480894386999999</v>
      </c>
      <c r="G53" s="6">
        <f t="shared" si="19"/>
        <v>22.480894386999999</v>
      </c>
      <c r="H53" s="6">
        <f t="shared" si="19"/>
        <v>22.480894386999999</v>
      </c>
      <c r="I53" s="6">
        <f t="shared" si="19"/>
        <v>22.480894386999999</v>
      </c>
      <c r="J53" s="6">
        <f t="shared" si="19"/>
        <v>22.480894386999999</v>
      </c>
      <c r="K53" s="6">
        <f t="shared" si="19"/>
        <v>22.480894386999999</v>
      </c>
    </row>
    <row r="54" spans="1:15" x14ac:dyDescent="0.25">
      <c r="A54" t="s">
        <v>63</v>
      </c>
      <c r="B54" t="s">
        <v>64</v>
      </c>
      <c r="C54" s="6">
        <f>((C2/2)^2*PI())-((C4/2)^2*PI())</f>
        <v>0.73631077818510793</v>
      </c>
      <c r="D54" s="6">
        <f t="shared" ref="D54:K54" si="20">((D2/2)^2*PI())-((D4/2)^2*PI())</f>
        <v>0.73631077818510793</v>
      </c>
      <c r="E54" s="6">
        <f t="shared" si="20"/>
        <v>1.0745315016779302</v>
      </c>
      <c r="F54" s="6">
        <f t="shared" si="20"/>
        <v>0.39513381600525577</v>
      </c>
      <c r="G54" s="6">
        <f t="shared" si="20"/>
        <v>0.30033311609053115</v>
      </c>
      <c r="H54" s="6">
        <f t="shared" si="20"/>
        <v>1.1290098598838316</v>
      </c>
      <c r="I54" s="6">
        <f t="shared" si="20"/>
        <v>0.59933733848859294</v>
      </c>
      <c r="J54" s="6">
        <f t="shared" si="20"/>
        <v>1.1290098598838316</v>
      </c>
      <c r="K54" s="6">
        <f t="shared" si="20"/>
        <v>0.59933733848859294</v>
      </c>
    </row>
    <row r="55" spans="1:15" x14ac:dyDescent="0.25">
      <c r="A55" t="s">
        <v>65</v>
      </c>
      <c r="B55" t="s">
        <v>33</v>
      </c>
      <c r="C55" s="6">
        <f>C53/C54</f>
        <v>30.531801316846025</v>
      </c>
      <c r="D55" s="6">
        <f t="shared" ref="D55:K55" si="21">D53/D54</f>
        <v>30.531801316846025</v>
      </c>
      <c r="E55" s="6">
        <f t="shared" si="21"/>
        <v>20.921577777752493</v>
      </c>
      <c r="F55" s="6">
        <f t="shared" si="21"/>
        <v>56.894382298833605</v>
      </c>
      <c r="G55" s="6">
        <f t="shared" si="21"/>
        <v>74.853198607054225</v>
      </c>
      <c r="H55" s="6">
        <f t="shared" si="21"/>
        <v>19.912044337073503</v>
      </c>
      <c r="I55" s="6">
        <f t="shared" si="21"/>
        <v>37.509584241309327</v>
      </c>
      <c r="J55" s="6">
        <f t="shared" si="21"/>
        <v>19.912044337073503</v>
      </c>
      <c r="K55" s="6">
        <f t="shared" si="21"/>
        <v>37.509584241309327</v>
      </c>
    </row>
    <row r="56" spans="1:15" ht="15.75" thickBot="1" x14ac:dyDescent="0.3">
      <c r="C56" s="6"/>
      <c r="D56" s="6"/>
      <c r="E56" s="6"/>
      <c r="F56" s="6"/>
      <c r="G56" s="6"/>
      <c r="H56" s="6"/>
      <c r="I56" s="6"/>
      <c r="J56" s="6"/>
      <c r="K56" s="6"/>
    </row>
    <row r="57" spans="1:15" ht="15.75" thickBot="1" x14ac:dyDescent="0.3">
      <c r="A57" t="s">
        <v>55</v>
      </c>
      <c r="B57" t="s">
        <v>33</v>
      </c>
      <c r="C57" s="5">
        <f>SQRT((C49-(C50+C55))^2+(C50+C55)^2+(-C49)^2)</f>
        <v>9798.0541120052658</v>
      </c>
      <c r="D57" s="5">
        <f t="shared" ref="D57:K57" si="22">SQRT((D49-(D50+D55))^2+(D50+D55)^2+(-D49)^2)</f>
        <v>9798.0541120052658</v>
      </c>
      <c r="E57" s="5">
        <f t="shared" si="22"/>
        <v>9444.1017684491653</v>
      </c>
      <c r="F57" s="5">
        <f t="shared" si="22"/>
        <v>18842.400583266743</v>
      </c>
      <c r="G57" s="5">
        <f t="shared" si="22"/>
        <v>24995.017459441166</v>
      </c>
      <c r="H57" s="5">
        <f t="shared" si="22"/>
        <v>14696.965434368394</v>
      </c>
      <c r="I57" s="5">
        <f t="shared" si="22"/>
        <v>28263.392966612431</v>
      </c>
      <c r="J57" s="5">
        <f t="shared" si="22"/>
        <v>14696.965434368394</v>
      </c>
      <c r="K57" s="5">
        <f t="shared" si="22"/>
        <v>28263.392966612431</v>
      </c>
      <c r="M57" s="3">
        <v>3.7509238730000001E-4</v>
      </c>
      <c r="N57" t="s">
        <v>35</v>
      </c>
    </row>
    <row r="58" spans="1:15" ht="15.75" thickBot="1" x14ac:dyDescent="0.3">
      <c r="A58" s="1" t="s">
        <v>83</v>
      </c>
      <c r="M58" s="3">
        <v>6.2000371819999995E-4</v>
      </c>
      <c r="N58">
        <f>M58/M57</f>
        <v>1.6529360210771731</v>
      </c>
    </row>
    <row r="59" spans="1:15" x14ac:dyDescent="0.25">
      <c r="A59" t="s">
        <v>57</v>
      </c>
      <c r="B59" t="s">
        <v>33</v>
      </c>
      <c r="C59">
        <v>35000</v>
      </c>
      <c r="D59">
        <v>35000</v>
      </c>
      <c r="E59">
        <v>35000</v>
      </c>
      <c r="F59">
        <v>35000</v>
      </c>
      <c r="G59">
        <v>35000</v>
      </c>
      <c r="H59">
        <v>35000</v>
      </c>
      <c r="I59">
        <v>35000</v>
      </c>
      <c r="J59">
        <v>35000</v>
      </c>
      <c r="K59">
        <v>35000</v>
      </c>
    </row>
    <row r="60" spans="1:15" x14ac:dyDescent="0.25">
      <c r="A60" t="s">
        <v>66</v>
      </c>
      <c r="B60" t="s">
        <v>23</v>
      </c>
      <c r="C60" s="12">
        <f>C59/C57</f>
        <v>3.5721378551191645</v>
      </c>
      <c r="D60" s="12">
        <f t="shared" ref="D60:K60" si="23">D59/D57</f>
        <v>3.5721378551191645</v>
      </c>
      <c r="E60" s="12">
        <f t="shared" si="23"/>
        <v>3.7060168196119956</v>
      </c>
      <c r="F60" s="12">
        <f t="shared" si="23"/>
        <v>1.8575127858751841</v>
      </c>
      <c r="G60" s="12">
        <f t="shared" si="23"/>
        <v>1.4002790778919714</v>
      </c>
      <c r="H60" s="12">
        <f t="shared" si="23"/>
        <v>2.3814439896656214</v>
      </c>
      <c r="I60" s="12">
        <f t="shared" si="23"/>
        <v>1.2383509666141475</v>
      </c>
      <c r="J60" s="12">
        <f t="shared" si="23"/>
        <v>2.3814439896656214</v>
      </c>
      <c r="K60" s="12">
        <f t="shared" si="23"/>
        <v>1.2383509666141475</v>
      </c>
      <c r="O60">
        <f>7*N58</f>
        <v>11.570552147540212</v>
      </c>
    </row>
    <row r="62" spans="1:15" x14ac:dyDescent="0.25">
      <c r="A62" t="s">
        <v>60</v>
      </c>
    </row>
    <row r="64" spans="1:15" x14ac:dyDescent="0.25">
      <c r="A64" s="1" t="s">
        <v>67</v>
      </c>
    </row>
    <row r="65" spans="1:11" x14ac:dyDescent="0.25">
      <c r="A65" t="s">
        <v>68</v>
      </c>
      <c r="B65" t="s">
        <v>69</v>
      </c>
      <c r="C65">
        <v>26400</v>
      </c>
      <c r="D65">
        <v>26400</v>
      </c>
      <c r="E65">
        <v>26400</v>
      </c>
      <c r="F65">
        <v>26400</v>
      </c>
      <c r="G65">
        <v>26400</v>
      </c>
      <c r="H65">
        <v>26400</v>
      </c>
      <c r="I65">
        <v>26400</v>
      </c>
      <c r="J65">
        <v>26400</v>
      </c>
      <c r="K65">
        <v>26400</v>
      </c>
    </row>
    <row r="66" spans="1:11" x14ac:dyDescent="0.25">
      <c r="A66" t="s">
        <v>70</v>
      </c>
      <c r="B66" t="s">
        <v>15</v>
      </c>
      <c r="C66" s="13">
        <f>(C65/C57)^2/PI()</f>
        <v>2.3108848948224328</v>
      </c>
      <c r="D66" s="13">
        <f t="shared" ref="D66:K66" si="24">(D65/D57)^2/PI()</f>
        <v>2.3108848948224328</v>
      </c>
      <c r="E66" s="13">
        <f t="shared" si="24"/>
        <v>2.4873486504138747</v>
      </c>
      <c r="F66" s="13">
        <f t="shared" si="24"/>
        <v>0.62486401645212497</v>
      </c>
      <c r="G66" s="13">
        <f t="shared" si="24"/>
        <v>0.35510034328348755</v>
      </c>
      <c r="H66" s="13">
        <f t="shared" si="24"/>
        <v>1.0270761288186727</v>
      </c>
      <c r="I66" s="13">
        <f t="shared" si="24"/>
        <v>0.27772142649234943</v>
      </c>
      <c r="J66" s="13">
        <f t="shared" si="24"/>
        <v>1.0270761288186727</v>
      </c>
      <c r="K66" s="13">
        <f t="shared" si="24"/>
        <v>0.27772142649234943</v>
      </c>
    </row>
    <row r="67" spans="1:11" x14ac:dyDescent="0.25">
      <c r="A67" t="s">
        <v>71</v>
      </c>
      <c r="B67" t="s">
        <v>23</v>
      </c>
      <c r="C67" s="12">
        <f>C66/C3</f>
        <v>18.487079158579462</v>
      </c>
      <c r="D67" s="12">
        <f t="shared" ref="D67:K67" si="25">D66/D3</f>
        <v>18.487079158579462</v>
      </c>
      <c r="E67" s="12">
        <f t="shared" si="25"/>
        <v>16.151614613077108</v>
      </c>
      <c r="F67" s="12">
        <f t="shared" si="25"/>
        <v>9.6132925608019217</v>
      </c>
      <c r="G67" s="12">
        <f t="shared" si="25"/>
        <v>7.2469457812956639</v>
      </c>
      <c r="H67" s="12">
        <f t="shared" si="25"/>
        <v>8.2166090305493817</v>
      </c>
      <c r="I67" s="12">
        <f t="shared" si="25"/>
        <v>4.2726373306515297</v>
      </c>
      <c r="J67" s="12">
        <f t="shared" si="25"/>
        <v>8.2166090305493817</v>
      </c>
      <c r="K67" s="12">
        <f t="shared" si="25"/>
        <v>4.2726373306515297</v>
      </c>
    </row>
  </sheetData>
  <conditionalFormatting sqref="C46:K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K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7DBF-DD94-46E5-930E-19FA5F483502}">
  <dimension ref="A1:G14"/>
  <sheetViews>
    <sheetView workbookViewId="0">
      <selection activeCell="C13" sqref="C13"/>
    </sheetView>
  </sheetViews>
  <sheetFormatPr defaultRowHeight="15" x14ac:dyDescent="0.25"/>
  <cols>
    <col min="1" max="1" width="11" bestFit="1" customWidth="1"/>
  </cols>
  <sheetData>
    <row r="1" spans="1:7" x14ac:dyDescent="0.25">
      <c r="A1" s="1" t="s">
        <v>73</v>
      </c>
    </row>
    <row r="2" spans="1:7" x14ac:dyDescent="0.25">
      <c r="B2" t="s">
        <v>72</v>
      </c>
      <c r="C2" s="7">
        <v>0.25</v>
      </c>
      <c r="D2" s="7">
        <f>3/8</f>
        <v>0.375</v>
      </c>
      <c r="E2" s="7">
        <v>0.5</v>
      </c>
      <c r="F2" s="7">
        <f>3/4</f>
        <v>0.75</v>
      </c>
      <c r="G2" s="7">
        <v>1</v>
      </c>
    </row>
    <row r="3" spans="1:7" x14ac:dyDescent="0.25">
      <c r="B3" s="1">
        <v>0.25</v>
      </c>
      <c r="C3" s="6">
        <f>((C2/2)^2-($B3/2)^2)/($B3/2)^2</f>
        <v>0</v>
      </c>
      <c r="D3" s="6">
        <f t="shared" ref="D3:G3" si="0">((D2/2)^2-($B3/2)^2)/($B3/2)^2</f>
        <v>1.25</v>
      </c>
      <c r="E3" s="6">
        <f t="shared" si="0"/>
        <v>3</v>
      </c>
      <c r="F3" s="6">
        <f t="shared" si="0"/>
        <v>8</v>
      </c>
      <c r="G3" s="6">
        <f t="shared" si="0"/>
        <v>15</v>
      </c>
    </row>
    <row r="4" spans="1:7" x14ac:dyDescent="0.25">
      <c r="B4" s="1">
        <f>3/8</f>
        <v>0.375</v>
      </c>
      <c r="C4" s="6"/>
      <c r="D4" s="6">
        <f>((D2/2)^2-($B4/2)^2)/($B4/2)^2</f>
        <v>0</v>
      </c>
      <c r="E4" s="6">
        <f t="shared" ref="E4:G4" si="1">((E2/2)^2-($B4/2)^2)/($B4/2)^2</f>
        <v>0.77777777777777779</v>
      </c>
      <c r="F4" s="6">
        <f t="shared" si="1"/>
        <v>3</v>
      </c>
      <c r="G4" s="6">
        <f t="shared" si="1"/>
        <v>6.1111111111111107</v>
      </c>
    </row>
    <row r="5" spans="1:7" x14ac:dyDescent="0.25">
      <c r="B5" s="1">
        <v>0.5</v>
      </c>
      <c r="C5" s="6"/>
      <c r="D5" s="6"/>
      <c r="E5" s="6">
        <f>((E2/2)^2-($B5/2)^2)/($B5/2)^2</f>
        <v>0</v>
      </c>
      <c r="F5" s="6">
        <f t="shared" ref="F5:G5" si="2">((F2/2)^2-($B5/2)^2)/($B5/2)^2</f>
        <v>1.25</v>
      </c>
      <c r="G5" s="6">
        <f t="shared" si="2"/>
        <v>3</v>
      </c>
    </row>
    <row r="6" spans="1:7" x14ac:dyDescent="0.25">
      <c r="B6" s="1">
        <f>3/4</f>
        <v>0.75</v>
      </c>
      <c r="C6" s="6"/>
      <c r="D6" s="6"/>
      <c r="E6" s="6"/>
      <c r="F6" s="6">
        <f>((F2/2)^2-($B6/2)^2)/($B6/2)^2</f>
        <v>0</v>
      </c>
      <c r="G6" s="6">
        <f>((G2/2)^2-($B6/2)^2)/($B6/2)^2</f>
        <v>0.77777777777777779</v>
      </c>
    </row>
    <row r="7" spans="1:7" x14ac:dyDescent="0.25">
      <c r="B7" s="1">
        <v>1</v>
      </c>
      <c r="C7" s="6"/>
      <c r="D7" s="6"/>
      <c r="E7" s="6"/>
      <c r="F7" s="6"/>
      <c r="G7" s="6">
        <v>0</v>
      </c>
    </row>
    <row r="10" spans="1:7" x14ac:dyDescent="0.25">
      <c r="A10" t="s">
        <v>74</v>
      </c>
    </row>
    <row r="11" spans="1:7" x14ac:dyDescent="0.25">
      <c r="A11" t="s">
        <v>75</v>
      </c>
      <c r="B11" t="s">
        <v>15</v>
      </c>
      <c r="C11" t="s">
        <v>76</v>
      </c>
    </row>
    <row r="12" spans="1:7" x14ac:dyDescent="0.25">
      <c r="A12" t="s">
        <v>77</v>
      </c>
      <c r="B12" t="s">
        <v>15</v>
      </c>
      <c r="C12" t="s">
        <v>78</v>
      </c>
    </row>
    <row r="13" spans="1:7" x14ac:dyDescent="0.25">
      <c r="A13" t="s">
        <v>79</v>
      </c>
      <c r="C13" t="s">
        <v>82</v>
      </c>
    </row>
    <row r="14" spans="1:7" x14ac:dyDescent="0.25">
      <c r="A14" t="s">
        <v>80</v>
      </c>
      <c r="C14" s="14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 Sizing</vt:lpstr>
      <vt:lpstr>Misc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2021-10-08T22:14:49Z</dcterms:modified>
</cp:coreProperties>
</file>