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cholli/Git/BugWiper2_0/Hardware/"/>
    </mc:Choice>
  </mc:AlternateContent>
  <xr:revisionPtr revIDLastSave="0" documentId="13_ncr:1_{4D22AB1E-C2FD-3444-96B5-7D1B0468674D}" xr6:coauthVersionLast="47" xr6:coauthVersionMax="47" xr10:uidLastSave="{00000000-0000-0000-0000-000000000000}"/>
  <bookViews>
    <workbookView xWindow="640" yWindow="500" windowWidth="24500" windowHeight="17500" xr2:uid="{00000000-000D-0000-FFFF-FFFF00000000}"/>
  </bookViews>
  <sheets>
    <sheet name="Blat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  <c r="O30" i="1"/>
  <c r="P30" i="1"/>
  <c r="Q30" i="1"/>
  <c r="R30" i="1"/>
  <c r="S30" i="1"/>
  <c r="T30" i="1"/>
  <c r="U30" i="1"/>
  <c r="U23" i="1"/>
  <c r="T23" i="1"/>
  <c r="S23" i="1"/>
  <c r="R23" i="1"/>
  <c r="Q23" i="1"/>
  <c r="P23" i="1"/>
  <c r="O23" i="1"/>
  <c r="N23" i="1"/>
  <c r="K6" i="1"/>
  <c r="D6" i="1"/>
  <c r="D24" i="1"/>
  <c r="D25" i="1"/>
  <c r="T6" i="1"/>
  <c r="R6" i="1"/>
  <c r="P6" i="1"/>
  <c r="N6" i="1"/>
  <c r="L4" i="1"/>
  <c r="N4" i="1" s="1"/>
  <c r="K4" i="1"/>
  <c r="U4" i="1" s="1"/>
  <c r="D4" i="1"/>
  <c r="K25" i="1"/>
  <c r="U25" i="1" s="1"/>
  <c r="K24" i="1"/>
  <c r="Q24" i="1" s="1"/>
  <c r="L25" i="1"/>
  <c r="T25" i="1" s="1"/>
  <c r="L24" i="1"/>
  <c r="T24" i="1" s="1"/>
  <c r="U43" i="1"/>
  <c r="T43" i="1"/>
  <c r="S43" i="1"/>
  <c r="R43" i="1"/>
  <c r="Q43" i="1"/>
  <c r="P43" i="1"/>
  <c r="O43" i="1"/>
  <c r="N43" i="1"/>
  <c r="U42" i="1"/>
  <c r="T42" i="1"/>
  <c r="S42" i="1"/>
  <c r="R42" i="1"/>
  <c r="Q42" i="1"/>
  <c r="P42" i="1"/>
  <c r="O42" i="1"/>
  <c r="N42" i="1"/>
  <c r="U18" i="1"/>
  <c r="T18" i="1"/>
  <c r="S18" i="1"/>
  <c r="R18" i="1"/>
  <c r="Q18" i="1"/>
  <c r="P18" i="1"/>
  <c r="O18" i="1"/>
  <c r="N18" i="1"/>
  <c r="M7" i="1"/>
  <c r="M17" i="1"/>
  <c r="U7" i="1"/>
  <c r="T7" i="1"/>
  <c r="S7" i="1"/>
  <c r="R7" i="1"/>
  <c r="Q7" i="1"/>
  <c r="P7" i="1"/>
  <c r="O7" i="1"/>
  <c r="N7" i="1"/>
  <c r="U17" i="1"/>
  <c r="T17" i="1"/>
  <c r="S17" i="1"/>
  <c r="R17" i="1"/>
  <c r="Q17" i="1"/>
  <c r="P17" i="1"/>
  <c r="O17" i="1"/>
  <c r="N17" i="1"/>
  <c r="U21" i="1"/>
  <c r="T21" i="1"/>
  <c r="S21" i="1"/>
  <c r="R21" i="1"/>
  <c r="Q21" i="1"/>
  <c r="P21" i="1"/>
  <c r="O21" i="1"/>
  <c r="N21" i="1"/>
  <c r="N32" i="1"/>
  <c r="O32" i="1"/>
  <c r="P32" i="1"/>
  <c r="Q32" i="1"/>
  <c r="R32" i="1"/>
  <c r="S32" i="1"/>
  <c r="T32" i="1"/>
  <c r="U32" i="1"/>
  <c r="N33" i="1"/>
  <c r="O33" i="1"/>
  <c r="P33" i="1"/>
  <c r="Q33" i="1"/>
  <c r="R33" i="1"/>
  <c r="S33" i="1"/>
  <c r="T33" i="1"/>
  <c r="U33" i="1"/>
  <c r="N8" i="1"/>
  <c r="O8" i="1"/>
  <c r="P8" i="1"/>
  <c r="Q8" i="1"/>
  <c r="R8" i="1"/>
  <c r="S8" i="1"/>
  <c r="T8" i="1"/>
  <c r="U8" i="1"/>
  <c r="N12" i="1"/>
  <c r="O12" i="1"/>
  <c r="P12" i="1"/>
  <c r="Q12" i="1"/>
  <c r="R12" i="1"/>
  <c r="S12" i="1"/>
  <c r="T12" i="1"/>
  <c r="U12" i="1"/>
  <c r="N20" i="1"/>
  <c r="O20" i="1"/>
  <c r="P20" i="1"/>
  <c r="Q20" i="1"/>
  <c r="R20" i="1"/>
  <c r="S20" i="1"/>
  <c r="T20" i="1"/>
  <c r="U20" i="1"/>
  <c r="N26" i="1"/>
  <c r="O26" i="1"/>
  <c r="P26" i="1"/>
  <c r="Q26" i="1"/>
  <c r="R26" i="1"/>
  <c r="S26" i="1"/>
  <c r="T26" i="1"/>
  <c r="U26" i="1"/>
  <c r="N34" i="1"/>
  <c r="O34" i="1"/>
  <c r="P34" i="1"/>
  <c r="Q34" i="1"/>
  <c r="R34" i="1"/>
  <c r="S34" i="1"/>
  <c r="T34" i="1"/>
  <c r="U34" i="1"/>
  <c r="N9" i="1"/>
  <c r="O9" i="1"/>
  <c r="P9" i="1"/>
  <c r="Q9" i="1"/>
  <c r="R9" i="1"/>
  <c r="S9" i="1"/>
  <c r="T9" i="1"/>
  <c r="U9" i="1"/>
  <c r="N35" i="1"/>
  <c r="O35" i="1"/>
  <c r="P35" i="1"/>
  <c r="Q35" i="1"/>
  <c r="R35" i="1"/>
  <c r="S35" i="1"/>
  <c r="T35" i="1"/>
  <c r="U35" i="1"/>
  <c r="N44" i="1"/>
  <c r="O44" i="1"/>
  <c r="P44" i="1"/>
  <c r="Q44" i="1"/>
  <c r="R44" i="1"/>
  <c r="S44" i="1"/>
  <c r="T44" i="1"/>
  <c r="U44" i="1"/>
  <c r="N36" i="1"/>
  <c r="O36" i="1"/>
  <c r="P36" i="1"/>
  <c r="Q36" i="1"/>
  <c r="R36" i="1"/>
  <c r="S36" i="1"/>
  <c r="T36" i="1"/>
  <c r="U36" i="1"/>
  <c r="N13" i="1"/>
  <c r="O13" i="1"/>
  <c r="P13" i="1"/>
  <c r="Q13" i="1"/>
  <c r="R13" i="1"/>
  <c r="S13" i="1"/>
  <c r="T13" i="1"/>
  <c r="U13" i="1"/>
  <c r="N14" i="1"/>
  <c r="O14" i="1"/>
  <c r="P14" i="1"/>
  <c r="Q14" i="1"/>
  <c r="R14" i="1"/>
  <c r="S14" i="1"/>
  <c r="T14" i="1"/>
  <c r="U14" i="1"/>
  <c r="N22" i="1"/>
  <c r="O22" i="1"/>
  <c r="P22" i="1"/>
  <c r="Q22" i="1"/>
  <c r="R22" i="1"/>
  <c r="S22" i="1"/>
  <c r="T22" i="1"/>
  <c r="U22" i="1"/>
  <c r="N37" i="1"/>
  <c r="O37" i="1"/>
  <c r="P37" i="1"/>
  <c r="Q37" i="1"/>
  <c r="R37" i="1"/>
  <c r="S37" i="1"/>
  <c r="T37" i="1"/>
  <c r="U37" i="1"/>
  <c r="N27" i="1"/>
  <c r="O27" i="1"/>
  <c r="P27" i="1"/>
  <c r="Q27" i="1"/>
  <c r="R27" i="1"/>
  <c r="S27" i="1"/>
  <c r="T27" i="1"/>
  <c r="U27" i="1"/>
  <c r="N38" i="1"/>
  <c r="O38" i="1"/>
  <c r="P38" i="1"/>
  <c r="Q38" i="1"/>
  <c r="R38" i="1"/>
  <c r="S38" i="1"/>
  <c r="T38" i="1"/>
  <c r="U38" i="1"/>
  <c r="N11" i="1"/>
  <c r="O11" i="1"/>
  <c r="P11" i="1"/>
  <c r="Q11" i="1"/>
  <c r="R11" i="1"/>
  <c r="S11" i="1"/>
  <c r="T11" i="1"/>
  <c r="U11" i="1"/>
  <c r="N10" i="1"/>
  <c r="O10" i="1"/>
  <c r="P10" i="1"/>
  <c r="Q10" i="1"/>
  <c r="R10" i="1"/>
  <c r="S10" i="1"/>
  <c r="T10" i="1"/>
  <c r="U10" i="1"/>
  <c r="N39" i="1"/>
  <c r="O39" i="1"/>
  <c r="P39" i="1"/>
  <c r="Q39" i="1"/>
  <c r="R39" i="1"/>
  <c r="S39" i="1"/>
  <c r="T39" i="1"/>
  <c r="U39" i="1"/>
  <c r="N16" i="1"/>
  <c r="O16" i="1"/>
  <c r="P16" i="1"/>
  <c r="Q16" i="1"/>
  <c r="R16" i="1"/>
  <c r="S16" i="1"/>
  <c r="T16" i="1"/>
  <c r="U16" i="1"/>
  <c r="N5" i="1"/>
  <c r="O5" i="1"/>
  <c r="P5" i="1"/>
  <c r="Q5" i="1"/>
  <c r="R5" i="1"/>
  <c r="S5" i="1"/>
  <c r="T5" i="1"/>
  <c r="U5" i="1"/>
  <c r="N41" i="1"/>
  <c r="O41" i="1"/>
  <c r="P41" i="1"/>
  <c r="Q41" i="1"/>
  <c r="R41" i="1"/>
  <c r="S41" i="1"/>
  <c r="T41" i="1"/>
  <c r="U41" i="1"/>
  <c r="N28" i="1"/>
  <c r="O28" i="1"/>
  <c r="P28" i="1"/>
  <c r="Q28" i="1"/>
  <c r="R28" i="1"/>
  <c r="S28" i="1"/>
  <c r="T28" i="1"/>
  <c r="U28" i="1"/>
  <c r="N29" i="1"/>
  <c r="O29" i="1"/>
  <c r="P29" i="1"/>
  <c r="Q29" i="1"/>
  <c r="R29" i="1"/>
  <c r="S29" i="1"/>
  <c r="T29" i="1"/>
  <c r="U29" i="1"/>
  <c r="N40" i="1"/>
  <c r="O40" i="1"/>
  <c r="P40" i="1"/>
  <c r="Q40" i="1"/>
  <c r="R40" i="1"/>
  <c r="S40" i="1"/>
  <c r="T40" i="1"/>
  <c r="U40" i="1"/>
  <c r="N19" i="1"/>
  <c r="O19" i="1"/>
  <c r="P19" i="1"/>
  <c r="Q19" i="1"/>
  <c r="R19" i="1"/>
  <c r="S19" i="1"/>
  <c r="T19" i="1"/>
  <c r="U19" i="1"/>
  <c r="N15" i="1"/>
  <c r="O15" i="1"/>
  <c r="P15" i="1"/>
  <c r="Q15" i="1"/>
  <c r="R15" i="1"/>
  <c r="S15" i="1"/>
  <c r="T15" i="1"/>
  <c r="U15" i="1"/>
  <c r="N31" i="1"/>
  <c r="O31" i="1"/>
  <c r="P31" i="1"/>
  <c r="Q31" i="1"/>
  <c r="R31" i="1"/>
  <c r="S31" i="1"/>
  <c r="T31" i="1"/>
  <c r="U31" i="1"/>
  <c r="R25" i="1" l="1"/>
  <c r="P25" i="1"/>
  <c r="N25" i="1"/>
  <c r="O25" i="1"/>
  <c r="S25" i="1"/>
  <c r="O24" i="1"/>
  <c r="O4" i="1"/>
  <c r="Q6" i="1"/>
  <c r="O6" i="1"/>
  <c r="S6" i="1"/>
  <c r="U6" i="1"/>
  <c r="P4" i="1"/>
  <c r="R4" i="1"/>
  <c r="T4" i="1"/>
  <c r="Q4" i="1"/>
  <c r="S4" i="1"/>
  <c r="N24" i="1"/>
  <c r="S24" i="1"/>
  <c r="Q25" i="1"/>
  <c r="U24" i="1"/>
  <c r="P24" i="1"/>
  <c r="R24" i="1"/>
</calcChain>
</file>

<file path=xl/sharedStrings.xml><?xml version="1.0" encoding="utf-8"?>
<sst xmlns="http://schemas.openxmlformats.org/spreadsheetml/2006/main" count="140" uniqueCount="100">
  <si>
    <t>Name</t>
  </si>
  <si>
    <t>Gear Ratio n:1</t>
  </si>
  <si>
    <t>RPM no load</t>
  </si>
  <si>
    <t>RPM rated load</t>
  </si>
  <si>
    <t>Torque kg*cm</t>
  </si>
  <si>
    <t>stall Tourque kg*cm</t>
  </si>
  <si>
    <t>Force kg</t>
  </si>
  <si>
    <t>t in s for 14m</t>
  </si>
  <si>
    <t xml:space="preserve">Force kg </t>
  </si>
  <si>
    <t>link</t>
  </si>
  <si>
    <t>Modelcraft RB350018-2A723R</t>
  </si>
  <si>
    <t>Modelcraft RB350050-22723R</t>
  </si>
  <si>
    <t>MFA 919D1481</t>
  </si>
  <si>
    <t>MFA 919D1001</t>
  </si>
  <si>
    <t>MFA 919D501</t>
  </si>
  <si>
    <t>MFA 919D301LN</t>
  </si>
  <si>
    <t>MFA 950D501</t>
  </si>
  <si>
    <t>MFA 970D1561</t>
  </si>
  <si>
    <t>MFA 970D471</t>
  </si>
  <si>
    <t>MFA 980D471</t>
  </si>
  <si>
    <t>VT-P-T37A-12-100</t>
  </si>
  <si>
    <t>PO4844</t>
  </si>
  <si>
    <t>Bringsmart</t>
  </si>
  <si>
    <t>‎Walfrontoz6m9wr354-05</t>
  </si>
  <si>
    <t>NFP-GM37-545-EN   12V DC,  19W</t>
  </si>
  <si>
    <t>GA37RG24i</t>
  </si>
  <si>
    <t>Force kg2</t>
  </si>
  <si>
    <t>t in s for 14m3</t>
  </si>
  <si>
    <t>t in s for 14m4</t>
  </si>
  <si>
    <t>Force kg 5</t>
  </si>
  <si>
    <t>t in s for 14m6</t>
  </si>
  <si>
    <t>Pololu 4752 50% stall current</t>
  </si>
  <si>
    <t>Encoder</t>
  </si>
  <si>
    <t>MFA 950D301LN</t>
  </si>
  <si>
    <t>Pololu 4752 peak eff</t>
  </si>
  <si>
    <t>Pololu 4753 peak eff</t>
  </si>
  <si>
    <t>Pololu 4753 50% stall</t>
  </si>
  <si>
    <t>https://www.servonaut.de/shop/de/product_info.php?info=p604_getriebemotor-gm32u360.html</t>
  </si>
  <si>
    <t>GM32U360</t>
  </si>
  <si>
    <t>GM32U360 peak</t>
  </si>
  <si>
    <t>GM32U280</t>
  </si>
  <si>
    <t>GM32U280 peak</t>
  </si>
  <si>
    <r>
      <rPr>
        <u/>
        <sz val="10"/>
        <color indexed="8"/>
        <rFont val="Calibri"/>
        <family val="2"/>
        <scheme val="minor"/>
      </rPr>
      <t>https://www.conrad.de/de/p/modelcraft-rb350018-2a723r-hochleistungsgetriebemotor-12-v-18-1-233131.html</t>
    </r>
  </si>
  <si>
    <r>
      <rPr>
        <u/>
        <sz val="10"/>
        <color indexed="8"/>
        <rFont val="Calibri"/>
        <family val="2"/>
        <scheme val="minor"/>
      </rPr>
      <t>https://www.mfacomodrills.com/pdfs/919D-series.pdf</t>
    </r>
  </si>
  <si>
    <r>
      <rPr>
        <u/>
        <sz val="10"/>
        <color indexed="8"/>
        <rFont val="Calibri"/>
        <family val="2"/>
        <scheme val="minor"/>
      </rPr>
      <t>https://www.mfacomodrills.com/pdfs/950D-series.pdf</t>
    </r>
  </si>
  <si>
    <r>
      <rPr>
        <u/>
        <sz val="10"/>
        <color indexed="8"/>
        <rFont val="Calibri"/>
        <family val="2"/>
        <scheme val="minor"/>
      </rPr>
      <t>https://www.mfacomodrills.com/pdfs/950DLN-series.pdf</t>
    </r>
  </si>
  <si>
    <r>
      <rPr>
        <u/>
        <sz val="10"/>
        <color indexed="8"/>
        <rFont val="Calibri"/>
        <family val="2"/>
        <scheme val="minor"/>
      </rPr>
      <t>https://www.mfacomodrills.com/pdfs/970D-series.pdf</t>
    </r>
  </si>
  <si>
    <r>
      <rPr>
        <u/>
        <sz val="10"/>
        <color indexed="8"/>
        <rFont val="Calibri"/>
        <family val="2"/>
        <scheme val="minor"/>
      </rPr>
      <t>https://eckstein-shop.de/V-TEC12V6mmAntriebwelleDCMotorGleichstromSchneckengetriebemotor100RPM</t>
    </r>
  </si>
  <si>
    <r>
      <rPr>
        <u/>
        <sz val="10"/>
        <color indexed="8"/>
        <rFont val="Calibri"/>
        <family val="2"/>
        <scheme val="minor"/>
      </rPr>
      <t>https://eckstein-shop.de/Pololu-341-Metal-Gearmotor-25Dx67L-mm-HP-12V-with-48-CPR-Encoder</t>
    </r>
  </si>
  <si>
    <r>
      <rPr>
        <u/>
        <sz val="10"/>
        <color indexed="8"/>
        <rFont val="Calibri"/>
        <family val="2"/>
        <scheme val="minor"/>
      </rPr>
      <t>https://eckstein-shop.de/Pololu-301-Metal-Gearmotor-37Dx68L-mm-12V-with-64CPR-EncoderHelical-Pinion</t>
    </r>
  </si>
  <si>
    <r>
      <rPr>
        <u/>
        <sz val="10"/>
        <color indexed="8"/>
        <rFont val="Calibri"/>
        <family val="2"/>
        <scheme val="minor"/>
      </rPr>
      <t>https://www.pololu.com/file/0J1736/pololu-37d-metal-gearmotors-rev-1-2.pdf</t>
    </r>
  </si>
  <si>
    <r>
      <rPr>
        <u/>
        <sz val="10"/>
        <color indexed="8"/>
        <rFont val="Calibri"/>
        <family val="2"/>
        <scheme val="minor"/>
      </rPr>
      <t>https://www.amazon.de/dp/B0BGRBN5MW/?coliid=I27B9KTVWVWZOF&amp;colid=23RGDI7NRDSEC&amp;psc=1&amp;ref_=list_c_wl_lv_ov_lig_dp_it</t>
    </r>
  </si>
  <si>
    <r>
      <rPr>
        <u/>
        <sz val="10"/>
        <color indexed="8"/>
        <rFont val="Calibri"/>
        <family val="2"/>
        <scheme val="minor"/>
      </rPr>
      <t>https://www.amazon.de/Hochdrehmoment-Turbo-Wurm-Getriebemotor-Geschwindigkeitsreduzierung-Selbstverriegelung/dp/B075575BJH/ref=sr_1_16?__mk_de_DE=ÅMÅŽÕÑ&amp;crid=26OK14EIOS0W5&amp;keywords=12v%2Bmotor%2Bselbsthemmend&amp;qid=1706903721&amp;sprefix=12v%2Bmotor%2Bselbsthemmend%2Caps%2C87&amp;sr=8-16&amp;th=1</t>
    </r>
  </si>
  <si>
    <r>
      <rPr>
        <u/>
        <sz val="10"/>
        <color indexed="8"/>
        <rFont val="Calibri"/>
        <family val="2"/>
        <scheme val="minor"/>
      </rPr>
      <t>https://nfpshop.com/product/12v-24v-metal-gear-worm-gear-model-nfp-5840-555-en</t>
    </r>
  </si>
  <si>
    <r>
      <rPr>
        <u/>
        <sz val="10"/>
        <color indexed="8"/>
        <rFont val="Calibri"/>
        <family val="2"/>
        <scheme val="minor"/>
      </rPr>
      <t>https://www.dfrobot.com/product-634.html</t>
    </r>
  </si>
  <si>
    <t>GB37Y3530-12V-251R at 25% stall</t>
  </si>
  <si>
    <t>GB37Y3530-12V-251R at 50% stall</t>
  </si>
  <si>
    <t>Cause</t>
  </si>
  <si>
    <t xml:space="preserve">too slow </t>
  </si>
  <si>
    <t>too slow</t>
  </si>
  <si>
    <t>low power</t>
  </si>
  <si>
    <t>low  power</t>
  </si>
  <si>
    <t>slow and low power</t>
  </si>
  <si>
    <t>too slow and low power</t>
  </si>
  <si>
    <t>heavy</t>
  </si>
  <si>
    <t>low gear ratio</t>
  </si>
  <si>
    <t>NFP-GM37-550-1221, 12V DC, 21W 18:1</t>
  </si>
  <si>
    <t>NFP-GM37-550-1221, 12V DC, 21W 50:1 at 25%</t>
  </si>
  <si>
    <t>NFP-GM37-550-1240, 12V DC, 40W 30:1</t>
  </si>
  <si>
    <t>NFP-GM37-550-1240, 12V DC, 40W 50:1 at 12%</t>
  </si>
  <si>
    <t>NFP-JGB37-31ZY-1280 12V 16W 56:1</t>
  </si>
  <si>
    <t>NFP-JGB37-31ZY-1280 12V 16W 30:1</t>
  </si>
  <si>
    <t>too slow, low power, heavy</t>
  </si>
  <si>
    <t>low tourqe and low power, heavy</t>
  </si>
  <si>
    <t>number</t>
  </si>
  <si>
    <t>https://nfpshop.com/product/37mm-metal-gear-motor-model-nfp-gm37-545-en</t>
  </si>
  <si>
    <t>https://dcmotorpro.com/product/37mm-metal-gear-motor-model-nfp-gm37-550-en</t>
  </si>
  <si>
    <t>https://microdcmotors.com/product/12v-24v-small-geared-dc-electric-motor-with-encoder-model-nfp-jgb37-31zy-en</t>
  </si>
  <si>
    <t>very low power</t>
  </si>
  <si>
    <t>low friction high cost</t>
  </si>
  <si>
    <t>Stall current [A]</t>
  </si>
  <si>
    <t>Rating [1-10]</t>
  </si>
  <si>
    <t>too slow, very low power</t>
  </si>
  <si>
    <t>low gear ratio / low tourqe</t>
  </si>
  <si>
    <t>slow and low tourqe</t>
  </si>
  <si>
    <t>no encoder</t>
  </si>
  <si>
    <t>a bit slow</t>
  </si>
  <si>
    <t>Modelcraft RB350030-0A101R</t>
  </si>
  <si>
    <t>high losses</t>
  </si>
  <si>
    <t>Drumm Diameter in mm :</t>
  </si>
  <si>
    <t>NFP-GM37-550-1240-EN, 12V DC, 40W 50:1</t>
  </si>
  <si>
    <t>NFP 5840-555-EN 12V 31W</t>
  </si>
  <si>
    <t xml:space="preserve">NFP-GM37-550-1221-EN, 12V DC, 21W 30:1 </t>
  </si>
  <si>
    <t>Weight [gr.]</t>
  </si>
  <si>
    <t>low friction / low gear ratio</t>
  </si>
  <si>
    <t>no encoder, slow</t>
  </si>
  <si>
    <t>no encoder, out of stock</t>
  </si>
  <si>
    <t>too fast / to low torque</t>
  </si>
  <si>
    <t>Rated Current [A]</t>
  </si>
  <si>
    <t>No Load Current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</si>
</sst>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indexed="8"/>
      <name val="Helvetica Neue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Helvetica Neue"/>
      <family val="2"/>
    </font>
    <font>
      <b/>
      <sz val="12"/>
      <color rgb="FF9C0006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6100"/>
      <name val="Calibri"/>
      <family val="2"/>
      <scheme val="minor"/>
    </font>
    <font>
      <sz val="8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64"/>
      </right>
      <top/>
      <bottom style="thin">
        <color indexed="10"/>
      </bottom>
      <diagonal/>
    </border>
    <border>
      <left style="medium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64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indexed="10"/>
      </right>
      <top style="thin">
        <color indexed="10"/>
      </top>
      <bottom style="medium">
        <color indexed="64"/>
      </bottom>
      <diagonal/>
    </border>
    <border>
      <left style="thin">
        <color indexed="10"/>
      </left>
      <right style="medium">
        <color indexed="64"/>
      </right>
      <top style="thin">
        <color indexed="10"/>
      </top>
      <bottom style="medium">
        <color indexed="64"/>
      </bottom>
      <diagonal/>
    </border>
    <border>
      <left/>
      <right style="thin">
        <color indexed="10"/>
      </right>
      <top style="thin">
        <color indexed="10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64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indexed="64"/>
      </right>
      <top/>
      <bottom style="thin">
        <color indexed="10"/>
      </bottom>
      <diagonal/>
    </border>
    <border>
      <left style="medium">
        <color indexed="64"/>
      </left>
      <right style="thin">
        <color indexed="64"/>
      </right>
      <top style="thin">
        <color indexed="1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indexed="64"/>
      </right>
      <top style="thin">
        <color indexed="1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10"/>
      </top>
      <bottom style="thin">
        <color indexed="10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10"/>
      </right>
      <top style="medium">
        <color indexed="64"/>
      </top>
      <bottom/>
      <diagonal/>
    </border>
    <border>
      <left style="thin">
        <color indexed="10"/>
      </left>
      <right style="thin">
        <color indexed="1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1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10"/>
      </right>
      <top style="medium">
        <color indexed="64"/>
      </top>
      <bottom/>
      <diagonal/>
    </border>
    <border>
      <left/>
      <right style="thin">
        <color indexed="10"/>
      </right>
      <top style="thin">
        <color indexed="1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10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1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4" fillId="0" borderId="0" applyNumberFormat="0" applyFill="0" applyBorder="0" applyAlignment="0" applyProtection="0">
      <alignment vertical="top" wrapText="1"/>
    </xf>
    <xf numFmtId="0" fontId="13" fillId="6" borderId="0" applyNumberFormat="0" applyBorder="0" applyAlignment="0" applyProtection="0"/>
  </cellStyleXfs>
  <cellXfs count="88">
    <xf numFmtId="0" fontId="0" fillId="0" borderId="0" xfId="0" applyAlignment="1"/>
    <xf numFmtId="0" fontId="6" fillId="2" borderId="1" xfId="0" applyFont="1" applyFill="1" applyBorder="1" applyAlignment="1">
      <alignment vertical="top"/>
    </xf>
    <xf numFmtId="0" fontId="7" fillId="0" borderId="0" xfId="0" applyNumberFormat="1" applyFont="1" applyAlignment="1">
      <alignment vertical="top"/>
    </xf>
    <xf numFmtId="0" fontId="8" fillId="0" borderId="0" xfId="0" applyFont="1" applyAlignment="1"/>
    <xf numFmtId="0" fontId="6" fillId="0" borderId="0" xfId="0" applyNumberFormat="1" applyFont="1" applyAlignment="1">
      <alignment vertical="top"/>
    </xf>
    <xf numFmtId="0" fontId="8" fillId="0" borderId="8" xfId="0" applyNumberFormat="1" applyFont="1" applyBorder="1" applyAlignment="1">
      <alignment vertical="top"/>
    </xf>
    <xf numFmtId="0" fontId="8" fillId="0" borderId="2" xfId="0" applyNumberFormat="1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6" fillId="2" borderId="4" xfId="0" applyFont="1" applyFill="1" applyBorder="1" applyAlignment="1">
      <alignment vertical="top"/>
    </xf>
    <xf numFmtId="164" fontId="8" fillId="0" borderId="11" xfId="0" applyNumberFormat="1" applyFont="1" applyBorder="1" applyAlignment="1">
      <alignment vertical="top"/>
    </xf>
    <xf numFmtId="164" fontId="8" fillId="0" borderId="12" xfId="0" applyNumberFormat="1" applyFont="1" applyBorder="1" applyAlignment="1">
      <alignment vertical="top"/>
    </xf>
    <xf numFmtId="164" fontId="8" fillId="0" borderId="13" xfId="0" applyNumberFormat="1" applyFont="1" applyBorder="1" applyAlignment="1">
      <alignment vertical="top"/>
    </xf>
    <xf numFmtId="164" fontId="8" fillId="0" borderId="14" xfId="0" applyNumberFormat="1" applyFont="1" applyBorder="1" applyAlignment="1">
      <alignment vertical="top"/>
    </xf>
    <xf numFmtId="49" fontId="8" fillId="0" borderId="7" xfId="0" applyNumberFormat="1" applyFont="1" applyBorder="1" applyAlignment="1">
      <alignment vertical="top"/>
    </xf>
    <xf numFmtId="49" fontId="10" fillId="0" borderId="7" xfId="3" applyNumberFormat="1" applyFont="1" applyBorder="1" applyAlignment="1">
      <alignment vertical="top"/>
    </xf>
    <xf numFmtId="0" fontId="8" fillId="0" borderId="12" xfId="0" applyNumberFormat="1" applyFont="1" applyBorder="1" applyAlignment="1">
      <alignment vertical="top"/>
    </xf>
    <xf numFmtId="1" fontId="8" fillId="0" borderId="12" xfId="0" applyNumberFormat="1" applyFont="1" applyBorder="1" applyAlignment="1">
      <alignment vertical="top"/>
    </xf>
    <xf numFmtId="0" fontId="8" fillId="0" borderId="15" xfId="0" applyNumberFormat="1" applyFont="1" applyBorder="1" applyAlignment="1">
      <alignment vertical="top"/>
    </xf>
    <xf numFmtId="0" fontId="8" fillId="0" borderId="16" xfId="0" applyNumberFormat="1" applyFont="1" applyBorder="1" applyAlignment="1">
      <alignment vertical="top"/>
    </xf>
    <xf numFmtId="0" fontId="8" fillId="0" borderId="16" xfId="0" applyFont="1" applyBorder="1" applyAlignment="1">
      <alignment vertical="top"/>
    </xf>
    <xf numFmtId="0" fontId="8" fillId="0" borderId="14" xfId="0" applyNumberFormat="1" applyFont="1" applyBorder="1" applyAlignment="1">
      <alignment vertical="top"/>
    </xf>
    <xf numFmtId="1" fontId="8" fillId="0" borderId="2" xfId="0" applyNumberFormat="1" applyFont="1" applyBorder="1" applyAlignment="1">
      <alignment vertical="top"/>
    </xf>
    <xf numFmtId="164" fontId="8" fillId="0" borderId="7" xfId="0" applyNumberFormat="1" applyFont="1" applyBorder="1" applyAlignment="1">
      <alignment vertical="top"/>
    </xf>
    <xf numFmtId="49" fontId="4" fillId="0" borderId="7" xfId="3" applyNumberFormat="1" applyBorder="1" applyAlignment="1">
      <alignment vertical="top"/>
    </xf>
    <xf numFmtId="0" fontId="12" fillId="0" borderId="0" xfId="0" applyNumberFormat="1" applyFont="1" applyAlignment="1">
      <alignment vertical="top" wrapText="1"/>
    </xf>
    <xf numFmtId="0" fontId="12" fillId="0" borderId="0" xfId="0" applyFont="1" applyAlignment="1">
      <alignment wrapText="1"/>
    </xf>
    <xf numFmtId="1" fontId="5" fillId="4" borderId="7" xfId="1" applyNumberFormat="1" applyFont="1" applyBorder="1" applyAlignment="1">
      <alignment horizontal="right" vertical="top"/>
    </xf>
    <xf numFmtId="1" fontId="2" fillId="5" borderId="7" xfId="2" applyNumberFormat="1" applyBorder="1" applyAlignment="1">
      <alignment horizontal="right" vertical="top"/>
    </xf>
    <xf numFmtId="1" fontId="1" fillId="4" borderId="7" xfId="1" applyNumberFormat="1" applyBorder="1" applyAlignment="1">
      <alignment horizontal="right" vertical="top" wrapText="1"/>
    </xf>
    <xf numFmtId="1" fontId="1" fillId="4" borderId="7" xfId="1" applyNumberFormat="1" applyBorder="1" applyAlignment="1">
      <alignment horizontal="right" vertical="top"/>
    </xf>
    <xf numFmtId="1" fontId="5" fillId="4" borderId="17" xfId="1" applyNumberFormat="1" applyFont="1" applyBorder="1" applyAlignment="1">
      <alignment horizontal="right" vertical="top"/>
    </xf>
    <xf numFmtId="1" fontId="5" fillId="4" borderId="18" xfId="1" applyNumberFormat="1" applyFont="1" applyBorder="1" applyAlignment="1">
      <alignment horizontal="right" vertical="top"/>
    </xf>
    <xf numFmtId="1" fontId="1" fillId="4" borderId="17" xfId="1" applyNumberFormat="1" applyBorder="1" applyAlignment="1">
      <alignment horizontal="right" vertical="top"/>
    </xf>
    <xf numFmtId="2" fontId="8" fillId="0" borderId="8" xfId="0" applyNumberFormat="1" applyFont="1" applyBorder="1" applyAlignment="1">
      <alignment vertical="top"/>
    </xf>
    <xf numFmtId="49" fontId="4" fillId="0" borderId="19" xfId="3" applyNumberFormat="1" applyBorder="1" applyAlignment="1">
      <alignment vertical="top"/>
    </xf>
    <xf numFmtId="49" fontId="2" fillId="5" borderId="23" xfId="2" applyNumberFormat="1" applyBorder="1" applyAlignment="1">
      <alignment vertical="top"/>
    </xf>
    <xf numFmtId="0" fontId="2" fillId="5" borderId="23" xfId="2" applyBorder="1" applyAlignment="1">
      <alignment vertical="top"/>
    </xf>
    <xf numFmtId="49" fontId="1" fillId="4" borderId="23" xfId="1" applyNumberFormat="1" applyBorder="1" applyAlignment="1">
      <alignment vertical="top" wrapText="1"/>
    </xf>
    <xf numFmtId="49" fontId="1" fillId="4" borderId="23" xfId="1" applyNumberFormat="1" applyBorder="1" applyAlignment="1">
      <alignment vertical="top"/>
    </xf>
    <xf numFmtId="49" fontId="5" fillId="4" borderId="23" xfId="1" applyNumberFormat="1" applyFont="1" applyBorder="1" applyAlignment="1">
      <alignment vertical="top"/>
    </xf>
    <xf numFmtId="49" fontId="1" fillId="4" borderId="21" xfId="1" applyNumberFormat="1" applyBorder="1" applyAlignment="1">
      <alignment vertical="top"/>
    </xf>
    <xf numFmtId="0" fontId="5" fillId="4" borderId="21" xfId="1" applyFont="1" applyBorder="1" applyAlignment="1">
      <alignment vertical="top"/>
    </xf>
    <xf numFmtId="49" fontId="5" fillId="4" borderId="24" xfId="1" applyNumberFormat="1" applyFont="1" applyBorder="1" applyAlignment="1">
      <alignment vertical="top"/>
    </xf>
    <xf numFmtId="49" fontId="2" fillId="5" borderId="29" xfId="2" applyNumberFormat="1" applyBorder="1" applyAlignment="1">
      <alignment vertical="top"/>
    </xf>
    <xf numFmtId="0" fontId="2" fillId="5" borderId="29" xfId="2" applyBorder="1" applyAlignment="1">
      <alignment vertical="top"/>
    </xf>
    <xf numFmtId="49" fontId="1" fillId="4" borderId="29" xfId="1" applyNumberFormat="1" applyBorder="1" applyAlignment="1">
      <alignment vertical="top" wrapText="1"/>
    </xf>
    <xf numFmtId="49" fontId="1" fillId="4" borderId="29" xfId="1" applyNumberFormat="1" applyBorder="1" applyAlignment="1">
      <alignment vertical="top"/>
    </xf>
    <xf numFmtId="49" fontId="5" fillId="4" borderId="29" xfId="1" applyNumberFormat="1" applyFont="1" applyBorder="1" applyAlignment="1">
      <alignment vertical="top"/>
    </xf>
    <xf numFmtId="49" fontId="1" fillId="4" borderId="27" xfId="1" applyNumberFormat="1" applyBorder="1" applyAlignment="1">
      <alignment vertical="top"/>
    </xf>
    <xf numFmtId="0" fontId="5" fillId="4" borderId="27" xfId="1" applyFont="1" applyBorder="1" applyAlignment="1">
      <alignment vertical="top"/>
    </xf>
    <xf numFmtId="49" fontId="5" fillId="4" borderId="27" xfId="1" applyNumberFormat="1" applyFont="1" applyBorder="1" applyAlignment="1">
      <alignment vertical="top"/>
    </xf>
    <xf numFmtId="49" fontId="13" fillId="6" borderId="23" xfId="4" applyNumberFormat="1" applyBorder="1" applyAlignment="1">
      <alignment vertical="top"/>
    </xf>
    <xf numFmtId="1" fontId="13" fillId="6" borderId="7" xfId="4" applyNumberFormat="1" applyBorder="1" applyAlignment="1">
      <alignment horizontal="right" vertical="top"/>
    </xf>
    <xf numFmtId="49" fontId="13" fillId="6" borderId="29" xfId="4" applyNumberFormat="1" applyBorder="1" applyAlignment="1">
      <alignment vertical="top"/>
    </xf>
    <xf numFmtId="49" fontId="13" fillId="6" borderId="22" xfId="4" applyNumberFormat="1" applyBorder="1" applyAlignment="1">
      <alignment vertical="top"/>
    </xf>
    <xf numFmtId="1" fontId="13" fillId="6" borderId="0" xfId="4" applyNumberFormat="1" applyBorder="1" applyAlignment="1">
      <alignment horizontal="right" vertical="top"/>
    </xf>
    <xf numFmtId="49" fontId="13" fillId="6" borderId="28" xfId="4" applyNumberFormat="1" applyBorder="1" applyAlignment="1">
      <alignment vertical="top"/>
    </xf>
    <xf numFmtId="49" fontId="13" fillId="6" borderId="20" xfId="4" applyNumberFormat="1" applyBorder="1" applyAlignment="1">
      <alignment vertical="top"/>
    </xf>
    <xf numFmtId="1" fontId="13" fillId="6" borderId="5" xfId="4" applyNumberFormat="1" applyBorder="1" applyAlignment="1">
      <alignment horizontal="right" vertical="top"/>
    </xf>
    <xf numFmtId="49" fontId="13" fillId="6" borderId="26" xfId="4" applyNumberFormat="1" applyBorder="1" applyAlignment="1">
      <alignment vertical="top"/>
    </xf>
    <xf numFmtId="49" fontId="9" fillId="0" borderId="30" xfId="0" applyNumberFormat="1" applyFont="1" applyFill="1" applyBorder="1" applyAlignment="1">
      <alignment vertical="top"/>
    </xf>
    <xf numFmtId="49" fontId="9" fillId="0" borderId="25" xfId="0" applyNumberFormat="1" applyFont="1" applyFill="1" applyBorder="1" applyAlignment="1">
      <alignment vertical="top"/>
    </xf>
    <xf numFmtId="0" fontId="7" fillId="0" borderId="31" xfId="0" applyFont="1" applyBorder="1" applyAlignment="1">
      <alignment vertical="top"/>
    </xf>
    <xf numFmtId="0" fontId="7" fillId="0" borderId="32" xfId="0" applyFont="1" applyBorder="1" applyAlignment="1">
      <alignment vertical="top"/>
    </xf>
    <xf numFmtId="49" fontId="9" fillId="0" borderId="33" xfId="0" applyNumberFormat="1" applyFont="1" applyFill="1" applyBorder="1" applyAlignment="1">
      <alignment vertical="top"/>
    </xf>
    <xf numFmtId="0" fontId="7" fillId="0" borderId="34" xfId="0" applyFont="1" applyBorder="1" applyAlignment="1">
      <alignment vertical="top"/>
    </xf>
    <xf numFmtId="0" fontId="7" fillId="0" borderId="35" xfId="0" applyNumberFormat="1" applyFont="1" applyBorder="1" applyAlignment="1">
      <alignment vertical="top"/>
    </xf>
    <xf numFmtId="0" fontId="7" fillId="0" borderId="34" xfId="0" applyNumberFormat="1" applyFont="1" applyBorder="1" applyAlignment="1">
      <alignment vertical="top"/>
    </xf>
    <xf numFmtId="0" fontId="7" fillId="0" borderId="0" xfId="0" applyNumberFormat="1" applyFont="1" applyBorder="1" applyAlignment="1">
      <alignment vertical="top"/>
    </xf>
    <xf numFmtId="0" fontId="7" fillId="0" borderId="36" xfId="0" applyFont="1" applyBorder="1" applyAlignment="1">
      <alignment vertical="top"/>
    </xf>
    <xf numFmtId="49" fontId="13" fillId="6" borderId="37" xfId="4" applyNumberFormat="1" applyBorder="1" applyAlignment="1">
      <alignment vertical="top"/>
    </xf>
    <xf numFmtId="0" fontId="8" fillId="0" borderId="6" xfId="0" applyNumberFormat="1" applyFont="1" applyBorder="1" applyAlignment="1">
      <alignment vertical="top"/>
    </xf>
    <xf numFmtId="0" fontId="8" fillId="0" borderId="3" xfId="0" applyNumberFormat="1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8" fillId="0" borderId="10" xfId="0" applyNumberFormat="1" applyFont="1" applyBorder="1" applyAlignment="1">
      <alignment vertical="top"/>
    </xf>
    <xf numFmtId="164" fontId="8" fillId="0" borderId="9" xfId="0" applyNumberFormat="1" applyFont="1" applyBorder="1" applyAlignment="1">
      <alignment vertical="top"/>
    </xf>
    <xf numFmtId="164" fontId="8" fillId="0" borderId="10" xfId="0" applyNumberFormat="1" applyFont="1" applyBorder="1" applyAlignment="1">
      <alignment vertical="top"/>
    </xf>
    <xf numFmtId="164" fontId="8" fillId="0" borderId="5" xfId="0" applyNumberFormat="1" applyFont="1" applyBorder="1" applyAlignment="1">
      <alignment vertical="top"/>
    </xf>
    <xf numFmtId="49" fontId="4" fillId="0" borderId="5" xfId="3" applyNumberFormat="1" applyBorder="1" applyAlignment="1">
      <alignment vertical="top"/>
    </xf>
    <xf numFmtId="49" fontId="3" fillId="3" borderId="38" xfId="0" applyNumberFormat="1" applyFont="1" applyFill="1" applyBorder="1" applyAlignment="1">
      <alignment vertical="top" wrapText="1"/>
    </xf>
    <xf numFmtId="1" fontId="3" fillId="3" borderId="39" xfId="0" applyNumberFormat="1" applyFont="1" applyFill="1" applyBorder="1" applyAlignment="1">
      <alignment horizontal="right" vertical="top" wrapText="1"/>
    </xf>
    <xf numFmtId="49" fontId="3" fillId="3" borderId="40" xfId="0" applyNumberFormat="1" applyFont="1" applyFill="1" applyBorder="1" applyAlignment="1">
      <alignment vertical="top" wrapText="1"/>
    </xf>
    <xf numFmtId="49" fontId="12" fillId="0" borderId="41" xfId="0" applyNumberFormat="1" applyFont="1" applyBorder="1" applyAlignment="1">
      <alignment vertical="top" wrapText="1"/>
    </xf>
    <xf numFmtId="49" fontId="12" fillId="0" borderId="42" xfId="0" applyNumberFormat="1" applyFont="1" applyBorder="1" applyAlignment="1">
      <alignment vertical="top" wrapText="1"/>
    </xf>
    <xf numFmtId="49" fontId="12" fillId="0" borderId="43" xfId="0" applyNumberFormat="1" applyFont="1" applyBorder="1" applyAlignment="1">
      <alignment vertical="top" wrapText="1"/>
    </xf>
    <xf numFmtId="49" fontId="12" fillId="0" borderId="44" xfId="0" applyNumberFormat="1" applyFont="1" applyBorder="1" applyAlignment="1">
      <alignment vertical="top" wrapText="1"/>
    </xf>
    <xf numFmtId="49" fontId="12" fillId="0" borderId="39" xfId="0" applyNumberFormat="1" applyFont="1" applyBorder="1" applyAlignment="1">
      <alignment vertical="top" wrapText="1"/>
    </xf>
    <xf numFmtId="49" fontId="12" fillId="0" borderId="45" xfId="0" applyNumberFormat="1" applyFont="1" applyBorder="1" applyAlignment="1">
      <alignment vertical="top" wrapText="1"/>
    </xf>
  </cellXfs>
  <cellStyles count="5">
    <cellStyle name="Gut" xfId="4" builtinId="26"/>
    <cellStyle name="Link" xfId="3" builtinId="8"/>
    <cellStyle name="Neutral" xfId="2" builtinId="28"/>
    <cellStyle name="Schlecht" xfId="1" builtinId="27"/>
    <cellStyle name="Standard" xfId="0" builtinId="0"/>
  </cellStyles>
  <dxfs count="28"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0" formatCode="@"/>
      <fill>
        <patternFill patternType="solid">
          <fgColor indexed="64"/>
          <bgColor indexed="12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10"/>
        </top>
        <bottom style="thin">
          <color indexed="10"/>
        </bottom>
        <vertical/>
      </border>
    </dxf>
    <dxf>
      <numFmt numFmtId="1" formatCode="0"/>
      <alignment horizontal="righ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/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medium">
          <color indexed="64"/>
        </right>
        <top style="thin">
          <color indexed="10"/>
        </top>
        <bottom style="thin">
          <color indexed="10"/>
        </bottom>
        <vertical style="thin">
          <color indexed="1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thin">
          <color indexed="10"/>
        </right>
        <top style="thin">
          <color indexed="10"/>
        </top>
        <bottom style="thin">
          <color indexed="10"/>
        </bottom>
        <vertical style="thin">
          <color indexed="1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medium">
          <color indexed="64"/>
        </right>
        <top style="thin">
          <color indexed="10"/>
        </top>
        <bottom style="thin">
          <color indexed="10"/>
        </bottom>
        <vertical style="thin">
          <color indexed="1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thin">
          <color indexed="10"/>
        </right>
        <top style="thin">
          <color indexed="10"/>
        </top>
        <bottom style="thin">
          <color indexed="10"/>
        </bottom>
        <vertical style="thin">
          <color indexed="1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medium">
          <color indexed="64"/>
        </right>
        <top style="thin">
          <color indexed="10"/>
        </top>
        <bottom style="thin">
          <color indexed="10"/>
        </bottom>
        <vertical style="thin">
          <color indexed="1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thin">
          <color indexed="10"/>
        </right>
        <top style="thin">
          <color indexed="10"/>
        </top>
        <bottom style="thin">
          <color indexed="10"/>
        </bottom>
        <vertical style="thin">
          <color indexed="1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medium">
          <color indexed="64"/>
        </right>
        <top style="thin">
          <color indexed="10"/>
        </top>
        <bottom style="thin">
          <color indexed="10"/>
        </bottom>
        <vertical style="thin">
          <color indexed="1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thin">
          <color indexed="10"/>
        </right>
        <top style="thin">
          <color indexed="10"/>
        </top>
        <bottom style="thin">
          <color indexed="10"/>
        </bottom>
        <vertical style="thin">
          <color indexed="10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/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/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 outline="0">
        <top style="thin">
          <color indexed="10"/>
        </top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DAD00"/>
      <rgbColor rgb="00FFF056"/>
      <rgbColor rgb="0072FCE9"/>
      <rgbColor rgb="00800000"/>
      <rgbColor rgb="00006411"/>
      <rgbColor rgb="00000090"/>
      <rgbColor rgb="0090713A"/>
      <rgbColor rgb="0080008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W44" totalsRowShown="0" headerRowDxfId="4" dataDxfId="27" headerRowBorderDxfId="0" tableBorderDxfId="26" totalsRowBorderDxfId="25">
  <autoFilter ref="A3:W44" xr:uid="{00000000-0009-0000-0100-000001000000}"/>
  <sortState xmlns:xlrd2="http://schemas.microsoft.com/office/spreadsheetml/2017/richdata2" ref="A4:W44">
    <sortCondition descending="1" ref="B3:B44"/>
  </sortState>
  <tableColumns count="23">
    <tableColumn id="1" xr3:uid="{00000000-0010-0000-0000-000001000000}" name="Name" dataDxfId="2"/>
    <tableColumn id="20" xr3:uid="{ECCBE311-5973-EA49-BB3E-B615742C2503}" name="Rating [1-10]" dataDxfId="3"/>
    <tableColumn id="22" xr3:uid="{1A00A431-2A53-8748-B897-E37D34744FBB}" name="Cause" dataDxfId="1"/>
    <tableColumn id="2" xr3:uid="{00000000-0010-0000-0000-000002000000}" name="Rated Current [A]" dataDxfId="24"/>
    <tableColumn id="21" xr3:uid="{00000000-0010-0000-0000-000015000000}" name="No Load Current [A]" dataDxfId="23"/>
    <tableColumn id="3" xr3:uid="{00000000-0010-0000-0000-000003000000}" name="Stall current [A]" dataDxfId="22"/>
    <tableColumn id="19" xr3:uid="{00000000-0010-0000-0000-000013000000}" name="Encoder" dataDxfId="21"/>
    <tableColumn id="4" xr3:uid="{00000000-0010-0000-0000-000004000000}" name="Weight [gr.]" dataDxfId="20"/>
    <tableColumn id="5" xr3:uid="{00000000-0010-0000-0000-000005000000}" name="Gear Ratio n:1" dataDxfId="19"/>
    <tableColumn id="6" xr3:uid="{00000000-0010-0000-0000-000006000000}" name="RPM no load" dataDxfId="18"/>
    <tableColumn id="7" xr3:uid="{00000000-0010-0000-0000-000007000000}" name="RPM rated load" dataDxfId="17"/>
    <tableColumn id="8" xr3:uid="{00000000-0010-0000-0000-000008000000}" name="Torque kg*cm" dataDxfId="16"/>
    <tableColumn id="9" xr3:uid="{00000000-0010-0000-0000-000009000000}" name="stall Tourque kg*cm" dataDxfId="15"/>
    <tableColumn id="10" xr3:uid="{00000000-0010-0000-0000-00000A000000}" name="Force kg" dataDxfId="14">
      <calculatedColumnFormula>$L4/(N$2/20)</calculatedColumnFormula>
    </tableColumn>
    <tableColumn id="11" xr3:uid="{00000000-0010-0000-0000-00000B000000}" name="t in s for 14m" dataDxfId="13">
      <calculatedColumnFormula>7/(O$2/1000*PI())*60*(1/$J4+1/$K4)</calculatedColumnFormula>
    </tableColumn>
    <tableColumn id="12" xr3:uid="{00000000-0010-0000-0000-00000C000000}" name="Force kg2" dataDxfId="12">
      <calculatedColumnFormula>$L4/(P$2/20)</calculatedColumnFormula>
    </tableColumn>
    <tableColumn id="13" xr3:uid="{00000000-0010-0000-0000-00000D000000}" name="t in s for 14m3" dataDxfId="11">
      <calculatedColumnFormula>7/(Q$2/1000*PI())*60*(1/$J4+1/$K4)</calculatedColumnFormula>
    </tableColumn>
    <tableColumn id="14" xr3:uid="{00000000-0010-0000-0000-00000E000000}" name="Force kg " dataDxfId="10">
      <calculatedColumnFormula>$L4/(R$2/20)</calculatedColumnFormula>
    </tableColumn>
    <tableColumn id="15" xr3:uid="{00000000-0010-0000-0000-00000F000000}" name="t in s for 14m4" dataDxfId="9">
      <calculatedColumnFormula>7/(S$2/1000*PI())*60*(1/$J4+1/$K4)</calculatedColumnFormula>
    </tableColumn>
    <tableColumn id="16" xr3:uid="{00000000-0010-0000-0000-000010000000}" name="Force kg 5" dataDxfId="8">
      <calculatedColumnFormula>$L4/(T$2/20)</calculatedColumnFormula>
    </tableColumn>
    <tableColumn id="17" xr3:uid="{00000000-0010-0000-0000-000011000000}" name="t in s for 14m6" dataDxfId="7">
      <calculatedColumnFormula>7/(U$2/1000*PI())*60*(1/$J4+1/$K4)</calculatedColumnFormula>
    </tableColumn>
    <tableColumn id="23" xr3:uid="{5D82B3EC-D86A-7441-958C-36F06041386D}" name="number" dataDxfId="5"/>
    <tableColumn id="18" xr3:uid="{00000000-0010-0000-0000-000012000000}" name="link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12700" cap="flat" cmpd="sng" algn="ctr">
          <a:solidFill>
            <a:srgbClr val="000000"/>
          </a:solidFill>
          <a:prstDash val="solid"/>
          <a:miter lim="400000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12700" cap="flat" cmpd="sng" algn="ctr">
          <a:solidFill>
            <a:srgbClr val="000000"/>
          </a:solidFill>
          <a:prstDash val="solid"/>
          <a:miter lim="400000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file/0J1736/pololu-37d-metal-gearmotors-rev-1-2.pdf" TargetMode="External"/><Relationship Id="rId13" Type="http://schemas.openxmlformats.org/officeDocument/2006/relationships/hyperlink" Target="https://www.mfacomodrills.com/pdfs/970D-series.pdf" TargetMode="External"/><Relationship Id="rId18" Type="http://schemas.openxmlformats.org/officeDocument/2006/relationships/hyperlink" Target="https://www.mfacomodrills.com/pdfs/919D-series.pdf" TargetMode="External"/><Relationship Id="rId26" Type="http://schemas.openxmlformats.org/officeDocument/2006/relationships/hyperlink" Target="https://microdcmotors.com/product/12v-24v-small-geared-dc-electric-motor-with-encoder-model-nfp-jgb37-31zy-en" TargetMode="External"/><Relationship Id="rId3" Type="http://schemas.openxmlformats.org/officeDocument/2006/relationships/hyperlink" Target="https://eckstein-shop.de/Pololu-301-Metal-Gearmotor-37Dx68L-mm-12V-with-64CPR-EncoderHelical-Pinion" TargetMode="External"/><Relationship Id="rId21" Type="http://schemas.openxmlformats.org/officeDocument/2006/relationships/hyperlink" Target="https://www.dfrobot.com/product-634.html" TargetMode="External"/><Relationship Id="rId7" Type="http://schemas.openxmlformats.org/officeDocument/2006/relationships/hyperlink" Target="https://www.amazon.de/dp/B0BGRBN5MW/?coliid=I27B9KTVWVWZOF&amp;colid=23RGDI7NRDSEC&amp;psc=1&amp;ref_=list_c_wl_lv_ov_lig_dp_it" TargetMode="External"/><Relationship Id="rId12" Type="http://schemas.openxmlformats.org/officeDocument/2006/relationships/hyperlink" Target="https://www.mfacomodrills.com/pdfs/970D-series.pdf" TargetMode="External"/><Relationship Id="rId17" Type="http://schemas.openxmlformats.org/officeDocument/2006/relationships/hyperlink" Target="https://www.mfacomodrills.com/pdfs/919D-series.pdf" TargetMode="External"/><Relationship Id="rId25" Type="http://schemas.openxmlformats.org/officeDocument/2006/relationships/hyperlink" Target="https://microdcmotors.com/product/12v-24v-small-geared-dc-electric-motor-with-encoder-model-nfp-jgb37-31zy-en" TargetMode="External"/><Relationship Id="rId2" Type="http://schemas.openxmlformats.org/officeDocument/2006/relationships/hyperlink" Target="https://www.conrad.de/de/p/modelcraft-rb350018-2a723r-hochleistungsgetriebemotor-12-v-18-1-233131.html" TargetMode="External"/><Relationship Id="rId16" Type="http://schemas.openxmlformats.org/officeDocument/2006/relationships/hyperlink" Target="https://www.mfacomodrills.com/pdfs/950D-series.pdf" TargetMode="External"/><Relationship Id="rId20" Type="http://schemas.openxmlformats.org/officeDocument/2006/relationships/hyperlink" Target="https://www.pololu.com/file/0J1736/pololu-37d-metal-gearmotors-rev-1-2.pdf" TargetMode="External"/><Relationship Id="rId1" Type="http://schemas.openxmlformats.org/officeDocument/2006/relationships/hyperlink" Target="https://www.conrad.de/de/p/modelcraft-rb350018-2a723r-hochleistungsgetriebemotor-12-v-18-1-233131.html" TargetMode="External"/><Relationship Id="rId6" Type="http://schemas.openxmlformats.org/officeDocument/2006/relationships/hyperlink" Target="https://www.amazon.de/Hochdrehmoment-Turbo-Wurm-Getriebemotor-Geschwindigkeitsreduzierung-Selbstverriegelung/dp/B075575BJH/ref=sr_1_16?__mk_de_DE=%C3%85M%C3%85%C5%BD%C3%95%C3%91&amp;crid=26OK14EIOS0W5&amp;keywords=12v+motor+selbsthemmend&amp;qid=1706903721&amp;sprefix=12v+motor+selbsthemmend,aps,87&amp;sr=8-16&amp;th=1" TargetMode="External"/><Relationship Id="rId11" Type="http://schemas.openxmlformats.org/officeDocument/2006/relationships/hyperlink" Target="https://eckstein-shop.de/V-TEC12V6mmAntriebwelleDCMotorGleichstromSchneckengetriebemotor100RPM" TargetMode="External"/><Relationship Id="rId24" Type="http://schemas.openxmlformats.org/officeDocument/2006/relationships/hyperlink" Target="https://microdcmotors.com/product/12v-24v-small-geared-dc-electric-motor-with-encoder-model-nfp-jgb37-31zy-en" TargetMode="External"/><Relationship Id="rId5" Type="http://schemas.openxmlformats.org/officeDocument/2006/relationships/hyperlink" Target="https://nfpshop.com/product/12v-24v-metal-gear-worm-gear-model-nfp-5840-555-en" TargetMode="External"/><Relationship Id="rId15" Type="http://schemas.openxmlformats.org/officeDocument/2006/relationships/hyperlink" Target="https://www.mfacomodrills.com/pdfs/950DLN-series.pdf" TargetMode="External"/><Relationship Id="rId23" Type="http://schemas.openxmlformats.org/officeDocument/2006/relationships/hyperlink" Target="https://dcmotorpro.com/product/37mm-metal-gear-motor-model-nfp-gm37-550-en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eckstein-shop.de/Pololu-341-Metal-Gearmotor-25Dx67L-mm-HP-12V-with-48-CPR-Encoder" TargetMode="External"/><Relationship Id="rId19" Type="http://schemas.openxmlformats.org/officeDocument/2006/relationships/hyperlink" Target="https://www.mfacomodrills.com/pdfs/919D-series.pdf" TargetMode="External"/><Relationship Id="rId4" Type="http://schemas.openxmlformats.org/officeDocument/2006/relationships/hyperlink" Target="https://www.dfrobot.com/product-634.html" TargetMode="External"/><Relationship Id="rId9" Type="http://schemas.openxmlformats.org/officeDocument/2006/relationships/hyperlink" Target="https://eckstein-shop.de/Pololu-301-Metal-Gearmotor-37Dx68L-mm-12V-with-64CPR-EncoderHelical-Pinion" TargetMode="External"/><Relationship Id="rId14" Type="http://schemas.openxmlformats.org/officeDocument/2006/relationships/hyperlink" Target="https://www.mfacomodrills.com/pdfs/970D-series.pdf" TargetMode="External"/><Relationship Id="rId22" Type="http://schemas.openxmlformats.org/officeDocument/2006/relationships/hyperlink" Target="https://dcmotorpro.com/product/37mm-metal-gear-motor-model-nfp-gm37-550-en" TargetMode="External"/><Relationship Id="rId27" Type="http://schemas.openxmlformats.org/officeDocument/2006/relationships/hyperlink" Target="https://microdcmotors.com/product/12v-24v-small-geared-dc-electric-motor-with-encoder-model-nfp-jgb37-31zy-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Y44"/>
  <sheetViews>
    <sheetView showGridLines="0" tabSelected="1" workbookViewId="0">
      <selection activeCell="L15" sqref="L15"/>
    </sheetView>
  </sheetViews>
  <sheetFormatPr baseColWidth="10" defaultRowHeight="17.5" customHeight="1" x14ac:dyDescent="0.2"/>
  <cols>
    <col min="1" max="1" width="40.6640625" style="4" customWidth="1"/>
    <col min="2" max="2" width="6.1640625" style="4" customWidth="1"/>
    <col min="3" max="3" width="25" style="4" customWidth="1"/>
    <col min="4" max="4" width="8.6640625" style="2" customWidth="1"/>
    <col min="5" max="5" width="9.6640625" style="2" customWidth="1"/>
    <col min="6" max="6" width="11.6640625" style="2" customWidth="1"/>
    <col min="7" max="7" width="10.1640625" style="2" bestFit="1" customWidth="1"/>
    <col min="8" max="8" width="8" style="2" customWidth="1"/>
    <col min="9" max="9" width="9" style="2" customWidth="1"/>
    <col min="10" max="10" width="8.6640625" style="2" customWidth="1"/>
    <col min="11" max="11" width="9.83203125" style="2" customWidth="1"/>
    <col min="12" max="12" width="8.33203125" style="2" customWidth="1"/>
    <col min="13" max="13" width="8.6640625" style="2" customWidth="1"/>
    <col min="14" max="14" width="8" style="2" customWidth="1"/>
    <col min="15" max="15" width="9.33203125" style="2" customWidth="1"/>
    <col min="16" max="16" width="8" style="2" customWidth="1"/>
    <col min="17" max="17" width="8.6640625" style="2" customWidth="1"/>
    <col min="18" max="18" width="14.6640625" style="2" customWidth="1"/>
    <col min="19" max="19" width="11.83203125" style="2" customWidth="1"/>
    <col min="20" max="20" width="9.83203125" style="2" customWidth="1"/>
    <col min="21" max="22" width="11.83203125" style="2" customWidth="1"/>
    <col min="23" max="23" width="166.6640625" style="2" customWidth="1"/>
    <col min="24" max="259" width="8.33203125" style="2" customWidth="1"/>
    <col min="260" max="16384" width="10.83203125" style="3"/>
  </cols>
  <sheetData>
    <row r="1" spans="1:259" ht="18.25" customHeight="1" thickBo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1"/>
    </row>
    <row r="2" spans="1:259" ht="18.25" customHeight="1" thickBot="1" x14ac:dyDescent="0.25">
      <c r="B2" s="60"/>
      <c r="C2" s="61"/>
      <c r="D2" s="62"/>
      <c r="E2" s="62"/>
      <c r="F2" s="63"/>
      <c r="G2" s="63"/>
      <c r="H2" s="63"/>
      <c r="I2" s="63"/>
      <c r="J2" s="64" t="s">
        <v>89</v>
      </c>
      <c r="K2" s="63"/>
      <c r="L2" s="63"/>
      <c r="M2" s="65"/>
      <c r="N2" s="66">
        <v>40</v>
      </c>
      <c r="O2" s="67">
        <v>40</v>
      </c>
      <c r="P2" s="66">
        <v>35</v>
      </c>
      <c r="Q2" s="67">
        <v>35</v>
      </c>
      <c r="R2" s="66">
        <v>24</v>
      </c>
      <c r="S2" s="67">
        <v>24</v>
      </c>
      <c r="T2" s="66">
        <v>19</v>
      </c>
      <c r="U2" s="67">
        <v>19</v>
      </c>
      <c r="V2" s="68"/>
      <c r="W2" s="69"/>
    </row>
    <row r="3" spans="1:259" s="25" customFormat="1" ht="58" customHeight="1" thickBot="1" x14ac:dyDescent="0.25">
      <c r="A3" s="79" t="s">
        <v>0</v>
      </c>
      <c r="B3" s="80" t="s">
        <v>81</v>
      </c>
      <c r="C3" s="81" t="s">
        <v>57</v>
      </c>
      <c r="D3" s="82" t="s">
        <v>98</v>
      </c>
      <c r="E3" s="82" t="s">
        <v>99</v>
      </c>
      <c r="F3" s="83" t="s">
        <v>80</v>
      </c>
      <c r="G3" s="83" t="s">
        <v>32</v>
      </c>
      <c r="H3" s="83" t="s">
        <v>93</v>
      </c>
      <c r="I3" s="83" t="s">
        <v>1</v>
      </c>
      <c r="J3" s="83" t="s">
        <v>2</v>
      </c>
      <c r="K3" s="83" t="s">
        <v>3</v>
      </c>
      <c r="L3" s="83" t="s">
        <v>4</v>
      </c>
      <c r="M3" s="84" t="s">
        <v>5</v>
      </c>
      <c r="N3" s="85" t="s">
        <v>6</v>
      </c>
      <c r="O3" s="84" t="s">
        <v>7</v>
      </c>
      <c r="P3" s="85" t="s">
        <v>26</v>
      </c>
      <c r="Q3" s="84" t="s">
        <v>27</v>
      </c>
      <c r="R3" s="85" t="s">
        <v>8</v>
      </c>
      <c r="S3" s="84" t="s">
        <v>28</v>
      </c>
      <c r="T3" s="85" t="s">
        <v>29</v>
      </c>
      <c r="U3" s="84" t="s">
        <v>30</v>
      </c>
      <c r="V3" s="86" t="s">
        <v>74</v>
      </c>
      <c r="W3" s="87" t="s">
        <v>9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</row>
    <row r="4" spans="1:259" ht="18" hidden="1" customHeight="1" x14ac:dyDescent="0.2">
      <c r="A4" s="70" t="s">
        <v>69</v>
      </c>
      <c r="B4" s="55">
        <v>9</v>
      </c>
      <c r="C4" s="56" t="s">
        <v>88</v>
      </c>
      <c r="D4" s="71">
        <f>Tabelle1[[#This Row],[Stall current '[A']]]*0.12+Tabelle1[[#This Row],[No Load Current '[A']]]</f>
        <v>3.5</v>
      </c>
      <c r="E4" s="71">
        <v>1.1000000000000001</v>
      </c>
      <c r="F4" s="72">
        <v>20</v>
      </c>
      <c r="G4" s="72">
        <v>1</v>
      </c>
      <c r="H4" s="73">
        <v>310</v>
      </c>
      <c r="I4" s="72">
        <v>50</v>
      </c>
      <c r="J4" s="72">
        <v>330</v>
      </c>
      <c r="K4" s="72">
        <f>Tabelle1[[#This Row],[RPM no load]]*(1-0.12)</f>
        <v>290.39999999999998</v>
      </c>
      <c r="L4" s="72">
        <f>Tabelle1[[#This Row],[stall Tourque kg*cm]]*0.12</f>
        <v>7.1999999999999993</v>
      </c>
      <c r="M4" s="74">
        <v>60</v>
      </c>
      <c r="N4" s="75">
        <f>$L4/(N$2/20)</f>
        <v>3.5999999999999996</v>
      </c>
      <c r="O4" s="76">
        <f>7/(O$2/1000*PI())*60*(1/$J4+1/$K4)</f>
        <v>21.637180279848582</v>
      </c>
      <c r="P4" s="75">
        <f>$L4/(P$2/20)</f>
        <v>4.1142857142857139</v>
      </c>
      <c r="Q4" s="76">
        <f>7/(Q$2/1000*PI())*60*(1/$J4+1/$K4)</f>
        <v>24.728206034112663</v>
      </c>
      <c r="R4" s="75">
        <f>$L4/(R$2/20)</f>
        <v>6</v>
      </c>
      <c r="S4" s="76">
        <f>7/(S$2/1000*PI())*60*(1/$J4+1/$K4)</f>
        <v>36.061967133080977</v>
      </c>
      <c r="T4" s="75">
        <f>$L4/(T$2/20)</f>
        <v>7.5789473684210522</v>
      </c>
      <c r="U4" s="76">
        <f>7/(U$2/1000*PI())*60*(1/$J4+1/$K4)</f>
        <v>45.551958483891759</v>
      </c>
      <c r="V4" s="77">
        <v>27</v>
      </c>
      <c r="W4" s="78" t="s">
        <v>76</v>
      </c>
    </row>
    <row r="5" spans="1:259" ht="18" customHeight="1" x14ac:dyDescent="0.2">
      <c r="A5" s="54" t="s">
        <v>90</v>
      </c>
      <c r="B5" s="55">
        <v>8</v>
      </c>
      <c r="C5" s="56" t="s">
        <v>88</v>
      </c>
      <c r="D5" s="5">
        <v>6</v>
      </c>
      <c r="E5" s="5">
        <v>1.1000000000000001</v>
      </c>
      <c r="F5" s="6">
        <v>20</v>
      </c>
      <c r="G5" s="6">
        <v>1</v>
      </c>
      <c r="H5" s="7">
        <v>310</v>
      </c>
      <c r="I5" s="6">
        <v>50</v>
      </c>
      <c r="J5" s="6">
        <v>330</v>
      </c>
      <c r="K5" s="6">
        <v>215</v>
      </c>
      <c r="L5" s="6">
        <v>15</v>
      </c>
      <c r="M5" s="6">
        <v>48</v>
      </c>
      <c r="N5" s="9">
        <f>$L5/(N$2/20)</f>
        <v>7.5</v>
      </c>
      <c r="O5" s="10">
        <f>7/(O$2/1000*PI())*60*(1/$J5+1/$K5)</f>
        <v>25.67340836767783</v>
      </c>
      <c r="P5" s="9">
        <f>$L5/(P$2/20)</f>
        <v>8.5714285714285712</v>
      </c>
      <c r="Q5" s="10">
        <f>7/(Q$2/1000*PI())*60*(1/$J5+1/$K5)</f>
        <v>29.341038134488947</v>
      </c>
      <c r="R5" s="9">
        <f>$L5/(R$2/20)</f>
        <v>12.5</v>
      </c>
      <c r="S5" s="10">
        <f>7/(S$2/1000*PI())*60*(1/$J5+1/$K5)</f>
        <v>42.789013946129728</v>
      </c>
      <c r="T5" s="9">
        <f>$L5/(T$2/20)</f>
        <v>15.789473684210527</v>
      </c>
      <c r="U5" s="10">
        <f>7/(U$2/1000*PI())*60*(1/$J5+1/$K5)</f>
        <v>54.049280774058602</v>
      </c>
      <c r="V5" s="22">
        <v>28</v>
      </c>
      <c r="W5" s="34" t="s">
        <v>76</v>
      </c>
    </row>
    <row r="6" spans="1:259" ht="18" hidden="1" customHeight="1" x14ac:dyDescent="0.2">
      <c r="A6" s="57" t="s">
        <v>67</v>
      </c>
      <c r="B6" s="58">
        <v>9</v>
      </c>
      <c r="C6" s="59" t="s">
        <v>86</v>
      </c>
      <c r="D6" s="5">
        <f>Tabelle1[[#This Row],[Stall current '[A']]]*0.25+Tabelle1[[#This Row],[No Load Current '[A']]]</f>
        <v>3.7</v>
      </c>
      <c r="E6" s="5">
        <v>0.45</v>
      </c>
      <c r="F6" s="6">
        <v>13</v>
      </c>
      <c r="G6" s="6">
        <v>1</v>
      </c>
      <c r="H6" s="7">
        <v>310</v>
      </c>
      <c r="I6" s="6">
        <v>50</v>
      </c>
      <c r="J6" s="6">
        <v>250</v>
      </c>
      <c r="K6" s="6">
        <f>Tabelle1[[#This Row],[RPM no load]]*(1-0.25)</f>
        <v>187.5</v>
      </c>
      <c r="L6" s="6">
        <v>8.9</v>
      </c>
      <c r="M6" s="16">
        <v>33</v>
      </c>
      <c r="N6" s="9">
        <f>$L6/(N$2/20)</f>
        <v>4.45</v>
      </c>
      <c r="O6" s="10">
        <f>7/(O$2/1000*PI())*60*(1/$J6+1/$K6)</f>
        <v>31.194368846011482</v>
      </c>
      <c r="P6" s="9">
        <f>$L6/(P$2/20)</f>
        <v>5.0857142857142863</v>
      </c>
      <c r="Q6" s="10">
        <f>7/(Q$2/1000*PI())*60*(1/$J6+1/$K6)</f>
        <v>35.650707252584546</v>
      </c>
      <c r="R6" s="9">
        <f>$L6/(R$2/20)</f>
        <v>7.416666666666667</v>
      </c>
      <c r="S6" s="10">
        <f>7/(S$2/1000*PI())*60*(1/$J6+1/$K6)</f>
        <v>51.990614743352481</v>
      </c>
      <c r="T6" s="9">
        <f>$L6/(T$2/20)</f>
        <v>9.3684210526315805</v>
      </c>
      <c r="U6" s="10">
        <f>7/(U$2/1000*PI())*60*(1/$J6+1/$K6)</f>
        <v>65.672355465287339</v>
      </c>
      <c r="V6" s="22">
        <v>30</v>
      </c>
      <c r="W6" s="14" t="s">
        <v>75</v>
      </c>
    </row>
    <row r="7" spans="1:259" ht="18" customHeight="1" x14ac:dyDescent="0.2">
      <c r="A7" s="51" t="s">
        <v>92</v>
      </c>
      <c r="B7" s="52">
        <v>8</v>
      </c>
      <c r="C7" s="53" t="s">
        <v>86</v>
      </c>
      <c r="D7" s="5">
        <v>3.5</v>
      </c>
      <c r="E7" s="5">
        <v>0.45</v>
      </c>
      <c r="F7" s="6">
        <v>13</v>
      </c>
      <c r="G7" s="6">
        <v>1</v>
      </c>
      <c r="H7" s="7">
        <v>310</v>
      </c>
      <c r="I7" s="6">
        <v>30</v>
      </c>
      <c r="J7" s="6">
        <v>250</v>
      </c>
      <c r="K7" s="6">
        <v>175</v>
      </c>
      <c r="L7" s="6">
        <v>8.9</v>
      </c>
      <c r="M7" s="16">
        <f>L7*F7/D7</f>
        <v>33.057142857142857</v>
      </c>
      <c r="N7" s="9">
        <f>$L7/(N$2/20)</f>
        <v>4.45</v>
      </c>
      <c r="O7" s="10">
        <f>7/(O$2/1000*PI())*60*(1/$J7+1/$K7)</f>
        <v>32.467608390746641</v>
      </c>
      <c r="P7" s="9">
        <f>$L7/(P$2/20)</f>
        <v>5.0857142857142863</v>
      </c>
      <c r="Q7" s="10">
        <f>7/(Q$2/1000*PI())*60*(1/$J7+1/$K7)</f>
        <v>37.105838160853303</v>
      </c>
      <c r="R7" s="9">
        <f>$L7/(R$2/20)</f>
        <v>7.416666666666667</v>
      </c>
      <c r="S7" s="10">
        <f>7/(S$2/1000*PI())*60*(1/$J7+1/$K7)</f>
        <v>54.112680651244418</v>
      </c>
      <c r="T7" s="9">
        <f>$L7/(T$2/20)</f>
        <v>9.3684210526315805</v>
      </c>
      <c r="U7" s="10">
        <f>7/(U$2/1000*PI())*60*(1/$J7+1/$K7)</f>
        <v>68.352859769992946</v>
      </c>
      <c r="V7" s="22">
        <v>31</v>
      </c>
      <c r="W7" s="14" t="s">
        <v>75</v>
      </c>
    </row>
    <row r="8" spans="1:259" ht="18" customHeight="1" x14ac:dyDescent="0.2">
      <c r="A8" s="51" t="s">
        <v>14</v>
      </c>
      <c r="B8" s="52">
        <v>8</v>
      </c>
      <c r="C8" s="53" t="s">
        <v>96</v>
      </c>
      <c r="D8" s="5">
        <v>2.85</v>
      </c>
      <c r="E8" s="5">
        <v>0.52</v>
      </c>
      <c r="F8" s="6">
        <v>8</v>
      </c>
      <c r="G8" s="6">
        <v>0</v>
      </c>
      <c r="H8" s="7">
        <v>246</v>
      </c>
      <c r="I8" s="6">
        <v>50</v>
      </c>
      <c r="J8" s="6">
        <v>316</v>
      </c>
      <c r="K8" s="6">
        <v>267</v>
      </c>
      <c r="L8" s="6">
        <v>3</v>
      </c>
      <c r="M8" s="15">
        <v>48</v>
      </c>
      <c r="N8" s="9">
        <f>$L8/(N$2/20)</f>
        <v>1.5</v>
      </c>
      <c r="O8" s="10">
        <f>7/(O$2/1000*PI())*60*(1/$J8+1/$K8)</f>
        <v>23.094557060091908</v>
      </c>
      <c r="P8" s="9">
        <f>$L8/(P$2/20)</f>
        <v>1.7142857142857142</v>
      </c>
      <c r="Q8" s="10">
        <f>7/(Q$2/1000*PI())*60*(1/$J8+1/$K8)</f>
        <v>26.393779497247891</v>
      </c>
      <c r="R8" s="9">
        <f>$L8/(R$2/20)</f>
        <v>2.5</v>
      </c>
      <c r="S8" s="10">
        <f>7/(S$2/1000*PI())*60*(1/$J8+1/$K8)</f>
        <v>38.490928433486523</v>
      </c>
      <c r="T8" s="9">
        <f>$L8/(T$2/20)</f>
        <v>3.1578947368421053</v>
      </c>
      <c r="U8" s="10">
        <f>7/(U$2/1000*PI())*60*(1/$J8+1/$K8)</f>
        <v>48.620120126509285</v>
      </c>
      <c r="V8" s="22">
        <v>6</v>
      </c>
      <c r="W8" s="13" t="s">
        <v>43</v>
      </c>
    </row>
    <row r="9" spans="1:259" ht="18" customHeight="1" x14ac:dyDescent="0.2">
      <c r="A9" s="51" t="s">
        <v>18</v>
      </c>
      <c r="B9" s="52">
        <v>8</v>
      </c>
      <c r="C9" s="53" t="s">
        <v>85</v>
      </c>
      <c r="D9" s="5">
        <v>2.81</v>
      </c>
      <c r="E9" s="5">
        <v>0.7</v>
      </c>
      <c r="F9" s="6">
        <v>8.1999999999999993</v>
      </c>
      <c r="G9" s="6">
        <v>0</v>
      </c>
      <c r="H9" s="7">
        <v>285</v>
      </c>
      <c r="I9" s="6">
        <v>47</v>
      </c>
      <c r="J9" s="6">
        <v>309</v>
      </c>
      <c r="K9" s="6">
        <v>256</v>
      </c>
      <c r="L9" s="6">
        <v>4</v>
      </c>
      <c r="M9" s="15">
        <v>47</v>
      </c>
      <c r="N9" s="9">
        <f>$L9/(N$2/20)</f>
        <v>2</v>
      </c>
      <c r="O9" s="10">
        <f>7/(O$2/1000*PI())*60*(1/$J9+1/$K9)</f>
        <v>23.872034281266913</v>
      </c>
      <c r="P9" s="9">
        <f>$L9/(P$2/20)</f>
        <v>2.2857142857142856</v>
      </c>
      <c r="Q9" s="10">
        <f>7/(Q$2/1000*PI())*60*(1/$J9+1/$K9)</f>
        <v>27.282324892876471</v>
      </c>
      <c r="R9" s="9">
        <f>$L9/(R$2/20)</f>
        <v>3.3333333333333335</v>
      </c>
      <c r="S9" s="10">
        <f>7/(S$2/1000*PI())*60*(1/$J9+1/$K9)</f>
        <v>39.786723802111531</v>
      </c>
      <c r="T9" s="9">
        <f>$L9/(T$2/20)</f>
        <v>4.2105263157894735</v>
      </c>
      <c r="U9" s="10">
        <f>7/(U$2/1000*PI())*60*(1/$J9+1/$K9)</f>
        <v>50.256914276351402</v>
      </c>
      <c r="V9" s="22">
        <v>11</v>
      </c>
      <c r="W9" s="13" t="s">
        <v>46</v>
      </c>
    </row>
    <row r="10" spans="1:259" ht="18" customHeight="1" x14ac:dyDescent="0.2">
      <c r="A10" s="51" t="s">
        <v>91</v>
      </c>
      <c r="B10" s="52">
        <v>8</v>
      </c>
      <c r="C10" s="53" t="s">
        <v>64</v>
      </c>
      <c r="D10" s="5">
        <v>2.6</v>
      </c>
      <c r="E10" s="5">
        <v>0.7</v>
      </c>
      <c r="F10" s="6">
        <v>13</v>
      </c>
      <c r="G10" s="6">
        <v>1</v>
      </c>
      <c r="H10" s="7">
        <v>410</v>
      </c>
      <c r="I10" s="6">
        <v>17</v>
      </c>
      <c r="J10" s="6">
        <v>470</v>
      </c>
      <c r="K10" s="6">
        <v>380</v>
      </c>
      <c r="L10" s="6">
        <v>2.2000000000000002</v>
      </c>
      <c r="M10" s="15">
        <v>8.8000000000000007</v>
      </c>
      <c r="N10" s="9">
        <f>$L10/(N$2/20)</f>
        <v>1.1000000000000001</v>
      </c>
      <c r="O10" s="10">
        <f>7/(O$2/1000*PI())*60*(1/$J10+1/$K10)</f>
        <v>15.906583058176549</v>
      </c>
      <c r="P10" s="9">
        <f>$L10/(P$2/20)</f>
        <v>1.2571428571428573</v>
      </c>
      <c r="Q10" s="10">
        <f>7/(Q$2/1000*PI())*60*(1/$J10+1/$K10)</f>
        <v>18.178952066487483</v>
      </c>
      <c r="R10" s="9">
        <f>$L10/(R$2/20)</f>
        <v>1.8333333333333335</v>
      </c>
      <c r="S10" s="10">
        <f>7/(S$2/1000*PI())*60*(1/$J10+1/$K10)</f>
        <v>26.510971763627587</v>
      </c>
      <c r="T10" s="9">
        <f>$L10/(T$2/20)</f>
        <v>2.3157894736842106</v>
      </c>
      <c r="U10" s="10">
        <f>7/(U$2/1000*PI())*60*(1/$J10+1/$K10)</f>
        <v>33.487543280371689</v>
      </c>
      <c r="V10" s="22">
        <v>23</v>
      </c>
      <c r="W10" s="13"/>
    </row>
    <row r="11" spans="1:259" ht="21.25" customHeight="1" x14ac:dyDescent="0.2">
      <c r="A11" s="35" t="s">
        <v>91</v>
      </c>
      <c r="B11" s="27">
        <v>7</v>
      </c>
      <c r="C11" s="43" t="s">
        <v>64</v>
      </c>
      <c r="D11" s="5">
        <v>2.6</v>
      </c>
      <c r="E11" s="5">
        <v>0.7</v>
      </c>
      <c r="F11" s="6">
        <v>13</v>
      </c>
      <c r="G11" s="6">
        <v>1</v>
      </c>
      <c r="H11" s="7">
        <v>410</v>
      </c>
      <c r="I11" s="6">
        <v>31</v>
      </c>
      <c r="J11" s="6">
        <v>260</v>
      </c>
      <c r="K11" s="6">
        <v>200</v>
      </c>
      <c r="L11" s="6">
        <v>4</v>
      </c>
      <c r="M11" s="15">
        <v>16</v>
      </c>
      <c r="N11" s="9">
        <f>$L11/(N$2/20)</f>
        <v>2</v>
      </c>
      <c r="O11" s="10">
        <f>7/(O$2/1000*PI())*60*(1/$J11+1/$K11)</f>
        <v>29.566091351302099</v>
      </c>
      <c r="P11" s="9">
        <f>$L11/(P$2/20)</f>
        <v>2.2857142857142856</v>
      </c>
      <c r="Q11" s="10">
        <f>7/(Q$2/1000*PI())*60*(1/$J11+1/$K11)</f>
        <v>33.789818687202391</v>
      </c>
      <c r="R11" s="9">
        <f>$L11/(R$2/20)</f>
        <v>3.3333333333333335</v>
      </c>
      <c r="S11" s="10">
        <f>7/(S$2/1000*PI())*60*(1/$J11+1/$K11)</f>
        <v>49.276818918836838</v>
      </c>
      <c r="T11" s="9">
        <f>$L11/(T$2/20)</f>
        <v>4.2105263157894735</v>
      </c>
      <c r="U11" s="10">
        <f>7/(U$2/1000*PI())*60*(1/$J11+1/$K11)</f>
        <v>62.244402844846526</v>
      </c>
      <c r="V11" s="22">
        <v>22</v>
      </c>
      <c r="W11" s="13" t="s">
        <v>53</v>
      </c>
    </row>
    <row r="12" spans="1:259" ht="17.75" customHeight="1" x14ac:dyDescent="0.2">
      <c r="A12" s="35" t="s">
        <v>15</v>
      </c>
      <c r="B12" s="27">
        <v>6</v>
      </c>
      <c r="C12" s="43" t="s">
        <v>95</v>
      </c>
      <c r="D12" s="5">
        <v>1.4</v>
      </c>
      <c r="E12" s="5">
        <v>0.26</v>
      </c>
      <c r="F12" s="6">
        <v>10</v>
      </c>
      <c r="G12" s="6">
        <v>0</v>
      </c>
      <c r="H12" s="7">
        <v>312</v>
      </c>
      <c r="I12" s="6">
        <v>30</v>
      </c>
      <c r="J12" s="6">
        <v>200</v>
      </c>
      <c r="K12" s="6">
        <v>175</v>
      </c>
      <c r="L12" s="6">
        <v>2</v>
      </c>
      <c r="M12" s="16">
        <v>54</v>
      </c>
      <c r="N12" s="9">
        <f>$L12/(N$2/20)</f>
        <v>1</v>
      </c>
      <c r="O12" s="10">
        <f>7/(O$2/1000*PI())*60*(1/$J12+1/$K12)</f>
        <v>35.809862195676452</v>
      </c>
      <c r="P12" s="9">
        <f>$L12/(P$2/20)</f>
        <v>1.1428571428571428</v>
      </c>
      <c r="Q12" s="10">
        <f>7/(Q$2/1000*PI())*60*(1/$J12+1/$K12)</f>
        <v>40.925556795058796</v>
      </c>
      <c r="R12" s="9">
        <f>$L12/(R$2/20)</f>
        <v>1.6666666666666667</v>
      </c>
      <c r="S12" s="10">
        <f>7/(S$2/1000*PI())*60*(1/$J12+1/$K12)</f>
        <v>59.683103659460762</v>
      </c>
      <c r="T12" s="9">
        <f>$L12/(T$2/20)</f>
        <v>2.1052631578947367</v>
      </c>
      <c r="U12" s="10">
        <f>7/(U$2/1000*PI())*60*(1/$J12+1/$K12)</f>
        <v>75.389183569845173</v>
      </c>
      <c r="V12" s="22">
        <v>7</v>
      </c>
      <c r="W12" s="13"/>
    </row>
    <row r="13" spans="1:259" ht="18" customHeight="1" x14ac:dyDescent="0.2">
      <c r="A13" s="35" t="s">
        <v>34</v>
      </c>
      <c r="B13" s="27">
        <v>6</v>
      </c>
      <c r="C13" s="43" t="s">
        <v>60</v>
      </c>
      <c r="D13" s="5">
        <v>0.78</v>
      </c>
      <c r="E13" s="5"/>
      <c r="F13" s="6">
        <v>5.5</v>
      </c>
      <c r="G13" s="6">
        <v>1</v>
      </c>
      <c r="H13" s="7">
        <v>200</v>
      </c>
      <c r="I13" s="6">
        <v>30</v>
      </c>
      <c r="J13" s="6">
        <v>330</v>
      </c>
      <c r="K13" s="6">
        <v>280</v>
      </c>
      <c r="L13" s="6">
        <v>1.8</v>
      </c>
      <c r="M13" s="15">
        <v>14</v>
      </c>
      <c r="N13" s="9">
        <f>$L13/(N$2/20)</f>
        <v>0.9</v>
      </c>
      <c r="O13" s="10">
        <f>7/(O$2/1000*PI())*60*(1/$J13+1/$K13)</f>
        <v>22.06466256501276</v>
      </c>
      <c r="P13" s="9">
        <f>$L13/(P$2/20)</f>
        <v>1.0285714285714287</v>
      </c>
      <c r="Q13" s="10">
        <f>7/(Q$2/1000*PI())*60*(1/$J13+1/$K13)</f>
        <v>25.21675721715744</v>
      </c>
      <c r="R13" s="9">
        <f>$L13/(R$2/20)</f>
        <v>1.5</v>
      </c>
      <c r="S13" s="10">
        <f>7/(S$2/1000*PI())*60*(1/$J13+1/$K13)</f>
        <v>36.77443760835461</v>
      </c>
      <c r="T13" s="9">
        <f>$L13/(T$2/20)</f>
        <v>1.8947368421052633</v>
      </c>
      <c r="U13" s="10">
        <f>7/(U$2/1000*PI())*60*(1/$J13+1/$K13)</f>
        <v>46.451921189500553</v>
      </c>
      <c r="V13" s="22">
        <v>15</v>
      </c>
      <c r="W13" s="13" t="s">
        <v>49</v>
      </c>
    </row>
    <row r="14" spans="1:259" ht="18" customHeight="1" x14ac:dyDescent="0.2">
      <c r="A14" s="35" t="s">
        <v>31</v>
      </c>
      <c r="B14" s="27">
        <v>6</v>
      </c>
      <c r="C14" s="43" t="s">
        <v>60</v>
      </c>
      <c r="D14" s="5">
        <v>2.7</v>
      </c>
      <c r="E14" s="5"/>
      <c r="F14" s="6">
        <v>5.5</v>
      </c>
      <c r="G14" s="6">
        <v>1</v>
      </c>
      <c r="H14" s="7">
        <v>200</v>
      </c>
      <c r="I14" s="6">
        <v>30</v>
      </c>
      <c r="J14" s="6">
        <v>330</v>
      </c>
      <c r="K14" s="6">
        <v>155</v>
      </c>
      <c r="L14" s="6">
        <v>7.2</v>
      </c>
      <c r="M14" s="15">
        <v>14</v>
      </c>
      <c r="N14" s="9">
        <f>$L14/(N$2/20)</f>
        <v>3.6</v>
      </c>
      <c r="O14" s="10">
        <f>7/(O$2/1000*PI())*60*(1/$J14+1/$K14)</f>
        <v>31.690969606861266</v>
      </c>
      <c r="P14" s="9">
        <f>$L14/(P$2/20)</f>
        <v>4.1142857142857148</v>
      </c>
      <c r="Q14" s="10">
        <f>7/(Q$2/1000*PI())*60*(1/$J14+1/$K14)</f>
        <v>36.218250979270017</v>
      </c>
      <c r="R14" s="9">
        <f>$L14/(R$2/20)</f>
        <v>6</v>
      </c>
      <c r="S14" s="10">
        <f>7/(S$2/1000*PI())*60*(1/$J14+1/$K14)</f>
        <v>52.818282678102122</v>
      </c>
      <c r="T14" s="9">
        <f>$L14/(T$2/20)</f>
        <v>7.5789473684210531</v>
      </c>
      <c r="U14" s="10">
        <f>7/(U$2/1000*PI())*60*(1/$J14+1/$K14)</f>
        <v>66.717830751286883</v>
      </c>
      <c r="V14" s="22">
        <v>16</v>
      </c>
      <c r="W14" s="13" t="s">
        <v>49</v>
      </c>
    </row>
    <row r="15" spans="1:259" ht="18" customHeight="1" x14ac:dyDescent="0.2">
      <c r="A15" s="35" t="s">
        <v>10</v>
      </c>
      <c r="B15" s="27">
        <v>5</v>
      </c>
      <c r="C15" s="43" t="s">
        <v>94</v>
      </c>
      <c r="D15" s="5">
        <v>2.2000000000000002</v>
      </c>
      <c r="E15" s="5">
        <v>0.28999999999999998</v>
      </c>
      <c r="F15" s="6">
        <v>9.4</v>
      </c>
      <c r="G15" s="6">
        <v>0</v>
      </c>
      <c r="H15" s="7"/>
      <c r="I15" s="6">
        <v>18</v>
      </c>
      <c r="J15" s="6">
        <v>333</v>
      </c>
      <c r="K15" s="6">
        <v>263</v>
      </c>
      <c r="L15" s="6">
        <v>4</v>
      </c>
      <c r="M15" s="15">
        <v>21</v>
      </c>
      <c r="N15" s="9">
        <f>$L15/(N$2/20)</f>
        <v>2</v>
      </c>
      <c r="O15" s="10">
        <f>7/(O$2/1000*PI())*60*(1/$J15+1/$K15)</f>
        <v>22.744987585359066</v>
      </c>
      <c r="P15" s="9">
        <f>$L15/(P$2/20)</f>
        <v>2.2857142857142856</v>
      </c>
      <c r="Q15" s="10">
        <f>7/(Q$2/1000*PI())*60*(1/$J15+1/$K15)</f>
        <v>25.994271526124646</v>
      </c>
      <c r="R15" s="9">
        <f>$L15/(R$2/20)</f>
        <v>3.3333333333333335</v>
      </c>
      <c r="S15" s="10">
        <f>7/(S$2/1000*PI())*60*(1/$J15+1/$K15)</f>
        <v>37.908312642265123</v>
      </c>
      <c r="T15" s="9">
        <f>$L15/(T$2/20)</f>
        <v>4.2105263157894735</v>
      </c>
      <c r="U15" s="10">
        <f>7/(U$2/1000*PI())*60*(1/$J15+1/$K15)</f>
        <v>47.88418439022962</v>
      </c>
      <c r="V15" s="22">
        <v>1</v>
      </c>
      <c r="W15" s="13" t="s">
        <v>42</v>
      </c>
    </row>
    <row r="16" spans="1:259" ht="18" customHeight="1" x14ac:dyDescent="0.2">
      <c r="A16" s="35" t="s">
        <v>68</v>
      </c>
      <c r="B16" s="27">
        <v>5</v>
      </c>
      <c r="C16" s="43" t="s">
        <v>97</v>
      </c>
      <c r="D16" s="5">
        <v>6</v>
      </c>
      <c r="E16" s="5">
        <v>1.1000000000000001</v>
      </c>
      <c r="F16" s="6">
        <v>20</v>
      </c>
      <c r="G16" s="6">
        <v>1</v>
      </c>
      <c r="H16" s="7">
        <v>310</v>
      </c>
      <c r="I16" s="6">
        <v>30</v>
      </c>
      <c r="J16" s="6">
        <v>550</v>
      </c>
      <c r="K16" s="6">
        <v>360</v>
      </c>
      <c r="L16" s="6">
        <v>9</v>
      </c>
      <c r="M16" s="15">
        <v>29</v>
      </c>
      <c r="N16" s="9">
        <f>$L16/(N$2/20)</f>
        <v>4.5</v>
      </c>
      <c r="O16" s="10">
        <f>7/(O$2/1000*PI())*60*(1/$J16+1/$K16)</f>
        <v>15.360863446899595</v>
      </c>
      <c r="P16" s="9">
        <f>$L16/(P$2/20)</f>
        <v>5.1428571428571432</v>
      </c>
      <c r="Q16" s="10">
        <f>7/(Q$2/1000*PI())*60*(1/$J16+1/$K16)</f>
        <v>17.555272510742391</v>
      </c>
      <c r="R16" s="9">
        <f>$L16/(R$2/20)</f>
        <v>7.5</v>
      </c>
      <c r="S16" s="10">
        <f>7/(S$2/1000*PI())*60*(1/$J16+1/$K16)</f>
        <v>25.601439078165996</v>
      </c>
      <c r="T16" s="9">
        <f>$L16/(T$2/20)</f>
        <v>9.4736842105263168</v>
      </c>
      <c r="U16" s="10">
        <f>7/(U$2/1000*PI())*60*(1/$J16+1/$K16)</f>
        <v>32.338659888209676</v>
      </c>
      <c r="V16" s="22">
        <v>26</v>
      </c>
      <c r="W16" s="13"/>
    </row>
    <row r="17" spans="1:23" ht="18" customHeight="1" x14ac:dyDescent="0.2">
      <c r="A17" s="35" t="s">
        <v>66</v>
      </c>
      <c r="B17" s="27">
        <v>5</v>
      </c>
      <c r="C17" s="43" t="s">
        <v>83</v>
      </c>
      <c r="D17" s="5">
        <v>3.5</v>
      </c>
      <c r="E17" s="5">
        <v>0.45</v>
      </c>
      <c r="F17" s="6">
        <v>13</v>
      </c>
      <c r="G17" s="6">
        <v>1</v>
      </c>
      <c r="H17" s="7">
        <v>310</v>
      </c>
      <c r="I17" s="6">
        <v>18</v>
      </c>
      <c r="J17" s="6">
        <v>415</v>
      </c>
      <c r="K17" s="6">
        <v>280</v>
      </c>
      <c r="L17" s="6">
        <v>5.5</v>
      </c>
      <c r="M17" s="16">
        <f>L17*F17/D17</f>
        <v>20.428571428571427</v>
      </c>
      <c r="N17" s="9">
        <f>$L17/(N$2/20)</f>
        <v>2.75</v>
      </c>
      <c r="O17" s="10">
        <f>7/(O$2/1000*PI())*60*(1/$J17+1/$K17)</f>
        <v>19.99024435822902</v>
      </c>
      <c r="P17" s="9">
        <f>$L17/(P$2/20)</f>
        <v>3.1428571428571428</v>
      </c>
      <c r="Q17" s="10">
        <f>7/(Q$2/1000*PI())*60*(1/$J17+1/$K17)</f>
        <v>22.845993552261735</v>
      </c>
      <c r="R17" s="9">
        <f>$L17/(R$2/20)</f>
        <v>4.5833333333333339</v>
      </c>
      <c r="S17" s="10">
        <f>7/(S$2/1000*PI())*60*(1/$J17+1/$K17)</f>
        <v>33.31707393038171</v>
      </c>
      <c r="T17" s="9">
        <f>$L17/(T$2/20)</f>
        <v>5.7894736842105265</v>
      </c>
      <c r="U17" s="10">
        <f>7/(U$2/1000*PI())*60*(1/$J17+1/$K17)</f>
        <v>42.084724964692683</v>
      </c>
      <c r="V17" s="22">
        <v>29</v>
      </c>
      <c r="W17" s="13" t="s">
        <v>75</v>
      </c>
    </row>
    <row r="18" spans="1:23" ht="18" customHeight="1" x14ac:dyDescent="0.2">
      <c r="A18" s="36" t="s">
        <v>38</v>
      </c>
      <c r="B18" s="27">
        <v>5</v>
      </c>
      <c r="C18" s="44" t="s">
        <v>79</v>
      </c>
      <c r="D18" s="5">
        <v>1.6</v>
      </c>
      <c r="E18" s="5"/>
      <c r="F18" s="6">
        <v>10</v>
      </c>
      <c r="G18" s="6">
        <v>0</v>
      </c>
      <c r="H18" s="7">
        <v>362</v>
      </c>
      <c r="I18" s="6">
        <v>14</v>
      </c>
      <c r="J18" s="6">
        <v>430</v>
      </c>
      <c r="K18" s="6">
        <v>360</v>
      </c>
      <c r="L18" s="6">
        <v>2.4</v>
      </c>
      <c r="M18" s="15"/>
      <c r="N18" s="9">
        <f>$L18/(N$2/20)</f>
        <v>1.2</v>
      </c>
      <c r="O18" s="10">
        <f>7/(O$2/1000*PI())*60*(1/$J18+1/$K18)</f>
        <v>17.05672161430584</v>
      </c>
      <c r="P18" s="9">
        <f>$L18/(P$2/20)</f>
        <v>1.3714285714285714</v>
      </c>
      <c r="Q18" s="10">
        <f>7/(Q$2/1000*PI())*60*(1/$J18+1/$K18)</f>
        <v>19.49339613063524</v>
      </c>
      <c r="R18" s="9">
        <f>$L18/(R$2/20)</f>
        <v>2</v>
      </c>
      <c r="S18" s="10">
        <f>7/(S$2/1000*PI())*60*(1/$J18+1/$K18)</f>
        <v>28.427869357176402</v>
      </c>
      <c r="T18" s="9">
        <f>$L18/(T$2/20)</f>
        <v>2.5263157894736841</v>
      </c>
      <c r="U18" s="10">
        <f>7/(U$2/1000*PI())*60*(1/$J18+1/$K18)</f>
        <v>35.908887609064926</v>
      </c>
      <c r="V18" s="22">
        <v>40</v>
      </c>
      <c r="W18" s="13" t="s">
        <v>37</v>
      </c>
    </row>
    <row r="19" spans="1:23" ht="18" customHeight="1" x14ac:dyDescent="0.2">
      <c r="A19" s="36" t="s">
        <v>39</v>
      </c>
      <c r="B19" s="27">
        <v>5</v>
      </c>
      <c r="C19" s="44" t="s">
        <v>79</v>
      </c>
      <c r="D19" s="5">
        <v>5</v>
      </c>
      <c r="E19" s="5"/>
      <c r="F19" s="6">
        <v>10</v>
      </c>
      <c r="G19" s="6">
        <v>0</v>
      </c>
      <c r="H19" s="7">
        <v>362</v>
      </c>
      <c r="I19" s="6">
        <v>14</v>
      </c>
      <c r="J19" s="6">
        <v>430</v>
      </c>
      <c r="K19" s="6">
        <v>214</v>
      </c>
      <c r="L19" s="6">
        <v>8.8000000000000007</v>
      </c>
      <c r="M19" s="15"/>
      <c r="N19" s="9">
        <f>$L19/(N$2/20)</f>
        <v>4.4000000000000004</v>
      </c>
      <c r="O19" s="10">
        <f>7/(O$2/1000*PI())*60*(1/$J19+1/$K19)</f>
        <v>23.390691701530017</v>
      </c>
      <c r="P19" s="9">
        <f>$L19/(P$2/20)</f>
        <v>5.0285714285714294</v>
      </c>
      <c r="Q19" s="10">
        <f>7/(Q$2/1000*PI())*60*(1/$J19+1/$K19)</f>
        <v>26.732219087462877</v>
      </c>
      <c r="R19" s="9">
        <f>$L19/(R$2/20)</f>
        <v>7.3333333333333339</v>
      </c>
      <c r="S19" s="10">
        <f>7/(S$2/1000*PI())*60*(1/$J19+1/$K19)</f>
        <v>38.984486169216709</v>
      </c>
      <c r="T19" s="9">
        <f>$L19/(T$2/20)</f>
        <v>9.2631578947368425</v>
      </c>
      <c r="U19" s="10">
        <f>7/(U$2/1000*PI())*60*(1/$J19+1/$K19)</f>
        <v>49.243561476905306</v>
      </c>
      <c r="V19" s="22">
        <v>41</v>
      </c>
      <c r="W19" s="13" t="s">
        <v>37</v>
      </c>
    </row>
    <row r="20" spans="1:23" ht="18" customHeight="1" x14ac:dyDescent="0.2">
      <c r="A20" s="35" t="s">
        <v>16</v>
      </c>
      <c r="B20" s="27">
        <v>4</v>
      </c>
      <c r="C20" s="43" t="s">
        <v>60</v>
      </c>
      <c r="D20" s="5">
        <v>1</v>
      </c>
      <c r="E20" s="5">
        <v>0.18</v>
      </c>
      <c r="F20" s="6">
        <v>5.5</v>
      </c>
      <c r="G20" s="6">
        <v>0</v>
      </c>
      <c r="H20" s="7">
        <v>159</v>
      </c>
      <c r="I20" s="6">
        <v>50</v>
      </c>
      <c r="J20" s="6">
        <v>233</v>
      </c>
      <c r="K20" s="6">
        <v>197</v>
      </c>
      <c r="L20" s="6">
        <v>2.6</v>
      </c>
      <c r="M20" s="15">
        <v>26</v>
      </c>
      <c r="N20" s="9">
        <f>$L20/(N$2/20)</f>
        <v>1.3</v>
      </c>
      <c r="O20" s="10">
        <f>7/(O$2/1000*PI())*60*(1/$J20+1/$K20)</f>
        <v>31.310192286002806</v>
      </c>
      <c r="P20" s="9">
        <f>$L20/(P$2/20)</f>
        <v>1.4857142857142858</v>
      </c>
      <c r="Q20" s="10">
        <f>7/(Q$2/1000*PI())*60*(1/$J20+1/$K20)</f>
        <v>35.783076898288918</v>
      </c>
      <c r="R20" s="9">
        <f>$L20/(R$2/20)</f>
        <v>2.166666666666667</v>
      </c>
      <c r="S20" s="10">
        <f>7/(S$2/1000*PI())*60*(1/$J20+1/$K20)</f>
        <v>52.183653810004685</v>
      </c>
      <c r="T20" s="9">
        <f>$L20/(T$2/20)</f>
        <v>2.736842105263158</v>
      </c>
      <c r="U20" s="10">
        <f>7/(U$2/1000*PI())*60*(1/$J20+1/$K20)</f>
        <v>65.916194286321698</v>
      </c>
      <c r="V20" s="22">
        <v>8</v>
      </c>
      <c r="W20" s="13" t="s">
        <v>44</v>
      </c>
    </row>
    <row r="21" spans="1:23" ht="18" customHeight="1" x14ac:dyDescent="0.2">
      <c r="A21" s="35" t="s">
        <v>35</v>
      </c>
      <c r="B21" s="27">
        <v>4</v>
      </c>
      <c r="C21" s="43" t="s">
        <v>62</v>
      </c>
      <c r="D21" s="5">
        <v>0.78</v>
      </c>
      <c r="E21" s="5"/>
      <c r="F21" s="6">
        <v>5.5</v>
      </c>
      <c r="G21" s="6">
        <v>1</v>
      </c>
      <c r="H21" s="7">
        <v>200</v>
      </c>
      <c r="I21" s="6">
        <v>50</v>
      </c>
      <c r="J21" s="6">
        <v>200</v>
      </c>
      <c r="K21" s="6">
        <v>130</v>
      </c>
      <c r="L21" s="6">
        <v>7</v>
      </c>
      <c r="M21" s="15">
        <v>21</v>
      </c>
      <c r="N21" s="9">
        <f>$L21/(N$2/20)</f>
        <v>3.5</v>
      </c>
      <c r="O21" s="10">
        <f>7/(O$2/1000*PI())*60*(1/$J21+1/$K21)</f>
        <v>42.420913677955184</v>
      </c>
      <c r="P21" s="9">
        <f>$L21/(P$2/20)</f>
        <v>4</v>
      </c>
      <c r="Q21" s="10">
        <f>7/(Q$2/1000*PI())*60*(1/$J21+1/$K21)</f>
        <v>48.481044203377344</v>
      </c>
      <c r="R21" s="9">
        <f>$L21/(R$2/20)</f>
        <v>5.8333333333333339</v>
      </c>
      <c r="S21" s="10">
        <f>7/(S$2/1000*PI())*60*(1/$J21+1/$K21)</f>
        <v>70.701522796591988</v>
      </c>
      <c r="T21" s="9">
        <f>$L21/(T$2/20)</f>
        <v>7.3684210526315796</v>
      </c>
      <c r="U21" s="10">
        <f>7/(U$2/1000*PI())*60*(1/$J21+1/$K21)</f>
        <v>89.307186690431976</v>
      </c>
      <c r="V21" s="22">
        <v>17</v>
      </c>
      <c r="W21" s="13" t="s">
        <v>50</v>
      </c>
    </row>
    <row r="22" spans="1:23" ht="18" customHeight="1" x14ac:dyDescent="0.2">
      <c r="A22" s="35" t="s">
        <v>36</v>
      </c>
      <c r="B22" s="27">
        <v>4</v>
      </c>
      <c r="C22" s="43" t="s">
        <v>60</v>
      </c>
      <c r="D22" s="5">
        <v>2.7</v>
      </c>
      <c r="E22" s="5"/>
      <c r="F22" s="6">
        <v>5.5</v>
      </c>
      <c r="G22" s="6">
        <v>1</v>
      </c>
      <c r="H22" s="7">
        <v>200</v>
      </c>
      <c r="I22" s="6">
        <v>50</v>
      </c>
      <c r="J22" s="6">
        <v>200</v>
      </c>
      <c r="K22" s="6">
        <v>98</v>
      </c>
      <c r="L22" s="6">
        <v>10</v>
      </c>
      <c r="M22" s="15">
        <v>21</v>
      </c>
      <c r="N22" s="9">
        <f>$L22/(N$2/20)</f>
        <v>5</v>
      </c>
      <c r="O22" s="10">
        <f>7/(O$2/1000*PI())*60*(1/$J22+1/$K22)</f>
        <v>50.815899687198005</v>
      </c>
      <c r="P22" s="9">
        <f>$L22/(P$2/20)</f>
        <v>5.7142857142857144</v>
      </c>
      <c r="Q22" s="10">
        <f>7/(Q$2/1000*PI())*60*(1/$J22+1/$K22)</f>
        <v>58.075313928226279</v>
      </c>
      <c r="R22" s="9">
        <f>$L22/(R$2/20)</f>
        <v>8.3333333333333339</v>
      </c>
      <c r="S22" s="10">
        <f>7/(S$2/1000*PI())*60*(1/$J22+1/$K22)</f>
        <v>84.693166145330025</v>
      </c>
      <c r="T22" s="9">
        <f>$L22/(T$2/20)</f>
        <v>10.526315789473685</v>
      </c>
      <c r="U22" s="10">
        <f>7/(U$2/1000*PI())*60*(1/$J22+1/$K22)</f>
        <v>106.98084144673265</v>
      </c>
      <c r="V22" s="22">
        <v>18</v>
      </c>
      <c r="W22" s="13" t="s">
        <v>50</v>
      </c>
    </row>
    <row r="23" spans="1:23" ht="18" customHeight="1" x14ac:dyDescent="0.2">
      <c r="A23" s="35" t="s">
        <v>71</v>
      </c>
      <c r="B23" s="27">
        <v>4</v>
      </c>
      <c r="C23" s="43" t="s">
        <v>62</v>
      </c>
      <c r="D23" s="5">
        <v>1.4</v>
      </c>
      <c r="E23" s="5">
        <v>0.3</v>
      </c>
      <c r="F23" s="6">
        <v>4.2</v>
      </c>
      <c r="G23" s="6">
        <v>1</v>
      </c>
      <c r="H23" s="7">
        <v>260</v>
      </c>
      <c r="I23" s="6">
        <v>30</v>
      </c>
      <c r="J23" s="6">
        <v>267</v>
      </c>
      <c r="K23" s="6">
        <v>220</v>
      </c>
      <c r="L23" s="6">
        <v>3.6</v>
      </c>
      <c r="M23" s="15">
        <v>15</v>
      </c>
      <c r="N23" s="9">
        <f>$L23/(N$2/20)</f>
        <v>1.8</v>
      </c>
      <c r="O23" s="10">
        <f>7/(O$2/1000*PI())*60*(1/$J23+1/$K23)</f>
        <v>27.709867262526618</v>
      </c>
      <c r="P23" s="9">
        <f>$L23/(P$2/20)</f>
        <v>2.0571428571428574</v>
      </c>
      <c r="Q23" s="10">
        <f>7/(Q$2/1000*PI())*60*(1/$J23+1/$K23)</f>
        <v>31.668419728601847</v>
      </c>
      <c r="R23" s="9">
        <f>$L23/(R$2/20)</f>
        <v>3</v>
      </c>
      <c r="S23" s="10">
        <f>7/(S$2/1000*PI())*60*(1/$J23+1/$K23)</f>
        <v>46.183112104211041</v>
      </c>
      <c r="T23" s="9">
        <f>$L23/(T$2/20)</f>
        <v>3.7894736842105265</v>
      </c>
      <c r="U23" s="10">
        <f>7/(U$2/1000*PI())*60*(1/$J23+1/$K23)</f>
        <v>58.336562657950786</v>
      </c>
      <c r="V23" s="22">
        <v>24</v>
      </c>
      <c r="W23" s="23" t="s">
        <v>77</v>
      </c>
    </row>
    <row r="24" spans="1:23" ht="18" customHeight="1" x14ac:dyDescent="0.2">
      <c r="A24" s="35" t="s">
        <v>55</v>
      </c>
      <c r="B24" s="27">
        <v>4</v>
      </c>
      <c r="C24" s="43" t="s">
        <v>84</v>
      </c>
      <c r="D24" s="5">
        <f>Tabelle1[[#This Row],[Stall current '[A']]]/4+Tabelle1[[#This Row],[No Load Current '[A']]]</f>
        <v>2.1</v>
      </c>
      <c r="E24" s="5">
        <v>0.35</v>
      </c>
      <c r="F24" s="6">
        <v>7</v>
      </c>
      <c r="G24" s="6">
        <v>1</v>
      </c>
      <c r="H24" s="7">
        <v>205</v>
      </c>
      <c r="I24" s="6">
        <v>43.8</v>
      </c>
      <c r="J24" s="6">
        <v>251</v>
      </c>
      <c r="K24" s="21">
        <f>Tabelle1[[#This Row],[RPM no load]]*0.75</f>
        <v>188.25</v>
      </c>
      <c r="L24" s="6">
        <f>Tabelle1[[#This Row],[stall Tourque kg*cm]]*0.25</f>
        <v>4.5</v>
      </c>
      <c r="M24" s="15">
        <v>18</v>
      </c>
      <c r="N24" s="9">
        <f>$L24/(N$2/20)</f>
        <v>2.25</v>
      </c>
      <c r="O24" s="10">
        <f>7/(O$2/1000*PI())*60*(1/$J24+1/$K24)</f>
        <v>31.070088492043308</v>
      </c>
      <c r="P24" s="9">
        <f>$L24/(P$2/20)</f>
        <v>2.5714285714285716</v>
      </c>
      <c r="Q24" s="10">
        <f>7/(Q$2/1000*PI())*60*(1/$J24+1/$K24)</f>
        <v>35.508672562335207</v>
      </c>
      <c r="R24" s="9">
        <f>$L24/(R$2/20)</f>
        <v>3.75</v>
      </c>
      <c r="S24" s="10">
        <f>7/(S$2/1000*PI())*60*(1/$J24+1/$K24)</f>
        <v>51.783480820072185</v>
      </c>
      <c r="T24" s="9">
        <f>$L24/(T$2/20)</f>
        <v>4.7368421052631584</v>
      </c>
      <c r="U24" s="10">
        <f>7/(U$2/1000*PI())*60*(1/$J24+1/$K24)</f>
        <v>65.410712614828029</v>
      </c>
      <c r="V24" s="22">
        <v>35</v>
      </c>
      <c r="W24" s="13" t="s">
        <v>54</v>
      </c>
    </row>
    <row r="25" spans="1:23" ht="18" customHeight="1" x14ac:dyDescent="0.2">
      <c r="A25" s="35" t="s">
        <v>56</v>
      </c>
      <c r="B25" s="27">
        <v>4</v>
      </c>
      <c r="C25" s="43" t="s">
        <v>84</v>
      </c>
      <c r="D25" s="5">
        <f>Tabelle1[[#This Row],[Stall current '[A']]]/2+Tabelle1[[#This Row],[No Load Current '[A']]]</f>
        <v>3.85</v>
      </c>
      <c r="E25" s="5">
        <v>0.35</v>
      </c>
      <c r="F25" s="6">
        <v>7</v>
      </c>
      <c r="G25" s="6">
        <v>1</v>
      </c>
      <c r="H25" s="7">
        <v>205</v>
      </c>
      <c r="I25" s="6">
        <v>43.8</v>
      </c>
      <c r="J25" s="6">
        <v>251</v>
      </c>
      <c r="K25" s="21">
        <f>Tabelle1[[#This Row],[RPM no load]]*0.5</f>
        <v>125.5</v>
      </c>
      <c r="L25" s="6">
        <f>Tabelle1[[#This Row],[stall Tourque kg*cm]]*0.5</f>
        <v>9</v>
      </c>
      <c r="M25" s="15">
        <v>18</v>
      </c>
      <c r="N25" s="9">
        <f>$L25/(N$2/20)</f>
        <v>4.5</v>
      </c>
      <c r="O25" s="10">
        <f>7/(O$2/1000*PI())*60*(1/$J25+1/$K25)</f>
        <v>39.947256632627116</v>
      </c>
      <c r="P25" s="9">
        <f>$L25/(P$2/20)</f>
        <v>5.1428571428571432</v>
      </c>
      <c r="Q25" s="10">
        <f>7/(Q$2/1000*PI())*60*(1/$J25+1/$K25)</f>
        <v>45.654007580145269</v>
      </c>
      <c r="R25" s="9">
        <f>$L25/(R$2/20)</f>
        <v>7.5</v>
      </c>
      <c r="S25" s="10">
        <f>7/(S$2/1000*PI())*60*(1/$J25+1/$K25)</f>
        <v>66.578761054378532</v>
      </c>
      <c r="T25" s="9">
        <f>$L25/(T$2/20)</f>
        <v>9.4736842105263168</v>
      </c>
      <c r="U25" s="10">
        <f>7/(U$2/1000*PI())*60*(1/$J25+1/$K25)</f>
        <v>84.099487647636039</v>
      </c>
      <c r="V25" s="22">
        <v>36</v>
      </c>
      <c r="W25" s="13" t="s">
        <v>54</v>
      </c>
    </row>
    <row r="26" spans="1:23" ht="18" customHeight="1" x14ac:dyDescent="0.2">
      <c r="A26" s="37" t="s">
        <v>33</v>
      </c>
      <c r="B26" s="28">
        <v>3</v>
      </c>
      <c r="C26" s="45" t="s">
        <v>60</v>
      </c>
      <c r="D26" s="5">
        <v>1</v>
      </c>
      <c r="E26" s="5"/>
      <c r="F26" s="6">
        <v>5</v>
      </c>
      <c r="G26" s="6">
        <v>0</v>
      </c>
      <c r="H26" s="7">
        <v>202</v>
      </c>
      <c r="I26" s="6">
        <v>30</v>
      </c>
      <c r="J26" s="6">
        <v>240</v>
      </c>
      <c r="K26" s="6">
        <v>198</v>
      </c>
      <c r="L26" s="6">
        <v>3</v>
      </c>
      <c r="M26" s="15">
        <v>20</v>
      </c>
      <c r="N26" s="9">
        <f>$L26/(N$2/20)</f>
        <v>1.5</v>
      </c>
      <c r="O26" s="10">
        <f>7/(O$2/1000*PI())*60*(1/$J26+1/$K26)</f>
        <v>30.806127242408529</v>
      </c>
      <c r="P26" s="9">
        <f>$L26/(P$2/20)</f>
        <v>1.7142857142857142</v>
      </c>
      <c r="Q26" s="10">
        <f>7/(Q$2/1000*PI())*60*(1/$J26+1/$K26)</f>
        <v>35.207002562752599</v>
      </c>
      <c r="R26" s="9">
        <f>$L26/(R$2/20)</f>
        <v>2.5</v>
      </c>
      <c r="S26" s="10">
        <f>7/(S$2/1000*PI())*60*(1/$J26+1/$K26)</f>
        <v>51.343545404014222</v>
      </c>
      <c r="T26" s="9">
        <f>$L26/(T$2/20)</f>
        <v>3.1578947368421053</v>
      </c>
      <c r="U26" s="10">
        <f>7/(U$2/1000*PI())*60*(1/$J26+1/$K26)</f>
        <v>64.855004720860066</v>
      </c>
      <c r="V26" s="22">
        <v>9</v>
      </c>
      <c r="W26" s="13" t="s">
        <v>45</v>
      </c>
    </row>
    <row r="27" spans="1:23" ht="18" customHeight="1" x14ac:dyDescent="0.2">
      <c r="A27" s="38" t="s">
        <v>22</v>
      </c>
      <c r="B27" s="29">
        <v>3</v>
      </c>
      <c r="C27" s="46" t="s">
        <v>73</v>
      </c>
      <c r="D27" s="5">
        <v>1.5</v>
      </c>
      <c r="E27" s="5">
        <v>0.35</v>
      </c>
      <c r="F27" s="6">
        <v>6.5</v>
      </c>
      <c r="G27" s="6">
        <v>0</v>
      </c>
      <c r="H27" s="7">
        <v>350</v>
      </c>
      <c r="I27" s="6"/>
      <c r="J27" s="6">
        <v>400</v>
      </c>
      <c r="K27" s="6">
        <v>370</v>
      </c>
      <c r="L27" s="6">
        <v>2</v>
      </c>
      <c r="M27" s="15">
        <v>8</v>
      </c>
      <c r="N27" s="9">
        <f>$L27/(N$2/20)</f>
        <v>1</v>
      </c>
      <c r="O27" s="10">
        <f>7/(O$2/1000*PI())*60*(1/$J27+1/$K27)</f>
        <v>17.388752904026674</v>
      </c>
      <c r="P27" s="9">
        <f>$L27/(P$2/20)</f>
        <v>1.1428571428571428</v>
      </c>
      <c r="Q27" s="10">
        <f>7/(Q$2/1000*PI())*60*(1/$J27+1/$K27)</f>
        <v>19.872860461744768</v>
      </c>
      <c r="R27" s="9">
        <f>$L27/(R$2/20)</f>
        <v>1.6666666666666667</v>
      </c>
      <c r="S27" s="10">
        <f>7/(S$2/1000*PI())*60*(1/$J27+1/$K27)</f>
        <v>28.981254840044464</v>
      </c>
      <c r="T27" s="9">
        <f>$L27/(T$2/20)</f>
        <v>2.1052631578947367</v>
      </c>
      <c r="U27" s="10">
        <f>7/(U$2/1000*PI())*60*(1/$J27+1/$K27)</f>
        <v>36.607900850582475</v>
      </c>
      <c r="V27" s="22">
        <v>20</v>
      </c>
      <c r="W27" s="13"/>
    </row>
    <row r="28" spans="1:23" ht="18" customHeight="1" x14ac:dyDescent="0.2">
      <c r="A28" s="38" t="s">
        <v>24</v>
      </c>
      <c r="B28" s="29">
        <v>3</v>
      </c>
      <c r="C28" s="46" t="s">
        <v>65</v>
      </c>
      <c r="D28" s="5">
        <v>1.5</v>
      </c>
      <c r="E28" s="5"/>
      <c r="F28" s="6">
        <v>8</v>
      </c>
      <c r="G28" s="6">
        <v>1</v>
      </c>
      <c r="H28" s="7">
        <v>290</v>
      </c>
      <c r="I28" s="6">
        <v>18.8</v>
      </c>
      <c r="J28" s="6">
        <v>300</v>
      </c>
      <c r="K28" s="6">
        <v>250</v>
      </c>
      <c r="L28" s="6">
        <v>0.9</v>
      </c>
      <c r="M28" s="15"/>
      <c r="N28" s="9">
        <f>$L28/(N$2/20)</f>
        <v>0.45</v>
      </c>
      <c r="O28" s="10">
        <f>7/(O$2/1000*PI())*60*(1/$J28+1/$K28)</f>
        <v>24.509861236151881</v>
      </c>
      <c r="P28" s="9">
        <f>$L28/(P$2/20)</f>
        <v>0.51428571428571435</v>
      </c>
      <c r="Q28" s="10">
        <f>7/(Q$2/1000*PI())*60*(1/$J28+1/$K28)</f>
        <v>28.011269984173577</v>
      </c>
      <c r="R28" s="9">
        <f>$L28/(R$2/20)</f>
        <v>0.75</v>
      </c>
      <c r="S28" s="10">
        <f>7/(S$2/1000*PI())*60*(1/$J28+1/$K28)</f>
        <v>40.849768726919812</v>
      </c>
      <c r="T28" s="9">
        <f>$L28/(T$2/20)</f>
        <v>0.94736842105263164</v>
      </c>
      <c r="U28" s="10">
        <f>7/(U$2/1000*PI())*60*(1/$J28+1/$K28)</f>
        <v>51.599707865582921</v>
      </c>
      <c r="V28" s="22">
        <v>33</v>
      </c>
      <c r="W28" s="23" t="s">
        <v>77</v>
      </c>
    </row>
    <row r="29" spans="1:23" ht="18" customHeight="1" x14ac:dyDescent="0.2">
      <c r="A29" s="39" t="s">
        <v>24</v>
      </c>
      <c r="B29" s="26">
        <v>3</v>
      </c>
      <c r="C29" s="47" t="s">
        <v>59</v>
      </c>
      <c r="D29" s="5">
        <v>1.5</v>
      </c>
      <c r="E29" s="5"/>
      <c r="F29" s="6">
        <v>8</v>
      </c>
      <c r="G29" s="6">
        <v>1</v>
      </c>
      <c r="H29" s="7">
        <v>290</v>
      </c>
      <c r="I29" s="6">
        <v>30</v>
      </c>
      <c r="J29" s="6">
        <v>190</v>
      </c>
      <c r="K29" s="6">
        <v>160</v>
      </c>
      <c r="L29" s="6">
        <v>3</v>
      </c>
      <c r="M29" s="15">
        <v>12</v>
      </c>
      <c r="N29" s="9">
        <f>$L29/(N$2/20)</f>
        <v>1.5</v>
      </c>
      <c r="O29" s="10">
        <f>7/(O$2/1000*PI())*60*(1/$J29+1/$K29)</f>
        <v>38.479895780441801</v>
      </c>
      <c r="P29" s="9">
        <f>$L29/(P$2/20)</f>
        <v>1.7142857142857142</v>
      </c>
      <c r="Q29" s="10">
        <f>7/(Q$2/1000*PI())*60*(1/$J29+1/$K29)</f>
        <v>43.977023749076338</v>
      </c>
      <c r="R29" s="9">
        <f>$L29/(R$2/20)</f>
        <v>2.5</v>
      </c>
      <c r="S29" s="10">
        <f>7/(S$2/1000*PI())*60*(1/$J29+1/$K29)</f>
        <v>64.133159634069685</v>
      </c>
      <c r="T29" s="9">
        <f>$L29/(T$2/20)</f>
        <v>3.1578947368421053</v>
      </c>
      <c r="U29" s="10">
        <f>7/(U$2/1000*PI())*60*(1/$J29+1/$K29)</f>
        <v>81.010306906193279</v>
      </c>
      <c r="V29" s="22">
        <v>34</v>
      </c>
      <c r="W29" s="13"/>
    </row>
    <row r="30" spans="1:23" ht="18" customHeight="1" x14ac:dyDescent="0.2">
      <c r="A30" s="38" t="s">
        <v>87</v>
      </c>
      <c r="B30" s="29">
        <v>2</v>
      </c>
      <c r="C30" s="46" t="s">
        <v>62</v>
      </c>
      <c r="D30" s="33">
        <v>2.1</v>
      </c>
      <c r="E30" s="5">
        <v>0.08</v>
      </c>
      <c r="F30" s="6">
        <v>2.1</v>
      </c>
      <c r="G30" s="6"/>
      <c r="H30" s="7"/>
      <c r="I30" s="6">
        <v>30</v>
      </c>
      <c r="J30" s="6">
        <v>200</v>
      </c>
      <c r="K30" s="6">
        <v>174</v>
      </c>
      <c r="L30" s="6">
        <v>2</v>
      </c>
      <c r="M30" s="15">
        <v>6</v>
      </c>
      <c r="N30" s="9">
        <f>$L30/(N$2/20)</f>
        <v>1</v>
      </c>
      <c r="O30" s="10">
        <f>7/(O$2/1000*PI())*60*(1/$J30+1/$K30)</f>
        <v>35.919624225394998</v>
      </c>
      <c r="P30" s="9">
        <f>$L30/(P$2/20)</f>
        <v>1.1428571428571428</v>
      </c>
      <c r="Q30" s="10">
        <f>7/(Q$2/1000*PI())*60*(1/$J30+1/$K30)</f>
        <v>41.050999114737138</v>
      </c>
      <c r="R30" s="9">
        <f>$L30/(R$2/20)</f>
        <v>1.6666666666666667</v>
      </c>
      <c r="S30" s="10">
        <f>7/(S$2/1000*PI())*60*(1/$J30+1/$K30)</f>
        <v>59.866040375658343</v>
      </c>
      <c r="T30" s="9">
        <f>$L30/(T$2/20)</f>
        <v>2.1052631578947367</v>
      </c>
      <c r="U30" s="10">
        <f>7/(U$2/1000*PI())*60*(1/$J30+1/$K30)</f>
        <v>75.620261527147377</v>
      </c>
      <c r="V30" s="22">
        <v>2</v>
      </c>
      <c r="W30" s="13"/>
    </row>
    <row r="31" spans="1:23" ht="18" customHeight="1" x14ac:dyDescent="0.2">
      <c r="A31" s="39" t="s">
        <v>11</v>
      </c>
      <c r="B31" s="26">
        <v>2</v>
      </c>
      <c r="C31" s="47" t="s">
        <v>59</v>
      </c>
      <c r="D31" s="5">
        <v>0.8</v>
      </c>
      <c r="E31" s="5"/>
      <c r="F31" s="6">
        <v>9.4</v>
      </c>
      <c r="G31" s="6">
        <v>0</v>
      </c>
      <c r="H31" s="7"/>
      <c r="I31" s="6">
        <v>50</v>
      </c>
      <c r="J31" s="6">
        <v>120</v>
      </c>
      <c r="K31" s="6">
        <v>109</v>
      </c>
      <c r="L31" s="6">
        <v>3</v>
      </c>
      <c r="M31" s="15"/>
      <c r="N31" s="9">
        <f>$L31/(N$2/20)</f>
        <v>1.5</v>
      </c>
      <c r="O31" s="10">
        <f>7/(O$2/1000*PI())*60*(1/$J31+1/$K31)</f>
        <v>58.514993985391783</v>
      </c>
      <c r="P31" s="9">
        <f>$L31/(P$2/20)</f>
        <v>1.7142857142857142</v>
      </c>
      <c r="Q31" s="10">
        <f>7/(Q$2/1000*PI())*60*(1/$J31+1/$K31)</f>
        <v>66.874278840447744</v>
      </c>
      <c r="R31" s="9">
        <f>$L31/(R$2/20)</f>
        <v>2.5</v>
      </c>
      <c r="S31" s="10">
        <f>7/(S$2/1000*PI())*60*(1/$J31+1/$K31)</f>
        <v>97.524989975653</v>
      </c>
      <c r="T31" s="9">
        <f>$L31/(T$2/20)</f>
        <v>3.1578947368421053</v>
      </c>
      <c r="U31" s="10">
        <f>7/(U$2/1000*PI())*60*(1/$J31+1/$K31)</f>
        <v>123.18946102187746</v>
      </c>
      <c r="V31" s="22">
        <v>3</v>
      </c>
      <c r="W31" s="13" t="s">
        <v>42</v>
      </c>
    </row>
    <row r="32" spans="1:23" ht="18" customHeight="1" x14ac:dyDescent="0.2">
      <c r="A32" s="39" t="s">
        <v>12</v>
      </c>
      <c r="B32" s="26">
        <v>2</v>
      </c>
      <c r="C32" s="47" t="s">
        <v>59</v>
      </c>
      <c r="D32" s="5">
        <v>2.85</v>
      </c>
      <c r="E32" s="5">
        <v>0.52</v>
      </c>
      <c r="F32" s="6">
        <v>8</v>
      </c>
      <c r="G32" s="6">
        <v>0</v>
      </c>
      <c r="H32" s="7">
        <v>255</v>
      </c>
      <c r="I32" s="6">
        <v>148</v>
      </c>
      <c r="J32" s="6">
        <v>106</v>
      </c>
      <c r="K32" s="6">
        <v>90</v>
      </c>
      <c r="L32" s="6">
        <v>6</v>
      </c>
      <c r="M32" s="15">
        <v>142</v>
      </c>
      <c r="N32" s="9">
        <f>$L32/(N$2/20)</f>
        <v>3</v>
      </c>
      <c r="O32" s="10">
        <f>7/(O$2/1000*PI())*60*(1/$J32+1/$K32)</f>
        <v>68.666849661031563</v>
      </c>
      <c r="P32" s="9">
        <f>$L32/(P$2/20)</f>
        <v>3.4285714285714284</v>
      </c>
      <c r="Q32" s="10">
        <f>7/(Q$2/1000*PI())*60*(1/$J32+1/$K32)</f>
        <v>78.476399612607494</v>
      </c>
      <c r="R32" s="9">
        <f>$L32/(R$2/20)</f>
        <v>5</v>
      </c>
      <c r="S32" s="10">
        <f>7/(S$2/1000*PI())*60*(1/$J32+1/$K32)</f>
        <v>114.44474943505264</v>
      </c>
      <c r="T32" s="9">
        <f>$L32/(T$2/20)</f>
        <v>6.3157894736842106</v>
      </c>
      <c r="U32" s="10">
        <f>7/(U$2/1000*PI())*60*(1/$J32+1/$K32)</f>
        <v>144.56178876006649</v>
      </c>
      <c r="V32" s="22">
        <v>4</v>
      </c>
      <c r="W32" s="13" t="s">
        <v>43</v>
      </c>
    </row>
    <row r="33" spans="1:23" ht="18" customHeight="1" x14ac:dyDescent="0.2">
      <c r="A33" s="39" t="s">
        <v>13</v>
      </c>
      <c r="B33" s="26">
        <v>2</v>
      </c>
      <c r="C33" s="47" t="s">
        <v>59</v>
      </c>
      <c r="D33" s="5">
        <v>2.85</v>
      </c>
      <c r="E33" s="5">
        <v>0.52</v>
      </c>
      <c r="F33" s="6">
        <v>8</v>
      </c>
      <c r="G33" s="6">
        <v>0</v>
      </c>
      <c r="H33" s="7">
        <v>255</v>
      </c>
      <c r="I33" s="6">
        <v>100</v>
      </c>
      <c r="J33" s="6">
        <v>158</v>
      </c>
      <c r="K33" s="6">
        <v>133</v>
      </c>
      <c r="L33" s="6">
        <v>6</v>
      </c>
      <c r="M33" s="15">
        <v>96</v>
      </c>
      <c r="N33" s="9">
        <f>$L33/(N$2/20)</f>
        <v>3</v>
      </c>
      <c r="O33" s="10">
        <f>7/(O$2/1000*PI())*60*(1/$J33+1/$K33)</f>
        <v>46.283232951107465</v>
      </c>
      <c r="P33" s="9">
        <f>$L33/(P$2/20)</f>
        <v>3.4285714285714284</v>
      </c>
      <c r="Q33" s="10">
        <f>7/(Q$2/1000*PI())*60*(1/$J33+1/$K33)</f>
        <v>52.895123372694236</v>
      </c>
      <c r="R33" s="9">
        <f>$L33/(R$2/20)</f>
        <v>5</v>
      </c>
      <c r="S33" s="10">
        <f>7/(S$2/1000*PI())*60*(1/$J33+1/$K33)</f>
        <v>77.138721585179127</v>
      </c>
      <c r="T33" s="9">
        <f>$L33/(T$2/20)</f>
        <v>6.3157894736842106</v>
      </c>
      <c r="U33" s="10">
        <f>7/(U$2/1000*PI())*60*(1/$J33+1/$K33)</f>
        <v>97.438385160226247</v>
      </c>
      <c r="V33" s="22">
        <v>5</v>
      </c>
      <c r="W33" s="13" t="s">
        <v>43</v>
      </c>
    </row>
    <row r="34" spans="1:23" ht="18" customHeight="1" x14ac:dyDescent="0.2">
      <c r="A34" s="38" t="s">
        <v>17</v>
      </c>
      <c r="B34" s="26">
        <v>2</v>
      </c>
      <c r="C34" s="47" t="s">
        <v>59</v>
      </c>
      <c r="D34" s="5">
        <v>2.81</v>
      </c>
      <c r="E34" s="5">
        <v>0.7</v>
      </c>
      <c r="F34" s="6">
        <v>8.1999999999999993</v>
      </c>
      <c r="G34" s="6">
        <v>0</v>
      </c>
      <c r="H34" s="7">
        <v>293</v>
      </c>
      <c r="I34" s="6">
        <v>156</v>
      </c>
      <c r="J34" s="6">
        <v>93</v>
      </c>
      <c r="K34" s="6">
        <v>77.2</v>
      </c>
      <c r="L34" s="6">
        <v>3</v>
      </c>
      <c r="M34" s="15">
        <v>156</v>
      </c>
      <c r="N34" s="9">
        <f>$L34/(N$2/20)</f>
        <v>1.5</v>
      </c>
      <c r="O34" s="10">
        <f>7/(O$2/1000*PI())*60*(1/$J34+1/$K34)</f>
        <v>79.231656025273324</v>
      </c>
      <c r="P34" s="9">
        <f>$L34/(P$2/20)</f>
        <v>1.7142857142857142</v>
      </c>
      <c r="Q34" s="10">
        <f>7/(Q$2/1000*PI())*60*(1/$J34+1/$K34)</f>
        <v>90.550464028883781</v>
      </c>
      <c r="R34" s="9">
        <f>$L34/(R$2/20)</f>
        <v>2.5</v>
      </c>
      <c r="S34" s="10">
        <f>7/(S$2/1000*PI())*60*(1/$J34+1/$K34)</f>
        <v>132.05276004212223</v>
      </c>
      <c r="T34" s="9">
        <f>$L34/(T$2/20)</f>
        <v>3.1578947368421053</v>
      </c>
      <c r="U34" s="10">
        <f>7/(U$2/1000*PI())*60*(1/$J34+1/$K34)</f>
        <v>166.80348636899649</v>
      </c>
      <c r="V34" s="22">
        <v>10</v>
      </c>
      <c r="W34" s="13" t="s">
        <v>46</v>
      </c>
    </row>
    <row r="35" spans="1:23" ht="18" customHeight="1" x14ac:dyDescent="0.2">
      <c r="A35" s="38" t="s">
        <v>19</v>
      </c>
      <c r="B35" s="29">
        <v>2</v>
      </c>
      <c r="C35" s="46" t="s">
        <v>62</v>
      </c>
      <c r="D35" s="5">
        <v>1</v>
      </c>
      <c r="E35" s="5"/>
      <c r="F35" s="6">
        <v>4.5999999999999996</v>
      </c>
      <c r="G35" s="6">
        <v>0</v>
      </c>
      <c r="H35" s="7">
        <v>189</v>
      </c>
      <c r="I35" s="6">
        <v>47</v>
      </c>
      <c r="J35" s="6">
        <v>248</v>
      </c>
      <c r="K35" s="6">
        <v>209</v>
      </c>
      <c r="L35" s="6">
        <v>2.4300000000000002</v>
      </c>
      <c r="M35" s="15">
        <v>24</v>
      </c>
      <c r="N35" s="9">
        <f>$L35/(N$2/20)</f>
        <v>1.2150000000000001</v>
      </c>
      <c r="O35" s="10">
        <f>7/(O$2/1000*PI())*60*(1/$J35+1/$K35)</f>
        <v>29.468474858252037</v>
      </c>
      <c r="P35" s="9">
        <f>$L35/(P$2/20)</f>
        <v>1.3885714285714286</v>
      </c>
      <c r="Q35" s="10">
        <f>7/(Q$2/1000*PI())*60*(1/$J35+1/$K35)</f>
        <v>33.678256980859466</v>
      </c>
      <c r="R35" s="9">
        <f>$L35/(R$2/20)</f>
        <v>2.0250000000000004</v>
      </c>
      <c r="S35" s="10">
        <f>7/(S$2/1000*PI())*60*(1/$J35+1/$K35)</f>
        <v>49.114124763753402</v>
      </c>
      <c r="T35" s="9">
        <f>$L35/(T$2/20)</f>
        <v>2.5578947368421057</v>
      </c>
      <c r="U35" s="10">
        <f>7/(U$2/1000*PI())*60*(1/$J35+1/$K35)</f>
        <v>62.038894438425345</v>
      </c>
      <c r="V35" s="22">
        <v>12</v>
      </c>
      <c r="W35" s="13" t="s">
        <v>46</v>
      </c>
    </row>
    <row r="36" spans="1:23" ht="18" customHeight="1" x14ac:dyDescent="0.2">
      <c r="A36" s="39" t="s">
        <v>21</v>
      </c>
      <c r="B36" s="26">
        <v>2</v>
      </c>
      <c r="C36" s="47" t="s">
        <v>61</v>
      </c>
      <c r="D36" s="5">
        <v>0.8</v>
      </c>
      <c r="E36" s="5"/>
      <c r="F36" s="6">
        <v>5</v>
      </c>
      <c r="G36" s="6">
        <v>1</v>
      </c>
      <c r="H36" s="7"/>
      <c r="I36" s="6">
        <v>34</v>
      </c>
      <c r="J36" s="6">
        <v>300</v>
      </c>
      <c r="K36" s="6">
        <v>260</v>
      </c>
      <c r="L36" s="6">
        <v>1.6</v>
      </c>
      <c r="M36" s="15">
        <v>11</v>
      </c>
      <c r="N36" s="9">
        <f>$L36/(N$2/20)</f>
        <v>0.8</v>
      </c>
      <c r="O36" s="10">
        <f>7/(O$2/1000*PI())*60*(1/$J36+1/$K36)</f>
        <v>23.995668343085761</v>
      </c>
      <c r="P36" s="9">
        <f>$L36/(P$2/20)</f>
        <v>0.91428571428571437</v>
      </c>
      <c r="Q36" s="10">
        <f>7/(Q$2/1000*PI())*60*(1/$J36+1/$K36)</f>
        <v>27.423620963526581</v>
      </c>
      <c r="R36" s="9">
        <f>$L36/(R$2/20)</f>
        <v>1.3333333333333335</v>
      </c>
      <c r="S36" s="10">
        <f>7/(S$2/1000*PI())*60*(1/$J36+1/$K36)</f>
        <v>39.992780571809611</v>
      </c>
      <c r="T36" s="9">
        <f>$L36/(T$2/20)</f>
        <v>1.6842105263157896</v>
      </c>
      <c r="U36" s="10">
        <f>7/(U$2/1000*PI())*60*(1/$J36+1/$K36)</f>
        <v>50.517196511759501</v>
      </c>
      <c r="V36" s="22">
        <v>14</v>
      </c>
      <c r="W36" s="13" t="s">
        <v>48</v>
      </c>
    </row>
    <row r="37" spans="1:23" ht="18" customHeight="1" x14ac:dyDescent="0.2">
      <c r="A37" s="38" t="s">
        <v>22</v>
      </c>
      <c r="B37" s="29">
        <v>2</v>
      </c>
      <c r="C37" s="46" t="s">
        <v>72</v>
      </c>
      <c r="D37" s="5">
        <v>1.5</v>
      </c>
      <c r="E37" s="5">
        <v>0.35</v>
      </c>
      <c r="F37" s="6">
        <v>6.5</v>
      </c>
      <c r="G37" s="6">
        <v>0</v>
      </c>
      <c r="H37" s="7">
        <v>350</v>
      </c>
      <c r="I37" s="6"/>
      <c r="J37" s="6">
        <v>200</v>
      </c>
      <c r="K37" s="6">
        <v>208</v>
      </c>
      <c r="L37" s="6">
        <v>5</v>
      </c>
      <c r="M37" s="15">
        <v>15</v>
      </c>
      <c r="N37" s="9">
        <f>$L37/(N$2/20)</f>
        <v>2.5</v>
      </c>
      <c r="O37" s="10">
        <f>7/(O$2/1000*PI())*60*(1/$J37+1/$K37)</f>
        <v>32.779796932965368</v>
      </c>
      <c r="P37" s="9">
        <f>$L37/(P$2/20)</f>
        <v>2.8571428571428572</v>
      </c>
      <c r="Q37" s="10">
        <f>7/(Q$2/1000*PI())*60*(1/$J37+1/$K37)</f>
        <v>37.462625066246133</v>
      </c>
      <c r="R37" s="9">
        <f>$L37/(R$2/20)</f>
        <v>4.166666666666667</v>
      </c>
      <c r="S37" s="10">
        <f>7/(S$2/1000*PI())*60*(1/$J37+1/$K37)</f>
        <v>54.632994888275626</v>
      </c>
      <c r="T37" s="9">
        <f>$L37/(T$2/20)</f>
        <v>5.2631578947368425</v>
      </c>
      <c r="U37" s="10">
        <f>7/(U$2/1000*PI())*60*(1/$J37+1/$K37)</f>
        <v>69.010098806242894</v>
      </c>
      <c r="V37" s="22">
        <v>19</v>
      </c>
      <c r="W37" s="13" t="s">
        <v>51</v>
      </c>
    </row>
    <row r="38" spans="1:23" ht="18" customHeight="1" x14ac:dyDescent="0.2">
      <c r="A38" s="38" t="s">
        <v>23</v>
      </c>
      <c r="B38" s="26">
        <v>2</v>
      </c>
      <c r="C38" s="47" t="s">
        <v>59</v>
      </c>
      <c r="D38" s="5">
        <v>0.6</v>
      </c>
      <c r="E38" s="5"/>
      <c r="F38" s="6"/>
      <c r="G38" s="6">
        <v>1</v>
      </c>
      <c r="H38" s="7">
        <v>165</v>
      </c>
      <c r="I38" s="6">
        <v>40</v>
      </c>
      <c r="J38" s="6">
        <v>100</v>
      </c>
      <c r="K38" s="6">
        <v>100</v>
      </c>
      <c r="L38" s="6">
        <v>1.5</v>
      </c>
      <c r="M38" s="15">
        <v>6.4</v>
      </c>
      <c r="N38" s="9">
        <f>$L38/(N$2/20)</f>
        <v>0.75</v>
      </c>
      <c r="O38" s="10">
        <f>7/(O$2/1000*PI())*60*(1/$J38+1/$K38)</f>
        <v>66.845076098596039</v>
      </c>
      <c r="P38" s="9">
        <f>$L38/(P$2/20)</f>
        <v>0.8571428571428571</v>
      </c>
      <c r="Q38" s="10">
        <f>7/(Q$2/1000*PI())*60*(1/$J38+1/$K38)</f>
        <v>76.394372684109754</v>
      </c>
      <c r="R38" s="9">
        <f>$L38/(R$2/20)</f>
        <v>1.25</v>
      </c>
      <c r="S38" s="10">
        <f>7/(S$2/1000*PI())*60*(1/$J38+1/$K38)</f>
        <v>111.40846016432675</v>
      </c>
      <c r="T38" s="9">
        <f>$L38/(T$2/20)</f>
        <v>1.5789473684210527</v>
      </c>
      <c r="U38" s="10">
        <f>7/(U$2/1000*PI())*60*(1/$J38+1/$K38)</f>
        <v>140.7264759970443</v>
      </c>
      <c r="V38" s="22">
        <v>21</v>
      </c>
      <c r="W38" s="13" t="s">
        <v>52</v>
      </c>
    </row>
    <row r="39" spans="1:23" ht="18" customHeight="1" x14ac:dyDescent="0.2">
      <c r="A39" s="39" t="s">
        <v>70</v>
      </c>
      <c r="B39" s="26">
        <v>2</v>
      </c>
      <c r="C39" s="47" t="s">
        <v>63</v>
      </c>
      <c r="D39" s="5">
        <v>1.4</v>
      </c>
      <c r="E39" s="5">
        <v>0.3</v>
      </c>
      <c r="F39" s="6">
        <v>4.2</v>
      </c>
      <c r="G39" s="6">
        <v>1</v>
      </c>
      <c r="H39" s="7">
        <v>260</v>
      </c>
      <c r="I39" s="6">
        <v>56</v>
      </c>
      <c r="J39" s="6">
        <v>143</v>
      </c>
      <c r="K39" s="6">
        <v>118</v>
      </c>
      <c r="L39" s="6">
        <v>6.8</v>
      </c>
      <c r="M39" s="15">
        <v>28</v>
      </c>
      <c r="N39" s="9">
        <f>$L39/(N$2/20)</f>
        <v>3.4</v>
      </c>
      <c r="O39" s="10">
        <f>7/(O$2/1000*PI())*60*(1/$J39+1/$K39)</f>
        <v>51.696589017819029</v>
      </c>
      <c r="P39" s="9">
        <f>$L39/(P$2/20)</f>
        <v>3.8857142857142857</v>
      </c>
      <c r="Q39" s="10">
        <f>7/(Q$2/1000*PI())*60*(1/$J39+1/$K39)</f>
        <v>59.081816020364599</v>
      </c>
      <c r="R39" s="9">
        <f>$L39/(R$2/20)</f>
        <v>5.666666666666667</v>
      </c>
      <c r="S39" s="10">
        <f>7/(S$2/1000*PI())*60*(1/$J39+1/$K39)</f>
        <v>86.16098169636507</v>
      </c>
      <c r="T39" s="9">
        <f>$L39/(T$2/20)</f>
        <v>7.1578947368421053</v>
      </c>
      <c r="U39" s="10">
        <f>7/(U$2/1000*PI())*60*(1/$J39+1/$K39)</f>
        <v>108.83492424804008</v>
      </c>
      <c r="V39" s="22">
        <v>25</v>
      </c>
      <c r="W39" s="23" t="s">
        <v>77</v>
      </c>
    </row>
    <row r="40" spans="1:23" ht="18" customHeight="1" x14ac:dyDescent="0.2">
      <c r="A40" s="39" t="s">
        <v>25</v>
      </c>
      <c r="B40" s="26">
        <v>2</v>
      </c>
      <c r="C40" s="47" t="s">
        <v>58</v>
      </c>
      <c r="D40" s="5">
        <v>0.6</v>
      </c>
      <c r="E40" s="5"/>
      <c r="F40" s="6"/>
      <c r="G40" s="6">
        <v>0</v>
      </c>
      <c r="H40" s="7"/>
      <c r="I40" s="6">
        <v>24</v>
      </c>
      <c r="J40" s="6">
        <v>200</v>
      </c>
      <c r="K40" s="6">
        <v>120</v>
      </c>
      <c r="L40" s="6">
        <v>1</v>
      </c>
      <c r="M40" s="15"/>
      <c r="N40" s="9">
        <f>$L40/(N$2/20)</f>
        <v>0.5</v>
      </c>
      <c r="O40" s="10">
        <f>7/(O$2/1000*PI())*60*(1/$J40+1/$K40)</f>
        <v>44.563384065730688</v>
      </c>
      <c r="P40" s="9">
        <f>$L40/(P$2/20)</f>
        <v>0.5714285714285714</v>
      </c>
      <c r="Q40" s="10">
        <f>7/(Q$2/1000*PI())*60*(1/$J40+1/$K40)</f>
        <v>50.929581789406498</v>
      </c>
      <c r="R40" s="9">
        <f>$L40/(R$2/20)</f>
        <v>0.83333333333333337</v>
      </c>
      <c r="S40" s="10">
        <f>7/(S$2/1000*PI())*60*(1/$J40+1/$K40)</f>
        <v>74.272306776217832</v>
      </c>
      <c r="T40" s="9">
        <f>$L40/(T$2/20)</f>
        <v>1.0526315789473684</v>
      </c>
      <c r="U40" s="10">
        <f>7/(U$2/1000*PI())*60*(1/$J40+1/$K40)</f>
        <v>93.817650664696203</v>
      </c>
      <c r="V40" s="22">
        <v>37</v>
      </c>
      <c r="W40" s="13"/>
    </row>
    <row r="41" spans="1:23" ht="18" customHeight="1" x14ac:dyDescent="0.2">
      <c r="A41" s="40" t="s">
        <v>24</v>
      </c>
      <c r="B41" s="32">
        <v>1</v>
      </c>
      <c r="C41" s="48" t="s">
        <v>65</v>
      </c>
      <c r="D41" s="5">
        <v>1.5</v>
      </c>
      <c r="E41" s="5"/>
      <c r="F41" s="6">
        <v>8</v>
      </c>
      <c r="G41" s="6">
        <v>1</v>
      </c>
      <c r="H41" s="7">
        <v>290</v>
      </c>
      <c r="I41" s="6">
        <v>10</v>
      </c>
      <c r="J41" s="6">
        <v>570</v>
      </c>
      <c r="K41" s="6">
        <v>480</v>
      </c>
      <c r="L41" s="6">
        <v>0.9</v>
      </c>
      <c r="M41" s="15"/>
      <c r="N41" s="9">
        <f>$L41/(N$2/20)</f>
        <v>0.45</v>
      </c>
      <c r="O41" s="10">
        <f>7/(O$2/1000*PI())*60*(1/$J41+1/$K41)</f>
        <v>12.826631926813931</v>
      </c>
      <c r="P41" s="9">
        <f>$L41/(P$2/20)</f>
        <v>0.51428571428571435</v>
      </c>
      <c r="Q41" s="10">
        <f>7/(Q$2/1000*PI())*60*(1/$J41+1/$K41)</f>
        <v>14.659007916358778</v>
      </c>
      <c r="R41" s="9">
        <f>$L41/(R$2/20)</f>
        <v>0.75</v>
      </c>
      <c r="S41" s="10">
        <f>7/(S$2/1000*PI())*60*(1/$J41+1/$K41)</f>
        <v>21.377719878023225</v>
      </c>
      <c r="T41" s="9">
        <f>$L41/(T$2/20)</f>
        <v>0.94736842105263164</v>
      </c>
      <c r="U41" s="10">
        <f>7/(U$2/1000*PI())*60*(1/$J41+1/$K41)</f>
        <v>27.003435635397754</v>
      </c>
      <c r="V41" s="22">
        <v>32</v>
      </c>
      <c r="W41" s="23" t="s">
        <v>77</v>
      </c>
    </row>
    <row r="42" spans="1:23" ht="18" customHeight="1" x14ac:dyDescent="0.2">
      <c r="A42" s="41" t="s">
        <v>40</v>
      </c>
      <c r="B42" s="30">
        <v>1</v>
      </c>
      <c r="C42" s="49" t="s">
        <v>78</v>
      </c>
      <c r="D42" s="5">
        <v>0.53</v>
      </c>
      <c r="E42" s="5">
        <v>0.15</v>
      </c>
      <c r="F42" s="6">
        <v>2.2000000000000002</v>
      </c>
      <c r="G42" s="6">
        <v>0</v>
      </c>
      <c r="H42" s="7">
        <v>362</v>
      </c>
      <c r="I42" s="6">
        <v>19</v>
      </c>
      <c r="J42" s="6">
        <v>342</v>
      </c>
      <c r="K42" s="6">
        <v>279</v>
      </c>
      <c r="L42" s="6">
        <v>0.91</v>
      </c>
      <c r="M42" s="15"/>
      <c r="N42" s="9">
        <f>$L42/(N$2/20)</f>
        <v>0.45500000000000002</v>
      </c>
      <c r="O42" s="10">
        <f>7/(O$2/1000*PI())*60*(1/$J42+1/$K42)</f>
        <v>21.752076262983994</v>
      </c>
      <c r="P42" s="9">
        <f>$L42/(P$2/20)</f>
        <v>0.52</v>
      </c>
      <c r="Q42" s="10">
        <f>7/(Q$2/1000*PI())*60*(1/$J42+1/$K42)</f>
        <v>24.859515729124563</v>
      </c>
      <c r="R42" s="9">
        <f>$L42/(R$2/20)</f>
        <v>0.75833333333333341</v>
      </c>
      <c r="S42" s="10">
        <f>7/(S$2/1000*PI())*60*(1/$J42+1/$K42)</f>
        <v>36.253460438306668</v>
      </c>
      <c r="T42" s="9">
        <f>$L42/(T$2/20)</f>
        <v>0.95789473684210535</v>
      </c>
      <c r="U42" s="10">
        <f>7/(U$2/1000*PI())*60*(1/$J42+1/$K42)</f>
        <v>45.793844764176839</v>
      </c>
      <c r="V42" s="22">
        <v>38</v>
      </c>
      <c r="W42" s="13" t="s">
        <v>37</v>
      </c>
    </row>
    <row r="43" spans="1:23" ht="18" customHeight="1" x14ac:dyDescent="0.2">
      <c r="A43" s="41" t="s">
        <v>41</v>
      </c>
      <c r="B43" s="30">
        <v>1</v>
      </c>
      <c r="C43" s="49" t="s">
        <v>78</v>
      </c>
      <c r="D43" s="5">
        <v>1.1000000000000001</v>
      </c>
      <c r="E43" s="5">
        <v>0.15</v>
      </c>
      <c r="F43" s="6">
        <v>2.2000000000000002</v>
      </c>
      <c r="G43" s="6">
        <v>0</v>
      </c>
      <c r="H43" s="7">
        <v>362</v>
      </c>
      <c r="I43" s="6">
        <v>19</v>
      </c>
      <c r="J43" s="6">
        <v>342</v>
      </c>
      <c r="K43" s="6">
        <v>171</v>
      </c>
      <c r="L43" s="6">
        <v>2.4</v>
      </c>
      <c r="M43" s="15"/>
      <c r="N43" s="9">
        <f>$L43/(N$2/20)</f>
        <v>1.2</v>
      </c>
      <c r="O43" s="10">
        <f>7/(O$2/1000*PI())*60*(1/$J43+1/$K43)</f>
        <v>29.31801583271756</v>
      </c>
      <c r="P43" s="9">
        <f>$L43/(P$2/20)</f>
        <v>1.3714285714285714</v>
      </c>
      <c r="Q43" s="10">
        <f>7/(Q$2/1000*PI())*60*(1/$J43+1/$K43)</f>
        <v>33.506303808820064</v>
      </c>
      <c r="R43" s="9">
        <f>$L43/(R$2/20)</f>
        <v>2</v>
      </c>
      <c r="S43" s="10">
        <f>7/(S$2/1000*PI())*60*(1/$J43+1/$K43)</f>
        <v>48.863359721195941</v>
      </c>
      <c r="T43" s="9">
        <f>$L43/(T$2/20)</f>
        <v>2.5263157894736841</v>
      </c>
      <c r="U43" s="10">
        <f>7/(U$2/1000*PI())*60*(1/$J43+1/$K43)</f>
        <v>61.72213859519487</v>
      </c>
      <c r="V43" s="22">
        <v>39</v>
      </c>
      <c r="W43" s="13" t="s">
        <v>37</v>
      </c>
    </row>
    <row r="44" spans="1:23" ht="18" customHeight="1" thickBot="1" x14ac:dyDescent="0.25">
      <c r="A44" s="42" t="s">
        <v>20</v>
      </c>
      <c r="B44" s="31">
        <v>0</v>
      </c>
      <c r="C44" s="50" t="s">
        <v>82</v>
      </c>
      <c r="D44" s="17">
        <v>0.2</v>
      </c>
      <c r="E44" s="17">
        <v>0.06</v>
      </c>
      <c r="F44" s="18">
        <v>2.2000000000000002</v>
      </c>
      <c r="G44" s="18">
        <v>0</v>
      </c>
      <c r="H44" s="19">
        <v>140</v>
      </c>
      <c r="I44" s="18">
        <v>65</v>
      </c>
      <c r="J44" s="18">
        <v>92</v>
      </c>
      <c r="K44" s="18">
        <v>70</v>
      </c>
      <c r="L44" s="18">
        <v>2.5</v>
      </c>
      <c r="M44" s="20">
        <v>13</v>
      </c>
      <c r="N44" s="11">
        <f>$L44/(N$2/20)</f>
        <v>1.25</v>
      </c>
      <c r="O44" s="12">
        <f>7/(O$2/1000*PI())*60*(1/$J44+1/$K44)</f>
        <v>84.075328633327302</v>
      </c>
      <c r="P44" s="11">
        <f>$L44/(P$2/20)</f>
        <v>1.4285714285714286</v>
      </c>
      <c r="Q44" s="12">
        <f>7/(Q$2/1000*PI())*60*(1/$J44+1/$K44)</f>
        <v>96.086089866659762</v>
      </c>
      <c r="R44" s="11">
        <f>$L44/(R$2/20)</f>
        <v>2.0833333333333335</v>
      </c>
      <c r="S44" s="12">
        <f>7/(S$2/1000*PI())*60*(1/$J44+1/$K44)</f>
        <v>140.12554772221222</v>
      </c>
      <c r="T44" s="11">
        <f>$L44/(T$2/20)</f>
        <v>2.6315789473684212</v>
      </c>
      <c r="U44" s="12">
        <f>7/(U$2/1000*PI())*60*(1/$J44+1/$K44)</f>
        <v>177.00069185963645</v>
      </c>
      <c r="V44" s="22">
        <v>13</v>
      </c>
      <c r="W44" s="13" t="s">
        <v>47</v>
      </c>
    </row>
  </sheetData>
  <phoneticPr fontId="14" type="noConversion"/>
  <conditionalFormatting sqref="J4:J44">
    <cfRule type="colorScale" priority="5">
      <colorScale>
        <cfvo type="num" val="100"/>
        <cfvo type="num" val="250"/>
        <cfvo type="num" val="350"/>
        <color rgb="FFFF7128"/>
        <color rgb="FFFFEB84"/>
        <color rgb="FF92D050"/>
      </colorScale>
    </cfRule>
  </conditionalFormatting>
  <conditionalFormatting sqref="F4:F44">
    <cfRule type="iconSet" priority="6">
      <iconSet iconSet="3Symbols2">
        <cfvo type="percent" val="0"/>
        <cfvo type="num" val="5.5"/>
        <cfvo type="num" val="7"/>
      </iconSet>
    </cfRule>
  </conditionalFormatting>
  <conditionalFormatting sqref="H4:H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44">
    <cfRule type="iconSet" priority="14">
      <iconSet iconSet="3Symbols2">
        <cfvo type="percent" val="0"/>
        <cfvo type="percent" val="33"/>
        <cfvo type="percent" val="67"/>
      </iconSet>
    </cfRule>
  </conditionalFormatting>
  <hyperlinks>
    <hyperlink ref="W31" r:id="rId1" xr:uid="{00000000-0004-0000-0000-000000000000}"/>
    <hyperlink ref="W15" r:id="rId2" xr:uid="{00000000-0004-0000-0000-000001000000}"/>
    <hyperlink ref="W13" r:id="rId3" xr:uid="{00000000-0004-0000-0000-000002000000}"/>
    <hyperlink ref="W25" r:id="rId4" xr:uid="{00000000-0004-0000-0000-000003000000}"/>
    <hyperlink ref="W11" r:id="rId5" xr:uid="{00000000-0004-0000-0000-000005000000}"/>
    <hyperlink ref="W38" r:id="rId6" display="https://www.amazon.de/Hochdrehmoment-Turbo-Wurm-Getriebemotor-Geschwindigkeitsreduzierung-Selbstverriegelung/dp/B075575BJH/ref=sr_1_16?__mk_de_DE=ÅMÅŽÕÑ&amp;crid=26OK14EIOS0W5&amp;keywords=12v%2Bmotor%2Bselbsthemmend&amp;qid=1706903721&amp;sprefix=12v%2Bmotor%2Bselbsthemmend%2Caps%2C87&amp;sr=8-16&amp;th=1" xr:uid="{00000000-0004-0000-0000-000006000000}"/>
    <hyperlink ref="W37" r:id="rId7" xr:uid="{00000000-0004-0000-0000-000007000000}"/>
    <hyperlink ref="W22" r:id="rId8" xr:uid="{00000000-0004-0000-0000-000008000000}"/>
    <hyperlink ref="W14" r:id="rId9" xr:uid="{00000000-0004-0000-0000-000009000000}"/>
    <hyperlink ref="W36" r:id="rId10" xr:uid="{00000000-0004-0000-0000-00000A000000}"/>
    <hyperlink ref="W44" r:id="rId11" xr:uid="{00000000-0004-0000-0000-00000B000000}"/>
    <hyperlink ref="W35" r:id="rId12" xr:uid="{00000000-0004-0000-0000-00000C000000}"/>
    <hyperlink ref="W9" r:id="rId13" xr:uid="{00000000-0004-0000-0000-00000D000000}"/>
    <hyperlink ref="W34" r:id="rId14" xr:uid="{00000000-0004-0000-0000-00000E000000}"/>
    <hyperlink ref="W26" r:id="rId15" xr:uid="{00000000-0004-0000-0000-00000F000000}"/>
    <hyperlink ref="W20" r:id="rId16" xr:uid="{00000000-0004-0000-0000-000010000000}"/>
    <hyperlink ref="W8" r:id="rId17" xr:uid="{00000000-0004-0000-0000-000011000000}"/>
    <hyperlink ref="W33" r:id="rId18" xr:uid="{00000000-0004-0000-0000-000012000000}"/>
    <hyperlink ref="W32" r:id="rId19" xr:uid="{00000000-0004-0000-0000-000013000000}"/>
    <hyperlink ref="W21" r:id="rId20" xr:uid="{00000000-0004-0000-0000-000014000000}"/>
    <hyperlink ref="W24" r:id="rId21" xr:uid="{73E21945-381B-4549-8AC8-24B5BCAEC988}"/>
    <hyperlink ref="W4" r:id="rId22" xr:uid="{F0C3C386-0C11-1B42-82E6-74CE1083A82C}"/>
    <hyperlink ref="W5" r:id="rId23" xr:uid="{8DC6AC5A-D8CE-3847-8E35-03D67D082C22}"/>
    <hyperlink ref="W41" r:id="rId24" xr:uid="{4F119BD0-A2B5-3F45-BC94-B1CAA66064C0}"/>
    <hyperlink ref="W28" r:id="rId25" xr:uid="{3C3C696C-8744-424F-8A8E-0845BC93A872}"/>
    <hyperlink ref="W23" r:id="rId26" xr:uid="{76B2B93B-16B9-874E-9838-6D92BA4DE737}"/>
    <hyperlink ref="W39" r:id="rId27" xr:uid="{4575DC5D-E3B6-7F4F-947D-420E0DCC6B45}"/>
  </hyperlinks>
  <pageMargins left="1" right="1" top="0.984251969" bottom="0.984251969" header="0.25" footer="0.25"/>
  <pageSetup paperSize="0" orientation="portrait" horizontalDpi="0" verticalDpi="2048"/>
  <headerFooter alignWithMargins="0">
    <oddFooter>&amp;C&amp;"Helvetica Neue,Regular"&amp;12&amp;K000000&amp;P</oddFooter>
  </headerFooter>
  <tableParts count="1">
    <tablePart r:id="rId2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900C9884-90ED-6B45-A29A-047BC5828C96}">
            <x14:iconSet iconSet="3Triangles">
              <x14:cfvo type="percent">
                <xm:f>0</xm:f>
              </x14:cfvo>
              <x14:cfvo type="num">
                <xm:f>25</xm:f>
              </x14:cfvo>
              <x14:cfvo type="num">
                <xm:f>45</xm:f>
              </x14:cfvo>
            </x14:iconSet>
          </x14:cfRule>
          <xm:sqref>I4:I44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Moritz Scholjegerdes</cp:lastModifiedBy>
  <dcterms:created xsi:type="dcterms:W3CDTF">2025-01-06T22:48:20Z</dcterms:created>
  <dcterms:modified xsi:type="dcterms:W3CDTF">2025-01-07T21:31:40Z</dcterms:modified>
</cp:coreProperties>
</file>