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susIran\Desktop\Common Ground Docs\Results\"/>
    </mc:Choice>
  </mc:AlternateContent>
  <xr:revisionPtr revIDLastSave="0" documentId="13_ncr:1_{73ABA02A-A475-428D-9343-D5195BF45D2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39" i="1" l="1"/>
  <c r="CO39" i="1"/>
  <c r="CQ34" i="1"/>
  <c r="BR26" i="1"/>
  <c r="BR24" i="1"/>
  <c r="BR23" i="1"/>
  <c r="CR23" i="1" s="1"/>
  <c r="CP37" i="1" s="1"/>
  <c r="BR22" i="1"/>
  <c r="BR21" i="1"/>
  <c r="BR20" i="1"/>
  <c r="BQ26" i="1"/>
  <c r="BQ24" i="1"/>
  <c r="BQ23" i="1"/>
  <c r="BQ22" i="1"/>
  <c r="BQ21" i="1"/>
  <c r="BQ20" i="1"/>
  <c r="CR40" i="1"/>
  <c r="CR37" i="1"/>
  <c r="CR36" i="1"/>
  <c r="CR35" i="1"/>
  <c r="CR34" i="1"/>
  <c r="CR38" i="1"/>
  <c r="CR39" i="1"/>
  <c r="CQ40" i="1"/>
  <c r="CQ38" i="1"/>
  <c r="CQ37" i="1"/>
  <c r="CQ36" i="1"/>
  <c r="CQ35" i="1"/>
  <c r="CN37" i="1"/>
  <c r="CN38" i="1"/>
  <c r="CN39" i="1"/>
  <c r="CN40" i="1"/>
  <c r="CM40" i="1"/>
  <c r="CM39" i="1"/>
  <c r="CM38" i="1"/>
  <c r="CN36" i="1"/>
  <c r="CN35" i="1"/>
  <c r="CN34" i="1"/>
  <c r="CM34" i="1"/>
  <c r="BL26" i="1"/>
  <c r="BL24" i="1"/>
  <c r="BL23" i="1"/>
  <c r="BL22" i="1"/>
  <c r="BL21" i="1"/>
  <c r="CL21" i="1" s="1"/>
  <c r="BL20" i="1"/>
  <c r="BK26" i="1"/>
  <c r="BK25" i="1"/>
  <c r="BK24" i="1"/>
  <c r="BK23" i="1"/>
  <c r="BK22" i="1"/>
  <c r="BK21" i="1"/>
  <c r="BK20" i="1"/>
  <c r="BF26" i="1"/>
  <c r="BF24" i="1"/>
  <c r="BF23" i="1"/>
  <c r="BF22" i="1"/>
  <c r="BF21" i="1"/>
  <c r="BF20" i="1"/>
  <c r="BE26" i="1"/>
  <c r="BE24" i="1"/>
  <c r="BE23" i="1"/>
  <c r="BE22" i="1"/>
  <c r="BE21" i="1"/>
  <c r="BE20" i="1"/>
  <c r="CF24" i="1"/>
  <c r="BX26" i="1"/>
  <c r="BW26" i="1"/>
  <c r="CX26" i="1" s="1"/>
  <c r="BX24" i="1"/>
  <c r="BW24" i="1"/>
  <c r="BX23" i="1"/>
  <c r="BW23" i="1"/>
  <c r="BX22" i="1"/>
  <c r="BW22" i="1"/>
  <c r="CX22" i="1" s="1"/>
  <c r="BX21" i="1"/>
  <c r="BW21" i="1"/>
  <c r="BX20" i="1"/>
  <c r="BW20" i="1"/>
  <c r="CX20" i="1" s="1"/>
  <c r="BX38" i="1"/>
  <c r="BW38" i="1"/>
  <c r="BV38" i="1"/>
  <c r="BU38" i="1"/>
  <c r="BZ26" i="1"/>
  <c r="BY26" i="1"/>
  <c r="BZ24" i="1"/>
  <c r="BY24" i="1"/>
  <c r="CZ24" i="1" s="1"/>
  <c r="BZ23" i="1"/>
  <c r="BY23" i="1"/>
  <c r="BZ22" i="1"/>
  <c r="BY22" i="1"/>
  <c r="BZ21" i="1"/>
  <c r="BY21" i="1"/>
  <c r="BZ20" i="1"/>
  <c r="BY20" i="1"/>
  <c r="BV26" i="1"/>
  <c r="BU26" i="1"/>
  <c r="BV24" i="1"/>
  <c r="BU24" i="1"/>
  <c r="BV23" i="1"/>
  <c r="BU23" i="1"/>
  <c r="BV22" i="1"/>
  <c r="BU22" i="1"/>
  <c r="BV21" i="1"/>
  <c r="BU21" i="1"/>
  <c r="BV20" i="1"/>
  <c r="BU20" i="1"/>
  <c r="CR20" i="1"/>
  <c r="CO34" i="1" s="1"/>
  <c r="CF22" i="1"/>
  <c r="BN23" i="1"/>
  <c r="BN22" i="1"/>
  <c r="CN22" i="1" s="1"/>
  <c r="BN21" i="1"/>
  <c r="BN20" i="1"/>
  <c r="BN26" i="1"/>
  <c r="BN24" i="1"/>
  <c r="BM26" i="1"/>
  <c r="BM24" i="1"/>
  <c r="BM23" i="1"/>
  <c r="BM22" i="1"/>
  <c r="BM21" i="1"/>
  <c r="BM20" i="1"/>
  <c r="BJ26" i="1"/>
  <c r="BJ24" i="1"/>
  <c r="BJ23" i="1"/>
  <c r="BJ22" i="1"/>
  <c r="BJ21" i="1"/>
  <c r="BJ20" i="1"/>
  <c r="BI26" i="1"/>
  <c r="BI24" i="1"/>
  <c r="BI23" i="1"/>
  <c r="BI22" i="1"/>
  <c r="BI21" i="1"/>
  <c r="BI20" i="1"/>
  <c r="BH26" i="1"/>
  <c r="BH24" i="1"/>
  <c r="BH23" i="1"/>
  <c r="BH22" i="1"/>
  <c r="BH21" i="1"/>
  <c r="BH20" i="1"/>
  <c r="BG26" i="1"/>
  <c r="CH26" i="1" s="1"/>
  <c r="BG24" i="1"/>
  <c r="CH24" i="1" s="1"/>
  <c r="BG23" i="1"/>
  <c r="BG22" i="1"/>
  <c r="BG21" i="1"/>
  <c r="BG20" i="1"/>
  <c r="BD24" i="1"/>
  <c r="BD26" i="1"/>
  <c r="BD23" i="1"/>
  <c r="BD22" i="1"/>
  <c r="BD21" i="1"/>
  <c r="BD20" i="1"/>
  <c r="BC26" i="1"/>
  <c r="BC24" i="1"/>
  <c r="BC23" i="1"/>
  <c r="BC22" i="1"/>
  <c r="BC21" i="1"/>
  <c r="BC20" i="1"/>
  <c r="CD20" i="1" s="1"/>
  <c r="BR38" i="1"/>
  <c r="BQ38" i="1"/>
  <c r="BP38" i="1"/>
  <c r="BO38" i="1"/>
  <c r="BL38" i="1"/>
  <c r="BK38" i="1"/>
  <c r="BJ38" i="1"/>
  <c r="BI38" i="1"/>
  <c r="BT26" i="1"/>
  <c r="CT26" i="1" s="1"/>
  <c r="BS26" i="1"/>
  <c r="BP26" i="1"/>
  <c r="BO26" i="1"/>
  <c r="CP26" i="1" s="1"/>
  <c r="BT24" i="1"/>
  <c r="BS24" i="1"/>
  <c r="BP24" i="1"/>
  <c r="BO24" i="1"/>
  <c r="CP24" i="1" s="1"/>
  <c r="BT23" i="1"/>
  <c r="BS23" i="1"/>
  <c r="CT23" i="1" s="1"/>
  <c r="BP23" i="1"/>
  <c r="BO23" i="1"/>
  <c r="BT22" i="1"/>
  <c r="BS22" i="1"/>
  <c r="BP22" i="1"/>
  <c r="BO22" i="1"/>
  <c r="BT21" i="1"/>
  <c r="CT21" i="1" s="1"/>
  <c r="BS21" i="1"/>
  <c r="BP21" i="1"/>
  <c r="BO21" i="1"/>
  <c r="BT20" i="1"/>
  <c r="BS20" i="1"/>
  <c r="BP20" i="1"/>
  <c r="BO20" i="1"/>
  <c r="CP20" i="1" s="1"/>
  <c r="BF38" i="1"/>
  <c r="BE38" i="1"/>
  <c r="BD38" i="1"/>
  <c r="BC38" i="1"/>
  <c r="BD10" i="1"/>
  <c r="BF12" i="1"/>
  <c r="BF10" i="1"/>
  <c r="BF9" i="1"/>
  <c r="BF8" i="1"/>
  <c r="BF7" i="1"/>
  <c r="BF6" i="1"/>
  <c r="BE12" i="1"/>
  <c r="BE10" i="1"/>
  <c r="BE9" i="1"/>
  <c r="BE8" i="1"/>
  <c r="BE7" i="1"/>
  <c r="BE6" i="1"/>
  <c r="BC6" i="1"/>
  <c r="BC7" i="1"/>
  <c r="BC8" i="1"/>
  <c r="BC9" i="1"/>
  <c r="BC10" i="1"/>
  <c r="BC12" i="1"/>
  <c r="BD12" i="1"/>
  <c r="BD9" i="1"/>
  <c r="BD8" i="1"/>
  <c r="BD7" i="1"/>
  <c r="BD6" i="1"/>
  <c r="F83" i="1"/>
  <c r="F6" i="1"/>
  <c r="B6" i="1"/>
  <c r="F90" i="1"/>
  <c r="F89" i="1"/>
  <c r="F88" i="1"/>
  <c r="F87" i="1"/>
  <c r="F86" i="1"/>
  <c r="F85" i="1"/>
  <c r="F84" i="1"/>
  <c r="F82" i="1"/>
  <c r="I73" i="1"/>
  <c r="I71" i="1"/>
  <c r="I70" i="1"/>
  <c r="I69" i="1"/>
  <c r="I68" i="1"/>
  <c r="H73" i="1"/>
  <c r="H71" i="1"/>
  <c r="H70" i="1"/>
  <c r="H69" i="1"/>
  <c r="H68" i="1"/>
  <c r="G73" i="1"/>
  <c r="G71" i="1"/>
  <c r="G70" i="1"/>
  <c r="G69" i="1"/>
  <c r="G68" i="1"/>
  <c r="F73" i="1"/>
  <c r="F71" i="1"/>
  <c r="F70" i="1"/>
  <c r="F69" i="1"/>
  <c r="F68" i="1"/>
  <c r="E73" i="1"/>
  <c r="E71" i="1"/>
  <c r="E70" i="1"/>
  <c r="E69" i="1"/>
  <c r="E68" i="1"/>
  <c r="D73" i="1"/>
  <c r="D71" i="1"/>
  <c r="D70" i="1"/>
  <c r="D69" i="1"/>
  <c r="D68" i="1"/>
  <c r="B70" i="1"/>
  <c r="I59" i="1"/>
  <c r="I57" i="1"/>
  <c r="I56" i="1"/>
  <c r="I55" i="1"/>
  <c r="I54" i="1"/>
  <c r="H59" i="1"/>
  <c r="H57" i="1"/>
  <c r="H56" i="1"/>
  <c r="H55" i="1"/>
  <c r="H54" i="1"/>
  <c r="Y12" i="1"/>
  <c r="Y10" i="1"/>
  <c r="Y9" i="1"/>
  <c r="Y8" i="1"/>
  <c r="Y7" i="1"/>
  <c r="Y6" i="1"/>
  <c r="X12" i="1"/>
  <c r="X10" i="1"/>
  <c r="X9" i="1"/>
  <c r="X8" i="1"/>
  <c r="X7" i="1"/>
  <c r="X6" i="1"/>
  <c r="C73" i="1"/>
  <c r="C71" i="1"/>
  <c r="C69" i="1"/>
  <c r="B69" i="1"/>
  <c r="B68" i="1"/>
  <c r="C70" i="1"/>
  <c r="C68" i="1"/>
  <c r="B73" i="1"/>
  <c r="B71" i="1"/>
  <c r="G54" i="1"/>
  <c r="G59" i="1"/>
  <c r="G57" i="1"/>
  <c r="G56" i="1"/>
  <c r="G55" i="1"/>
  <c r="F59" i="1"/>
  <c r="F57" i="1"/>
  <c r="F56" i="1"/>
  <c r="F55" i="1"/>
  <c r="F54" i="1"/>
  <c r="E59" i="1"/>
  <c r="E57" i="1"/>
  <c r="E56" i="1"/>
  <c r="E55" i="1"/>
  <c r="E54" i="1"/>
  <c r="D59" i="1"/>
  <c r="D57" i="1"/>
  <c r="D56" i="1"/>
  <c r="D55" i="1"/>
  <c r="D54" i="1"/>
  <c r="C59" i="1"/>
  <c r="C57" i="1"/>
  <c r="C56" i="1"/>
  <c r="C55" i="1"/>
  <c r="C54" i="1"/>
  <c r="B59" i="1"/>
  <c r="B57" i="1"/>
  <c r="B56" i="1"/>
  <c r="B55" i="1"/>
  <c r="B54" i="1"/>
  <c r="C26" i="1"/>
  <c r="C24" i="1"/>
  <c r="C23" i="1"/>
  <c r="C22" i="1"/>
  <c r="C21" i="1"/>
  <c r="C20" i="1"/>
  <c r="B26" i="1"/>
  <c r="B24" i="1"/>
  <c r="B23" i="1"/>
  <c r="B22" i="1"/>
  <c r="B21" i="1"/>
  <c r="B20" i="1"/>
  <c r="C12" i="1"/>
  <c r="C10" i="1"/>
  <c r="C9" i="1"/>
  <c r="C8" i="1"/>
  <c r="C7" i="1"/>
  <c r="C6" i="1"/>
  <c r="B12" i="1"/>
  <c r="B10" i="1"/>
  <c r="B9" i="1"/>
  <c r="B8" i="1"/>
  <c r="B7" i="1"/>
  <c r="V9" i="1"/>
  <c r="W12" i="1"/>
  <c r="W10" i="1"/>
  <c r="W9" i="1"/>
  <c r="W8" i="1"/>
  <c r="W7" i="1"/>
  <c r="W6" i="1"/>
  <c r="V12" i="1"/>
  <c r="V10" i="1"/>
  <c r="V8" i="1"/>
  <c r="V7" i="1"/>
  <c r="V6" i="1"/>
  <c r="U12" i="1"/>
  <c r="U10" i="1"/>
  <c r="U9" i="1"/>
  <c r="U8" i="1"/>
  <c r="U7" i="1"/>
  <c r="U6" i="1"/>
  <c r="T12" i="1"/>
  <c r="T10" i="1"/>
  <c r="T9" i="1"/>
  <c r="T8" i="1"/>
  <c r="T7" i="1"/>
  <c r="T6" i="1"/>
  <c r="S12" i="1"/>
  <c r="S10" i="1"/>
  <c r="S9" i="1"/>
  <c r="S8" i="1"/>
  <c r="S7" i="1"/>
  <c r="S6" i="1"/>
  <c r="R12" i="1"/>
  <c r="R10" i="1"/>
  <c r="R9" i="1"/>
  <c r="R8" i="1"/>
  <c r="R7" i="1"/>
  <c r="R6" i="1"/>
  <c r="Q12" i="1"/>
  <c r="Q10" i="1"/>
  <c r="Q9" i="1"/>
  <c r="Q8" i="1"/>
  <c r="Q7" i="1"/>
  <c r="Q6" i="1"/>
  <c r="P12" i="1"/>
  <c r="P10" i="1"/>
  <c r="P9" i="1"/>
  <c r="P8" i="1"/>
  <c r="P7" i="1"/>
  <c r="P6" i="1"/>
  <c r="O12" i="1"/>
  <c r="O10" i="1"/>
  <c r="O9" i="1"/>
  <c r="O8" i="1"/>
  <c r="O7" i="1"/>
  <c r="O6" i="1"/>
  <c r="N12" i="1"/>
  <c r="N10" i="1"/>
  <c r="N9" i="1"/>
  <c r="N8" i="1"/>
  <c r="N7" i="1"/>
  <c r="N6" i="1"/>
  <c r="M12" i="1"/>
  <c r="M10" i="1"/>
  <c r="M9" i="1"/>
  <c r="M8" i="1"/>
  <c r="M7" i="1"/>
  <c r="M6" i="1"/>
  <c r="L12" i="1"/>
  <c r="L10" i="1"/>
  <c r="L9" i="1"/>
  <c r="L8" i="1"/>
  <c r="L7" i="1"/>
  <c r="L6" i="1"/>
  <c r="K12" i="1"/>
  <c r="K10" i="1"/>
  <c r="K9" i="1"/>
  <c r="K8" i="1"/>
  <c r="K7" i="1"/>
  <c r="K6" i="1"/>
  <c r="J12" i="1"/>
  <c r="J10" i="1"/>
  <c r="J9" i="1"/>
  <c r="J8" i="1"/>
  <c r="J7" i="1"/>
  <c r="J6" i="1"/>
  <c r="E6" i="1"/>
  <c r="G7" i="1"/>
  <c r="H7" i="1"/>
  <c r="H8" i="1"/>
  <c r="H9" i="1"/>
  <c r="H10" i="1"/>
  <c r="I12" i="1"/>
  <c r="I10" i="1"/>
  <c r="I9" i="1"/>
  <c r="I8" i="1"/>
  <c r="I7" i="1"/>
  <c r="I6" i="1"/>
  <c r="H12" i="1"/>
  <c r="H6" i="1"/>
  <c r="G12" i="1"/>
  <c r="G10" i="1"/>
  <c r="G9" i="1"/>
  <c r="G8" i="1"/>
  <c r="G6" i="1"/>
  <c r="F12" i="1"/>
  <c r="F10" i="1"/>
  <c r="F9" i="1"/>
  <c r="F8" i="1"/>
  <c r="F7" i="1"/>
  <c r="E12" i="1"/>
  <c r="E10" i="1"/>
  <c r="E9" i="1"/>
  <c r="E8" i="1"/>
  <c r="E7" i="1"/>
  <c r="D12" i="1"/>
  <c r="D10" i="1"/>
  <c r="D9" i="1"/>
  <c r="D8" i="1"/>
  <c r="D7" i="1"/>
  <c r="D6" i="1"/>
  <c r="I26" i="1"/>
  <c r="I24" i="1"/>
  <c r="I23" i="1"/>
  <c r="I22" i="1"/>
  <c r="I21" i="1"/>
  <c r="I20" i="1"/>
  <c r="H26" i="1"/>
  <c r="H24" i="1"/>
  <c r="H23" i="1"/>
  <c r="H22" i="1"/>
  <c r="H21" i="1"/>
  <c r="H20" i="1"/>
  <c r="G26" i="1"/>
  <c r="G24" i="1"/>
  <c r="G23" i="1"/>
  <c r="G22" i="1"/>
  <c r="G21" i="1"/>
  <c r="G20" i="1"/>
  <c r="F26" i="1"/>
  <c r="F24" i="1"/>
  <c r="F23" i="1"/>
  <c r="F22" i="1"/>
  <c r="F21" i="1"/>
  <c r="F20" i="1"/>
  <c r="E26" i="1"/>
  <c r="E24" i="1"/>
  <c r="E23" i="1"/>
  <c r="E22" i="1"/>
  <c r="E21" i="1"/>
  <c r="E20" i="1"/>
  <c r="D26" i="1"/>
  <c r="D24" i="1"/>
  <c r="D23" i="1"/>
  <c r="D22" i="1"/>
  <c r="D21" i="1"/>
  <c r="D20" i="1"/>
  <c r="K38" i="1"/>
  <c r="K37" i="1"/>
  <c r="V24" i="1"/>
  <c r="U24" i="1"/>
  <c r="T24" i="1"/>
  <c r="S24" i="1"/>
  <c r="O25" i="1"/>
  <c r="N25" i="1"/>
  <c r="M25" i="1"/>
  <c r="L25" i="1"/>
  <c r="CO37" i="1" l="1"/>
  <c r="BR25" i="1"/>
  <c r="CP34" i="1"/>
  <c r="BD25" i="1"/>
  <c r="CN23" i="1"/>
  <c r="CP22" i="1"/>
  <c r="CV22" i="1"/>
  <c r="CX24" i="1"/>
  <c r="CJ22" i="1"/>
  <c r="CM36" i="1" s="1"/>
  <c r="CT22" i="1"/>
  <c r="CJ23" i="1"/>
  <c r="CF26" i="1"/>
  <c r="CZ26" i="1"/>
  <c r="CP23" i="1"/>
  <c r="CH20" i="1"/>
  <c r="CJ24" i="1"/>
  <c r="BN25" i="1"/>
  <c r="CL20" i="1"/>
  <c r="CR22" i="1"/>
  <c r="CV24" i="1"/>
  <c r="CH21" i="1"/>
  <c r="CJ26" i="1"/>
  <c r="BL25" i="1"/>
  <c r="CV26" i="1"/>
  <c r="BE25" i="1"/>
  <c r="BF25" i="1"/>
  <c r="CL22" i="1"/>
  <c r="BS25" i="1"/>
  <c r="CT24" i="1"/>
  <c r="CD22" i="1"/>
  <c r="CR26" i="1"/>
  <c r="CZ21" i="1"/>
  <c r="CD23" i="1"/>
  <c r="CM37" i="1"/>
  <c r="CV23" i="1"/>
  <c r="CH22" i="1"/>
  <c r="BJ25" i="1"/>
  <c r="BC25" i="1"/>
  <c r="CF20" i="1"/>
  <c r="CR24" i="1"/>
  <c r="BY25" i="1"/>
  <c r="BW25" i="1"/>
  <c r="CZ20" i="1"/>
  <c r="CD21" i="1"/>
  <c r="CD25" i="1" s="1"/>
  <c r="BZ25" i="1"/>
  <c r="BX25" i="1"/>
  <c r="BH25" i="1"/>
  <c r="BT25" i="1"/>
  <c r="CF21" i="1"/>
  <c r="CL23" i="1"/>
  <c r="CX21" i="1"/>
  <c r="CX25" i="1" s="1"/>
  <c r="BO25" i="1"/>
  <c r="CR21" i="1"/>
  <c r="BP25" i="1"/>
  <c r="CD26" i="1"/>
  <c r="CH23" i="1"/>
  <c r="CN21" i="1"/>
  <c r="CL24" i="1"/>
  <c r="CV20" i="1"/>
  <c r="CZ22" i="1"/>
  <c r="CP21" i="1"/>
  <c r="CD24" i="1"/>
  <c r="CN20" i="1"/>
  <c r="CF23" i="1"/>
  <c r="CL26" i="1"/>
  <c r="CV21" i="1"/>
  <c r="CV25" i="1" s="1"/>
  <c r="CZ23" i="1"/>
  <c r="CX23" i="1"/>
  <c r="BV25" i="1"/>
  <c r="CJ20" i="1"/>
  <c r="CN24" i="1"/>
  <c r="CJ21" i="1"/>
  <c r="CN26" i="1"/>
  <c r="CP25" i="1"/>
  <c r="BU25" i="1"/>
  <c r="BG25" i="1"/>
  <c r="BI25" i="1"/>
  <c r="BM25" i="1"/>
  <c r="BQ25" i="1"/>
  <c r="CT20" i="1"/>
  <c r="CT25" i="1" s="1"/>
  <c r="BU39" i="1"/>
  <c r="BW39" i="1"/>
  <c r="BD11" i="1"/>
  <c r="AY7" i="1"/>
  <c r="E58" i="1"/>
  <c r="BO39" i="1"/>
  <c r="BI8" i="1"/>
  <c r="BI6" i="1"/>
  <c r="BI7" i="1"/>
  <c r="K11" i="1"/>
  <c r="BF11" i="1"/>
  <c r="BI12" i="1"/>
  <c r="BK10" i="1"/>
  <c r="BI39" i="1"/>
  <c r="BI9" i="1"/>
  <c r="BK39" i="1"/>
  <c r="BE11" i="1"/>
  <c r="AG6" i="1"/>
  <c r="H58" i="1"/>
  <c r="E72" i="1"/>
  <c r="C72" i="1"/>
  <c r="BI10" i="1"/>
  <c r="BC11" i="1"/>
  <c r="AY8" i="1"/>
  <c r="AY10" i="1"/>
  <c r="P71" i="1"/>
  <c r="F25" i="1"/>
  <c r="P73" i="1"/>
  <c r="BK7" i="1"/>
  <c r="BQ39" i="1"/>
  <c r="BE39" i="1"/>
  <c r="BC39" i="1"/>
  <c r="BK9" i="1"/>
  <c r="BK8" i="1"/>
  <c r="BK6" i="1"/>
  <c r="BK12" i="1"/>
  <c r="C58" i="1"/>
  <c r="AY9" i="1"/>
  <c r="R57" i="1"/>
  <c r="R73" i="1"/>
  <c r="N11" i="1"/>
  <c r="Y11" i="1"/>
  <c r="D25" i="1"/>
  <c r="D72" i="1"/>
  <c r="E11" i="1"/>
  <c r="H25" i="1"/>
  <c r="J11" i="1"/>
  <c r="R11" i="1"/>
  <c r="B25" i="1"/>
  <c r="F58" i="1"/>
  <c r="AY6" i="1"/>
  <c r="I11" i="1"/>
  <c r="P11" i="1"/>
  <c r="R59" i="1"/>
  <c r="P68" i="1"/>
  <c r="N69" i="1"/>
  <c r="AY12" i="1"/>
  <c r="N71" i="1"/>
  <c r="E25" i="1"/>
  <c r="O11" i="1"/>
  <c r="N73" i="1"/>
  <c r="H72" i="1"/>
  <c r="B72" i="1"/>
  <c r="U11" i="1"/>
  <c r="AS6" i="1"/>
  <c r="D58" i="1"/>
  <c r="R68" i="1"/>
  <c r="C25" i="1"/>
  <c r="AS8" i="1"/>
  <c r="AS7" i="1"/>
  <c r="G58" i="1"/>
  <c r="I25" i="1"/>
  <c r="AG26" i="1"/>
  <c r="N57" i="1"/>
  <c r="G25" i="1"/>
  <c r="F11" i="1"/>
  <c r="Q11" i="1"/>
  <c r="V11" i="1"/>
  <c r="C11" i="1"/>
  <c r="N59" i="1"/>
  <c r="M11" i="1"/>
  <c r="F72" i="1"/>
  <c r="AW10" i="1"/>
  <c r="AE6" i="1"/>
  <c r="L11" i="1"/>
  <c r="T11" i="1"/>
  <c r="B58" i="1"/>
  <c r="I72" i="1"/>
  <c r="G11" i="1"/>
  <c r="H11" i="1"/>
  <c r="W11" i="1"/>
  <c r="I58" i="1"/>
  <c r="S11" i="1"/>
  <c r="D11" i="1"/>
  <c r="AW6" i="1"/>
  <c r="P70" i="1"/>
  <c r="X11" i="1"/>
  <c r="G72" i="1"/>
  <c r="N68" i="1"/>
  <c r="R56" i="1"/>
  <c r="R69" i="1"/>
  <c r="L56" i="1"/>
  <c r="N70" i="1"/>
  <c r="AC6" i="1"/>
  <c r="R55" i="1"/>
  <c r="AK9" i="1"/>
  <c r="L59" i="1"/>
  <c r="R54" i="1"/>
  <c r="B11" i="1"/>
  <c r="R71" i="1"/>
  <c r="R70" i="1"/>
  <c r="P69" i="1"/>
  <c r="AG21" i="1"/>
  <c r="AQ7" i="1"/>
  <c r="L68" i="1"/>
  <c r="N54" i="1"/>
  <c r="AI24" i="1"/>
  <c r="AE12" i="1"/>
  <c r="AI9" i="1"/>
  <c r="AI8" i="1"/>
  <c r="AQ8" i="1"/>
  <c r="AE21" i="1"/>
  <c r="AG23" i="1"/>
  <c r="AI26" i="1"/>
  <c r="AI7" i="1"/>
  <c r="AK12" i="1"/>
  <c r="AO7" i="1"/>
  <c r="AQ9" i="1"/>
  <c r="AS12" i="1"/>
  <c r="AU6" i="1"/>
  <c r="AG24" i="1"/>
  <c r="AI20" i="1"/>
  <c r="P57" i="1"/>
  <c r="AQ12" i="1"/>
  <c r="AI12" i="1"/>
  <c r="AK7" i="1"/>
  <c r="AM9" i="1"/>
  <c r="AE26" i="1"/>
  <c r="AK8" i="1"/>
  <c r="AM10" i="1"/>
  <c r="AO12" i="1"/>
  <c r="L70" i="1"/>
  <c r="L73" i="1"/>
  <c r="L71" i="1"/>
  <c r="L69" i="1"/>
  <c r="P55" i="1"/>
  <c r="AQ10" i="1"/>
  <c r="AW7" i="1"/>
  <c r="AE8" i="1"/>
  <c r="AO8" i="1"/>
  <c r="L57" i="1"/>
  <c r="AW8" i="1"/>
  <c r="L54" i="1"/>
  <c r="AE7" i="1"/>
  <c r="AI10" i="1"/>
  <c r="AI23" i="1"/>
  <c r="AS9" i="1"/>
  <c r="P56" i="1"/>
  <c r="AM6" i="1"/>
  <c r="AE23" i="1"/>
  <c r="AM7" i="1"/>
  <c r="AO9" i="1"/>
  <c r="N55" i="1"/>
  <c r="AE24" i="1"/>
  <c r="AI6" i="1"/>
  <c r="AK6" i="1"/>
  <c r="AM8" i="1"/>
  <c r="AO10" i="1"/>
  <c r="N56" i="1"/>
  <c r="AU12" i="1"/>
  <c r="AE20" i="1"/>
  <c r="AG22" i="1"/>
  <c r="AO6" i="1"/>
  <c r="AG7" i="1"/>
  <c r="AK10" i="1"/>
  <c r="AM12" i="1"/>
  <c r="P59" i="1"/>
  <c r="AE22" i="1"/>
  <c r="AC10" i="1"/>
  <c r="AW9" i="1"/>
  <c r="AS10" i="1"/>
  <c r="AG10" i="1"/>
  <c r="AU8" i="1"/>
  <c r="AC24" i="1"/>
  <c r="AI21" i="1"/>
  <c r="AE9" i="1"/>
  <c r="AG12" i="1"/>
  <c r="AU9" i="1"/>
  <c r="AW12" i="1"/>
  <c r="L55" i="1"/>
  <c r="AG8" i="1"/>
  <c r="AG9" i="1"/>
  <c r="AU7" i="1"/>
  <c r="AG20" i="1"/>
  <c r="AI22" i="1"/>
  <c r="AE10" i="1"/>
  <c r="AQ6" i="1"/>
  <c r="AU10" i="1"/>
  <c r="P54" i="1"/>
  <c r="AC7" i="1"/>
  <c r="AC8" i="1"/>
  <c r="AC9" i="1"/>
  <c r="AC22" i="1"/>
  <c r="AC26" i="1"/>
  <c r="AC23" i="1"/>
  <c r="AC21" i="1"/>
  <c r="AC20" i="1"/>
  <c r="AC12" i="1"/>
  <c r="U25" i="1"/>
  <c r="N26" i="1"/>
  <c r="L26" i="1"/>
  <c r="S25" i="1"/>
  <c r="CP40" i="1" l="1"/>
  <c r="CO40" i="1"/>
  <c r="CO38" i="1"/>
  <c r="CP38" i="1"/>
  <c r="CP36" i="1"/>
  <c r="CO36" i="1"/>
  <c r="CP35" i="1"/>
  <c r="CO35" i="1"/>
  <c r="CR25" i="1"/>
  <c r="CL25" i="1"/>
  <c r="CZ25" i="1"/>
  <c r="CH25" i="1"/>
  <c r="CJ25" i="1"/>
  <c r="CN25" i="1"/>
  <c r="CF25" i="1"/>
  <c r="CM35" i="1"/>
  <c r="P72" i="1"/>
  <c r="L58" i="1"/>
  <c r="N58" i="1"/>
  <c r="N72" i="1"/>
  <c r="BK11" i="1"/>
  <c r="R58" i="1"/>
  <c r="BI11" i="1"/>
  <c r="L72" i="1"/>
  <c r="AY11" i="1"/>
  <c r="AC25" i="1"/>
  <c r="AM11" i="1"/>
  <c r="R72" i="1"/>
  <c r="AG25" i="1"/>
  <c r="P58" i="1"/>
  <c r="AS11" i="1"/>
  <c r="AI25" i="1"/>
  <c r="AG11" i="1"/>
  <c r="AE11" i="1"/>
  <c r="AW11" i="1"/>
  <c r="AU11" i="1"/>
  <c r="AQ11" i="1"/>
  <c r="AI11" i="1"/>
  <c r="AO11" i="1"/>
  <c r="AK11" i="1"/>
  <c r="AE25" i="1"/>
  <c r="AC11" i="1"/>
  <c r="CP39" i="1" l="1"/>
</calcChain>
</file>

<file path=xl/sharedStrings.xml><?xml version="1.0" encoding="utf-8"?>
<sst xmlns="http://schemas.openxmlformats.org/spreadsheetml/2006/main" count="417" uniqueCount="88">
  <si>
    <t># Class</t>
  </si>
  <si>
    <t>CT+</t>
  </si>
  <si>
    <t>CT-</t>
  </si>
  <si>
    <t>PS</t>
  </si>
  <si>
    <t>NB</t>
  </si>
  <si>
    <t>Accuracy</t>
  </si>
  <si>
    <t>2previous utterance (event selection)</t>
  </si>
  <si>
    <t>F1 Bel(A)</t>
  </si>
  <si>
    <t>F1 Bel(B)</t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</si>
  <si>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</t>
    </r>
    <r>
      <rPr>
        <b/>
        <sz val="12"/>
        <color rgb="FF00B050"/>
        <rFont val="Calibri"/>
        <family val="2"/>
        <scheme val="minor"/>
      </rPr>
      <t xml:space="preserve"> </t>
    </r>
    <r>
      <rPr>
        <b/>
        <sz val="12"/>
        <color rgb="FF7030A0"/>
        <rFont val="Calibri"/>
        <family val="2"/>
        <scheme val="minor"/>
      </rPr>
      <t>based</t>
    </r>
    <r>
      <rPr>
        <b/>
        <sz val="12"/>
        <color theme="1"/>
        <rFont val="Calibri"/>
        <family val="2"/>
        <scheme val="minor"/>
      </rPr>
      <t xml:space="preserve"> (event selection)</t>
    </r>
  </si>
  <si>
    <t>Bel(A)</t>
  </si>
  <si>
    <t>Bel(B)</t>
  </si>
  <si>
    <t>SUM</t>
  </si>
  <si>
    <t>Train</t>
  </si>
  <si>
    <t>Test</t>
  </si>
  <si>
    <t>CG(A)</t>
  </si>
  <si>
    <t>CG(B)</t>
  </si>
  <si>
    <t>JA</t>
  </si>
  <si>
    <t>IN</t>
  </si>
  <si>
    <t>RT</t>
  </si>
  <si>
    <t>Utterance</t>
  </si>
  <si>
    <t>Event</t>
  </si>
  <si>
    <t>Flan T5</t>
  </si>
  <si>
    <t>BERT</t>
  </si>
  <si>
    <t>Flan T5 Results on Event Generation</t>
  </si>
  <si>
    <t>SBERT</t>
  </si>
  <si>
    <t>rouge1</t>
  </si>
  <si>
    <t>rouge2</t>
  </si>
  <si>
    <t>rougeL</t>
  </si>
  <si>
    <t>rougeLsum</t>
  </si>
  <si>
    <t>Difflib</t>
  </si>
  <si>
    <t>1previous utterance (event selection)</t>
  </si>
  <si>
    <t>3previous utterance (event selection)</t>
  </si>
  <si>
    <t>4previous utterance (event selection)</t>
  </si>
  <si>
    <t>2Context Based Event Generation</t>
  </si>
  <si>
    <t>4Context Based Event Generation</t>
  </si>
  <si>
    <t>No Context Event Generation</t>
  </si>
  <si>
    <r>
      <t>2previous utterance (event selection) Aug (</t>
    </r>
    <r>
      <rPr>
        <b/>
        <sz val="12"/>
        <color rgb="FF00B050"/>
        <rFont val="Calibri"/>
        <family val="2"/>
        <scheme val="minor"/>
      </rPr>
      <t>French</t>
    </r>
    <r>
      <rPr>
        <b/>
        <sz val="12"/>
        <color theme="1"/>
        <rFont val="Calibri"/>
        <family val="2"/>
        <scheme val="minor"/>
      </rPr>
      <t>)</t>
    </r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</si>
  <si>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 based</t>
    </r>
    <r>
      <rPr>
        <b/>
        <sz val="12"/>
        <color theme="1"/>
        <rFont val="Calibri"/>
        <family val="2"/>
        <scheme val="minor"/>
      </rPr>
      <t xml:space="preserve"> (event selection) Aug (</t>
    </r>
    <r>
      <rPr>
        <b/>
        <sz val="12"/>
        <color rgb="FF00B050"/>
        <rFont val="Calibri"/>
        <family val="2"/>
        <scheme val="minor"/>
      </rPr>
      <t>French</t>
    </r>
    <r>
      <rPr>
        <b/>
        <sz val="12"/>
        <color theme="1"/>
        <rFont val="Calibri"/>
        <family val="2"/>
        <scheme val="minor"/>
      </rPr>
      <t>)</t>
    </r>
  </si>
  <si>
    <r>
      <t>2previous utterance (event selection) Aug (</t>
    </r>
    <r>
      <rPr>
        <b/>
        <sz val="12"/>
        <color rgb="FF00B050"/>
        <rFont val="Calibri"/>
        <family val="2"/>
        <scheme val="minor"/>
      </rPr>
      <t>French, German</t>
    </r>
    <r>
      <rPr>
        <b/>
        <sz val="12"/>
        <color theme="1"/>
        <rFont val="Calibri"/>
        <family val="2"/>
        <scheme val="minor"/>
      </rPr>
      <t>)</t>
    </r>
  </si>
  <si>
    <r>
      <t>2previous utterance (event selection) Aug (</t>
    </r>
    <r>
      <rPr>
        <b/>
        <sz val="12"/>
        <color rgb="FF00B050"/>
        <rFont val="Calibri"/>
        <family val="2"/>
        <scheme val="minor"/>
      </rPr>
      <t>French, German, Spanish</t>
    </r>
    <r>
      <rPr>
        <b/>
        <sz val="12"/>
        <color theme="1"/>
        <rFont val="Calibri"/>
        <family val="2"/>
        <scheme val="minor"/>
      </rPr>
      <t>)</t>
    </r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</si>
  <si>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 based</t>
    </r>
    <r>
      <rPr>
        <b/>
        <sz val="12"/>
        <color theme="1"/>
        <rFont val="Calibri"/>
        <family val="2"/>
        <scheme val="minor"/>
      </rPr>
      <t xml:space="preserve"> (event selection) Aug (</t>
    </r>
    <r>
      <rPr>
        <b/>
        <sz val="12"/>
        <color rgb="FF00B050"/>
        <rFont val="Calibri"/>
        <family val="2"/>
        <scheme val="minor"/>
      </rPr>
      <t>French, German</t>
    </r>
    <r>
      <rPr>
        <b/>
        <sz val="12"/>
        <color theme="1"/>
        <rFont val="Calibri"/>
        <family val="2"/>
        <scheme val="minor"/>
      </rPr>
      <t>)</t>
    </r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</si>
  <si>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 based</t>
    </r>
    <r>
      <rPr>
        <b/>
        <sz val="12"/>
        <color theme="1"/>
        <rFont val="Calibri"/>
        <family val="2"/>
        <scheme val="minor"/>
      </rPr>
      <t xml:space="preserve"> (event selection) Aug (</t>
    </r>
    <r>
      <rPr>
        <b/>
        <sz val="12"/>
        <color rgb="FF00B050"/>
        <rFont val="Calibri"/>
        <family val="2"/>
        <scheme val="minor"/>
      </rPr>
      <t>French, German, Spanish</t>
    </r>
    <r>
      <rPr>
        <b/>
        <sz val="12"/>
        <color theme="1"/>
        <rFont val="Calibri"/>
        <family val="2"/>
        <scheme val="minor"/>
      </rPr>
      <t>)</t>
    </r>
  </si>
  <si>
    <t>Macro F1</t>
  </si>
  <si>
    <t>Weighted</t>
  </si>
  <si>
    <t>AVG F1 Bel(A,B)</t>
  </si>
  <si>
    <t>Flan T5 Bel(A, B) AVG</t>
  </si>
  <si>
    <t>F1 Bel(A, B)</t>
  </si>
  <si>
    <t>BERT Bel(A, B) AVG</t>
  </si>
  <si>
    <t>8previous utterance (event selection)</t>
  </si>
  <si>
    <t>F1 CG(A)</t>
  </si>
  <si>
    <t>F1 CG(B)</t>
  </si>
  <si>
    <t>F1 Macro</t>
  </si>
  <si>
    <t>F1 CG(A, B)</t>
  </si>
  <si>
    <r>
      <t xml:space="preserve">Flan T5 Results on Common Ground Classification from </t>
    </r>
    <r>
      <rPr>
        <b/>
        <sz val="20"/>
        <color rgb="FFFF0000"/>
        <rFont val="Calibri"/>
        <family val="2"/>
        <scheme val="minor"/>
      </rPr>
      <t>Event</t>
    </r>
  </si>
  <si>
    <r>
      <t xml:space="preserve">Flan T5 Results on Common Ground Classification from </t>
    </r>
    <r>
      <rPr>
        <b/>
        <sz val="20"/>
        <color rgb="FFFF0000"/>
        <rFont val="Calibri"/>
        <family val="2"/>
        <scheme val="minor"/>
      </rPr>
      <t>Gold Belief</t>
    </r>
  </si>
  <si>
    <t>Flan T5 Results on Bel Classification for Bel(A) and Bel(B) with Augmentation on CT-, PS, NB (using Flan T5 for translation)</t>
  </si>
  <si>
    <t>2previous 2next utterance</t>
  </si>
  <si>
    <t>2previous and 2next utterance (event selection)</t>
  </si>
  <si>
    <t>SBERT Threshold=0</t>
  </si>
  <si>
    <t>SBERT Threshold=0.2</t>
  </si>
  <si>
    <t>SBERT Threshold=0.4</t>
  </si>
  <si>
    <t>SBERT Threshold=0.6</t>
  </si>
  <si>
    <t>SBERT Threshold=0.8</t>
  </si>
  <si>
    <t>SBERT Threshold=0.9</t>
  </si>
  <si>
    <t>SBERT Threshold=0.92</t>
  </si>
  <si>
    <t>SBERT Threshold=0.95</t>
  </si>
  <si>
    <t>SBERT Threshold=1</t>
  </si>
  <si>
    <t>JA F1</t>
  </si>
  <si>
    <t>IN F1</t>
  </si>
  <si>
    <t>RT F1</t>
  </si>
  <si>
    <t xml:space="preserve">Weighted </t>
  </si>
  <si>
    <t>results of Common Ground Classification on Heuristic based approach from Gold Belief.</t>
  </si>
  <si>
    <t>2previous utterance (utterance selection)</t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</si>
  <si>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</t>
    </r>
    <r>
      <rPr>
        <b/>
        <sz val="12"/>
        <color rgb="FF00B050"/>
        <rFont val="Calibri"/>
        <family val="2"/>
        <scheme val="minor"/>
      </rPr>
      <t xml:space="preserve"> </t>
    </r>
    <r>
      <rPr>
        <b/>
        <sz val="12"/>
        <color rgb="FF7030A0"/>
        <rFont val="Calibri"/>
        <family val="2"/>
        <scheme val="minor"/>
      </rPr>
      <t>based</t>
    </r>
    <r>
      <rPr>
        <b/>
        <sz val="12"/>
        <color theme="1"/>
        <rFont val="Calibri"/>
        <family val="2"/>
        <scheme val="minor"/>
      </rPr>
      <t xml:space="preserve"> (utterance selection)</t>
    </r>
  </si>
  <si>
    <t>Speaker Based Context Event Generation</t>
  </si>
  <si>
    <r>
      <rPr>
        <sz val="22"/>
        <color rgb="FFFF0000"/>
        <rFont val="Calibri"/>
        <family val="2"/>
        <scheme val="minor"/>
      </rPr>
      <t>Utterance</t>
    </r>
    <r>
      <rPr>
        <sz val="22"/>
        <color theme="1"/>
        <rFont val="Calibri"/>
        <family val="2"/>
        <scheme val="minor"/>
      </rPr>
      <t xml:space="preserve"> Selection</t>
    </r>
  </si>
  <si>
    <t xml:space="preserve">Different Train Test Split </t>
  </si>
  <si>
    <t>4310 is test set</t>
  </si>
  <si>
    <t>4245 is test set</t>
  </si>
  <si>
    <t>4248 is test set</t>
  </si>
  <si>
    <t>4431 is main test set</t>
  </si>
  <si>
    <t>AVG</t>
  </si>
  <si>
    <t>STD</t>
  </si>
  <si>
    <t>Fixed Window Size 2</t>
  </si>
  <si>
    <t>Speaker-based Window</t>
  </si>
  <si>
    <t>Fixed Window Size 4</t>
  </si>
  <si>
    <r>
      <t>Fixed Window Size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</si>
</sst>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7" tint="0.59996337778862885"/>
      </patternFill>
    </fill>
    <fill>
      <patternFill patternType="solid">
        <fgColor theme="4" tint="0.79998168889431442"/>
        <bgColor theme="7" tint="0.59996337778862885"/>
      </patternFill>
    </fill>
    <fill>
      <patternFill patternType="solid">
        <fgColor theme="0"/>
        <bgColor theme="7" tint="0.59996337778862885"/>
      </patternFill>
    </fill>
    <fill>
      <patternFill patternType="solid">
        <fgColor rgb="FFE1E9E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6">
    <xf numFmtId="0" fontId="0" fillId="0" borderId="0" xfId="0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8" fillId="0" borderId="0" xfId="0" applyFont="1" applyAlignment="1"/>
    <xf numFmtId="0" fontId="6" fillId="4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9" fontId="2" fillId="5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0" fillId="0" borderId="0" xfId="0" applyNumberForma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9" fontId="2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8" fillId="0" borderId="0" xfId="0" applyFont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center"/>
    </xf>
    <xf numFmtId="0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10" fontId="2" fillId="3" borderId="3" xfId="0" applyNumberFormat="1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/>
    </xf>
    <xf numFmtId="10" fontId="17" fillId="3" borderId="7" xfId="0" applyNumberFormat="1" applyFont="1" applyFill="1" applyBorder="1" applyAlignment="1">
      <alignment horizontal="center"/>
    </xf>
    <xf numFmtId="10" fontId="17" fillId="3" borderId="8" xfId="0" applyNumberFormat="1" applyFont="1" applyFill="1" applyBorder="1" applyAlignment="1">
      <alignment horizontal="center"/>
    </xf>
    <xf numFmtId="10" fontId="17" fillId="2" borderId="7" xfId="0" applyNumberFormat="1" applyFont="1" applyFill="1" applyBorder="1" applyAlignment="1">
      <alignment horizontal="center"/>
    </xf>
    <xf numFmtId="10" fontId="17" fillId="2" borderId="8" xfId="0" applyNumberFormat="1" applyFont="1" applyFill="1" applyBorder="1" applyAlignment="1">
      <alignment horizontal="center"/>
    </xf>
    <xf numFmtId="10" fontId="16" fillId="3" borderId="3" xfId="0" applyNumberFormat="1" applyFont="1" applyFill="1" applyBorder="1" applyAlignment="1">
      <alignment horizontal="center"/>
    </xf>
    <xf numFmtId="10" fontId="16" fillId="3" borderId="4" xfId="0" applyNumberFormat="1" applyFont="1" applyFill="1" applyBorder="1" applyAlignment="1">
      <alignment horizontal="center"/>
    </xf>
    <xf numFmtId="10" fontId="16" fillId="2" borderId="3" xfId="0" applyNumberFormat="1" applyFont="1" applyFill="1" applyBorder="1" applyAlignment="1">
      <alignment horizontal="center"/>
    </xf>
    <xf numFmtId="10" fontId="16" fillId="2" borderId="4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10" fontId="2" fillId="3" borderId="6" xfId="0" applyNumberFormat="1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10" fontId="2" fillId="8" borderId="3" xfId="0" applyNumberFormat="1" applyFont="1" applyFill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10" fontId="2" fillId="8" borderId="0" xfId="0" applyNumberFormat="1" applyFont="1" applyFill="1" applyBorder="1" applyAlignment="1">
      <alignment horizontal="center"/>
    </xf>
    <xf numFmtId="10" fontId="2" fillId="8" borderId="5" xfId="0" applyNumberFormat="1" applyFont="1" applyFill="1" applyBorder="1" applyAlignment="1">
      <alignment horizontal="center"/>
    </xf>
    <xf numFmtId="10" fontId="2" fillId="8" borderId="6" xfId="0" applyNumberFormat="1" applyFont="1" applyFill="1" applyBorder="1" applyAlignment="1">
      <alignment horizontal="center"/>
    </xf>
    <xf numFmtId="10" fontId="2" fillId="8" borderId="9" xfId="0" applyNumberFormat="1" applyFont="1" applyFill="1" applyBorder="1" applyAlignment="1">
      <alignment horizontal="center"/>
    </xf>
    <xf numFmtId="10" fontId="17" fillId="8" borderId="3" xfId="0" applyNumberFormat="1" applyFont="1" applyFill="1" applyBorder="1" applyAlignment="1">
      <alignment horizontal="center"/>
    </xf>
    <xf numFmtId="10" fontId="17" fillId="8" borderId="4" xfId="0" applyNumberFormat="1" applyFont="1" applyFill="1" applyBorder="1" applyAlignment="1">
      <alignment horizontal="center"/>
    </xf>
    <xf numFmtId="10" fontId="17" fillId="8" borderId="0" xfId="0" applyNumberFormat="1" applyFont="1" applyFill="1" applyBorder="1" applyAlignment="1">
      <alignment horizontal="center"/>
    </xf>
    <xf numFmtId="10" fontId="16" fillId="8" borderId="3" xfId="0" applyNumberFormat="1" applyFont="1" applyFill="1" applyBorder="1" applyAlignment="1">
      <alignment horizontal="center"/>
    </xf>
    <xf numFmtId="10" fontId="16" fillId="8" borderId="4" xfId="0" applyNumberFormat="1" applyFont="1" applyFill="1" applyBorder="1" applyAlignment="1">
      <alignment horizontal="center"/>
    </xf>
    <xf numFmtId="10" fontId="16" fillId="8" borderId="0" xfId="0" applyNumberFormat="1" applyFont="1" applyFill="1" applyBorder="1" applyAlignment="1">
      <alignment horizontal="center"/>
    </xf>
    <xf numFmtId="10" fontId="13" fillId="8" borderId="5" xfId="0" applyNumberFormat="1" applyFont="1" applyFill="1" applyBorder="1" applyAlignment="1">
      <alignment horizontal="center"/>
    </xf>
    <xf numFmtId="10" fontId="13" fillId="8" borderId="6" xfId="0" applyNumberFormat="1" applyFont="1" applyFill="1" applyBorder="1" applyAlignment="1">
      <alignment horizontal="center"/>
    </xf>
    <xf numFmtId="10" fontId="13" fillId="8" borderId="9" xfId="0" applyNumberFormat="1" applyFont="1" applyFill="1" applyBorder="1" applyAlignment="1">
      <alignment horizontal="center"/>
    </xf>
    <xf numFmtId="10" fontId="16" fillId="3" borderId="0" xfId="0" applyNumberFormat="1" applyFont="1" applyFill="1" applyBorder="1" applyAlignment="1">
      <alignment horizontal="center"/>
    </xf>
    <xf numFmtId="10" fontId="2" fillId="3" borderId="0" xfId="0" applyNumberFormat="1" applyFont="1" applyFill="1" applyBorder="1" applyAlignment="1">
      <alignment horizontal="center"/>
    </xf>
    <xf numFmtId="10" fontId="17" fillId="3" borderId="10" xfId="0" applyNumberFormat="1" applyFont="1" applyFill="1" applyBorder="1" applyAlignment="1">
      <alignment horizontal="center"/>
    </xf>
    <xf numFmtId="10" fontId="2" fillId="3" borderId="9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10" fontId="17" fillId="2" borderId="10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0" fontId="16" fillId="2" borderId="0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4" fillId="0" borderId="0" xfId="0" applyFont="1" applyAlignment="1"/>
    <xf numFmtId="164" fontId="2" fillId="6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0" fontId="0" fillId="11" borderId="3" xfId="0" applyNumberFormat="1" applyFont="1" applyFill="1" applyBorder="1" applyAlignment="1">
      <alignment horizontal="center"/>
    </xf>
    <xf numFmtId="10" fontId="0" fillId="11" borderId="5" xfId="0" applyNumberFormat="1" applyFont="1" applyFill="1" applyBorder="1" applyAlignment="1">
      <alignment horizontal="center"/>
    </xf>
    <xf numFmtId="10" fontId="25" fillId="11" borderId="3" xfId="0" applyNumberFormat="1" applyFont="1" applyFill="1" applyBorder="1" applyAlignment="1">
      <alignment horizontal="center"/>
    </xf>
    <xf numFmtId="164" fontId="0" fillId="11" borderId="0" xfId="0" applyNumberFormat="1" applyFont="1" applyFill="1" applyBorder="1" applyAlignment="1">
      <alignment horizontal="center"/>
    </xf>
    <xf numFmtId="164" fontId="0" fillId="11" borderId="9" xfId="0" applyNumberFormat="1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 vertical="center"/>
    </xf>
    <xf numFmtId="0" fontId="24" fillId="11" borderId="7" xfId="0" applyFont="1" applyFill="1" applyBorder="1" applyAlignment="1">
      <alignment horizontal="center" vertical="center"/>
    </xf>
    <xf numFmtId="0" fontId="24" fillId="11" borderId="10" xfId="0" applyFont="1" applyFill="1" applyBorder="1" applyAlignment="1">
      <alignment horizontal="center" vertical="center"/>
    </xf>
    <xf numFmtId="164" fontId="0" fillId="11" borderId="4" xfId="0" applyNumberFormat="1" applyFont="1" applyFill="1" applyBorder="1" applyAlignment="1">
      <alignment horizontal="center"/>
    </xf>
    <xf numFmtId="164" fontId="0" fillId="11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0" fontId="0" fillId="11" borderId="0" xfId="0" applyNumberFormat="1" applyFont="1" applyFill="1" applyBorder="1" applyAlignment="1">
      <alignment horizontal="center"/>
    </xf>
    <xf numFmtId="10" fontId="0" fillId="11" borderId="9" xfId="0" applyNumberFormat="1" applyFont="1" applyFill="1" applyBorder="1" applyAlignment="1">
      <alignment horizontal="center"/>
    </xf>
    <xf numFmtId="164" fontId="1" fillId="11" borderId="0" xfId="0" applyNumberFormat="1" applyFont="1" applyFill="1" applyBorder="1" applyAlignment="1">
      <alignment horizontal="center"/>
    </xf>
    <xf numFmtId="164" fontId="1" fillId="11" borderId="4" xfId="0" applyNumberFormat="1" applyFont="1" applyFill="1" applyBorder="1" applyAlignment="1">
      <alignment horizontal="center"/>
    </xf>
    <xf numFmtId="10" fontId="25" fillId="11" borderId="0" xfId="0" applyNumberFormat="1" applyFont="1" applyFill="1" applyBorder="1" applyAlignment="1">
      <alignment horizontal="center"/>
    </xf>
    <xf numFmtId="0" fontId="0" fillId="0" borderId="0" xfId="0" applyFill="1"/>
    <xf numFmtId="0" fontId="11" fillId="0" borderId="10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0" fontId="2" fillId="7" borderId="5" xfId="0" applyNumberFormat="1" applyFont="1" applyFill="1" applyBorder="1" applyAlignment="1">
      <alignment horizontal="center"/>
    </xf>
    <xf numFmtId="10" fontId="2" fillId="7" borderId="6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10" fontId="2" fillId="0" borderId="3" xfId="0" applyNumberFormat="1" applyFont="1" applyFill="1" applyBorder="1" applyAlignment="1">
      <alignment horizontal="center"/>
    </xf>
    <xf numFmtId="10" fontId="2" fillId="0" borderId="4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0" fontId="17" fillId="7" borderId="7" xfId="0" applyNumberFormat="1" applyFont="1" applyFill="1" applyBorder="1" applyAlignment="1">
      <alignment horizontal="center"/>
    </xf>
    <xf numFmtId="10" fontId="17" fillId="7" borderId="8" xfId="0" applyNumberFormat="1" applyFont="1" applyFill="1" applyBorder="1" applyAlignment="1">
      <alignment horizontal="center"/>
    </xf>
    <xf numFmtId="10" fontId="2" fillId="0" borderId="5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10" fontId="16" fillId="7" borderId="3" xfId="0" applyNumberFormat="1" applyFont="1" applyFill="1" applyBorder="1" applyAlignment="1">
      <alignment horizontal="center"/>
    </xf>
    <xf numFmtId="10" fontId="16" fillId="7" borderId="4" xfId="0" applyNumberFormat="1" applyFont="1" applyFill="1" applyBorder="1" applyAlignment="1">
      <alignment horizontal="center"/>
    </xf>
    <xf numFmtId="10" fontId="2" fillId="10" borderId="5" xfId="0" applyNumberFormat="1" applyFont="1" applyFill="1" applyBorder="1" applyAlignment="1">
      <alignment horizontal="center"/>
    </xf>
    <xf numFmtId="10" fontId="2" fillId="10" borderId="6" xfId="0" applyNumberFormat="1" applyFont="1" applyFill="1" applyBorder="1" applyAlignment="1">
      <alignment horizontal="center"/>
    </xf>
    <xf numFmtId="10" fontId="17" fillId="9" borderId="3" xfId="0" applyNumberFormat="1" applyFont="1" applyFill="1" applyBorder="1" applyAlignment="1">
      <alignment horizontal="center"/>
    </xf>
    <xf numFmtId="10" fontId="17" fillId="9" borderId="4" xfId="0" applyNumberFormat="1" applyFont="1" applyFill="1" applyBorder="1" applyAlignment="1">
      <alignment horizontal="center"/>
    </xf>
    <xf numFmtId="10" fontId="16" fillId="9" borderId="3" xfId="0" applyNumberFormat="1" applyFont="1" applyFill="1" applyBorder="1" applyAlignment="1">
      <alignment horizontal="center"/>
    </xf>
    <xf numFmtId="10" fontId="16" fillId="9" borderId="4" xfId="0" applyNumberFormat="1" applyFont="1" applyFill="1" applyBorder="1" applyAlignment="1">
      <alignment horizontal="center"/>
    </xf>
    <xf numFmtId="10" fontId="2" fillId="9" borderId="5" xfId="0" applyNumberFormat="1" applyFont="1" applyFill="1" applyBorder="1" applyAlignment="1">
      <alignment horizontal="center"/>
    </xf>
    <xf numFmtId="10" fontId="2" fillId="9" borderId="6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10" fontId="2" fillId="10" borderId="3" xfId="0" applyNumberFormat="1" applyFont="1" applyFill="1" applyBorder="1" applyAlignment="1">
      <alignment horizontal="center"/>
    </xf>
    <xf numFmtId="10" fontId="2" fillId="10" borderId="4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10" fontId="2" fillId="12" borderId="9" xfId="0" applyNumberFormat="1" applyFont="1" applyFill="1" applyBorder="1" applyAlignment="1">
      <alignment horizontal="center"/>
    </xf>
    <xf numFmtId="10" fontId="2" fillId="12" borderId="6" xfId="0" applyNumberFormat="1" applyFont="1" applyFill="1" applyBorder="1" applyAlignment="1">
      <alignment horizontal="center"/>
    </xf>
    <xf numFmtId="10" fontId="16" fillId="7" borderId="0" xfId="0" applyNumberFormat="1" applyFont="1" applyFill="1" applyBorder="1" applyAlignment="1">
      <alignment horizontal="center"/>
    </xf>
    <xf numFmtId="0" fontId="27" fillId="12" borderId="10" xfId="0" applyFont="1" applyFill="1" applyBorder="1" applyAlignment="1">
      <alignment horizontal="center"/>
    </xf>
    <xf numFmtId="0" fontId="27" fillId="12" borderId="8" xfId="0" applyFont="1" applyFill="1" applyBorder="1" applyAlignment="1">
      <alignment horizontal="center"/>
    </xf>
    <xf numFmtId="10" fontId="2" fillId="12" borderId="0" xfId="0" applyNumberFormat="1" applyFont="1" applyFill="1" applyBorder="1" applyAlignment="1">
      <alignment horizontal="center"/>
    </xf>
    <xf numFmtId="10" fontId="2" fillId="12" borderId="4" xfId="0" applyNumberFormat="1" applyFont="1" applyFill="1" applyBorder="1" applyAlignment="1">
      <alignment horizontal="center"/>
    </xf>
    <xf numFmtId="10" fontId="2" fillId="12" borderId="3" xfId="0" applyNumberFormat="1" applyFont="1" applyFill="1" applyBorder="1" applyAlignment="1">
      <alignment horizontal="center"/>
    </xf>
    <xf numFmtId="10" fontId="17" fillId="7" borderId="3" xfId="0" applyNumberFormat="1" applyFont="1" applyFill="1" applyBorder="1" applyAlignment="1">
      <alignment horizontal="center"/>
    </xf>
    <xf numFmtId="10" fontId="17" fillId="7" borderId="0" xfId="0" applyNumberFormat="1" applyFont="1" applyFill="1" applyBorder="1" applyAlignment="1">
      <alignment horizontal="center"/>
    </xf>
    <xf numFmtId="10" fontId="17" fillId="7" borderId="4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6" fillId="12" borderId="1" xfId="0" applyFont="1" applyFill="1" applyBorder="1" applyAlignment="1">
      <alignment horizontal="center" vertical="center" wrapText="1"/>
    </xf>
    <xf numFmtId="0" fontId="6" fillId="12" borderId="11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27" fillId="12" borderId="7" xfId="0" applyFont="1" applyFill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10" fontId="2" fillId="12" borderId="5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9ED181E5-2B52-4521-9424-ECE2997FCB24}"/>
  </cellStyles>
  <dxfs count="0"/>
  <tableStyles count="0" defaultTableStyle="TableStyleMedium2" defaultPivotStyle="PivotStyleLight16"/>
  <colors>
    <mruColors>
      <color rgb="FFE1E9E7"/>
      <color rgb="FFECE58C"/>
      <color rgb="FFD5D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90"/>
  <sheetViews>
    <sheetView tabSelected="1" zoomScaleNormal="100" workbookViewId="0">
      <selection activeCell="A2" sqref="A2:I2"/>
    </sheetView>
  </sheetViews>
  <sheetFormatPr defaultRowHeight="14.5" x14ac:dyDescent="0.35"/>
  <cols>
    <col min="1" max="1" width="10.81640625" customWidth="1"/>
    <col min="2" max="2" width="11.6328125" customWidth="1"/>
    <col min="3" max="3" width="9.7265625" customWidth="1"/>
    <col min="4" max="4" width="10.453125" customWidth="1"/>
    <col min="5" max="5" width="10.1796875" customWidth="1"/>
    <col min="6" max="6" width="9.1796875" customWidth="1"/>
    <col min="7" max="7" width="10" customWidth="1"/>
    <col min="8" max="8" width="11.81640625" customWidth="1"/>
    <col min="9" max="9" width="8.26953125" customWidth="1"/>
    <col min="10" max="10" width="9.08984375" customWidth="1"/>
    <col min="11" max="11" width="8.81640625" customWidth="1"/>
    <col min="13" max="13" width="10.1796875" customWidth="1"/>
    <col min="14" max="14" width="9.08984375" customWidth="1"/>
    <col min="15" max="15" width="10" customWidth="1"/>
    <col min="17" max="17" width="11.26953125" customWidth="1"/>
    <col min="19" max="19" width="8.90625" customWidth="1"/>
    <col min="22" max="22" width="8.453125" customWidth="1"/>
    <col min="23" max="23" width="13.453125" customWidth="1"/>
    <col min="24" max="24" width="10.90625" customWidth="1"/>
    <col min="25" max="25" width="10.36328125" customWidth="1"/>
    <col min="28" max="28" width="9.54296875" customWidth="1"/>
    <col min="41" max="41" width="10.81640625" customWidth="1"/>
    <col min="47" max="47" width="12.81640625" customWidth="1"/>
    <col min="54" max="54" width="10.36328125" customWidth="1"/>
    <col min="56" max="56" width="10.26953125" customWidth="1"/>
    <col min="58" max="58" width="9.1796875" customWidth="1"/>
    <col min="62" max="62" width="10" customWidth="1"/>
    <col min="64" max="64" width="9.26953125" customWidth="1"/>
    <col min="68" max="68" width="10.26953125" customWidth="1"/>
    <col min="73" max="73" width="9.26953125" customWidth="1"/>
    <col min="74" max="74" width="8.54296875" customWidth="1"/>
    <col min="77" max="77" width="10.453125" customWidth="1"/>
    <col min="78" max="78" width="9.08984375" customWidth="1"/>
    <col min="79" max="79" width="10.453125" customWidth="1"/>
    <col min="81" max="81" width="9.26953125" customWidth="1"/>
    <col min="83" max="83" width="9" customWidth="1"/>
    <col min="85" max="85" width="8.7265625" customWidth="1"/>
    <col min="86" max="86" width="10.7265625" customWidth="1"/>
    <col min="87" max="87" width="4.1796875" customWidth="1"/>
    <col min="89" max="89" width="8.7265625" customWidth="1"/>
    <col min="90" max="90" width="10" customWidth="1"/>
    <col min="91" max="91" width="9" customWidth="1"/>
    <col min="92" max="92" width="10.6328125" customWidth="1"/>
    <col min="93" max="93" width="8.90625" customWidth="1"/>
    <col min="94" max="94" width="9.54296875" customWidth="1"/>
    <col min="95" max="95" width="9.453125" customWidth="1"/>
    <col min="96" max="96" width="11.6328125" customWidth="1"/>
    <col min="97" max="97" width="7.26953125" customWidth="1"/>
    <col min="99" max="99" width="6" customWidth="1"/>
    <col min="101" max="101" width="9.26953125" customWidth="1"/>
    <col min="103" max="103" width="9.453125" customWidth="1"/>
    <col min="104" max="104" width="5.7265625" customWidth="1"/>
    <col min="105" max="105" width="9.08984375" customWidth="1"/>
    <col min="107" max="107" width="9.1796875" customWidth="1"/>
    <col min="109" max="109" width="10.7265625" customWidth="1"/>
    <col min="111" max="111" width="10.453125" customWidth="1"/>
    <col min="113" max="113" width="11.90625" customWidth="1"/>
  </cols>
  <sheetData>
    <row r="1" spans="1:66" ht="26" x14ac:dyDescent="0.6">
      <c r="A1" s="164" t="s">
        <v>56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</row>
    <row r="2" spans="1:66" ht="36" customHeight="1" x14ac:dyDescent="0.65">
      <c r="A2" s="170" t="s">
        <v>22</v>
      </c>
      <c r="B2" s="170"/>
      <c r="C2" s="170"/>
      <c r="D2" s="170"/>
      <c r="E2" s="170"/>
      <c r="F2" s="170"/>
      <c r="G2" s="170"/>
      <c r="H2" s="170"/>
      <c r="I2" s="170"/>
      <c r="Z2" s="170" t="s">
        <v>46</v>
      </c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BC2" s="139" t="s">
        <v>76</v>
      </c>
      <c r="BD2" s="139"/>
      <c r="BE2" s="139"/>
      <c r="BF2" s="139"/>
      <c r="BG2" s="139"/>
      <c r="BH2" s="139"/>
      <c r="BI2" s="139"/>
      <c r="BJ2" s="139"/>
    </row>
    <row r="3" spans="1:66" ht="15.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175"/>
      <c r="L3" s="175"/>
      <c r="M3" s="175"/>
      <c r="N3" s="175"/>
      <c r="O3" s="4"/>
      <c r="P3" s="4"/>
    </row>
    <row r="4" spans="1:66" s="4" customFormat="1" ht="59" customHeight="1" x14ac:dyDescent="0.35">
      <c r="A4" s="3"/>
      <c r="B4" s="133" t="s">
        <v>31</v>
      </c>
      <c r="C4" s="132"/>
      <c r="D4" s="131" t="s">
        <v>6</v>
      </c>
      <c r="E4" s="132"/>
      <c r="F4" s="133" t="s">
        <v>32</v>
      </c>
      <c r="G4" s="132"/>
      <c r="H4" s="133" t="s">
        <v>33</v>
      </c>
      <c r="I4" s="132"/>
      <c r="J4" s="133" t="s">
        <v>9</v>
      </c>
      <c r="K4" s="132"/>
      <c r="L4" s="173" t="s">
        <v>37</v>
      </c>
      <c r="M4" s="174"/>
      <c r="N4" s="173" t="s">
        <v>39</v>
      </c>
      <c r="O4" s="174"/>
      <c r="P4" s="173" t="s">
        <v>40</v>
      </c>
      <c r="Q4" s="174"/>
      <c r="R4" s="173" t="s">
        <v>38</v>
      </c>
      <c r="S4" s="174"/>
      <c r="T4" s="173" t="s">
        <v>41</v>
      </c>
      <c r="U4" s="174"/>
      <c r="V4" s="173" t="s">
        <v>42</v>
      </c>
      <c r="W4" s="174"/>
      <c r="X4" s="133" t="s">
        <v>58</v>
      </c>
      <c r="Y4" s="132"/>
      <c r="AC4" s="140" t="s">
        <v>31</v>
      </c>
      <c r="AD4" s="141"/>
      <c r="AE4" s="140" t="s">
        <v>6</v>
      </c>
      <c r="AF4" s="141"/>
      <c r="AG4" s="140" t="s">
        <v>32</v>
      </c>
      <c r="AH4" s="141"/>
      <c r="AI4" s="140" t="s">
        <v>33</v>
      </c>
      <c r="AJ4" s="141"/>
      <c r="AK4" s="140" t="s">
        <v>9</v>
      </c>
      <c r="AL4" s="141"/>
      <c r="AM4" s="140" t="s">
        <v>37</v>
      </c>
      <c r="AN4" s="141"/>
      <c r="AO4" s="140" t="s">
        <v>39</v>
      </c>
      <c r="AP4" s="141"/>
      <c r="AQ4" s="140" t="s">
        <v>40</v>
      </c>
      <c r="AR4" s="141"/>
      <c r="AS4" s="140" t="s">
        <v>38</v>
      </c>
      <c r="AT4" s="141"/>
      <c r="AU4" s="140" t="s">
        <v>41</v>
      </c>
      <c r="AV4" s="141"/>
      <c r="AW4" s="140" t="s">
        <v>42</v>
      </c>
      <c r="AX4" s="141"/>
      <c r="AY4" s="140" t="s">
        <v>58</v>
      </c>
      <c r="AZ4" s="141"/>
      <c r="BC4" s="133" t="s">
        <v>73</v>
      </c>
      <c r="BD4" s="132"/>
      <c r="BE4" s="133" t="s">
        <v>74</v>
      </c>
      <c r="BF4" s="132"/>
      <c r="BI4" s="140" t="s">
        <v>73</v>
      </c>
      <c r="BJ4" s="141"/>
      <c r="BK4" s="140" t="s">
        <v>74</v>
      </c>
      <c r="BL4" s="141"/>
    </row>
    <row r="5" spans="1:66" ht="15.5" x14ac:dyDescent="0.35">
      <c r="A5" s="2" t="s">
        <v>0</v>
      </c>
      <c r="B5" s="5" t="s">
        <v>7</v>
      </c>
      <c r="C5" s="6" t="s">
        <v>8</v>
      </c>
      <c r="D5" s="31" t="s">
        <v>7</v>
      </c>
      <c r="E5" s="32" t="s">
        <v>8</v>
      </c>
      <c r="F5" s="31" t="s">
        <v>7</v>
      </c>
      <c r="G5" s="32" t="s">
        <v>8</v>
      </c>
      <c r="H5" s="31" t="s">
        <v>7</v>
      </c>
      <c r="I5" s="32" t="s">
        <v>8</v>
      </c>
      <c r="J5" s="31" t="s">
        <v>7</v>
      </c>
      <c r="K5" s="32" t="s">
        <v>8</v>
      </c>
      <c r="L5" s="85" t="s">
        <v>7</v>
      </c>
      <c r="M5" s="86" t="s">
        <v>8</v>
      </c>
      <c r="N5" s="81" t="s">
        <v>7</v>
      </c>
      <c r="O5" s="8" t="s">
        <v>8</v>
      </c>
      <c r="P5" s="7" t="s">
        <v>7</v>
      </c>
      <c r="Q5" s="81" t="s">
        <v>8</v>
      </c>
      <c r="R5" s="85" t="s">
        <v>7</v>
      </c>
      <c r="S5" s="86" t="s">
        <v>8</v>
      </c>
      <c r="T5" s="81" t="s">
        <v>7</v>
      </c>
      <c r="U5" s="81" t="s">
        <v>8</v>
      </c>
      <c r="V5" s="85" t="s">
        <v>7</v>
      </c>
      <c r="W5" s="86" t="s">
        <v>8</v>
      </c>
      <c r="X5" s="31" t="s">
        <v>7</v>
      </c>
      <c r="Y5" s="32" t="s">
        <v>8</v>
      </c>
      <c r="AB5" s="2" t="s">
        <v>0</v>
      </c>
      <c r="AC5" s="142" t="s">
        <v>45</v>
      </c>
      <c r="AD5" s="143"/>
      <c r="AE5" s="142" t="s">
        <v>45</v>
      </c>
      <c r="AF5" s="143"/>
      <c r="AG5" s="142" t="s">
        <v>45</v>
      </c>
      <c r="AH5" s="143"/>
      <c r="AI5" s="142" t="s">
        <v>45</v>
      </c>
      <c r="AJ5" s="143"/>
      <c r="AK5" s="142" t="s">
        <v>45</v>
      </c>
      <c r="AL5" s="143"/>
      <c r="AM5" s="142" t="s">
        <v>45</v>
      </c>
      <c r="AN5" s="143"/>
      <c r="AO5" s="142" t="s">
        <v>45</v>
      </c>
      <c r="AP5" s="143"/>
      <c r="AQ5" s="142" t="s">
        <v>45</v>
      </c>
      <c r="AR5" s="143"/>
      <c r="AS5" s="142" t="s">
        <v>45</v>
      </c>
      <c r="AT5" s="143"/>
      <c r="AU5" s="142" t="s">
        <v>45</v>
      </c>
      <c r="AV5" s="143"/>
      <c r="AW5" s="142" t="s">
        <v>45</v>
      </c>
      <c r="AX5" s="143"/>
      <c r="AY5" s="142" t="s">
        <v>45</v>
      </c>
      <c r="AZ5" s="143"/>
      <c r="BC5" s="31" t="s">
        <v>7</v>
      </c>
      <c r="BD5" s="32" t="s">
        <v>8</v>
      </c>
      <c r="BE5" s="31" t="s">
        <v>7</v>
      </c>
      <c r="BF5" s="32" t="s">
        <v>8</v>
      </c>
      <c r="BI5" s="142" t="s">
        <v>45</v>
      </c>
      <c r="BJ5" s="143"/>
      <c r="BK5" s="142" t="s">
        <v>45</v>
      </c>
      <c r="BL5" s="143"/>
    </row>
    <row r="6" spans="1:66" ht="15.5" x14ac:dyDescent="0.35">
      <c r="A6" s="2" t="s">
        <v>1</v>
      </c>
      <c r="B6" s="46">
        <f>AVERAGE(0.88, 0.87, 0.87)</f>
        <v>0.87333333333333341</v>
      </c>
      <c r="C6" s="47">
        <f>AVERAGE(0.87, 0.87, 0.86)</f>
        <v>0.8666666666666667</v>
      </c>
      <c r="D6" s="46">
        <f>AVERAGE(0.88, 0.86, 0.87       )</f>
        <v>0.87</v>
      </c>
      <c r="E6" s="47">
        <f>AVERAGE(0.88, 0.86, 0.86       )</f>
        <v>0.8666666666666667</v>
      </c>
      <c r="F6" s="46">
        <f>AVERAGE(0.86       )</f>
        <v>0.86</v>
      </c>
      <c r="G6" s="47">
        <f>AVERAGE(0.85       )</f>
        <v>0.85</v>
      </c>
      <c r="H6" s="46">
        <f>AVERAGE(0.88       )</f>
        <v>0.88</v>
      </c>
      <c r="I6" s="47">
        <f>AVERAGE(0.87       )</f>
        <v>0.87</v>
      </c>
      <c r="J6" s="46">
        <f>AVERAGE(0.88, 0.88, 0.88       )</f>
        <v>0.88</v>
      </c>
      <c r="K6" s="47">
        <f>AVERAGE(0.87, 0.88, 0.87       )</f>
        <v>0.87333333333333341</v>
      </c>
      <c r="L6" s="48">
        <f>AVERAGE(0.88, 0.87, 0.89       )</f>
        <v>0.88</v>
      </c>
      <c r="M6" s="49">
        <f>AVERAGE(0.88, 0.86, 0.87       )</f>
        <v>0.87</v>
      </c>
      <c r="N6" s="88">
        <f>AVERAGE(0.9, 0.88, 0.88       )</f>
        <v>0.88666666666666671</v>
      </c>
      <c r="O6" s="89">
        <f>AVERAGE(0.88, 0.88, 0.88       )</f>
        <v>0.88</v>
      </c>
      <c r="P6" s="82">
        <f>AVERAGE(0.91, 0.87       )</f>
        <v>0.89</v>
      </c>
      <c r="Q6" s="82">
        <f>AVERAGE(0.9, 0.86       )</f>
        <v>0.88</v>
      </c>
      <c r="R6" s="48">
        <f>AVERAGE(0.88, 0.87)</f>
        <v>0.875</v>
      </c>
      <c r="S6" s="49">
        <f>AVERAGE(0.88, 0.86       )</f>
        <v>0.87</v>
      </c>
      <c r="T6" s="82">
        <f>AVERAGE(0.88, 0.89, 0.89       )</f>
        <v>0.88666666666666671</v>
      </c>
      <c r="U6" s="82">
        <f>AVERAGE(0.88, 0.89, 0.88       )</f>
        <v>0.8833333333333333</v>
      </c>
      <c r="V6" s="48">
        <f>AVERAGE(0.9, 0.89, 0.88       )</f>
        <v>0.89</v>
      </c>
      <c r="W6" s="49">
        <f>AVERAGE(0.89, 0.88, 0.88       )</f>
        <v>0.8833333333333333</v>
      </c>
      <c r="X6" s="46">
        <f>AVERAGE(0.89, 0.87              )</f>
        <v>0.88</v>
      </c>
      <c r="Y6" s="47">
        <f>AVERAGE(0.88, 0.87       )</f>
        <v>0.875</v>
      </c>
      <c r="AB6" s="2" t="s">
        <v>1</v>
      </c>
      <c r="AC6" s="137">
        <f>AVERAGE(B6:C6)</f>
        <v>0.87000000000000011</v>
      </c>
      <c r="AD6" s="138"/>
      <c r="AE6" s="137">
        <f t="shared" ref="AE6:AE12" si="0">AVERAGE(D6:E6)</f>
        <v>0.8683333333333334</v>
      </c>
      <c r="AF6" s="138"/>
      <c r="AG6" s="137">
        <f t="shared" ref="AG6:AG12" si="1">AVERAGE(F6:G6)</f>
        <v>0.85499999999999998</v>
      </c>
      <c r="AH6" s="138"/>
      <c r="AI6" s="137">
        <f t="shared" ref="AI6:AI12" si="2">AVERAGE(H6:I6)</f>
        <v>0.875</v>
      </c>
      <c r="AJ6" s="138"/>
      <c r="AK6" s="137">
        <f t="shared" ref="AK6:AK12" si="3">AVERAGE(J6:K6)</f>
        <v>0.87666666666666671</v>
      </c>
      <c r="AL6" s="138"/>
      <c r="AM6" s="137">
        <f t="shared" ref="AM6:AM12" si="4">AVERAGE(L6:M6)</f>
        <v>0.875</v>
      </c>
      <c r="AN6" s="138"/>
      <c r="AO6" s="137">
        <f t="shared" ref="AO6:AO12" si="5">AVERAGE(N6:O6)</f>
        <v>0.8833333333333333</v>
      </c>
      <c r="AP6" s="138"/>
      <c r="AQ6" s="137">
        <f t="shared" ref="AQ6:AQ12" si="6">AVERAGE(P6:Q6)</f>
        <v>0.88500000000000001</v>
      </c>
      <c r="AR6" s="138"/>
      <c r="AS6" s="137">
        <f t="shared" ref="AS6:AS12" si="7">AVERAGE(R6:S6)</f>
        <v>0.87250000000000005</v>
      </c>
      <c r="AT6" s="138"/>
      <c r="AU6" s="137">
        <f t="shared" ref="AU6:AU12" si="8">AVERAGE(T6:U6)</f>
        <v>0.88500000000000001</v>
      </c>
      <c r="AV6" s="138"/>
      <c r="AW6" s="137">
        <f t="shared" ref="AW6:AW12" si="9">AVERAGE(V6:W6)</f>
        <v>0.88666666666666671</v>
      </c>
      <c r="AX6" s="138"/>
      <c r="AY6" s="137">
        <f t="shared" ref="AY6:AY12" si="10">AVERAGE(X6:Y6)</f>
        <v>0.87749999999999995</v>
      </c>
      <c r="AZ6" s="138"/>
      <c r="BC6" s="46">
        <f>AVERAGE(0.87, 0.87           )</f>
        <v>0.87</v>
      </c>
      <c r="BD6" s="47">
        <f>AVERAGE(0.87, 0.87       )</f>
        <v>0.87</v>
      </c>
      <c r="BE6" s="46">
        <f>AVERAGE(0.85, 0.88, 0.86              )</f>
        <v>0.86333333333333329</v>
      </c>
      <c r="BF6" s="47">
        <f>AVERAGE(0.85, 0.87             )</f>
        <v>0.86</v>
      </c>
      <c r="BI6" s="137">
        <f>AVERAGE(BC6:BD6)</f>
        <v>0.87</v>
      </c>
      <c r="BJ6" s="138"/>
      <c r="BK6" s="137">
        <f>AVERAGE(BE6:BF6)</f>
        <v>0.86166666666666658</v>
      </c>
      <c r="BL6" s="138"/>
    </row>
    <row r="7" spans="1:66" ht="15.5" x14ac:dyDescent="0.35">
      <c r="A7" s="2" t="s">
        <v>2</v>
      </c>
      <c r="B7" s="46">
        <f>AVERAGE(0.35, 0.39, 0.29)</f>
        <v>0.34333333333333332</v>
      </c>
      <c r="C7" s="47">
        <f>AVERAGE(0.39, 0.39, 0.29)</f>
        <v>0.35666666666666669</v>
      </c>
      <c r="D7" s="46">
        <f>AVERAGE(0.41, 0.25, 0.41        )</f>
        <v>0.35666666666666663</v>
      </c>
      <c r="E7" s="47">
        <f>AVERAGE(0.38, 0.26, 0.37        )</f>
        <v>0.33666666666666667</v>
      </c>
      <c r="F7" s="46">
        <f>AVERAGE(0.29        )</f>
        <v>0.28999999999999998</v>
      </c>
      <c r="G7" s="47">
        <f>AVERAGE(0.25        )</f>
        <v>0.25</v>
      </c>
      <c r="H7" s="46">
        <f>AVERAGE(0.31     )</f>
        <v>0.31</v>
      </c>
      <c r="I7" s="47">
        <f>AVERAGE(0.24        )</f>
        <v>0.24</v>
      </c>
      <c r="J7" s="46">
        <f>AVERAGE(0.31, 0.33, 0.36        )</f>
        <v>0.33333333333333331</v>
      </c>
      <c r="K7" s="47">
        <f>AVERAGE(0.31, 0.33, 0.32        )</f>
        <v>0.32</v>
      </c>
      <c r="L7" s="48">
        <f>AVERAGE(0.26, 0.2, 0.35        )</f>
        <v>0.27</v>
      </c>
      <c r="M7" s="49">
        <f>AVERAGE(0.26, 0.2, 0.32        )</f>
        <v>0.26</v>
      </c>
      <c r="N7" s="48">
        <f>AVERAGE(0.43, 0.3, 0.33        )</f>
        <v>0.35333333333333333</v>
      </c>
      <c r="O7" s="49">
        <f>AVERAGE(0.39, 0.26, 0.33        )</f>
        <v>0.32666666666666666</v>
      </c>
      <c r="P7" s="82">
        <f>AVERAGE(0.44, 0.19        )</f>
        <v>0.315</v>
      </c>
      <c r="Q7" s="82">
        <f>AVERAGE(0.36, 0.29        )</f>
        <v>0.32499999999999996</v>
      </c>
      <c r="R7" s="48">
        <f>AVERAGE(0.22, 0.29        )</f>
        <v>0.255</v>
      </c>
      <c r="S7" s="49">
        <f>AVERAGE(0.17, 0.29        )</f>
        <v>0.22999999999999998</v>
      </c>
      <c r="T7" s="82">
        <f>AVERAGE(0.1, 0.05, 0.28        )</f>
        <v>0.14333333333333334</v>
      </c>
      <c r="U7" s="82">
        <f>AVERAGE(0.14, 0.09, 0.28        )</f>
        <v>0.17</v>
      </c>
      <c r="V7" s="48">
        <f>AVERAGE(0.34, 0.29, 0.38        )</f>
        <v>0.33666666666666667</v>
      </c>
      <c r="W7" s="49">
        <f>AVERAGE(0.34, 0.25, 0.34        )</f>
        <v>0.31000000000000005</v>
      </c>
      <c r="X7" s="46">
        <f>AVERAGE(0.28, 0.27         )</f>
        <v>0.27500000000000002</v>
      </c>
      <c r="Y7" s="47">
        <f>AVERAGE(0.28, 0.27        )</f>
        <v>0.27500000000000002</v>
      </c>
      <c r="AB7" s="2" t="s">
        <v>2</v>
      </c>
      <c r="AC7" s="137">
        <f t="shared" ref="AC7:AC12" si="11">AVERAGE(B7:C7)</f>
        <v>0.35</v>
      </c>
      <c r="AD7" s="138"/>
      <c r="AE7" s="137">
        <f t="shared" si="0"/>
        <v>0.34666666666666668</v>
      </c>
      <c r="AF7" s="138"/>
      <c r="AG7" s="137">
        <f t="shared" si="1"/>
        <v>0.27</v>
      </c>
      <c r="AH7" s="138"/>
      <c r="AI7" s="137">
        <f t="shared" si="2"/>
        <v>0.27500000000000002</v>
      </c>
      <c r="AJ7" s="138"/>
      <c r="AK7" s="137">
        <f t="shared" si="3"/>
        <v>0.32666666666666666</v>
      </c>
      <c r="AL7" s="138"/>
      <c r="AM7" s="137">
        <f t="shared" si="4"/>
        <v>0.26500000000000001</v>
      </c>
      <c r="AN7" s="138"/>
      <c r="AO7" s="137">
        <f t="shared" si="5"/>
        <v>0.33999999999999997</v>
      </c>
      <c r="AP7" s="138"/>
      <c r="AQ7" s="137">
        <f t="shared" si="6"/>
        <v>0.31999999999999995</v>
      </c>
      <c r="AR7" s="138"/>
      <c r="AS7" s="137">
        <f t="shared" si="7"/>
        <v>0.24249999999999999</v>
      </c>
      <c r="AT7" s="138"/>
      <c r="AU7" s="137">
        <f t="shared" si="8"/>
        <v>0.15666666666666668</v>
      </c>
      <c r="AV7" s="138"/>
      <c r="AW7" s="137">
        <f t="shared" si="9"/>
        <v>0.32333333333333336</v>
      </c>
      <c r="AX7" s="138"/>
      <c r="AY7" s="137">
        <f t="shared" si="10"/>
        <v>0.27500000000000002</v>
      </c>
      <c r="AZ7" s="138"/>
      <c r="BC7" s="46">
        <f>AVERAGE(0.2, 0.18         )</f>
        <v>0.19</v>
      </c>
      <c r="BD7" s="47">
        <f>AVERAGE(0.2, 0.23        )</f>
        <v>0.21500000000000002</v>
      </c>
      <c r="BE7" s="46">
        <f>AVERAGE(0.09, 0.09        )</f>
        <v>0.09</v>
      </c>
      <c r="BF7" s="47">
        <f>AVERAGE(0.13, 0.14          )</f>
        <v>0.13500000000000001</v>
      </c>
      <c r="BI7" s="137">
        <f t="shared" ref="BI7:BI8" si="12">AVERAGE(BC7:BD7)</f>
        <v>0.20250000000000001</v>
      </c>
      <c r="BJ7" s="138"/>
      <c r="BK7" s="137">
        <f t="shared" ref="BK7:BK8" si="13">AVERAGE(BE7:BF7)</f>
        <v>0.1125</v>
      </c>
      <c r="BL7" s="138"/>
    </row>
    <row r="8" spans="1:66" ht="15.5" x14ac:dyDescent="0.35">
      <c r="A8" s="2" t="s">
        <v>3</v>
      </c>
      <c r="B8" s="46">
        <f>AVERAGE(0.3, 0.37, 0.35)</f>
        <v>0.34</v>
      </c>
      <c r="C8" s="47">
        <f>AVERAGE(0.21, 0.25, 0.23)</f>
        <v>0.22999999999999998</v>
      </c>
      <c r="D8" s="46">
        <f>AVERAGE(0.32, 0.34, 0.35        )</f>
        <v>0.33666666666666667</v>
      </c>
      <c r="E8" s="47">
        <f>AVERAGE(0.24, 0.26, 0.21        )</f>
        <v>0.23666666666666666</v>
      </c>
      <c r="F8" s="46">
        <f>AVERAGE(0.31        )</f>
        <v>0.31</v>
      </c>
      <c r="G8" s="47">
        <f>AVERAGE(0.21        )</f>
        <v>0.21</v>
      </c>
      <c r="H8" s="46">
        <f>AVERAGE(0.28        )</f>
        <v>0.28000000000000003</v>
      </c>
      <c r="I8" s="47">
        <f>AVERAGE(0.23        )</f>
        <v>0.23</v>
      </c>
      <c r="J8" s="46">
        <f>AVERAGE(0.33, 0.32, 0.41        )</f>
        <v>0.35333333333333333</v>
      </c>
      <c r="K8" s="47">
        <f>AVERAGE(0.25, 0.26, 0.27        )</f>
        <v>0.26</v>
      </c>
      <c r="L8" s="48">
        <f>AVERAGE(0.34, 0.28, 0.28        )</f>
        <v>0.30000000000000004</v>
      </c>
      <c r="M8" s="49">
        <f>AVERAGE(0.28, 0.2, 0.21        )</f>
        <v>0.23</v>
      </c>
      <c r="N8" s="48">
        <f>AVERAGE(0.35, 0.37, 0.41        )</f>
        <v>0.37666666666666665</v>
      </c>
      <c r="O8" s="49">
        <f>AVERAGE(0.28, 0.25, 0.3        )</f>
        <v>0.27666666666666667</v>
      </c>
      <c r="P8" s="82">
        <f>AVERAGE(0.43, 0.29        )</f>
        <v>0.36</v>
      </c>
      <c r="Q8" s="82">
        <f>AVERAGE(0.31, 0.24        )</f>
        <v>0.27500000000000002</v>
      </c>
      <c r="R8" s="48">
        <f>AVERAGE(0.35, 0.31        )</f>
        <v>0.32999999999999996</v>
      </c>
      <c r="S8" s="49">
        <f>AVERAGE(0.25, 0.23        )</f>
        <v>0.24</v>
      </c>
      <c r="T8" s="82">
        <f>AVERAGE(0.32, 0.3, 0.33        )</f>
        <v>0.31666666666666665</v>
      </c>
      <c r="U8" s="82">
        <f>AVERAGE(0.23, 0.19, 0.22        )</f>
        <v>0.21333333333333335</v>
      </c>
      <c r="V8" s="48">
        <f>AVERAGE(0.42, 0.35, 0.27        )</f>
        <v>0.34666666666666668</v>
      </c>
      <c r="W8" s="49">
        <f>AVERAGE(0.26, 0.21, 0.21        )</f>
        <v>0.22666666666666666</v>
      </c>
      <c r="X8" s="46">
        <f>AVERAGE(0.31, 0.39        )</f>
        <v>0.35</v>
      </c>
      <c r="Y8" s="47">
        <f>AVERAGE(0.25, 0.28        )</f>
        <v>0.26500000000000001</v>
      </c>
      <c r="AB8" s="2" t="s">
        <v>3</v>
      </c>
      <c r="AC8" s="137">
        <f t="shared" si="11"/>
        <v>0.28500000000000003</v>
      </c>
      <c r="AD8" s="138"/>
      <c r="AE8" s="137">
        <f t="shared" si="0"/>
        <v>0.28666666666666668</v>
      </c>
      <c r="AF8" s="138"/>
      <c r="AG8" s="137">
        <f t="shared" si="1"/>
        <v>0.26</v>
      </c>
      <c r="AH8" s="138"/>
      <c r="AI8" s="137">
        <f t="shared" si="2"/>
        <v>0.255</v>
      </c>
      <c r="AJ8" s="138"/>
      <c r="AK8" s="137">
        <f t="shared" si="3"/>
        <v>0.30666666666666664</v>
      </c>
      <c r="AL8" s="138"/>
      <c r="AM8" s="137">
        <f t="shared" si="4"/>
        <v>0.26500000000000001</v>
      </c>
      <c r="AN8" s="138"/>
      <c r="AO8" s="137">
        <f t="shared" si="5"/>
        <v>0.32666666666666666</v>
      </c>
      <c r="AP8" s="138"/>
      <c r="AQ8" s="137">
        <f t="shared" si="6"/>
        <v>0.3175</v>
      </c>
      <c r="AR8" s="138"/>
      <c r="AS8" s="137">
        <f t="shared" si="7"/>
        <v>0.28499999999999998</v>
      </c>
      <c r="AT8" s="138"/>
      <c r="AU8" s="137">
        <f t="shared" si="8"/>
        <v>0.26500000000000001</v>
      </c>
      <c r="AV8" s="138"/>
      <c r="AW8" s="137">
        <f t="shared" si="9"/>
        <v>0.28666666666666668</v>
      </c>
      <c r="AX8" s="138"/>
      <c r="AY8" s="137">
        <f t="shared" si="10"/>
        <v>0.3075</v>
      </c>
      <c r="AZ8" s="138"/>
      <c r="BC8" s="46">
        <f>AVERAGE(0.24, 0.25            )</f>
        <v>0.245</v>
      </c>
      <c r="BD8" s="47">
        <f>AVERAGE(0.17,0.15         )</f>
        <v>0.16</v>
      </c>
      <c r="BE8" s="46">
        <f>AVERAGE(0.29, 0.32, 0.12                )</f>
        <v>0.24333333333333332</v>
      </c>
      <c r="BF8" s="47">
        <f>AVERAGE(0.17,0.09           )</f>
        <v>0.13</v>
      </c>
      <c r="BI8" s="137">
        <f t="shared" si="12"/>
        <v>0.20250000000000001</v>
      </c>
      <c r="BJ8" s="138"/>
      <c r="BK8" s="137">
        <f t="shared" si="13"/>
        <v>0.18666666666666665</v>
      </c>
      <c r="BL8" s="138"/>
    </row>
    <row r="9" spans="1:66" ht="15.5" x14ac:dyDescent="0.35">
      <c r="A9" s="2" t="s">
        <v>4</v>
      </c>
      <c r="B9" s="46">
        <f>AVERAGE(0.2, 0.18, 0)</f>
        <v>0.12666666666666668</v>
      </c>
      <c r="C9" s="47">
        <f>AVERAGE(0.22, 0.2, 0)</f>
        <v>0.14000000000000001</v>
      </c>
      <c r="D9" s="46">
        <f>AVERAGE(0.33, 0.29, 0.29         )</f>
        <v>0.30333333333333329</v>
      </c>
      <c r="E9" s="47">
        <f>AVERAGE(0, 0.14, 0         )</f>
        <v>4.6666666666666669E-2</v>
      </c>
      <c r="F9" s="46">
        <f>AVERAGE(0.4         )</f>
        <v>0.4</v>
      </c>
      <c r="G9" s="47">
        <f>AVERAGE(0         )</f>
        <v>0</v>
      </c>
      <c r="H9" s="46">
        <f>AVERAGE(0.22)</f>
        <v>0.22</v>
      </c>
      <c r="I9" s="47">
        <f>AVERAGE(0         )</f>
        <v>0</v>
      </c>
      <c r="J9" s="46">
        <f>AVERAGE(0.67, 0.2, 0.2         )</f>
        <v>0.35666666666666669</v>
      </c>
      <c r="K9" s="47">
        <f>AVERAGE(0, 0, 0         )</f>
        <v>0</v>
      </c>
      <c r="L9" s="48">
        <f>AVERAGE(0.33, 0.17, 0         )</f>
        <v>0.16666666666666666</v>
      </c>
      <c r="M9" s="49">
        <f>AVERAGE(0.18, 0, 0.29         )</f>
        <v>0.15666666666666665</v>
      </c>
      <c r="N9" s="48">
        <f>AVERAGE(0.2, 0.22, 0.25         )</f>
        <v>0.22333333333333336</v>
      </c>
      <c r="O9" s="49">
        <f>AVERAGE(0.22, 0.25, 0         )</f>
        <v>0.15666666666666665</v>
      </c>
      <c r="P9" s="82">
        <f>AVERAGE(0, 0.15         )</f>
        <v>7.4999999999999997E-2</v>
      </c>
      <c r="Q9" s="82">
        <f>AVERAGE(0, 0.18         )</f>
        <v>0.09</v>
      </c>
      <c r="R9" s="48">
        <f>AVERAGE(0.22, 0.33         )</f>
        <v>0.27500000000000002</v>
      </c>
      <c r="S9" s="49">
        <f>AVERAGE(0.22, 0         )</f>
        <v>0.11</v>
      </c>
      <c r="T9" s="82">
        <f>AVERAGE(0.22, 0.29, 0         )</f>
        <v>0.17</v>
      </c>
      <c r="U9" s="82">
        <f>AVERAGE(0, 0, 0         )</f>
        <v>0</v>
      </c>
      <c r="V9" s="48">
        <f>AVERAGE(0.22, 0.2, 0.29)</f>
        <v>0.23666666666666666</v>
      </c>
      <c r="W9" s="49">
        <f>AVERAGE(0, 0, 0         )</f>
        <v>0</v>
      </c>
      <c r="X9" s="46">
        <f>AVERAGE(0.18, 0.33         )</f>
        <v>0.255</v>
      </c>
      <c r="Y9" s="47">
        <f>AVERAGE(0, 0          )</f>
        <v>0</v>
      </c>
      <c r="AB9" s="2" t="s">
        <v>4</v>
      </c>
      <c r="AC9" s="137">
        <f t="shared" si="11"/>
        <v>0.13333333333333336</v>
      </c>
      <c r="AD9" s="138"/>
      <c r="AE9" s="137">
        <f t="shared" si="0"/>
        <v>0.17499999999999999</v>
      </c>
      <c r="AF9" s="138"/>
      <c r="AG9" s="137">
        <f t="shared" si="1"/>
        <v>0.2</v>
      </c>
      <c r="AH9" s="138"/>
      <c r="AI9" s="137">
        <f t="shared" si="2"/>
        <v>0.11</v>
      </c>
      <c r="AJ9" s="138"/>
      <c r="AK9" s="137">
        <f t="shared" si="3"/>
        <v>0.17833333333333334</v>
      </c>
      <c r="AL9" s="138"/>
      <c r="AM9" s="137">
        <f t="shared" si="4"/>
        <v>0.16166666666666665</v>
      </c>
      <c r="AN9" s="138"/>
      <c r="AO9" s="137">
        <f t="shared" si="5"/>
        <v>0.19</v>
      </c>
      <c r="AP9" s="138"/>
      <c r="AQ9" s="137">
        <f t="shared" si="6"/>
        <v>8.249999999999999E-2</v>
      </c>
      <c r="AR9" s="138"/>
      <c r="AS9" s="137">
        <f t="shared" si="7"/>
        <v>0.1925</v>
      </c>
      <c r="AT9" s="138"/>
      <c r="AU9" s="137">
        <f t="shared" si="8"/>
        <v>8.5000000000000006E-2</v>
      </c>
      <c r="AV9" s="138"/>
      <c r="AW9" s="137">
        <f t="shared" si="9"/>
        <v>0.11833333333333333</v>
      </c>
      <c r="AX9" s="138"/>
      <c r="AY9" s="137">
        <f t="shared" si="10"/>
        <v>0.1275</v>
      </c>
      <c r="AZ9" s="138"/>
      <c r="BC9" s="46">
        <f>AVERAGE(0.2, 0          )</f>
        <v>0.1</v>
      </c>
      <c r="BD9" s="47">
        <f>AVERAGE(0.22,0          )</f>
        <v>0.11</v>
      </c>
      <c r="BE9" s="46">
        <f>AVERAGE(0, 0.22               )</f>
        <v>0.11</v>
      </c>
      <c r="BF9" s="47">
        <f>AVERAGE(0,0          )</f>
        <v>0</v>
      </c>
      <c r="BI9" s="137">
        <f>AVERAGE(BC9:BD9)</f>
        <v>0.10500000000000001</v>
      </c>
      <c r="BJ9" s="138"/>
      <c r="BK9" s="146">
        <f>AVERAGE(BE9:BF9)</f>
        <v>5.5E-2</v>
      </c>
      <c r="BL9" s="147"/>
    </row>
    <row r="10" spans="1:66" ht="15.5" x14ac:dyDescent="0.35">
      <c r="A10" s="2" t="s">
        <v>5</v>
      </c>
      <c r="B10" s="50">
        <f>AVERAGE(0.75, 0.77, 0.74)</f>
        <v>0.7533333333333333</v>
      </c>
      <c r="C10" s="51">
        <f>AVERAGE(0.74, 0.76, 0.72)</f>
        <v>0.73999999999999988</v>
      </c>
      <c r="D10" s="50">
        <f>AVERAGE(0.77, 0.74, 0.75       )</f>
        <v>0.7533333333333333</v>
      </c>
      <c r="E10" s="51">
        <f>AVERAGE(0.76, 0.73, 0.73       )</f>
        <v>0.73999999999999988</v>
      </c>
      <c r="F10" s="50">
        <f>AVERAGE(0.73       )</f>
        <v>0.73</v>
      </c>
      <c r="G10" s="51">
        <f>AVERAGE(0.71       )</f>
        <v>0.71</v>
      </c>
      <c r="H10" s="50">
        <f>AVERAGE(0.75)</f>
        <v>0.75</v>
      </c>
      <c r="I10" s="51">
        <f>AVERAGE(0.73       )</f>
        <v>0.73</v>
      </c>
      <c r="J10" s="50">
        <f>AVERAGE(0.77, 0.77, 0.77       )</f>
        <v>0.77</v>
      </c>
      <c r="K10" s="51">
        <f>AVERAGE(0.75, 0.77, 0.75      )</f>
        <v>0.75666666666666671</v>
      </c>
      <c r="L10" s="52">
        <f>AVERAGE(0.76, 0.73, 0.77       )</f>
        <v>0.7533333333333333</v>
      </c>
      <c r="M10" s="53">
        <f>AVERAGE(0.76, 0.72, 0.76       )</f>
        <v>0.7466666666666667</v>
      </c>
      <c r="N10" s="52">
        <f>AVERAGE(0.8, 0.78, 0.78       )</f>
        <v>0.78666666666666674</v>
      </c>
      <c r="O10" s="53">
        <f>AVERAGE(0.78, 0.76, 0.77       )</f>
        <v>0.77</v>
      </c>
      <c r="P10" s="83">
        <f>AVERAGE(0.81, 0.74       )</f>
        <v>0.77500000000000002</v>
      </c>
      <c r="Q10" s="83">
        <f>AVERAGE(0.79, 0.74       )</f>
        <v>0.76500000000000001</v>
      </c>
      <c r="R10" s="52">
        <f>AVERAGE(0.76, 0.74       )</f>
        <v>0.75</v>
      </c>
      <c r="S10" s="53">
        <f>AVERAGE(0.74, 0.73       )</f>
        <v>0.73499999999999999</v>
      </c>
      <c r="T10" s="83">
        <f>AVERAGE(0.76, 0.75, 0.78       )</f>
        <v>0.76333333333333331</v>
      </c>
      <c r="U10" s="83">
        <f>AVERAGE(0.75, 0.74, 0.77       )</f>
        <v>0.7533333333333333</v>
      </c>
      <c r="V10" s="52">
        <f>AVERAGE(0.79, 0.77, 0.75       )</f>
        <v>0.77</v>
      </c>
      <c r="W10" s="53">
        <f>AVERAGE(0.77, 0.74, 0.74       )</f>
        <v>0.75</v>
      </c>
      <c r="X10" s="50">
        <f>AVERAGE(0.77, 0.77       )</f>
        <v>0.77</v>
      </c>
      <c r="Y10" s="51">
        <f>AVERAGE(0.76, 0.75       )</f>
        <v>0.755</v>
      </c>
      <c r="AB10" s="2" t="s">
        <v>5</v>
      </c>
      <c r="AC10" s="144">
        <f t="shared" si="11"/>
        <v>0.74666666666666659</v>
      </c>
      <c r="AD10" s="145"/>
      <c r="AE10" s="144">
        <f t="shared" si="0"/>
        <v>0.74666666666666659</v>
      </c>
      <c r="AF10" s="145"/>
      <c r="AG10" s="144">
        <f t="shared" si="1"/>
        <v>0.72</v>
      </c>
      <c r="AH10" s="145"/>
      <c r="AI10" s="144">
        <f t="shared" si="2"/>
        <v>0.74</v>
      </c>
      <c r="AJ10" s="145"/>
      <c r="AK10" s="144">
        <f t="shared" si="3"/>
        <v>0.76333333333333342</v>
      </c>
      <c r="AL10" s="145"/>
      <c r="AM10" s="144">
        <f t="shared" si="4"/>
        <v>0.75</v>
      </c>
      <c r="AN10" s="145"/>
      <c r="AO10" s="144">
        <f t="shared" si="5"/>
        <v>0.77833333333333332</v>
      </c>
      <c r="AP10" s="145"/>
      <c r="AQ10" s="144">
        <f t="shared" si="6"/>
        <v>0.77</v>
      </c>
      <c r="AR10" s="145"/>
      <c r="AS10" s="144">
        <f t="shared" si="7"/>
        <v>0.74249999999999994</v>
      </c>
      <c r="AT10" s="145"/>
      <c r="AU10" s="144">
        <f t="shared" si="8"/>
        <v>0.7583333333333333</v>
      </c>
      <c r="AV10" s="145"/>
      <c r="AW10" s="144">
        <f t="shared" si="9"/>
        <v>0.76</v>
      </c>
      <c r="AX10" s="145"/>
      <c r="AY10" s="144">
        <f t="shared" si="10"/>
        <v>0.76249999999999996</v>
      </c>
      <c r="AZ10" s="145"/>
      <c r="BB10" s="2" t="s">
        <v>5</v>
      </c>
      <c r="BC10" s="50">
        <f>AVERAGE(0.77, 0.76       )</f>
        <v>0.76500000000000001</v>
      </c>
      <c r="BD10" s="51">
        <f>AVERAGE(0.77, 0.77)</f>
        <v>0.77</v>
      </c>
      <c r="BE10" s="50">
        <f>AVERAGE(0.73, 0.74          )</f>
        <v>0.73499999999999999</v>
      </c>
      <c r="BF10" s="51">
        <f>AVERAGE(0.73, 0.75        )</f>
        <v>0.74</v>
      </c>
      <c r="BI10" s="144">
        <f>AVERAGE(BC10:BD10)</f>
        <v>0.76750000000000007</v>
      </c>
      <c r="BJ10" s="145"/>
      <c r="BK10" s="144">
        <f>AVERAGE(BE10:BF10)</f>
        <v>0.73750000000000004</v>
      </c>
      <c r="BL10" s="145"/>
    </row>
    <row r="11" spans="1:66" ht="17" customHeight="1" x14ac:dyDescent="0.35">
      <c r="A11" s="2" t="s">
        <v>43</v>
      </c>
      <c r="B11" s="54">
        <f t="shared" ref="B11:Y11" si="14">AVERAGE(B6:B9)</f>
        <v>0.42083333333333339</v>
      </c>
      <c r="C11" s="55">
        <f t="shared" si="14"/>
        <v>0.39833333333333332</v>
      </c>
      <c r="D11" s="54">
        <f t="shared" si="14"/>
        <v>0.46666666666666662</v>
      </c>
      <c r="E11" s="55">
        <f t="shared" si="14"/>
        <v>0.37166666666666665</v>
      </c>
      <c r="F11" s="54">
        <f t="shared" si="14"/>
        <v>0.46499999999999997</v>
      </c>
      <c r="G11" s="55">
        <f t="shared" si="14"/>
        <v>0.32750000000000001</v>
      </c>
      <c r="H11" s="54">
        <f t="shared" si="14"/>
        <v>0.42249999999999999</v>
      </c>
      <c r="I11" s="55">
        <f t="shared" si="14"/>
        <v>0.33499999999999996</v>
      </c>
      <c r="J11" s="54">
        <f t="shared" si="14"/>
        <v>0.48083333333333333</v>
      </c>
      <c r="K11" s="55">
        <f t="shared" si="14"/>
        <v>0.36333333333333334</v>
      </c>
      <c r="L11" s="56">
        <f t="shared" si="14"/>
        <v>0.40416666666666667</v>
      </c>
      <c r="M11" s="57">
        <f t="shared" si="14"/>
        <v>0.37916666666666665</v>
      </c>
      <c r="N11" s="56">
        <f t="shared" si="14"/>
        <v>0.46</v>
      </c>
      <c r="O11" s="57">
        <f t="shared" si="14"/>
        <v>0.41</v>
      </c>
      <c r="P11" s="87">
        <f t="shared" si="14"/>
        <v>0.41</v>
      </c>
      <c r="Q11" s="87">
        <f t="shared" si="14"/>
        <v>0.39250000000000002</v>
      </c>
      <c r="R11" s="56">
        <f t="shared" si="14"/>
        <v>0.43374999999999997</v>
      </c>
      <c r="S11" s="57">
        <f t="shared" si="14"/>
        <v>0.36250000000000004</v>
      </c>
      <c r="T11" s="87">
        <f t="shared" si="14"/>
        <v>0.37916666666666665</v>
      </c>
      <c r="U11" s="87">
        <f t="shared" si="14"/>
        <v>0.31666666666666665</v>
      </c>
      <c r="V11" s="56">
        <f t="shared" si="14"/>
        <v>0.45249999999999996</v>
      </c>
      <c r="W11" s="57">
        <f t="shared" si="14"/>
        <v>0.35499999999999998</v>
      </c>
      <c r="X11" s="54">
        <f t="shared" si="14"/>
        <v>0.43999999999999995</v>
      </c>
      <c r="Y11" s="55">
        <f t="shared" si="14"/>
        <v>0.35375000000000001</v>
      </c>
      <c r="AB11" s="2" t="s">
        <v>43</v>
      </c>
      <c r="AC11" s="148">
        <f>AVERAGE(AC6:AD9)</f>
        <v>0.40958333333333341</v>
      </c>
      <c r="AD11" s="149"/>
      <c r="AE11" s="148">
        <f>AVERAGE(AE6:AF9)</f>
        <v>0.41916666666666669</v>
      </c>
      <c r="AF11" s="149"/>
      <c r="AG11" s="148">
        <f>AVERAGE(AG6:AH9)</f>
        <v>0.39624999999999999</v>
      </c>
      <c r="AH11" s="149"/>
      <c r="AI11" s="148">
        <f>AVERAGE(AI6:AJ9)</f>
        <v>0.37874999999999998</v>
      </c>
      <c r="AJ11" s="149"/>
      <c r="AK11" s="148">
        <f>AVERAGE(AK6:AL9)</f>
        <v>0.42208333333333337</v>
      </c>
      <c r="AL11" s="149"/>
      <c r="AM11" s="148">
        <f>AVERAGE(AM6:AN9)</f>
        <v>0.39166666666666672</v>
      </c>
      <c r="AN11" s="149"/>
      <c r="AO11" s="148">
        <f>AVERAGE(AO6:AP9)</f>
        <v>0.43499999999999994</v>
      </c>
      <c r="AP11" s="149"/>
      <c r="AQ11" s="148">
        <f>AVERAGE(AQ6:AR9)</f>
        <v>0.40125</v>
      </c>
      <c r="AR11" s="149"/>
      <c r="AS11" s="148">
        <f>AVERAGE(AS6:AT9)</f>
        <v>0.39812499999999995</v>
      </c>
      <c r="AT11" s="149"/>
      <c r="AU11" s="148">
        <f>AVERAGE(AU6:AV9)</f>
        <v>0.34791666666666665</v>
      </c>
      <c r="AV11" s="149"/>
      <c r="AW11" s="148">
        <f>AVERAGE(AW6:AX9)</f>
        <v>0.40375</v>
      </c>
      <c r="AX11" s="149"/>
      <c r="AY11" s="148">
        <f>AVERAGE(AY6:AZ9)</f>
        <v>0.39687499999999998</v>
      </c>
      <c r="AZ11" s="149"/>
      <c r="BB11" s="2" t="s">
        <v>43</v>
      </c>
      <c r="BC11" s="54">
        <f>AVERAGE(BC6:BC9)</f>
        <v>0.35125000000000006</v>
      </c>
      <c r="BD11" s="55">
        <f>AVERAGE(BD6:BD9)</f>
        <v>0.33875</v>
      </c>
      <c r="BE11" s="54">
        <f>AVERAGE(BE6:BE9)</f>
        <v>0.32666666666666666</v>
      </c>
      <c r="BF11" s="55">
        <f>AVERAGE(BF6:BF9)</f>
        <v>0.28125</v>
      </c>
      <c r="BI11" s="148">
        <f>AVERAGE(BC11:BD11)</f>
        <v>0.34500000000000003</v>
      </c>
      <c r="BJ11" s="149"/>
      <c r="BK11" s="148">
        <f>AVERAGE(BE11:BF11)</f>
        <v>0.30395833333333333</v>
      </c>
      <c r="BL11" s="149"/>
    </row>
    <row r="12" spans="1:66" ht="15.5" x14ac:dyDescent="0.35">
      <c r="A12" s="2" t="s">
        <v>44</v>
      </c>
      <c r="B12" s="58">
        <f>AVERAGE(0.78, 0.78, 0.76)</f>
        <v>0.77333333333333343</v>
      </c>
      <c r="C12" s="59">
        <f>AVERAGE(0.78, 0.78, 0.76)</f>
        <v>0.77333333333333343</v>
      </c>
      <c r="D12" s="58">
        <f>AVERAGE(0.79, 0.76, 0.78       )</f>
        <v>0.77666666666666673</v>
      </c>
      <c r="E12" s="59">
        <f>AVERAGE(0.78, 0.76, 0.77       )</f>
        <v>0.77</v>
      </c>
      <c r="F12" s="58">
        <f>AVERAGE(0.76       )</f>
        <v>0.76</v>
      </c>
      <c r="G12" s="59">
        <f>AVERAGE(0.75       )</f>
        <v>0.75</v>
      </c>
      <c r="H12" s="58">
        <f>AVERAGE(0.77       )</f>
        <v>0.77</v>
      </c>
      <c r="I12" s="59">
        <f>AVERAGE(0.76       )</f>
        <v>0.76</v>
      </c>
      <c r="J12" s="58">
        <f>AVERAGE(0.78, 0.78, 0.78       )</f>
        <v>0.77999999999999992</v>
      </c>
      <c r="K12" s="59">
        <f>AVERAGE(0.77, 0.78, 0.77       )</f>
        <v>0.77333333333333343</v>
      </c>
      <c r="L12" s="60">
        <f>AVERAGE(0.77, 0.75, 0.78       )</f>
        <v>0.76666666666666661</v>
      </c>
      <c r="M12" s="61">
        <f>AVERAGE(0.77, 0.74, 0.77       )</f>
        <v>0.76000000000000012</v>
      </c>
      <c r="N12" s="60">
        <f>AVERAGE(0.8, 0.78, 0.79       )</f>
        <v>0.79</v>
      </c>
      <c r="O12" s="61">
        <f>AVERAGE(0.79, 0.77, 0.78       )</f>
        <v>0.77999999999999992</v>
      </c>
      <c r="P12" s="84">
        <f>AVERAGE(0.81, 0.75       )</f>
        <v>0.78</v>
      </c>
      <c r="Q12" s="84">
        <f>AVERAGE(0.8, 0.76       )</f>
        <v>0.78</v>
      </c>
      <c r="R12" s="60">
        <f>AVERAGE(0.77, 0.76       )</f>
        <v>0.76500000000000001</v>
      </c>
      <c r="S12" s="61">
        <f>AVERAGE(0.76, 0.76       )</f>
        <v>0.76</v>
      </c>
      <c r="T12" s="84">
        <f>AVERAGE(0.75, 0.75, 0.78       )</f>
        <v>0.76000000000000012</v>
      </c>
      <c r="U12" s="84">
        <f>AVERAGE(0.75, 0.76, 0.77       )</f>
        <v>0.76000000000000012</v>
      </c>
      <c r="V12" s="60">
        <f>AVERAGE(0.8, 0.78, 0.78       )</f>
        <v>0.78666666666666674</v>
      </c>
      <c r="W12" s="61">
        <f>AVERAGE(0.79, 0.77, 0.77       )</f>
        <v>0.77666666666666673</v>
      </c>
      <c r="X12" s="58">
        <f>AVERAGE(0.78, 0.77       )</f>
        <v>0.77500000000000002</v>
      </c>
      <c r="Y12" s="59">
        <f>AVERAGE(0.77, 0.77               )</f>
        <v>0.77</v>
      </c>
      <c r="AB12" s="2" t="s">
        <v>44</v>
      </c>
      <c r="AC12" s="134">
        <f t="shared" si="11"/>
        <v>0.77333333333333343</v>
      </c>
      <c r="AD12" s="135"/>
      <c r="AE12" s="134">
        <f t="shared" si="0"/>
        <v>0.77333333333333343</v>
      </c>
      <c r="AF12" s="135"/>
      <c r="AG12" s="134">
        <f t="shared" si="1"/>
        <v>0.755</v>
      </c>
      <c r="AH12" s="135"/>
      <c r="AI12" s="134">
        <f t="shared" si="2"/>
        <v>0.76500000000000001</v>
      </c>
      <c r="AJ12" s="135"/>
      <c r="AK12" s="134">
        <f t="shared" si="3"/>
        <v>0.77666666666666662</v>
      </c>
      <c r="AL12" s="135"/>
      <c r="AM12" s="134">
        <f t="shared" si="4"/>
        <v>0.76333333333333342</v>
      </c>
      <c r="AN12" s="135"/>
      <c r="AO12" s="134">
        <f t="shared" si="5"/>
        <v>0.78499999999999992</v>
      </c>
      <c r="AP12" s="135"/>
      <c r="AQ12" s="134">
        <f t="shared" si="6"/>
        <v>0.78</v>
      </c>
      <c r="AR12" s="135"/>
      <c r="AS12" s="134">
        <f t="shared" si="7"/>
        <v>0.76249999999999996</v>
      </c>
      <c r="AT12" s="135"/>
      <c r="AU12" s="134">
        <f t="shared" si="8"/>
        <v>0.76000000000000012</v>
      </c>
      <c r="AV12" s="135"/>
      <c r="AW12" s="134">
        <f t="shared" si="9"/>
        <v>0.78166666666666673</v>
      </c>
      <c r="AX12" s="135"/>
      <c r="AY12" s="134">
        <f t="shared" si="10"/>
        <v>0.77249999999999996</v>
      </c>
      <c r="AZ12" s="135"/>
      <c r="BB12" s="2" t="s">
        <v>44</v>
      </c>
      <c r="BC12" s="58">
        <f>AVERAGE(0.75, 0.74        )</f>
        <v>0.745</v>
      </c>
      <c r="BD12" s="59">
        <f>AVERAGE(0.76, 0.76       )</f>
        <v>0.76</v>
      </c>
      <c r="BE12" s="58">
        <f>AVERAGE(0.72, 0.72          )</f>
        <v>0.72</v>
      </c>
      <c r="BF12" s="59">
        <f>AVERAGE(0.72, 0.74        )</f>
        <v>0.73</v>
      </c>
      <c r="BI12" s="134">
        <f>AVERAGE(BC12:BD12)</f>
        <v>0.75249999999999995</v>
      </c>
      <c r="BJ12" s="135"/>
      <c r="BK12" s="134">
        <f>AVERAGE(BE12:BF12)</f>
        <v>0.72499999999999998</v>
      </c>
      <c r="BL12" s="135"/>
    </row>
    <row r="16" spans="1:66" ht="33.5" x14ac:dyDescent="0.75">
      <c r="A16" s="170" t="s">
        <v>23</v>
      </c>
      <c r="B16" s="170"/>
      <c r="C16" s="170"/>
      <c r="D16" s="170"/>
      <c r="E16" s="170"/>
      <c r="F16" s="19"/>
      <c r="G16" s="19"/>
      <c r="H16" s="19"/>
      <c r="I16" s="19"/>
      <c r="AC16" s="170" t="s">
        <v>48</v>
      </c>
      <c r="AD16" s="170"/>
      <c r="AE16" s="170"/>
      <c r="AF16" s="170"/>
      <c r="AG16" s="170"/>
      <c r="AH16" s="170"/>
      <c r="AI16" s="170"/>
      <c r="AJ16" s="170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BC16" s="130" t="s">
        <v>77</v>
      </c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</row>
    <row r="17" spans="1:105" ht="21" customHeight="1" x14ac:dyDescent="0.5">
      <c r="A17" s="4"/>
      <c r="B17" s="4"/>
      <c r="C17" s="4"/>
      <c r="D17" s="4"/>
      <c r="E17" s="4"/>
      <c r="F17" s="4"/>
      <c r="G17" s="4"/>
      <c r="H17" s="4"/>
      <c r="I17" s="4"/>
      <c r="AC17" s="30"/>
      <c r="BC17" s="201" t="s">
        <v>79</v>
      </c>
      <c r="BD17" s="202"/>
      <c r="BE17" s="202"/>
      <c r="BF17" s="202"/>
      <c r="BG17" s="202"/>
      <c r="BH17" s="203"/>
      <c r="BI17" s="201" t="s">
        <v>80</v>
      </c>
      <c r="BJ17" s="202"/>
      <c r="BK17" s="202"/>
      <c r="BL17" s="202"/>
      <c r="BM17" s="202"/>
      <c r="BN17" s="203"/>
      <c r="BO17" s="201" t="s">
        <v>78</v>
      </c>
      <c r="BP17" s="202"/>
      <c r="BQ17" s="202"/>
      <c r="BR17" s="202"/>
      <c r="BS17" s="202"/>
      <c r="BT17" s="203"/>
      <c r="BU17" s="194" t="s">
        <v>81</v>
      </c>
      <c r="BV17" s="195"/>
      <c r="BW17" s="195"/>
      <c r="BX17" s="195"/>
      <c r="BY17" s="195"/>
      <c r="BZ17" s="196"/>
      <c r="CD17" s="191" t="s">
        <v>79</v>
      </c>
      <c r="CE17" s="192"/>
      <c r="CF17" s="192"/>
      <c r="CG17" s="192"/>
      <c r="CH17" s="192"/>
      <c r="CI17" s="193"/>
      <c r="CJ17" s="191" t="s">
        <v>80</v>
      </c>
      <c r="CK17" s="192"/>
      <c r="CL17" s="192"/>
      <c r="CM17" s="192"/>
      <c r="CN17" s="192"/>
      <c r="CO17" s="193"/>
      <c r="CP17" s="191" t="s">
        <v>78</v>
      </c>
      <c r="CQ17" s="192"/>
      <c r="CR17" s="192"/>
      <c r="CS17" s="192"/>
      <c r="CT17" s="192"/>
      <c r="CU17" s="193"/>
      <c r="CV17" s="194" t="s">
        <v>81</v>
      </c>
      <c r="CW17" s="195"/>
      <c r="CX17" s="195"/>
      <c r="CY17" s="195"/>
      <c r="CZ17" s="195"/>
      <c r="DA17" s="196"/>
    </row>
    <row r="18" spans="1:105" ht="49.5" customHeight="1" x14ac:dyDescent="0.35">
      <c r="A18" s="3"/>
      <c r="B18" s="133" t="s">
        <v>31</v>
      </c>
      <c r="C18" s="132"/>
      <c r="D18" s="133" t="s">
        <v>6</v>
      </c>
      <c r="E18" s="132"/>
      <c r="F18" s="133" t="s">
        <v>32</v>
      </c>
      <c r="G18" s="132"/>
      <c r="H18" s="133" t="s">
        <v>9</v>
      </c>
      <c r="I18" s="132"/>
      <c r="K18" s="10"/>
      <c r="L18" s="171" t="s">
        <v>10</v>
      </c>
      <c r="M18" s="171"/>
      <c r="N18" s="171" t="s">
        <v>11</v>
      </c>
      <c r="O18" s="171"/>
      <c r="P18" s="4"/>
      <c r="Q18" s="4"/>
      <c r="R18" s="10"/>
      <c r="S18" s="171" t="s">
        <v>15</v>
      </c>
      <c r="T18" s="171"/>
      <c r="U18" s="171" t="s">
        <v>16</v>
      </c>
      <c r="V18" s="171"/>
      <c r="AB18" s="3"/>
      <c r="AC18" s="140" t="s">
        <v>31</v>
      </c>
      <c r="AD18" s="141"/>
      <c r="AE18" s="140" t="s">
        <v>6</v>
      </c>
      <c r="AF18" s="141"/>
      <c r="AG18" s="140" t="s">
        <v>32</v>
      </c>
      <c r="AH18" s="141"/>
      <c r="AI18" s="140" t="s">
        <v>9</v>
      </c>
      <c r="AJ18" s="141"/>
      <c r="BC18" s="133" t="s">
        <v>84</v>
      </c>
      <c r="BD18" s="131"/>
      <c r="BE18" s="133" t="s">
        <v>86</v>
      </c>
      <c r="BF18" s="132"/>
      <c r="BG18" s="131" t="s">
        <v>85</v>
      </c>
      <c r="BH18" s="132"/>
      <c r="BI18" s="133" t="s">
        <v>84</v>
      </c>
      <c r="BJ18" s="131"/>
      <c r="BK18" s="133" t="s">
        <v>86</v>
      </c>
      <c r="BL18" s="132"/>
      <c r="BM18" s="131" t="s">
        <v>85</v>
      </c>
      <c r="BN18" s="132"/>
      <c r="BO18" s="133" t="s">
        <v>87</v>
      </c>
      <c r="BP18" s="131"/>
      <c r="BQ18" s="133" t="s">
        <v>86</v>
      </c>
      <c r="BR18" s="132"/>
      <c r="BS18" s="131" t="s">
        <v>85</v>
      </c>
      <c r="BT18" s="132"/>
      <c r="BU18" s="133" t="s">
        <v>87</v>
      </c>
      <c r="BV18" s="131"/>
      <c r="BW18" s="133" t="s">
        <v>86</v>
      </c>
      <c r="BX18" s="132"/>
      <c r="BY18" s="131" t="s">
        <v>85</v>
      </c>
      <c r="BZ18" s="132"/>
      <c r="CD18" s="197" t="s">
        <v>84</v>
      </c>
      <c r="CE18" s="199"/>
      <c r="CF18" s="197" t="s">
        <v>86</v>
      </c>
      <c r="CG18" s="199"/>
      <c r="CH18" s="198" t="s">
        <v>85</v>
      </c>
      <c r="CI18" s="199"/>
      <c r="CJ18" s="197" t="s">
        <v>84</v>
      </c>
      <c r="CK18" s="198"/>
      <c r="CL18" s="197" t="s">
        <v>86</v>
      </c>
      <c r="CM18" s="199"/>
      <c r="CN18" s="198" t="s">
        <v>85</v>
      </c>
      <c r="CO18" s="199"/>
      <c r="CP18" s="197" t="s">
        <v>87</v>
      </c>
      <c r="CQ18" s="198"/>
      <c r="CR18" s="197" t="s">
        <v>86</v>
      </c>
      <c r="CS18" s="199"/>
      <c r="CT18" s="198" t="s">
        <v>85</v>
      </c>
      <c r="CU18" s="199"/>
      <c r="CV18" s="197" t="s">
        <v>87</v>
      </c>
      <c r="CW18" s="198"/>
      <c r="CX18" s="197" t="s">
        <v>86</v>
      </c>
      <c r="CY18" s="199"/>
      <c r="CZ18" s="198" t="s">
        <v>85</v>
      </c>
      <c r="DA18" s="199"/>
    </row>
    <row r="19" spans="1:105" ht="15.5" customHeight="1" x14ac:dyDescent="0.35">
      <c r="A19" s="2" t="s">
        <v>0</v>
      </c>
      <c r="B19" s="31" t="s">
        <v>7</v>
      </c>
      <c r="C19" s="32" t="s">
        <v>8</v>
      </c>
      <c r="D19" s="31" t="s">
        <v>7</v>
      </c>
      <c r="E19" s="32" t="s">
        <v>8</v>
      </c>
      <c r="F19" s="90" t="s">
        <v>7</v>
      </c>
      <c r="G19" s="90" t="s">
        <v>8</v>
      </c>
      <c r="H19" s="31" t="s">
        <v>7</v>
      </c>
      <c r="I19" s="32" t="s">
        <v>8</v>
      </c>
      <c r="K19" s="11"/>
      <c r="L19" s="12" t="s">
        <v>13</v>
      </c>
      <c r="M19" s="12" t="s">
        <v>14</v>
      </c>
      <c r="N19" s="12" t="s">
        <v>13</v>
      </c>
      <c r="O19" s="13" t="s">
        <v>14</v>
      </c>
      <c r="P19" s="4"/>
      <c r="Q19" s="4"/>
      <c r="R19" s="11"/>
      <c r="S19" s="12" t="s">
        <v>13</v>
      </c>
      <c r="T19" s="12" t="s">
        <v>14</v>
      </c>
      <c r="U19" s="12" t="s">
        <v>13</v>
      </c>
      <c r="V19" s="13" t="s">
        <v>14</v>
      </c>
      <c r="AB19" s="2" t="s">
        <v>0</v>
      </c>
      <c r="AC19" s="142" t="s">
        <v>47</v>
      </c>
      <c r="AD19" s="143"/>
      <c r="AE19" s="142" t="s">
        <v>47</v>
      </c>
      <c r="AF19" s="143"/>
      <c r="AG19" s="142" t="s">
        <v>47</v>
      </c>
      <c r="AH19" s="143"/>
      <c r="AI19" s="142" t="s">
        <v>47</v>
      </c>
      <c r="AJ19" s="143"/>
      <c r="BB19" s="2" t="s">
        <v>0</v>
      </c>
      <c r="BC19" s="5" t="s">
        <v>7</v>
      </c>
      <c r="BD19" s="116" t="s">
        <v>8</v>
      </c>
      <c r="BE19" s="5" t="s">
        <v>7</v>
      </c>
      <c r="BF19" s="6" t="s">
        <v>8</v>
      </c>
      <c r="BG19" s="116" t="s">
        <v>7</v>
      </c>
      <c r="BH19" s="6" t="s">
        <v>8</v>
      </c>
      <c r="BI19" s="5" t="s">
        <v>7</v>
      </c>
      <c r="BJ19" s="116" t="s">
        <v>8</v>
      </c>
      <c r="BK19" s="5" t="s">
        <v>7</v>
      </c>
      <c r="BL19" s="6" t="s">
        <v>8</v>
      </c>
      <c r="BM19" s="116" t="s">
        <v>7</v>
      </c>
      <c r="BN19" s="6" t="s">
        <v>8</v>
      </c>
      <c r="BO19" s="5" t="s">
        <v>7</v>
      </c>
      <c r="BP19" s="116" t="s">
        <v>8</v>
      </c>
      <c r="BQ19" s="5" t="s">
        <v>7</v>
      </c>
      <c r="BR19" s="6" t="s">
        <v>8</v>
      </c>
      <c r="BS19" s="116" t="s">
        <v>7</v>
      </c>
      <c r="BT19" s="6" t="s">
        <v>8</v>
      </c>
      <c r="BU19" s="31" t="s">
        <v>7</v>
      </c>
      <c r="BV19" s="32" t="s">
        <v>8</v>
      </c>
      <c r="BW19" s="31" t="s">
        <v>7</v>
      </c>
      <c r="BX19" s="32" t="s">
        <v>8</v>
      </c>
      <c r="BY19" s="31" t="s">
        <v>7</v>
      </c>
      <c r="BZ19" s="32" t="s">
        <v>8</v>
      </c>
      <c r="CC19" s="2" t="s">
        <v>0</v>
      </c>
      <c r="CD19" s="200" t="s">
        <v>45</v>
      </c>
      <c r="CE19" s="184"/>
      <c r="CF19" s="200" t="s">
        <v>45</v>
      </c>
      <c r="CG19" s="184"/>
      <c r="CH19" s="183" t="s">
        <v>45</v>
      </c>
      <c r="CI19" s="184"/>
      <c r="CJ19" s="200" t="s">
        <v>45</v>
      </c>
      <c r="CK19" s="183"/>
      <c r="CL19" s="200" t="s">
        <v>45</v>
      </c>
      <c r="CM19" s="184"/>
      <c r="CN19" s="183" t="s">
        <v>45</v>
      </c>
      <c r="CO19" s="184"/>
      <c r="CP19" s="200" t="s">
        <v>45</v>
      </c>
      <c r="CQ19" s="183"/>
      <c r="CR19" s="200" t="s">
        <v>45</v>
      </c>
      <c r="CS19" s="184"/>
      <c r="CT19" s="183" t="s">
        <v>45</v>
      </c>
      <c r="CU19" s="184"/>
      <c r="CV19" s="200" t="s">
        <v>45</v>
      </c>
      <c r="CW19" s="183"/>
      <c r="CX19" s="200" t="s">
        <v>45</v>
      </c>
      <c r="CY19" s="184"/>
      <c r="CZ19" s="183" t="s">
        <v>45</v>
      </c>
      <c r="DA19" s="184"/>
    </row>
    <row r="20" spans="1:105" ht="15.5" x14ac:dyDescent="0.35">
      <c r="A20" s="2" t="s">
        <v>1</v>
      </c>
      <c r="B20" s="46">
        <f>AVERAGE(0.9, 0.91, 0.89)</f>
        <v>0.9</v>
      </c>
      <c r="C20" s="47">
        <f>AVERAGE(0.89, 0.91, 0.88)</f>
        <v>0.89333333333333342</v>
      </c>
      <c r="D20" s="46">
        <f>AVERAGE(0.91, 0.9, 0.9)</f>
        <v>0.90333333333333332</v>
      </c>
      <c r="E20" s="47">
        <f>AVERAGE(0.9, 0.9, 0.89)</f>
        <v>0.89666666666666661</v>
      </c>
      <c r="F20" s="78">
        <f>AVERAGE(0.9)</f>
        <v>0.9</v>
      </c>
      <c r="G20" s="78">
        <f>AVERAGE(0.89)</f>
        <v>0.89</v>
      </c>
      <c r="H20" s="46">
        <f>AVERAGE(0.91, 0.92, 0.92)</f>
        <v>0.91666666666666663</v>
      </c>
      <c r="I20" s="47">
        <f>AVERAGE(0.91, 0.91, 0.92)</f>
        <v>0.91333333333333344</v>
      </c>
      <c r="K20" s="11" t="s">
        <v>1</v>
      </c>
      <c r="L20" s="12">
        <v>784</v>
      </c>
      <c r="M20" s="12">
        <v>261</v>
      </c>
      <c r="N20" s="12">
        <v>792</v>
      </c>
      <c r="O20" s="12">
        <v>262</v>
      </c>
      <c r="P20" s="4"/>
      <c r="Q20" s="4"/>
      <c r="R20" s="11" t="s">
        <v>17</v>
      </c>
      <c r="S20" s="12">
        <v>771</v>
      </c>
      <c r="T20" s="12">
        <v>245</v>
      </c>
      <c r="U20" s="12">
        <v>769</v>
      </c>
      <c r="V20" s="12">
        <v>245</v>
      </c>
      <c r="AB20" s="2" t="s">
        <v>1</v>
      </c>
      <c r="AC20" s="137">
        <f t="shared" ref="AC20:AC26" si="15">AVERAGE(B20:C20)</f>
        <v>0.89666666666666672</v>
      </c>
      <c r="AD20" s="138"/>
      <c r="AE20" s="137">
        <f t="shared" ref="AE20:AE26" si="16">AVERAGE(D20:E20)</f>
        <v>0.89999999999999991</v>
      </c>
      <c r="AF20" s="138"/>
      <c r="AG20" s="137">
        <f t="shared" ref="AG20:AG26" si="17">AVERAGE(F20:G20)</f>
        <v>0.89500000000000002</v>
      </c>
      <c r="AH20" s="138"/>
      <c r="AI20" s="137">
        <f t="shared" ref="AI20:AI26" si="18">AVERAGE(H20:I20)</f>
        <v>0.91500000000000004</v>
      </c>
      <c r="AJ20" s="138"/>
      <c r="BB20" s="2" t="s">
        <v>1</v>
      </c>
      <c r="BC20" s="46">
        <f>AVERAGE(0.93, 0.91            )</f>
        <v>0.92</v>
      </c>
      <c r="BD20" s="78">
        <f>AVERAGE(0.93, 0.91              )</f>
        <v>0.92</v>
      </c>
      <c r="BE20" s="46">
        <f>AVERAGE(0.93, 0.92       )</f>
        <v>0.92500000000000004</v>
      </c>
      <c r="BF20" s="47">
        <f>AVERAGE(0.94, 0.93       )</f>
        <v>0.93500000000000005</v>
      </c>
      <c r="BG20" s="78">
        <f>AVERAGE(0.93, 0.87        )</f>
        <v>0.9</v>
      </c>
      <c r="BH20" s="47">
        <f>AVERAGE(0.94,0.88       )</f>
        <v>0.90999999999999992</v>
      </c>
      <c r="BI20" s="46">
        <f>AVERAGE(0.89, 0.86        )</f>
        <v>0.875</v>
      </c>
      <c r="BJ20" s="78">
        <f>AVERAGE(0.88, 0.85       )</f>
        <v>0.86499999999999999</v>
      </c>
      <c r="BK20" s="46">
        <f>AVERAGE(0.87, 0.88       )</f>
        <v>0.875</v>
      </c>
      <c r="BL20" s="47">
        <f>AVERAGE(0.86, 0.86       )</f>
        <v>0.86</v>
      </c>
      <c r="BM20" s="78">
        <f>AVERAGE(0.89, 0.88       )</f>
        <v>0.88500000000000001</v>
      </c>
      <c r="BN20" s="47">
        <f>AVERAGE(0.88, 0.86       )</f>
        <v>0.87</v>
      </c>
      <c r="BO20" s="46">
        <f>AVERAGE(0.92, 0.9       )</f>
        <v>0.91</v>
      </c>
      <c r="BP20" s="78">
        <f>AVERAGE(0.92, 0.9       )</f>
        <v>0.91</v>
      </c>
      <c r="BQ20" s="46">
        <f>AVERAGE(0.91, 0.91       )</f>
        <v>0.91</v>
      </c>
      <c r="BR20" s="47">
        <f>AVERAGE(0.91, 0.91       )</f>
        <v>0.91</v>
      </c>
      <c r="BS20" s="78">
        <f>AVERAGE(0.92, 0.91       )</f>
        <v>0.91500000000000004</v>
      </c>
      <c r="BT20" s="47">
        <f>AVERAGE(0.92, 0.91       )</f>
        <v>0.91500000000000004</v>
      </c>
      <c r="BU20" s="46">
        <f>AVERAGE(0.88, 0.86, 0.87       )</f>
        <v>0.87</v>
      </c>
      <c r="BV20" s="47">
        <f>AVERAGE(0.88, 0.86, 0.86       )</f>
        <v>0.8666666666666667</v>
      </c>
      <c r="BW20" s="46">
        <f>AVERAGE(0.88       )</f>
        <v>0.88</v>
      </c>
      <c r="BX20" s="47">
        <f>AVERAGE(0.87       )</f>
        <v>0.87</v>
      </c>
      <c r="BY20" s="46">
        <f>AVERAGE(0.88, 0.88, 0.88       )</f>
        <v>0.88</v>
      </c>
      <c r="BZ20" s="47">
        <f>AVERAGE(0.87, 0.88, 0.87       )</f>
        <v>0.87333333333333341</v>
      </c>
      <c r="CC20" s="2" t="s">
        <v>1</v>
      </c>
      <c r="CD20" s="187">
        <f>AVERAGE(BC20:BD20)</f>
        <v>0.92</v>
      </c>
      <c r="CE20" s="186"/>
      <c r="CF20" s="187">
        <f>AVERAGE(BE20:BF20)</f>
        <v>0.93</v>
      </c>
      <c r="CG20" s="186"/>
      <c r="CH20" s="185">
        <f>AVERAGE(BG20:BH20)</f>
        <v>0.90500000000000003</v>
      </c>
      <c r="CI20" s="186"/>
      <c r="CJ20" s="187">
        <f>AVERAGE(BI20:BJ20)</f>
        <v>0.87</v>
      </c>
      <c r="CK20" s="185"/>
      <c r="CL20" s="187">
        <f>AVERAGE(BK20:BL20)</f>
        <v>0.86749999999999994</v>
      </c>
      <c r="CM20" s="186"/>
      <c r="CN20" s="185">
        <f>AVERAGE(BM20:BN20)</f>
        <v>0.87749999999999995</v>
      </c>
      <c r="CO20" s="186"/>
      <c r="CP20" s="187">
        <f>AVERAGE(BO20:BP20)</f>
        <v>0.91</v>
      </c>
      <c r="CQ20" s="185"/>
      <c r="CR20" s="187">
        <f>AVERAGE(BQ20:BR20)</f>
        <v>0.91</v>
      </c>
      <c r="CS20" s="186"/>
      <c r="CT20" s="185">
        <f>AVERAGE(BS20:BT20)</f>
        <v>0.91500000000000004</v>
      </c>
      <c r="CU20" s="186"/>
      <c r="CV20" s="187">
        <f>AVERAGE(BU20:BV20)</f>
        <v>0.8683333333333334</v>
      </c>
      <c r="CW20" s="185"/>
      <c r="CX20" s="187">
        <f>AVERAGE(BW20:BX20)</f>
        <v>0.875</v>
      </c>
      <c r="CY20" s="186"/>
      <c r="CZ20" s="185">
        <f>AVERAGE(BY20:BZ20)</f>
        <v>0.87666666666666671</v>
      </c>
      <c r="DA20" s="186"/>
    </row>
    <row r="21" spans="1:105" ht="15.5" x14ac:dyDescent="0.35">
      <c r="A21" s="2" t="s">
        <v>2</v>
      </c>
      <c r="B21" s="46">
        <f>AVERAGE(0.18, 0.1, 0.23)</f>
        <v>0.17</v>
      </c>
      <c r="C21" s="47">
        <f>AVERAGE(0.13, 0.05, 0.2)</f>
        <v>0.12666666666666668</v>
      </c>
      <c r="D21" s="46">
        <f>AVERAGE(0.34, 0.05, 0.17)</f>
        <v>0.18666666666666668</v>
      </c>
      <c r="E21" s="47">
        <f>AVERAGE(0.26, 0.05, 0.17)</f>
        <v>0.16</v>
      </c>
      <c r="F21" s="78">
        <f>AVERAGE(0.16)</f>
        <v>0.16</v>
      </c>
      <c r="G21" s="78">
        <f>AVERAGE(0.16)</f>
        <v>0.16</v>
      </c>
      <c r="H21" s="46">
        <f>AVERAGE(0.26, 0.27, 0.18)</f>
        <v>0.23666666666666666</v>
      </c>
      <c r="I21" s="47">
        <f>AVERAGE(0.27, 0.24, 0.18)</f>
        <v>0.22999999999999998</v>
      </c>
      <c r="J21" s="11"/>
      <c r="K21" s="11" t="s">
        <v>2</v>
      </c>
      <c r="L21" s="12">
        <v>54</v>
      </c>
      <c r="M21" s="12">
        <v>35</v>
      </c>
      <c r="N21" s="12">
        <v>53</v>
      </c>
      <c r="O21" s="12">
        <v>36</v>
      </c>
      <c r="P21" s="4"/>
      <c r="Q21" s="4"/>
      <c r="R21" s="11" t="s">
        <v>18</v>
      </c>
      <c r="S21" s="12">
        <v>61</v>
      </c>
      <c r="T21" s="12">
        <v>30</v>
      </c>
      <c r="U21" s="12">
        <v>63</v>
      </c>
      <c r="V21" s="12">
        <v>28</v>
      </c>
      <c r="AB21" s="2" t="s">
        <v>2</v>
      </c>
      <c r="AC21" s="137">
        <f t="shared" si="15"/>
        <v>0.14833333333333334</v>
      </c>
      <c r="AD21" s="138"/>
      <c r="AE21" s="137">
        <f t="shared" si="16"/>
        <v>0.17333333333333334</v>
      </c>
      <c r="AF21" s="138"/>
      <c r="AG21" s="137">
        <f t="shared" si="17"/>
        <v>0.16</v>
      </c>
      <c r="AH21" s="138"/>
      <c r="AI21" s="137">
        <f t="shared" si="18"/>
        <v>0.23333333333333334</v>
      </c>
      <c r="AJ21" s="138"/>
      <c r="BB21" s="2" t="s">
        <v>2</v>
      </c>
      <c r="BC21" s="46">
        <f>AVERAGE(0.37, 0.25               )</f>
        <v>0.31</v>
      </c>
      <c r="BD21" s="78">
        <f>AVERAGE(0.27, 0.17              )</f>
        <v>0.22000000000000003</v>
      </c>
      <c r="BE21" s="46">
        <f>AVERAGE(0.56, 0.21        )</f>
        <v>0.38500000000000001</v>
      </c>
      <c r="BF21" s="47">
        <f>AVERAGE(0.47, 0.11         )</f>
        <v>0.28999999999999998</v>
      </c>
      <c r="BG21" s="78">
        <f>AVERAGE(0.54, 0.07        )</f>
        <v>0.30500000000000005</v>
      </c>
      <c r="BH21" s="47">
        <f>AVERAGE(0.4, 0.08           )</f>
        <v>0.24000000000000002</v>
      </c>
      <c r="BI21" s="46">
        <f>AVERAGE(0.18, 0.11         )</f>
        <v>0.14499999999999999</v>
      </c>
      <c r="BJ21" s="78">
        <f>AVERAGE(0.14, 0.17           )</f>
        <v>0.15500000000000003</v>
      </c>
      <c r="BK21" s="46">
        <f>AVERAGE(0.26, 0.32        )</f>
        <v>0.29000000000000004</v>
      </c>
      <c r="BL21" s="47">
        <f>AVERAGE(0.13, 0.23        )</f>
        <v>0.18</v>
      </c>
      <c r="BM21" s="78">
        <f>AVERAGE(0.26,0.16        )</f>
        <v>0.21000000000000002</v>
      </c>
      <c r="BN21" s="47">
        <f>AVERAGE(0.19, 0.17        )</f>
        <v>0.18</v>
      </c>
      <c r="BO21" s="46">
        <f>AVERAGE(0.27, 0.34        )</f>
        <v>0.30500000000000005</v>
      </c>
      <c r="BP21" s="78">
        <f>AVERAGE(0.23, 0.25        )</f>
        <v>0.24</v>
      </c>
      <c r="BQ21" s="46">
        <f>AVERAGE(0.25, 0.32        )</f>
        <v>0.28500000000000003</v>
      </c>
      <c r="BR21" s="47">
        <f>AVERAGE(0.15, 0.28        )</f>
        <v>0.21500000000000002</v>
      </c>
      <c r="BS21" s="78">
        <f>AVERAGE(0.27, 0.33        )</f>
        <v>0.30000000000000004</v>
      </c>
      <c r="BT21" s="47">
        <f>AVERAGE(0.17, 0.31        )</f>
        <v>0.24</v>
      </c>
      <c r="BU21" s="46">
        <f>AVERAGE(0.41, 0.25, 0.41        )</f>
        <v>0.35666666666666663</v>
      </c>
      <c r="BV21" s="47">
        <f>AVERAGE(0.38, 0.26, 0.37        )</f>
        <v>0.33666666666666667</v>
      </c>
      <c r="BW21" s="46">
        <f>AVERAGE(0.31     )</f>
        <v>0.31</v>
      </c>
      <c r="BX21" s="47">
        <f>AVERAGE(0.24        )</f>
        <v>0.24</v>
      </c>
      <c r="BY21" s="46">
        <f>AVERAGE(0.31, 0.33, 0.36        )</f>
        <v>0.33333333333333331</v>
      </c>
      <c r="BZ21" s="47">
        <f>AVERAGE(0.31, 0.33, 0.32        )</f>
        <v>0.32</v>
      </c>
      <c r="CC21" s="2" t="s">
        <v>2</v>
      </c>
      <c r="CD21" s="187">
        <f>AVERAGE(BC21:BD21)</f>
        <v>0.26500000000000001</v>
      </c>
      <c r="CE21" s="186"/>
      <c r="CF21" s="187">
        <f>AVERAGE(BE21:BF21)</f>
        <v>0.33750000000000002</v>
      </c>
      <c r="CG21" s="186"/>
      <c r="CH21" s="185">
        <f>AVERAGE(BG21:BH21)</f>
        <v>0.27250000000000002</v>
      </c>
      <c r="CI21" s="186"/>
      <c r="CJ21" s="187">
        <f>AVERAGE(BI21:BJ21)</f>
        <v>0.15000000000000002</v>
      </c>
      <c r="CK21" s="185"/>
      <c r="CL21" s="187">
        <f>AVERAGE(BK21:BL21)</f>
        <v>0.23500000000000001</v>
      </c>
      <c r="CM21" s="186"/>
      <c r="CN21" s="185">
        <f>AVERAGE(BM21:BN21)</f>
        <v>0.19500000000000001</v>
      </c>
      <c r="CO21" s="186"/>
      <c r="CP21" s="187">
        <f>AVERAGE(BO21:BP21)</f>
        <v>0.27250000000000002</v>
      </c>
      <c r="CQ21" s="185"/>
      <c r="CR21" s="187">
        <f>AVERAGE(BQ21:BR21)</f>
        <v>0.25</v>
      </c>
      <c r="CS21" s="186"/>
      <c r="CT21" s="185">
        <f>AVERAGE(BS21:BT21)</f>
        <v>0.27</v>
      </c>
      <c r="CU21" s="186"/>
      <c r="CV21" s="187">
        <f>AVERAGE(BU21:BV21)</f>
        <v>0.34666666666666668</v>
      </c>
      <c r="CW21" s="185"/>
      <c r="CX21" s="187">
        <f>AVERAGE(BW21:BX21)</f>
        <v>0.27500000000000002</v>
      </c>
      <c r="CY21" s="186"/>
      <c r="CZ21" s="185">
        <f>AVERAGE(BY21:BZ21)</f>
        <v>0.32666666666666666</v>
      </c>
      <c r="DA21" s="186"/>
    </row>
    <row r="22" spans="1:105" ht="15.5" x14ac:dyDescent="0.35">
      <c r="A22" s="2" t="s">
        <v>3</v>
      </c>
      <c r="B22" s="46">
        <f>AVERAGE(0.32, 0.42, 0.34)</f>
        <v>0.36000000000000004</v>
      </c>
      <c r="C22" s="47">
        <f>AVERAGE(0.28, 0.31, 0.27)</f>
        <v>0.28666666666666668</v>
      </c>
      <c r="D22" s="46">
        <f>AVERAGE(0.35, 0.39, 0.33)</f>
        <v>0.35666666666666669</v>
      </c>
      <c r="E22" s="47">
        <f>AVERAGE(0.27, 0.26, 0.19)</f>
        <v>0.24</v>
      </c>
      <c r="F22" s="78">
        <f>AVERAGE(0.32)</f>
        <v>0.32</v>
      </c>
      <c r="G22" s="78">
        <f>AVERAGE(0.13)</f>
        <v>0.13</v>
      </c>
      <c r="H22" s="46">
        <f>AVERAGE(0.24, 0.18, 0.34)</f>
        <v>0.25333333333333335</v>
      </c>
      <c r="I22" s="47">
        <f>AVERAGE(0.15, 0, 0.26)</f>
        <v>0.13666666666666669</v>
      </c>
      <c r="J22" s="11"/>
      <c r="K22" s="11" t="s">
        <v>3</v>
      </c>
      <c r="L22" s="12">
        <v>78</v>
      </c>
      <c r="M22" s="12">
        <v>20</v>
      </c>
      <c r="N22" s="12">
        <v>72</v>
      </c>
      <c r="O22" s="12">
        <v>14</v>
      </c>
      <c r="P22" s="4"/>
      <c r="Q22" s="4"/>
      <c r="R22" s="11" t="s">
        <v>19</v>
      </c>
      <c r="S22" s="12">
        <v>57</v>
      </c>
      <c r="T22" s="12">
        <v>36</v>
      </c>
      <c r="U22" s="12">
        <v>58</v>
      </c>
      <c r="V22" s="12">
        <v>37</v>
      </c>
      <c r="AB22" s="2" t="s">
        <v>3</v>
      </c>
      <c r="AC22" s="137">
        <f t="shared" si="15"/>
        <v>0.32333333333333336</v>
      </c>
      <c r="AD22" s="138"/>
      <c r="AE22" s="137">
        <f t="shared" si="16"/>
        <v>0.29833333333333334</v>
      </c>
      <c r="AF22" s="138"/>
      <c r="AG22" s="137">
        <f t="shared" si="17"/>
        <v>0.22500000000000001</v>
      </c>
      <c r="AH22" s="138"/>
      <c r="AI22" s="137">
        <f t="shared" si="18"/>
        <v>0.19500000000000001</v>
      </c>
      <c r="AJ22" s="138"/>
      <c r="BB22" s="2" t="s">
        <v>3</v>
      </c>
      <c r="BC22" s="46">
        <f>AVERAGE(0.06, 0.06                )</f>
        <v>0.06</v>
      </c>
      <c r="BD22" s="78">
        <f>AVERAGE(0.06, 0.07         )</f>
        <v>6.5000000000000002E-2</v>
      </c>
      <c r="BE22" s="46">
        <f>AVERAGE(0.08, 0.06         )</f>
        <v>7.0000000000000007E-2</v>
      </c>
      <c r="BF22" s="47">
        <f>AVERAGE(0.09, 0.07         )</f>
        <v>0.08</v>
      </c>
      <c r="BG22" s="78">
        <f>AVERAGE(0.11, 0.05         )</f>
        <v>0.08</v>
      </c>
      <c r="BH22" s="47">
        <f>AVERAGE(0.12,0.05         )</f>
        <v>8.4999999999999992E-2</v>
      </c>
      <c r="BI22" s="46">
        <f>AVERAGE(0.34, 0.36          )</f>
        <v>0.35</v>
      </c>
      <c r="BJ22" s="78">
        <f>AVERAGE(0.31, 0.3        )</f>
        <v>0.30499999999999999</v>
      </c>
      <c r="BK22" s="46">
        <f>AVERAGE(0.4, 0.3        )</f>
        <v>0.35</v>
      </c>
      <c r="BL22" s="47">
        <f>AVERAGE(0.35, 0.3        )</f>
        <v>0.32499999999999996</v>
      </c>
      <c r="BM22" s="78">
        <f>AVERAGE(0.4,0.36        )</f>
        <v>0.38</v>
      </c>
      <c r="BN22" s="47">
        <f>AVERAGE(0.37, 0.36        )</f>
        <v>0.36499999999999999</v>
      </c>
      <c r="BO22" s="46">
        <f>AVERAGE(0.6, 0.53        )</f>
        <v>0.56499999999999995</v>
      </c>
      <c r="BP22" s="78">
        <f>AVERAGE(0.55, 0.49        )</f>
        <v>0.52</v>
      </c>
      <c r="BQ22" s="46">
        <f>AVERAGE(0.5, 0.4        )</f>
        <v>0.45</v>
      </c>
      <c r="BR22" s="47">
        <f>AVERAGE(0.44, 0.4        )</f>
        <v>0.42000000000000004</v>
      </c>
      <c r="BS22" s="78">
        <f>AVERAGE(0.52, 0.43        )</f>
        <v>0.47499999999999998</v>
      </c>
      <c r="BT22" s="47">
        <f>AVERAGE(0.48, 0.42        )</f>
        <v>0.44999999999999996</v>
      </c>
      <c r="BU22" s="46">
        <f>AVERAGE(0.32, 0.34, 0.35        )</f>
        <v>0.33666666666666667</v>
      </c>
      <c r="BV22" s="47">
        <f>AVERAGE(0.24, 0.26, 0.21        )</f>
        <v>0.23666666666666666</v>
      </c>
      <c r="BW22" s="46">
        <f>AVERAGE(0.28        )</f>
        <v>0.28000000000000003</v>
      </c>
      <c r="BX22" s="47">
        <f>AVERAGE(0.23        )</f>
        <v>0.23</v>
      </c>
      <c r="BY22" s="46">
        <f>AVERAGE(0.33, 0.32, 0.41        )</f>
        <v>0.35333333333333333</v>
      </c>
      <c r="BZ22" s="47">
        <f>AVERAGE(0.25, 0.26, 0.27        )</f>
        <v>0.26</v>
      </c>
      <c r="CC22" s="2" t="s">
        <v>3</v>
      </c>
      <c r="CD22" s="187">
        <f>AVERAGE(BC22:BD22)</f>
        <v>6.25E-2</v>
      </c>
      <c r="CE22" s="186"/>
      <c r="CF22" s="187">
        <f>AVERAGE(BE22:BF22)</f>
        <v>7.5000000000000011E-2</v>
      </c>
      <c r="CG22" s="186"/>
      <c r="CH22" s="185">
        <f>AVERAGE(BG22:BH22)</f>
        <v>8.249999999999999E-2</v>
      </c>
      <c r="CI22" s="186"/>
      <c r="CJ22" s="187">
        <f>AVERAGE(BI22:BJ22)</f>
        <v>0.32750000000000001</v>
      </c>
      <c r="CK22" s="185"/>
      <c r="CL22" s="187">
        <f>AVERAGE(BK22:BL22)</f>
        <v>0.33749999999999997</v>
      </c>
      <c r="CM22" s="186"/>
      <c r="CN22" s="185">
        <f>AVERAGE(BM22:BN22)</f>
        <v>0.3725</v>
      </c>
      <c r="CO22" s="186"/>
      <c r="CP22" s="187">
        <f>AVERAGE(BO22:BP22)</f>
        <v>0.54249999999999998</v>
      </c>
      <c r="CQ22" s="185"/>
      <c r="CR22" s="187">
        <f>AVERAGE(BQ22:BR22)</f>
        <v>0.43500000000000005</v>
      </c>
      <c r="CS22" s="186"/>
      <c r="CT22" s="185">
        <f>AVERAGE(BS22:BT22)</f>
        <v>0.46249999999999997</v>
      </c>
      <c r="CU22" s="186"/>
      <c r="CV22" s="187">
        <f>AVERAGE(BU22:BV22)</f>
        <v>0.28666666666666668</v>
      </c>
      <c r="CW22" s="185"/>
      <c r="CX22" s="187">
        <f>AVERAGE(BW22:BX22)</f>
        <v>0.255</v>
      </c>
      <c r="CY22" s="186"/>
      <c r="CZ22" s="185">
        <f>AVERAGE(BY22:BZ22)</f>
        <v>0.30666666666666664</v>
      </c>
      <c r="DA22" s="186"/>
    </row>
    <row r="23" spans="1:105" ht="15.5" x14ac:dyDescent="0.35">
      <c r="A23" s="2" t="s">
        <v>4</v>
      </c>
      <c r="B23" s="46">
        <f>AVERAGE(0.22, 0.29, 0)</f>
        <v>0.17</v>
      </c>
      <c r="C23" s="47">
        <f>AVERAGE(0.25, 0, 0)</f>
        <v>8.3333333333333329E-2</v>
      </c>
      <c r="D23" s="46">
        <f>AVERAGE(0.25, 0.22, 0)</f>
        <v>0.15666666666666665</v>
      </c>
      <c r="E23" s="47">
        <f>AVERAGE(0, 0.22, 0)</f>
        <v>7.3333333333333334E-2</v>
      </c>
      <c r="F23" s="78">
        <f>AVERAGE(0)</f>
        <v>0</v>
      </c>
      <c r="G23" s="78">
        <f>AVERAGE(0)</f>
        <v>0</v>
      </c>
      <c r="H23" s="46">
        <f>AVERAGE(0.33, 0, 0.22)</f>
        <v>0.18333333333333335</v>
      </c>
      <c r="I23" s="47">
        <f>AVERAGE(0, 0, 0)</f>
        <v>0</v>
      </c>
      <c r="J23" s="11"/>
      <c r="K23" s="11" t="s">
        <v>4</v>
      </c>
      <c r="L23" s="12">
        <v>38</v>
      </c>
      <c r="M23" s="12">
        <v>4</v>
      </c>
      <c r="N23" s="12">
        <v>43</v>
      </c>
      <c r="O23" s="12">
        <v>4</v>
      </c>
      <c r="P23" s="4"/>
      <c r="Q23" s="4"/>
      <c r="R23" s="11">
        <v>0</v>
      </c>
      <c r="S23" s="12">
        <v>81</v>
      </c>
      <c r="T23" s="12">
        <v>14</v>
      </c>
      <c r="U23" s="12">
        <v>80</v>
      </c>
      <c r="V23" s="12">
        <v>15</v>
      </c>
      <c r="AB23" s="2" t="s">
        <v>4</v>
      </c>
      <c r="AC23" s="137">
        <f t="shared" si="15"/>
        <v>0.12666666666666668</v>
      </c>
      <c r="AD23" s="138"/>
      <c r="AE23" s="137">
        <f t="shared" si="16"/>
        <v>0.11499999999999999</v>
      </c>
      <c r="AF23" s="138"/>
      <c r="AG23" s="137">
        <f t="shared" si="17"/>
        <v>0</v>
      </c>
      <c r="AH23" s="138"/>
      <c r="AI23" s="137">
        <f t="shared" si="18"/>
        <v>9.1666666666666674E-2</v>
      </c>
      <c r="AJ23" s="138"/>
      <c r="BB23" s="2" t="s">
        <v>4</v>
      </c>
      <c r="BC23" s="46">
        <f>AVERAGE(0, 0               )</f>
        <v>0</v>
      </c>
      <c r="BD23" s="78">
        <f>AVERAGE(0, 0.57         )</f>
        <v>0.28499999999999998</v>
      </c>
      <c r="BE23" s="46">
        <f>AVERAGE(0.25, 0         )</f>
        <v>0.125</v>
      </c>
      <c r="BF23" s="47">
        <f>AVERAGE(0.22, 0         )</f>
        <v>0.11</v>
      </c>
      <c r="BG23" s="78">
        <f>AVERAGE(0, 0             )</f>
        <v>0</v>
      </c>
      <c r="BH23" s="47">
        <f>AVERAGE(0.25, 0.5          )</f>
        <v>0.375</v>
      </c>
      <c r="BI23" s="46">
        <f>AVERAGE(0.14, 0.05        )</f>
        <v>9.5000000000000001E-2</v>
      </c>
      <c r="BJ23" s="78">
        <f>AVERAGE(0.14,0.1         )</f>
        <v>0.12000000000000001</v>
      </c>
      <c r="BK23" s="46">
        <f>AVERAGE(0.06, 0.19        )</f>
        <v>0.125</v>
      </c>
      <c r="BL23" s="47">
        <f>AVERAGE(0, 0.19        )</f>
        <v>9.5000000000000001E-2</v>
      </c>
      <c r="BM23" s="78">
        <f>AVERAGE(0.11, 0.11        )</f>
        <v>0.11</v>
      </c>
      <c r="BN23" s="47">
        <f>AVERAGE(0.05, 0        )</f>
        <v>2.5000000000000001E-2</v>
      </c>
      <c r="BO23" s="46">
        <f>AVERAGE(0.22, 0.26         )</f>
        <v>0.24</v>
      </c>
      <c r="BP23" s="78">
        <f>AVERAGE(0.29, 0.15         )</f>
        <v>0.21999999999999997</v>
      </c>
      <c r="BQ23" s="46">
        <f>AVERAGE(0.32, 0.17         )</f>
        <v>0.245</v>
      </c>
      <c r="BR23" s="47">
        <f>AVERAGE(0.18, 0.15         )</f>
        <v>0.16499999999999998</v>
      </c>
      <c r="BS23" s="78">
        <f>AVERAGE(0.2, 0.33         )</f>
        <v>0.26500000000000001</v>
      </c>
      <c r="BT23" s="47">
        <f>AVERAGE(0.24, 0.38         )</f>
        <v>0.31</v>
      </c>
      <c r="BU23" s="46">
        <f>AVERAGE(0.33, 0.29, 0.29         )</f>
        <v>0.30333333333333329</v>
      </c>
      <c r="BV23" s="47">
        <f>AVERAGE(0, 0.14, 0         )</f>
        <v>4.6666666666666669E-2</v>
      </c>
      <c r="BW23" s="46">
        <f>AVERAGE(0.22)</f>
        <v>0.22</v>
      </c>
      <c r="BX23" s="47">
        <f>AVERAGE(0         )</f>
        <v>0</v>
      </c>
      <c r="BY23" s="46">
        <f>AVERAGE(0.67, 0.2, 0.2         )</f>
        <v>0.35666666666666669</v>
      </c>
      <c r="BZ23" s="47">
        <f>AVERAGE(0, 0, 0         )</f>
        <v>0</v>
      </c>
      <c r="CC23" s="2" t="s">
        <v>4</v>
      </c>
      <c r="CD23" s="204">
        <f>AVERAGE(BC23:BD23)</f>
        <v>0.14249999999999999</v>
      </c>
      <c r="CE23" s="181"/>
      <c r="CF23" s="204">
        <f>AVERAGE(BE23:BF23)</f>
        <v>0.11749999999999999</v>
      </c>
      <c r="CG23" s="181"/>
      <c r="CH23" s="180">
        <f>AVERAGE(BG23:BH23)</f>
        <v>0.1875</v>
      </c>
      <c r="CI23" s="181"/>
      <c r="CJ23" s="204">
        <f>AVERAGE(BI23:BJ23)</f>
        <v>0.10750000000000001</v>
      </c>
      <c r="CK23" s="180"/>
      <c r="CL23" s="204">
        <f>AVERAGE(BK23:BL23)</f>
        <v>0.11</v>
      </c>
      <c r="CM23" s="181"/>
      <c r="CN23" s="180">
        <f>AVERAGE(BM23:BN23)</f>
        <v>6.7500000000000004E-2</v>
      </c>
      <c r="CO23" s="181"/>
      <c r="CP23" s="204">
        <f>AVERAGE(BO23:BP23)</f>
        <v>0.22999999999999998</v>
      </c>
      <c r="CQ23" s="180"/>
      <c r="CR23" s="204">
        <f>AVERAGE(BQ23:BR23)</f>
        <v>0.20499999999999999</v>
      </c>
      <c r="CS23" s="181"/>
      <c r="CT23" s="180">
        <f>AVERAGE(BS23:BT23)</f>
        <v>0.28749999999999998</v>
      </c>
      <c r="CU23" s="181"/>
      <c r="CV23" s="204">
        <f>AVERAGE(BU23:BV23)</f>
        <v>0.17499999999999999</v>
      </c>
      <c r="CW23" s="180"/>
      <c r="CX23" s="204">
        <f>AVERAGE(BW23:BX23)</f>
        <v>0.11</v>
      </c>
      <c r="CY23" s="181"/>
      <c r="CZ23" s="180">
        <f>AVERAGE(BY23:BZ23)</f>
        <v>0.17833333333333334</v>
      </c>
      <c r="DA23" s="181"/>
    </row>
    <row r="24" spans="1:105" ht="15.5" x14ac:dyDescent="0.35">
      <c r="A24" s="2" t="s">
        <v>5</v>
      </c>
      <c r="B24" s="50">
        <f>AVERAGE(0.79, 0.83, 0.77)</f>
        <v>0.79666666666666675</v>
      </c>
      <c r="C24" s="51">
        <f>AVERAGE(0.79, 0.81, 0.76)</f>
        <v>0.78666666666666674</v>
      </c>
      <c r="D24" s="50">
        <f>AVERAGE(0.81, 0.8, 0.8)</f>
        <v>0.80333333333333334</v>
      </c>
      <c r="E24" s="51">
        <f>AVERAGE(0.79, 0.79, 0.78)</f>
        <v>0.78666666666666674</v>
      </c>
      <c r="F24" s="79">
        <f>AVERAGE(0.8)</f>
        <v>0.8</v>
      </c>
      <c r="G24" s="79">
        <f>AVERAGE(0.78)</f>
        <v>0.78</v>
      </c>
      <c r="H24" s="50">
        <f>AVERAGE(0.81, 0.82, 0.83)</f>
        <v>0.82</v>
      </c>
      <c r="I24" s="51">
        <f>AVERAGE(0.81, 0.81, 0.83)</f>
        <v>0.81666666666666676</v>
      </c>
      <c r="J24" s="11"/>
      <c r="K24" s="11">
        <v>0</v>
      </c>
      <c r="L24" s="12">
        <v>16</v>
      </c>
      <c r="M24" s="12">
        <v>5</v>
      </c>
      <c r="N24" s="12">
        <v>10</v>
      </c>
      <c r="O24" s="12">
        <v>9</v>
      </c>
      <c r="P24" s="4"/>
      <c r="Q24" s="4"/>
      <c r="R24" s="11" t="s">
        <v>12</v>
      </c>
      <c r="S24" s="12">
        <f>SUM(S20:S23)</f>
        <v>970</v>
      </c>
      <c r="T24" s="14">
        <f>SUM(T20:T23)</f>
        <v>325</v>
      </c>
      <c r="U24" s="13">
        <f>SUM(U20:U23)</f>
        <v>970</v>
      </c>
      <c r="V24" s="13">
        <f>SUM(V20:V23)</f>
        <v>325</v>
      </c>
      <c r="AB24" s="2" t="s">
        <v>5</v>
      </c>
      <c r="AC24" s="144">
        <f t="shared" si="15"/>
        <v>0.79166666666666674</v>
      </c>
      <c r="AD24" s="145"/>
      <c r="AE24" s="144">
        <f t="shared" si="16"/>
        <v>0.79500000000000004</v>
      </c>
      <c r="AF24" s="145"/>
      <c r="AG24" s="144">
        <f t="shared" si="17"/>
        <v>0.79</v>
      </c>
      <c r="AH24" s="145"/>
      <c r="AI24" s="144">
        <f t="shared" si="18"/>
        <v>0.81833333333333336</v>
      </c>
      <c r="AJ24" s="145"/>
      <c r="BB24" s="2" t="s">
        <v>5</v>
      </c>
      <c r="BC24" s="50">
        <f>AVERAGE(0.83, 0.8             )</f>
        <v>0.81499999999999995</v>
      </c>
      <c r="BD24" s="79">
        <f>AVERAGE(0.84, 0.81          )</f>
        <v>0.82499999999999996</v>
      </c>
      <c r="BE24" s="50">
        <f>AVERAGE(0.86, 0.82       )</f>
        <v>0.84</v>
      </c>
      <c r="BF24" s="51">
        <f>AVERAGE(0.86, 0.82       )</f>
        <v>0.84</v>
      </c>
      <c r="BG24" s="79">
        <f>AVERAGE(0.86, 0.74         )</f>
        <v>0.8</v>
      </c>
      <c r="BH24" s="51">
        <f>AVERAGE(0.87, 0.75       )</f>
        <v>0.81</v>
      </c>
      <c r="BI24" s="50">
        <f>AVERAGE(0.74, 0.73         )</f>
        <v>0.73499999999999999</v>
      </c>
      <c r="BJ24" s="79">
        <f>AVERAGE(0.73, 0.72         )</f>
        <v>0.72499999999999998</v>
      </c>
      <c r="BK24" s="50">
        <f>AVERAGE(0.75, 0.73       )</f>
        <v>0.74</v>
      </c>
      <c r="BL24" s="51">
        <f>AVERAGE(0.73, 0.71       )</f>
        <v>0.72</v>
      </c>
      <c r="BM24" s="79">
        <f>AVERAGE(0.76, 0.73       )</f>
        <v>0.745</v>
      </c>
      <c r="BN24" s="51">
        <f>AVERAGE(0.74, 0.72       )</f>
        <v>0.73</v>
      </c>
      <c r="BO24" s="50">
        <f>AVERAGE(0.83, 0.81       )</f>
        <v>0.82000000000000006</v>
      </c>
      <c r="BP24" s="79">
        <f>AVERAGE(0.82, 0.8       )</f>
        <v>0.81</v>
      </c>
      <c r="BQ24" s="50">
        <f>AVERAGE(0.81, 0.8       )</f>
        <v>0.80500000000000005</v>
      </c>
      <c r="BR24" s="51">
        <f>AVERAGE(0.79, 0.8       )</f>
        <v>0.79500000000000004</v>
      </c>
      <c r="BS24" s="79">
        <f>AVERAGE(0.82, 0.81       )</f>
        <v>0.81499999999999995</v>
      </c>
      <c r="BT24" s="51">
        <f>AVERAGE(0.81, 0.81       )</f>
        <v>0.81</v>
      </c>
      <c r="BU24" s="50">
        <f>AVERAGE(0.77, 0.74, 0.75       )</f>
        <v>0.7533333333333333</v>
      </c>
      <c r="BV24" s="51">
        <f>AVERAGE(0.76, 0.73, 0.73       )</f>
        <v>0.73999999999999988</v>
      </c>
      <c r="BW24" s="50">
        <f>AVERAGE(0.75)</f>
        <v>0.75</v>
      </c>
      <c r="BX24" s="51">
        <f>AVERAGE(0.73       )</f>
        <v>0.73</v>
      </c>
      <c r="BY24" s="50">
        <f>AVERAGE(0.77, 0.77, 0.77       )</f>
        <v>0.77</v>
      </c>
      <c r="BZ24" s="51">
        <f>AVERAGE(0.75, 0.77, 0.75      )</f>
        <v>0.75666666666666671</v>
      </c>
      <c r="CC24" s="2" t="s">
        <v>5</v>
      </c>
      <c r="CD24" s="188">
        <f>AVERAGE(BC24:BD24)</f>
        <v>0.82</v>
      </c>
      <c r="CE24" s="190"/>
      <c r="CF24" s="188">
        <f>AVERAGE(BE24:BF24)</f>
        <v>0.84</v>
      </c>
      <c r="CG24" s="190"/>
      <c r="CH24" s="189">
        <f>AVERAGE(BG24:BH24)</f>
        <v>0.80500000000000005</v>
      </c>
      <c r="CI24" s="190"/>
      <c r="CJ24" s="188">
        <f>AVERAGE(BI24:BJ24)</f>
        <v>0.73</v>
      </c>
      <c r="CK24" s="189"/>
      <c r="CL24" s="188">
        <f>AVERAGE(BK24:BL24)</f>
        <v>0.73</v>
      </c>
      <c r="CM24" s="190"/>
      <c r="CN24" s="189">
        <f>AVERAGE(BM24:BN24)</f>
        <v>0.73750000000000004</v>
      </c>
      <c r="CO24" s="190"/>
      <c r="CP24" s="188">
        <f>AVERAGE(BO24:BP24)</f>
        <v>0.81500000000000006</v>
      </c>
      <c r="CQ24" s="189"/>
      <c r="CR24" s="188">
        <f>AVERAGE(BQ24:BR24)</f>
        <v>0.8</v>
      </c>
      <c r="CS24" s="190"/>
      <c r="CT24" s="189">
        <f>AVERAGE(BS24:BT24)</f>
        <v>0.8125</v>
      </c>
      <c r="CU24" s="190"/>
      <c r="CV24" s="188">
        <f>AVERAGE(BU24:BV24)</f>
        <v>0.74666666666666659</v>
      </c>
      <c r="CW24" s="189"/>
      <c r="CX24" s="188">
        <f>AVERAGE(BW24:BX24)</f>
        <v>0.74</v>
      </c>
      <c r="CY24" s="190"/>
      <c r="CZ24" s="189">
        <f>AVERAGE(BY24:BZ24)</f>
        <v>0.76333333333333342</v>
      </c>
      <c r="DA24" s="190"/>
    </row>
    <row r="25" spans="1:105" ht="15.5" x14ac:dyDescent="0.35">
      <c r="A25" s="2" t="s">
        <v>43</v>
      </c>
      <c r="B25" s="54">
        <f t="shared" ref="B25:I25" si="19">AVERAGE(B20:B23)</f>
        <v>0.4</v>
      </c>
      <c r="C25" s="55">
        <f t="shared" si="19"/>
        <v>0.34749999999999998</v>
      </c>
      <c r="D25" s="54">
        <f t="shared" si="19"/>
        <v>0.40083333333333337</v>
      </c>
      <c r="E25" s="55">
        <f t="shared" si="19"/>
        <v>0.34249999999999997</v>
      </c>
      <c r="F25" s="77">
        <f t="shared" si="19"/>
        <v>0.34500000000000003</v>
      </c>
      <c r="G25" s="77">
        <f t="shared" si="19"/>
        <v>0.29500000000000004</v>
      </c>
      <c r="H25" s="54">
        <f t="shared" si="19"/>
        <v>0.39750000000000002</v>
      </c>
      <c r="I25" s="55">
        <f t="shared" si="19"/>
        <v>0.32000000000000006</v>
      </c>
      <c r="J25" s="11"/>
      <c r="K25" s="11" t="s">
        <v>12</v>
      </c>
      <c r="L25" s="12">
        <f>SUM(L20:L24)</f>
        <v>970</v>
      </c>
      <c r="M25" s="14">
        <f>SUM(M20:M24)</f>
        <v>325</v>
      </c>
      <c r="N25" s="13">
        <f>SUM(N20:N24)</f>
        <v>970</v>
      </c>
      <c r="O25" s="13">
        <f>SUM(O20:O24)</f>
        <v>325</v>
      </c>
      <c r="R25" s="9"/>
      <c r="S25" s="169">
        <f>SUM(S24:T24)</f>
        <v>1295</v>
      </c>
      <c r="T25" s="169"/>
      <c r="U25" s="172">
        <f>SUM(U24:V24)</f>
        <v>1295</v>
      </c>
      <c r="V25" s="172"/>
      <c r="AB25" s="2" t="s">
        <v>43</v>
      </c>
      <c r="AC25" s="148">
        <f>AVERAGE(AC20:AD23)</f>
        <v>0.37375000000000008</v>
      </c>
      <c r="AD25" s="149"/>
      <c r="AE25" s="148">
        <f>AVERAGE(AE20:AF23)</f>
        <v>0.37166666666666665</v>
      </c>
      <c r="AF25" s="149"/>
      <c r="AG25" s="148">
        <f>AVERAGE(AG20:AH23)</f>
        <v>0.32</v>
      </c>
      <c r="AH25" s="149"/>
      <c r="AI25" s="148">
        <f>AVERAGE(AI20:AJ23)</f>
        <v>0.35875000000000001</v>
      </c>
      <c r="AJ25" s="149"/>
      <c r="BB25" s="2" t="s">
        <v>43</v>
      </c>
      <c r="BC25" s="54">
        <f t="shared" ref="BC25:BZ25" si="20">AVERAGE(BC20:BC23)</f>
        <v>0.32250000000000001</v>
      </c>
      <c r="BD25" s="77">
        <f t="shared" si="20"/>
        <v>0.3725</v>
      </c>
      <c r="BE25" s="54">
        <f t="shared" si="20"/>
        <v>0.37625000000000003</v>
      </c>
      <c r="BF25" s="55">
        <f t="shared" si="20"/>
        <v>0.35375000000000006</v>
      </c>
      <c r="BG25" s="77">
        <f t="shared" si="20"/>
        <v>0.32125000000000004</v>
      </c>
      <c r="BH25" s="55">
        <f t="shared" si="20"/>
        <v>0.40249999999999997</v>
      </c>
      <c r="BI25" s="54">
        <f t="shared" si="20"/>
        <v>0.36625000000000002</v>
      </c>
      <c r="BJ25" s="77">
        <f t="shared" si="20"/>
        <v>0.36125000000000002</v>
      </c>
      <c r="BK25" s="54">
        <f t="shared" si="20"/>
        <v>0.41000000000000003</v>
      </c>
      <c r="BL25" s="55">
        <f t="shared" si="20"/>
        <v>0.36499999999999999</v>
      </c>
      <c r="BM25" s="77">
        <f t="shared" si="20"/>
        <v>0.39625000000000005</v>
      </c>
      <c r="BN25" s="55">
        <f t="shared" si="20"/>
        <v>0.36</v>
      </c>
      <c r="BO25" s="54">
        <f t="shared" si="20"/>
        <v>0.505</v>
      </c>
      <c r="BP25" s="77">
        <f t="shared" si="20"/>
        <v>0.47249999999999998</v>
      </c>
      <c r="BQ25" s="54">
        <f t="shared" si="20"/>
        <v>0.47250000000000003</v>
      </c>
      <c r="BR25" s="55">
        <f t="shared" si="20"/>
        <v>0.42749999999999999</v>
      </c>
      <c r="BS25" s="77">
        <f t="shared" si="20"/>
        <v>0.48875000000000002</v>
      </c>
      <c r="BT25" s="55">
        <f t="shared" si="20"/>
        <v>0.47875000000000001</v>
      </c>
      <c r="BU25" s="54">
        <f t="shared" si="20"/>
        <v>0.46666666666666662</v>
      </c>
      <c r="BV25" s="55">
        <f t="shared" si="20"/>
        <v>0.37166666666666665</v>
      </c>
      <c r="BW25" s="54">
        <f t="shared" si="20"/>
        <v>0.42249999999999999</v>
      </c>
      <c r="BX25" s="55">
        <f t="shared" si="20"/>
        <v>0.33499999999999996</v>
      </c>
      <c r="BY25" s="54">
        <f t="shared" si="20"/>
        <v>0.48083333333333333</v>
      </c>
      <c r="BZ25" s="55">
        <f t="shared" si="20"/>
        <v>0.36333333333333334</v>
      </c>
      <c r="CC25" s="2" t="s">
        <v>43</v>
      </c>
      <c r="CD25" s="148">
        <f>AVERAGE(CD20:CE23)</f>
        <v>0.34750000000000003</v>
      </c>
      <c r="CE25" s="149"/>
      <c r="CF25" s="182">
        <f>AVERAGE(CF20:CG23)</f>
        <v>0.36499999999999999</v>
      </c>
      <c r="CG25" s="149"/>
      <c r="CH25" s="182">
        <f>AVERAGE(CH20:CI23)</f>
        <v>0.361875</v>
      </c>
      <c r="CI25" s="149"/>
      <c r="CJ25" s="182">
        <f>AVERAGE(CJ20:CK23)</f>
        <v>0.36375000000000002</v>
      </c>
      <c r="CK25" s="149"/>
      <c r="CL25" s="182">
        <f>AVERAGE(CL20:CM23)</f>
        <v>0.38750000000000001</v>
      </c>
      <c r="CM25" s="149"/>
      <c r="CN25" s="182">
        <f>AVERAGE(CN20:CO23)</f>
        <v>0.37812500000000004</v>
      </c>
      <c r="CO25" s="149"/>
      <c r="CP25" s="182">
        <f>AVERAGE(CP20:CQ23)</f>
        <v>0.48875000000000002</v>
      </c>
      <c r="CQ25" s="149"/>
      <c r="CR25" s="182">
        <f>AVERAGE(CR20:CS23)</f>
        <v>0.45000000000000007</v>
      </c>
      <c r="CS25" s="149"/>
      <c r="CT25" s="182">
        <f>AVERAGE(CT20:CU23)</f>
        <v>0.48375000000000001</v>
      </c>
      <c r="CU25" s="149"/>
      <c r="CV25" s="182">
        <f>AVERAGE(CV20:CW23)</f>
        <v>0.41916666666666669</v>
      </c>
      <c r="CW25" s="149"/>
      <c r="CX25" s="182">
        <f>AVERAGE(CX20:CY23)</f>
        <v>0.37874999999999998</v>
      </c>
      <c r="CY25" s="149"/>
      <c r="CZ25" s="182">
        <f>AVERAGE(CZ20:DA23)</f>
        <v>0.42208333333333337</v>
      </c>
      <c r="DA25" s="149"/>
    </row>
    <row r="26" spans="1:105" ht="15.5" x14ac:dyDescent="0.35">
      <c r="A26" s="2" t="s">
        <v>44</v>
      </c>
      <c r="B26" s="58">
        <f>AVERAGE(0.78, 0.79, 0.77)</f>
        <v>0.77999999999999992</v>
      </c>
      <c r="C26" s="59">
        <f>AVERAGE(0.77, 0.77, 0.77)</f>
        <v>0.77</v>
      </c>
      <c r="D26" s="58">
        <f>AVERAGE(0.8, 0.77, 0.77)</f>
        <v>0.77999999999999992</v>
      </c>
      <c r="E26" s="59">
        <f>AVERAGE(0.79, 0.76, 0.77)</f>
        <v>0.77333333333333343</v>
      </c>
      <c r="F26" s="80">
        <f>AVERAGE(0.77)</f>
        <v>0.77</v>
      </c>
      <c r="G26" s="80">
        <f>AVERAGE(0.76)</f>
        <v>0.76</v>
      </c>
      <c r="H26" s="58">
        <f>AVERAGE(0.79, 0.79, 0.79)</f>
        <v>0.79</v>
      </c>
      <c r="I26" s="59">
        <f>AVERAGE(0.79, 0.78, 0.79)</f>
        <v>0.78666666666666674</v>
      </c>
      <c r="K26" s="9"/>
      <c r="L26" s="169">
        <f>SUM(L25:M25)</f>
        <v>1295</v>
      </c>
      <c r="M26" s="169"/>
      <c r="N26" s="172">
        <f>SUM(N25:O25)</f>
        <v>1295</v>
      </c>
      <c r="O26" s="172"/>
      <c r="AB26" s="2" t="s">
        <v>44</v>
      </c>
      <c r="AC26" s="134">
        <f t="shared" si="15"/>
        <v>0.77499999999999991</v>
      </c>
      <c r="AD26" s="135"/>
      <c r="AE26" s="134">
        <f t="shared" si="16"/>
        <v>0.77666666666666662</v>
      </c>
      <c r="AF26" s="135"/>
      <c r="AG26" s="134">
        <f t="shared" si="17"/>
        <v>0.76500000000000001</v>
      </c>
      <c r="AH26" s="135"/>
      <c r="AI26" s="134">
        <f t="shared" si="18"/>
        <v>0.78833333333333333</v>
      </c>
      <c r="AJ26" s="135"/>
      <c r="BB26" s="2" t="s">
        <v>44</v>
      </c>
      <c r="BC26" s="58">
        <f>AVERAGE(0.89, 0.86              )</f>
        <v>0.875</v>
      </c>
      <c r="BD26" s="80">
        <f>AVERAGE(0.89, 0.87       )</f>
        <v>0.88</v>
      </c>
      <c r="BE26" s="58">
        <f>AVERAGE(0.9, 0.87       )</f>
        <v>0.88500000000000001</v>
      </c>
      <c r="BF26" s="59">
        <f>AVERAGE(0.9, 0.88       )</f>
        <v>0.89</v>
      </c>
      <c r="BG26" s="80">
        <f>AVERAGE(0.9, 0.82       )</f>
        <v>0.86</v>
      </c>
      <c r="BH26" s="59">
        <f>AVERAGE(0.91, 0.83       )</f>
        <v>0.87</v>
      </c>
      <c r="BI26" s="58">
        <f>AVERAGE(0.72, 0.69        )</f>
        <v>0.70499999999999996</v>
      </c>
      <c r="BJ26" s="80">
        <f>AVERAGE(0.71, 0.68              )</f>
        <v>0.69500000000000006</v>
      </c>
      <c r="BK26" s="58">
        <f>AVERAGE(0.71, 0.72       )</f>
        <v>0.71499999999999997</v>
      </c>
      <c r="BL26" s="59">
        <f>AVERAGE(0.68, 0.7       )</f>
        <v>0.69</v>
      </c>
      <c r="BM26" s="80">
        <f>AVERAGE(0.73, 0.71       )</f>
        <v>0.72</v>
      </c>
      <c r="BN26" s="59">
        <f>AVERAGE(0.71, 0.69       )</f>
        <v>0.7</v>
      </c>
      <c r="BO26" s="58">
        <f>AVERAGE(0.84, 0.82       )</f>
        <v>0.83</v>
      </c>
      <c r="BP26" s="80">
        <f>AVERAGE(0.84, 0.81       )</f>
        <v>0.82499999999999996</v>
      </c>
      <c r="BQ26" s="58">
        <f>AVERAGE(0.82, 0.81       )</f>
        <v>0.81499999999999995</v>
      </c>
      <c r="BR26" s="59">
        <f>AVERAGE(0.81, 0.81       )</f>
        <v>0.81</v>
      </c>
      <c r="BS26" s="80">
        <f>AVERAGE(0.83, 0.82       )</f>
        <v>0.82499999999999996</v>
      </c>
      <c r="BT26" s="59">
        <f>AVERAGE(0.83, 0.82       )</f>
        <v>0.82499999999999996</v>
      </c>
      <c r="BU26" s="58">
        <f>AVERAGE(0.79, 0.76, 0.78       )</f>
        <v>0.77666666666666673</v>
      </c>
      <c r="BV26" s="59">
        <f>AVERAGE(0.78, 0.76, 0.77       )</f>
        <v>0.77</v>
      </c>
      <c r="BW26" s="58">
        <f>AVERAGE(0.77       )</f>
        <v>0.77</v>
      </c>
      <c r="BX26" s="59">
        <f>AVERAGE(0.76       )</f>
        <v>0.76</v>
      </c>
      <c r="BY26" s="58">
        <f>AVERAGE(0.78, 0.78, 0.78       )</f>
        <v>0.77999999999999992</v>
      </c>
      <c r="BZ26" s="59">
        <f>AVERAGE(0.77, 0.78, 0.77       )</f>
        <v>0.77333333333333343</v>
      </c>
      <c r="CC26" s="2" t="s">
        <v>44</v>
      </c>
      <c r="CD26" s="134">
        <f>AVERAGE(BC26:BD26)</f>
        <v>0.87749999999999995</v>
      </c>
      <c r="CE26" s="135"/>
      <c r="CF26" s="134">
        <f>AVERAGE(BE26:BF26)</f>
        <v>0.88749999999999996</v>
      </c>
      <c r="CG26" s="135"/>
      <c r="CH26" s="205">
        <f>AVERAGE(BG26:BH26)</f>
        <v>0.86499999999999999</v>
      </c>
      <c r="CI26" s="135"/>
      <c r="CJ26" s="134">
        <f>AVERAGE(BI26:BJ26)</f>
        <v>0.7</v>
      </c>
      <c r="CK26" s="205"/>
      <c r="CL26" s="134">
        <f>AVERAGE(BK26:BL26)</f>
        <v>0.7024999999999999</v>
      </c>
      <c r="CM26" s="135"/>
      <c r="CN26" s="205">
        <f>AVERAGE(BM26:BN26)</f>
        <v>0.71</v>
      </c>
      <c r="CO26" s="135"/>
      <c r="CP26" s="134">
        <f>AVERAGE(BO26:BP26)</f>
        <v>0.8274999999999999</v>
      </c>
      <c r="CQ26" s="205"/>
      <c r="CR26" s="134">
        <f>AVERAGE(BQ26:BR26)</f>
        <v>0.8125</v>
      </c>
      <c r="CS26" s="135"/>
      <c r="CT26" s="205">
        <f>AVERAGE(BS26:BT26)</f>
        <v>0.82499999999999996</v>
      </c>
      <c r="CU26" s="135"/>
      <c r="CV26" s="134">
        <f>AVERAGE(BU26:BV26)</f>
        <v>0.77333333333333343</v>
      </c>
      <c r="CW26" s="205"/>
      <c r="CX26" s="134">
        <f>AVERAGE(BW26:BX26)</f>
        <v>0.76500000000000001</v>
      </c>
      <c r="CY26" s="135"/>
      <c r="CZ26" s="205">
        <f>AVERAGE(BY26:BZ26)</f>
        <v>0.77666666666666662</v>
      </c>
      <c r="DA26" s="135"/>
    </row>
    <row r="27" spans="1:105" ht="15.5" x14ac:dyDescent="0.35">
      <c r="A27" s="2"/>
      <c r="B27" s="1"/>
      <c r="C27" s="1"/>
      <c r="D27" s="1"/>
      <c r="E27" s="1"/>
    </row>
    <row r="28" spans="1:105" ht="15.5" x14ac:dyDescent="0.35">
      <c r="E28" s="1"/>
      <c r="CG28" s="41"/>
    </row>
    <row r="29" spans="1:105" ht="15.5" x14ac:dyDescent="0.35">
      <c r="E29" s="1"/>
    </row>
    <row r="31" spans="1:105" ht="26" x14ac:dyDescent="0.6">
      <c r="A31" s="164" t="s">
        <v>24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BB31" s="113"/>
      <c r="BC31" s="136" t="s">
        <v>10</v>
      </c>
      <c r="BD31" s="123"/>
      <c r="BE31" s="123" t="s">
        <v>11</v>
      </c>
      <c r="BF31" s="124"/>
      <c r="BI31" s="136" t="s">
        <v>10</v>
      </c>
      <c r="BJ31" s="123"/>
      <c r="BK31" s="123" t="s">
        <v>11</v>
      </c>
      <c r="BL31" s="124"/>
      <c r="BO31" s="136" t="s">
        <v>10</v>
      </c>
      <c r="BP31" s="123"/>
      <c r="BQ31" s="123" t="s">
        <v>11</v>
      </c>
      <c r="BR31" s="124"/>
      <c r="BU31" s="136" t="s">
        <v>10</v>
      </c>
      <c r="BV31" s="123"/>
      <c r="BW31" s="123" t="s">
        <v>11</v>
      </c>
      <c r="BX31" s="124"/>
    </row>
    <row r="32" spans="1:105" ht="15.5" customHeight="1" x14ac:dyDescent="0.35">
      <c r="BB32" s="114"/>
      <c r="BC32" s="97" t="s">
        <v>13</v>
      </c>
      <c r="BD32" s="98" t="s">
        <v>14</v>
      </c>
      <c r="BE32" s="98" t="s">
        <v>13</v>
      </c>
      <c r="BF32" s="99" t="s">
        <v>14</v>
      </c>
      <c r="BI32" s="97" t="s">
        <v>13</v>
      </c>
      <c r="BJ32" s="98" t="s">
        <v>14</v>
      </c>
      <c r="BK32" s="98" t="s">
        <v>13</v>
      </c>
      <c r="BL32" s="99" t="s">
        <v>14</v>
      </c>
      <c r="BO32" s="97" t="s">
        <v>13</v>
      </c>
      <c r="BP32" s="98" t="s">
        <v>14</v>
      </c>
      <c r="BQ32" s="98" t="s">
        <v>13</v>
      </c>
      <c r="BR32" s="99" t="s">
        <v>14</v>
      </c>
      <c r="BU32" s="97" t="s">
        <v>13</v>
      </c>
      <c r="BV32" s="98" t="s">
        <v>14</v>
      </c>
      <c r="BW32" s="98" t="s">
        <v>13</v>
      </c>
      <c r="BX32" s="99" t="s">
        <v>14</v>
      </c>
      <c r="CM32" s="129" t="s">
        <v>84</v>
      </c>
      <c r="CN32" s="129"/>
      <c r="CO32" s="129" t="s">
        <v>86</v>
      </c>
      <c r="CP32" s="129"/>
      <c r="CQ32" s="129" t="s">
        <v>85</v>
      </c>
      <c r="CR32" s="129"/>
    </row>
    <row r="33" spans="1:101" ht="26" x14ac:dyDescent="0.6">
      <c r="A33" s="176" t="s">
        <v>36</v>
      </c>
      <c r="B33" s="176"/>
      <c r="C33" s="176"/>
      <c r="D33" s="176"/>
      <c r="E33" s="176"/>
      <c r="F33" s="176"/>
      <c r="L33" s="17"/>
      <c r="M33" s="91" t="s">
        <v>75</v>
      </c>
      <c r="N33" s="91"/>
      <c r="O33" s="91"/>
      <c r="P33" s="91"/>
      <c r="Q33" s="91"/>
      <c r="R33" s="91"/>
      <c r="S33" s="44"/>
      <c r="T33" s="45"/>
      <c r="U33" s="45"/>
      <c r="BB33" s="114" t="s">
        <v>1</v>
      </c>
      <c r="BC33" s="97">
        <v>836</v>
      </c>
      <c r="BD33" s="98">
        <v>209</v>
      </c>
      <c r="BE33" s="98">
        <v>843</v>
      </c>
      <c r="BF33" s="100">
        <v>211</v>
      </c>
      <c r="BH33" s="114" t="s">
        <v>1</v>
      </c>
      <c r="BI33" s="97">
        <v>798</v>
      </c>
      <c r="BJ33" s="98">
        <v>247</v>
      </c>
      <c r="BK33" s="98">
        <v>807</v>
      </c>
      <c r="BL33" s="100">
        <v>247</v>
      </c>
      <c r="BN33" s="114" t="s">
        <v>1</v>
      </c>
      <c r="BO33" s="97">
        <v>717</v>
      </c>
      <c r="BP33" s="98">
        <v>328</v>
      </c>
      <c r="BQ33" s="98">
        <v>720</v>
      </c>
      <c r="BR33" s="100">
        <v>334</v>
      </c>
      <c r="BT33" s="114" t="s">
        <v>1</v>
      </c>
      <c r="BU33" s="97">
        <v>784</v>
      </c>
      <c r="BV33" s="98">
        <v>261</v>
      </c>
      <c r="BW33" s="98">
        <v>792</v>
      </c>
      <c r="BX33" s="100">
        <v>262</v>
      </c>
      <c r="CM33" s="109" t="s">
        <v>82</v>
      </c>
      <c r="CN33" s="110" t="s">
        <v>83</v>
      </c>
      <c r="CO33" s="109" t="s">
        <v>82</v>
      </c>
      <c r="CP33" s="108" t="s">
        <v>83</v>
      </c>
      <c r="CQ33" s="110" t="s">
        <v>82</v>
      </c>
      <c r="CR33" s="108" t="s">
        <v>83</v>
      </c>
      <c r="CW33" s="122"/>
    </row>
    <row r="34" spans="1:101" ht="15.5" x14ac:dyDescent="0.35">
      <c r="A34" s="28" t="s">
        <v>25</v>
      </c>
      <c r="B34" s="20" t="s">
        <v>26</v>
      </c>
      <c r="C34" s="24" t="s">
        <v>27</v>
      </c>
      <c r="D34" s="26" t="s">
        <v>28</v>
      </c>
      <c r="E34" s="24" t="s">
        <v>29</v>
      </c>
      <c r="F34" s="22" t="s">
        <v>30</v>
      </c>
      <c r="L34" s="17"/>
      <c r="M34" s="28" t="s">
        <v>25</v>
      </c>
      <c r="N34" s="20" t="s">
        <v>26</v>
      </c>
      <c r="O34" s="24" t="s">
        <v>27</v>
      </c>
      <c r="P34" s="26" t="s">
        <v>28</v>
      </c>
      <c r="Q34" s="24" t="s">
        <v>29</v>
      </c>
      <c r="R34" s="22" t="s">
        <v>30</v>
      </c>
      <c r="S34" s="17"/>
      <c r="T34" s="18"/>
      <c r="U34" s="18"/>
      <c r="BB34" s="114" t="s">
        <v>2</v>
      </c>
      <c r="BC34" s="97">
        <v>79</v>
      </c>
      <c r="BD34" s="98">
        <v>10</v>
      </c>
      <c r="BE34" s="98">
        <v>80</v>
      </c>
      <c r="BF34" s="100">
        <v>9</v>
      </c>
      <c r="BH34" s="114" t="s">
        <v>2</v>
      </c>
      <c r="BI34" s="97">
        <v>63</v>
      </c>
      <c r="BJ34" s="98">
        <v>26</v>
      </c>
      <c r="BK34" s="98">
        <v>63</v>
      </c>
      <c r="BL34" s="100">
        <v>26</v>
      </c>
      <c r="BN34" s="114" t="s">
        <v>2</v>
      </c>
      <c r="BO34" s="97">
        <v>71</v>
      </c>
      <c r="BP34" s="98">
        <v>18</v>
      </c>
      <c r="BQ34" s="98">
        <v>71</v>
      </c>
      <c r="BR34" s="100">
        <v>18</v>
      </c>
      <c r="BT34" s="114" t="s">
        <v>2</v>
      </c>
      <c r="BU34" s="97">
        <v>54</v>
      </c>
      <c r="BV34" s="98">
        <v>35</v>
      </c>
      <c r="BW34" s="98">
        <v>53</v>
      </c>
      <c r="BX34" s="100">
        <v>36</v>
      </c>
      <c r="CL34" s="2" t="s">
        <v>1</v>
      </c>
      <c r="CM34" s="103">
        <f t="shared" ref="CM34:CM40" si="21">AVERAGE(CD20,CJ20,CP20,CV20)</f>
        <v>0.89208333333333334</v>
      </c>
      <c r="CN34" s="106">
        <f t="shared" ref="CN34:CN40" si="22">_xlfn.STDEV.P(CD20,CJ20,CP20,CV20)</f>
        <v>2.319527609952797E-2</v>
      </c>
      <c r="CO34" s="103">
        <f t="shared" ref="CO34:CO40" si="23">AVERAGE(CF20,CL20,CR20,CX20)</f>
        <v>0.895625</v>
      </c>
      <c r="CP34" s="111">
        <f t="shared" ref="CP34:CP40" si="24">_xlfn.STDEV.P(CF20,CL20,CR20,CX20)</f>
        <v>2.5518069578242038E-2</v>
      </c>
      <c r="CQ34" s="117">
        <f t="shared" ref="CQ34:CQ40" si="25">AVERAGE(CH20,CN20,CT20,CZ20)</f>
        <v>0.89354166666666668</v>
      </c>
      <c r="CR34" s="111">
        <f t="shared" ref="CR34:CR40" si="26">_xlfn.STDEV.P(CH20,CN20,CT20,CZ20)</f>
        <v>1.6836375550179063E-2</v>
      </c>
    </row>
    <row r="35" spans="1:101" ht="15.5" x14ac:dyDescent="0.35">
      <c r="A35" s="29">
        <v>0.7</v>
      </c>
      <c r="B35" s="21">
        <v>0.51</v>
      </c>
      <c r="C35" s="25">
        <v>0.34</v>
      </c>
      <c r="D35" s="27">
        <v>0.49</v>
      </c>
      <c r="E35" s="25">
        <v>0.5</v>
      </c>
      <c r="F35" s="23">
        <v>0.52</v>
      </c>
      <c r="L35" s="17"/>
      <c r="M35" s="92">
        <v>0.71525000000000005</v>
      </c>
      <c r="N35" s="93">
        <v>0.52237382499999996</v>
      </c>
      <c r="O35" s="94">
        <v>0.35170674899999999</v>
      </c>
      <c r="P35" s="95">
        <v>0.50439537400000001</v>
      </c>
      <c r="Q35" s="94">
        <v>0.50957870900000002</v>
      </c>
      <c r="R35" s="96">
        <v>0.54419321499999995</v>
      </c>
      <c r="S35" s="17"/>
      <c r="T35" s="18"/>
      <c r="U35" s="18"/>
      <c r="BB35" s="114" t="s">
        <v>3</v>
      </c>
      <c r="BC35" s="97">
        <v>96</v>
      </c>
      <c r="BD35" s="98">
        <v>2</v>
      </c>
      <c r="BE35" s="98">
        <v>85</v>
      </c>
      <c r="BF35" s="100">
        <v>1</v>
      </c>
      <c r="BH35" s="114" t="s">
        <v>3</v>
      </c>
      <c r="BI35" s="97">
        <v>71</v>
      </c>
      <c r="BJ35" s="98">
        <v>27</v>
      </c>
      <c r="BK35" s="98">
        <v>59</v>
      </c>
      <c r="BL35" s="100">
        <v>27</v>
      </c>
      <c r="BN35" s="114" t="s">
        <v>3</v>
      </c>
      <c r="BO35" s="97">
        <v>49</v>
      </c>
      <c r="BP35" s="98">
        <v>49</v>
      </c>
      <c r="BQ35" s="98">
        <v>42</v>
      </c>
      <c r="BR35" s="100">
        <v>44</v>
      </c>
      <c r="BT35" s="114" t="s">
        <v>3</v>
      </c>
      <c r="BU35" s="97">
        <v>78</v>
      </c>
      <c r="BV35" s="98">
        <v>20</v>
      </c>
      <c r="BW35" s="98">
        <v>72</v>
      </c>
      <c r="BX35" s="100">
        <v>14</v>
      </c>
      <c r="CL35" s="2" t="s">
        <v>2</v>
      </c>
      <c r="CM35" s="103">
        <f t="shared" si="21"/>
        <v>0.25854166666666667</v>
      </c>
      <c r="CN35" s="106">
        <f t="shared" si="22"/>
        <v>7.0327544686748927E-2</v>
      </c>
      <c r="CO35" s="103">
        <f t="shared" si="23"/>
        <v>0.27437500000000004</v>
      </c>
      <c r="CP35" s="111">
        <f t="shared" si="24"/>
        <v>3.9146160411973753E-2</v>
      </c>
      <c r="CQ35" s="117">
        <f t="shared" si="25"/>
        <v>0.26604166666666668</v>
      </c>
      <c r="CR35" s="111">
        <f t="shared" si="26"/>
        <v>4.6849993329775318E-2</v>
      </c>
    </row>
    <row r="36" spans="1:101" ht="15.5" x14ac:dyDescent="0.35">
      <c r="H36" s="11"/>
      <c r="I36" s="12" t="s">
        <v>13</v>
      </c>
      <c r="J36" s="12" t="s">
        <v>14</v>
      </c>
      <c r="K36" s="14" t="s">
        <v>12</v>
      </c>
      <c r="L36" s="17"/>
      <c r="M36" s="17"/>
      <c r="N36" s="17"/>
      <c r="O36" s="15"/>
      <c r="P36" s="15"/>
      <c r="Q36" s="16"/>
      <c r="R36" s="17"/>
      <c r="S36" s="17"/>
      <c r="T36" s="18"/>
      <c r="U36" s="18"/>
      <c r="BB36" s="114" t="s">
        <v>4</v>
      </c>
      <c r="BC36" s="97">
        <v>40</v>
      </c>
      <c r="BD36" s="98">
        <v>2</v>
      </c>
      <c r="BE36" s="98">
        <v>44</v>
      </c>
      <c r="BF36" s="100">
        <v>3</v>
      </c>
      <c r="BH36" s="114" t="s">
        <v>4</v>
      </c>
      <c r="BI36" s="97">
        <v>11</v>
      </c>
      <c r="BJ36" s="98">
        <v>31</v>
      </c>
      <c r="BK36" s="98">
        <v>15</v>
      </c>
      <c r="BL36" s="100">
        <v>32</v>
      </c>
      <c r="BN36" s="114" t="s">
        <v>4</v>
      </c>
      <c r="BO36" s="97">
        <v>37</v>
      </c>
      <c r="BP36" s="98">
        <v>5</v>
      </c>
      <c r="BQ36" s="98">
        <v>39</v>
      </c>
      <c r="BR36" s="100">
        <v>8</v>
      </c>
      <c r="BT36" s="114" t="s">
        <v>4</v>
      </c>
      <c r="BU36" s="97">
        <v>38</v>
      </c>
      <c r="BV36" s="98">
        <v>4</v>
      </c>
      <c r="BW36" s="98">
        <v>43</v>
      </c>
      <c r="BX36" s="100">
        <v>4</v>
      </c>
      <c r="CL36" s="2" t="s">
        <v>3</v>
      </c>
      <c r="CM36" s="103">
        <f t="shared" si="21"/>
        <v>0.30479166666666668</v>
      </c>
      <c r="CN36" s="106">
        <f t="shared" si="22"/>
        <v>0.17033400093639553</v>
      </c>
      <c r="CO36" s="103">
        <f t="shared" si="23"/>
        <v>0.27562500000000001</v>
      </c>
      <c r="CP36" s="111">
        <f t="shared" si="24"/>
        <v>0.13219747302804247</v>
      </c>
      <c r="CQ36" s="117">
        <f t="shared" si="25"/>
        <v>0.30604166666666666</v>
      </c>
      <c r="CR36" s="111">
        <f t="shared" si="26"/>
        <v>0.140416512116631</v>
      </c>
    </row>
    <row r="37" spans="1:101" ht="15.5" x14ac:dyDescent="0.35">
      <c r="H37" s="11" t="s">
        <v>20</v>
      </c>
      <c r="I37" s="12">
        <v>415</v>
      </c>
      <c r="J37" s="12">
        <v>146</v>
      </c>
      <c r="K37" s="14">
        <f>SUM(I37:J37)</f>
        <v>561</v>
      </c>
      <c r="L37" s="17"/>
      <c r="M37" s="17"/>
      <c r="N37" s="17"/>
      <c r="O37" s="15"/>
      <c r="P37" s="15"/>
      <c r="Q37" s="16"/>
      <c r="R37" s="17"/>
      <c r="S37" s="17"/>
      <c r="T37" s="18"/>
      <c r="U37" s="18"/>
      <c r="BB37" s="114">
        <v>0</v>
      </c>
      <c r="BC37" s="97">
        <v>18</v>
      </c>
      <c r="BD37" s="98">
        <v>3</v>
      </c>
      <c r="BE37" s="98">
        <v>17</v>
      </c>
      <c r="BF37" s="100">
        <v>2</v>
      </c>
      <c r="BH37" s="114">
        <v>0</v>
      </c>
      <c r="BI37" s="97">
        <v>18</v>
      </c>
      <c r="BJ37" s="98">
        <v>3</v>
      </c>
      <c r="BK37" s="98">
        <v>17</v>
      </c>
      <c r="BL37" s="100">
        <v>2</v>
      </c>
      <c r="BN37" s="114">
        <v>0</v>
      </c>
      <c r="BO37" s="97">
        <v>11</v>
      </c>
      <c r="BP37" s="98">
        <v>10</v>
      </c>
      <c r="BQ37" s="98">
        <v>13</v>
      </c>
      <c r="BR37" s="100">
        <v>6</v>
      </c>
      <c r="BT37" s="114">
        <v>0</v>
      </c>
      <c r="BU37" s="97">
        <v>16</v>
      </c>
      <c r="BV37" s="98">
        <v>5</v>
      </c>
      <c r="BW37" s="98">
        <v>10</v>
      </c>
      <c r="BX37" s="100">
        <v>9</v>
      </c>
      <c r="CL37" s="2" t="s">
        <v>4</v>
      </c>
      <c r="CM37" s="103">
        <f t="shared" si="21"/>
        <v>0.16375000000000001</v>
      </c>
      <c r="CN37" s="106">
        <f t="shared" si="22"/>
        <v>4.5086721992178523E-2</v>
      </c>
      <c r="CO37" s="103">
        <f t="shared" si="23"/>
        <v>0.135625</v>
      </c>
      <c r="CP37" s="111">
        <f t="shared" si="24"/>
        <v>4.0170534910553529E-2</v>
      </c>
      <c r="CQ37" s="117">
        <f t="shared" si="25"/>
        <v>0.18020833333333333</v>
      </c>
      <c r="CR37" s="111">
        <f t="shared" si="26"/>
        <v>7.7896332016768682E-2</v>
      </c>
    </row>
    <row r="38" spans="1:101" ht="26" x14ac:dyDescent="0.6">
      <c r="A38" s="176" t="s">
        <v>34</v>
      </c>
      <c r="B38" s="176"/>
      <c r="C38" s="176"/>
      <c r="D38" s="176"/>
      <c r="E38" s="176"/>
      <c r="F38" s="176"/>
      <c r="H38" s="11" t="s">
        <v>21</v>
      </c>
      <c r="I38" s="12">
        <v>970</v>
      </c>
      <c r="J38" s="12">
        <v>325</v>
      </c>
      <c r="K38" s="14">
        <f>SUM(I38:J38)</f>
        <v>1295</v>
      </c>
      <c r="L38" s="16"/>
      <c r="M38" s="18"/>
      <c r="N38" s="18"/>
      <c r="O38" s="15"/>
      <c r="P38" s="15"/>
      <c r="Q38" s="16"/>
      <c r="R38" s="17"/>
      <c r="S38" s="16"/>
      <c r="T38" s="18"/>
      <c r="U38" s="18"/>
      <c r="BB38" s="114" t="s">
        <v>12</v>
      </c>
      <c r="BC38" s="97">
        <f t="shared" ref="BC38:BF38" si="27">SUM(BC33:BC37)</f>
        <v>1069</v>
      </c>
      <c r="BD38" s="101">
        <f t="shared" si="27"/>
        <v>226</v>
      </c>
      <c r="BE38" s="102">
        <f t="shared" si="27"/>
        <v>1069</v>
      </c>
      <c r="BF38" s="99">
        <f t="shared" si="27"/>
        <v>226</v>
      </c>
      <c r="BH38" s="114" t="s">
        <v>12</v>
      </c>
      <c r="BI38" s="97">
        <f>SUM(BI33:BI37)</f>
        <v>961</v>
      </c>
      <c r="BJ38" s="101">
        <f>SUM(BJ33:BJ37)</f>
        <v>334</v>
      </c>
      <c r="BK38" s="102">
        <f>SUM(BK33:BK37)</f>
        <v>961</v>
      </c>
      <c r="BL38" s="99">
        <f>SUM(BL33:BL37)</f>
        <v>334</v>
      </c>
      <c r="BN38" s="114" t="s">
        <v>12</v>
      </c>
      <c r="BO38" s="97">
        <f>SUM(BO33:BO37)</f>
        <v>885</v>
      </c>
      <c r="BP38" s="101">
        <f>SUM(BP33:BP37)</f>
        <v>410</v>
      </c>
      <c r="BQ38" s="102">
        <f>SUM(BQ33:BQ37)</f>
        <v>885</v>
      </c>
      <c r="BR38" s="99">
        <f>SUM(BR33:BR37)</f>
        <v>410</v>
      </c>
      <c r="BT38" s="114" t="s">
        <v>12</v>
      </c>
      <c r="BU38" s="97">
        <f>SUM(BU33:BU37)</f>
        <v>970</v>
      </c>
      <c r="BV38" s="101">
        <f>SUM(BV33:BV37)</f>
        <v>325</v>
      </c>
      <c r="BW38" s="102">
        <f>SUM(BW33:BW37)</f>
        <v>970</v>
      </c>
      <c r="BX38" s="99">
        <f>SUM(BX33:BX37)</f>
        <v>325</v>
      </c>
      <c r="CL38" s="2" t="s">
        <v>5</v>
      </c>
      <c r="CM38" s="103">
        <f t="shared" si="21"/>
        <v>0.77791666666666659</v>
      </c>
      <c r="CN38" s="106">
        <f t="shared" si="22"/>
        <v>4.0058550897405183E-2</v>
      </c>
      <c r="CO38" s="103">
        <f t="shared" si="23"/>
        <v>0.77750000000000008</v>
      </c>
      <c r="CP38" s="111">
        <f t="shared" si="24"/>
        <v>4.4930501889028571E-2</v>
      </c>
      <c r="CQ38" s="117">
        <f t="shared" si="25"/>
        <v>0.77958333333333329</v>
      </c>
      <c r="CR38" s="111">
        <f t="shared" si="26"/>
        <v>3.0678100223666595E-2</v>
      </c>
    </row>
    <row r="39" spans="1:101" ht="15.5" x14ac:dyDescent="0.35">
      <c r="A39" s="28" t="s">
        <v>25</v>
      </c>
      <c r="B39" s="20" t="s">
        <v>26</v>
      </c>
      <c r="C39" s="24" t="s">
        <v>27</v>
      </c>
      <c r="D39" s="26" t="s">
        <v>28</v>
      </c>
      <c r="E39" s="24" t="s">
        <v>29</v>
      </c>
      <c r="F39" s="22" t="s">
        <v>30</v>
      </c>
      <c r="J39" s="15"/>
      <c r="K39" s="167"/>
      <c r="L39" s="167"/>
      <c r="M39" s="168"/>
      <c r="N39" s="168"/>
      <c r="O39" s="15"/>
      <c r="P39" s="15"/>
      <c r="Q39" s="16"/>
      <c r="R39" s="167"/>
      <c r="S39" s="167"/>
      <c r="T39" s="168"/>
      <c r="U39" s="168"/>
      <c r="BB39" s="115"/>
      <c r="BC39" s="125">
        <f>SUM(BC38:BD38)</f>
        <v>1295</v>
      </c>
      <c r="BD39" s="126"/>
      <c r="BE39" s="127">
        <f>SUM(BE38:BF38)</f>
        <v>1295</v>
      </c>
      <c r="BF39" s="128"/>
      <c r="BI39" s="125">
        <f>SUM(BI38:BJ38)</f>
        <v>1295</v>
      </c>
      <c r="BJ39" s="126"/>
      <c r="BK39" s="127">
        <f>SUM(BK38:BL38)</f>
        <v>1295</v>
      </c>
      <c r="BL39" s="128"/>
      <c r="BO39" s="125">
        <f>SUM(BO38:BP38)</f>
        <v>1295</v>
      </c>
      <c r="BP39" s="126"/>
      <c r="BQ39" s="127">
        <f>SUM(BQ38:BR38)</f>
        <v>1295</v>
      </c>
      <c r="BR39" s="128"/>
      <c r="BU39" s="125">
        <f>SUM(BU38:BV38)</f>
        <v>1295</v>
      </c>
      <c r="BV39" s="126"/>
      <c r="BW39" s="127">
        <f>SUM(BW38:BX38)</f>
        <v>1295</v>
      </c>
      <c r="BX39" s="128"/>
      <c r="CL39" s="2" t="s">
        <v>43</v>
      </c>
      <c r="CM39" s="105">
        <f t="shared" si="21"/>
        <v>0.40479166666666672</v>
      </c>
      <c r="CN39" s="119">
        <f t="shared" si="22"/>
        <v>5.5277472430759006E-2</v>
      </c>
      <c r="CO39" s="105">
        <f t="shared" si="23"/>
        <v>0.39531250000000001</v>
      </c>
      <c r="CP39" s="120">
        <f t="shared" si="24"/>
        <v>3.257653248505743E-2</v>
      </c>
      <c r="CQ39" s="121">
        <f t="shared" si="25"/>
        <v>0.41145833333333331</v>
      </c>
      <c r="CR39" s="120">
        <f t="shared" si="26"/>
        <v>4.7192673557449792E-2</v>
      </c>
    </row>
    <row r="40" spans="1:101" ht="15.5" x14ac:dyDescent="0.35">
      <c r="A40" s="29">
        <v>0.73</v>
      </c>
      <c r="B40" s="21">
        <v>0.51</v>
      </c>
      <c r="C40" s="25">
        <v>0.35</v>
      </c>
      <c r="D40" s="27">
        <v>0.5</v>
      </c>
      <c r="E40" s="25">
        <v>0.5</v>
      </c>
      <c r="F40" s="23">
        <v>0.53</v>
      </c>
      <c r="CL40" s="2" t="s">
        <v>44</v>
      </c>
      <c r="CM40" s="104">
        <f t="shared" si="21"/>
        <v>0.79458333333333331</v>
      </c>
      <c r="CN40" s="107">
        <f t="shared" si="22"/>
        <v>6.5871560631276971E-2</v>
      </c>
      <c r="CO40" s="104">
        <f t="shared" si="23"/>
        <v>0.791875</v>
      </c>
      <c r="CP40" s="112">
        <f t="shared" si="24"/>
        <v>6.7601197289693049E-2</v>
      </c>
      <c r="CQ40" s="118">
        <f t="shared" si="25"/>
        <v>0.79416666666666669</v>
      </c>
      <c r="CR40" s="112">
        <f t="shared" si="26"/>
        <v>5.778912815861937E-2</v>
      </c>
    </row>
    <row r="43" spans="1:101" ht="26" x14ac:dyDescent="0.6">
      <c r="A43" s="176" t="s">
        <v>35</v>
      </c>
      <c r="B43" s="176"/>
      <c r="C43" s="176"/>
      <c r="D43" s="176"/>
      <c r="E43" s="176"/>
      <c r="F43" s="176"/>
    </row>
    <row r="44" spans="1:101" ht="15.5" x14ac:dyDescent="0.35">
      <c r="A44" s="28" t="s">
        <v>25</v>
      </c>
      <c r="B44" s="20" t="s">
        <v>26</v>
      </c>
      <c r="C44" s="24" t="s">
        <v>27</v>
      </c>
      <c r="D44" s="26" t="s">
        <v>28</v>
      </c>
      <c r="E44" s="24" t="s">
        <v>29</v>
      </c>
      <c r="F44" s="22" t="s">
        <v>30</v>
      </c>
    </row>
    <row r="45" spans="1:101" ht="15.5" x14ac:dyDescent="0.35">
      <c r="A45" s="29">
        <v>0.74</v>
      </c>
      <c r="B45" s="21">
        <v>0.53</v>
      </c>
      <c r="C45" s="25">
        <v>0.36</v>
      </c>
      <c r="D45" s="27">
        <v>0.51</v>
      </c>
      <c r="E45" s="25">
        <v>0.52</v>
      </c>
      <c r="F45" s="23">
        <v>0.54</v>
      </c>
    </row>
    <row r="49" spans="1:21" x14ac:dyDescent="0.35">
      <c r="A49" s="30"/>
    </row>
    <row r="50" spans="1:21" ht="26" x14ac:dyDescent="0.6">
      <c r="A50" s="164" t="s">
        <v>55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</row>
    <row r="52" spans="1:21" ht="31" customHeight="1" x14ac:dyDescent="0.35">
      <c r="B52" s="165" t="s">
        <v>6</v>
      </c>
      <c r="C52" s="177"/>
      <c r="D52" s="165" t="s">
        <v>33</v>
      </c>
      <c r="E52" s="166"/>
      <c r="F52" s="177" t="s">
        <v>49</v>
      </c>
      <c r="G52" s="166"/>
      <c r="H52" s="178" t="s">
        <v>57</v>
      </c>
      <c r="I52" s="179"/>
      <c r="L52" s="158" t="s">
        <v>6</v>
      </c>
      <c r="M52" s="159"/>
      <c r="N52" s="158" t="s">
        <v>33</v>
      </c>
      <c r="O52" s="159"/>
      <c r="P52" s="158" t="s">
        <v>49</v>
      </c>
      <c r="Q52" s="159"/>
      <c r="R52" s="158" t="s">
        <v>57</v>
      </c>
      <c r="S52" s="159"/>
    </row>
    <row r="53" spans="1:21" ht="15.5" x14ac:dyDescent="0.35">
      <c r="A53" s="36" t="s">
        <v>0</v>
      </c>
      <c r="B53" s="37" t="s">
        <v>50</v>
      </c>
      <c r="C53" s="38" t="s">
        <v>51</v>
      </c>
      <c r="D53" s="37" t="s">
        <v>50</v>
      </c>
      <c r="E53" s="38" t="s">
        <v>51</v>
      </c>
      <c r="F53" s="39" t="s">
        <v>50</v>
      </c>
      <c r="G53" s="39" t="s">
        <v>51</v>
      </c>
      <c r="H53" s="37" t="s">
        <v>50</v>
      </c>
      <c r="I53" s="38" t="s">
        <v>51</v>
      </c>
      <c r="K53" s="36" t="s">
        <v>0</v>
      </c>
      <c r="L53" s="160" t="s">
        <v>53</v>
      </c>
      <c r="M53" s="161"/>
      <c r="N53" s="160" t="s">
        <v>53</v>
      </c>
      <c r="O53" s="161"/>
      <c r="P53" s="160" t="s">
        <v>53</v>
      </c>
      <c r="Q53" s="161"/>
      <c r="R53" s="160" t="s">
        <v>53</v>
      </c>
      <c r="S53" s="161"/>
    </row>
    <row r="54" spans="1:21" ht="15.5" x14ac:dyDescent="0.35">
      <c r="A54" s="36" t="s">
        <v>17</v>
      </c>
      <c r="B54" s="62">
        <f>AVERAGE(0.95, 0.95, 0.95       )</f>
        <v>0.94999999999999984</v>
      </c>
      <c r="C54" s="63">
        <f>AVERAGE(0.95, 0.95, 0.95       )</f>
        <v>0.94999999999999984</v>
      </c>
      <c r="D54" s="62">
        <f>AVERAGE(0.93, 0.95, 0.95       )</f>
        <v>0.94333333333333336</v>
      </c>
      <c r="E54" s="63">
        <f>AVERAGE(0.93, 0.95, 0.95       )</f>
        <v>0.94333333333333336</v>
      </c>
      <c r="F54" s="64">
        <f>AVERAGE(0.95, 0.96, 0.94       )</f>
        <v>0.94999999999999984</v>
      </c>
      <c r="G54" s="64">
        <f>AVERAGE(0.95, 0.96, 0.94       )</f>
        <v>0.94999999999999984</v>
      </c>
      <c r="H54" s="62">
        <f>AVERAGE(0.93, 0.92       )</f>
        <v>0.92500000000000004</v>
      </c>
      <c r="I54" s="63">
        <f>AVERAGE(0.93, 0.92       )</f>
        <v>0.92500000000000004</v>
      </c>
      <c r="K54" s="36" t="s">
        <v>17</v>
      </c>
      <c r="L54" s="162">
        <f t="shared" ref="L54:L59" si="28">AVERAGE(B54:C54)</f>
        <v>0.94999999999999984</v>
      </c>
      <c r="M54" s="163"/>
      <c r="N54" s="162">
        <f t="shared" ref="N54:N56" si="29">AVERAGE(D54:E54)</f>
        <v>0.94333333333333336</v>
      </c>
      <c r="O54" s="163"/>
      <c r="P54" s="162">
        <f t="shared" ref="P54:P59" si="30">AVERAGE(F54:G54)</f>
        <v>0.94999999999999984</v>
      </c>
      <c r="Q54" s="163"/>
      <c r="R54" s="162">
        <f t="shared" ref="R54:R59" si="31">AVERAGE(H54:I54)</f>
        <v>0.92500000000000004</v>
      </c>
      <c r="S54" s="163"/>
    </row>
    <row r="55" spans="1:21" ht="15.5" x14ac:dyDescent="0.35">
      <c r="A55" s="36" t="s">
        <v>18</v>
      </c>
      <c r="B55" s="62">
        <f>AVERAGE(0.53, 0.5, 0.49        )</f>
        <v>0.50666666666666671</v>
      </c>
      <c r="C55" s="63">
        <f>AVERAGE(0.52, 0.49, 0.48        )</f>
        <v>0.49666666666666665</v>
      </c>
      <c r="D55" s="62">
        <f>AVERAGE(0.49, 0.47, 0.52        )</f>
        <v>0.49333333333333335</v>
      </c>
      <c r="E55" s="63">
        <f>AVERAGE(0.48, 0.46, 0.51        )</f>
        <v>0.48333333333333334</v>
      </c>
      <c r="F55" s="64">
        <f>AVERAGE(0.52, 0.57, 0.54        )</f>
        <v>0.54333333333333333</v>
      </c>
      <c r="G55" s="64">
        <f>AVERAGE(0.51, 0.57, 0.53        )</f>
        <v>0.53666666666666674</v>
      </c>
      <c r="H55" s="62">
        <f>AVERAGE(0.43, 0.41        )</f>
        <v>0.42</v>
      </c>
      <c r="I55" s="63">
        <f>AVERAGE(0.41, 0.39        )</f>
        <v>0.4</v>
      </c>
      <c r="K55" s="36" t="s">
        <v>18</v>
      </c>
      <c r="L55" s="162">
        <f t="shared" si="28"/>
        <v>0.50166666666666671</v>
      </c>
      <c r="M55" s="163"/>
      <c r="N55" s="162">
        <f t="shared" si="29"/>
        <v>0.48833333333333334</v>
      </c>
      <c r="O55" s="163"/>
      <c r="P55" s="162">
        <f t="shared" si="30"/>
        <v>0.54</v>
      </c>
      <c r="Q55" s="163"/>
      <c r="R55" s="162">
        <f t="shared" si="31"/>
        <v>0.41000000000000003</v>
      </c>
      <c r="S55" s="163"/>
    </row>
    <row r="56" spans="1:21" ht="15.5" x14ac:dyDescent="0.35">
      <c r="A56" s="36" t="s">
        <v>19</v>
      </c>
      <c r="B56" s="65">
        <f>AVERAGE(0.99, 0.99, 0.99        )</f>
        <v>0.98999999999999988</v>
      </c>
      <c r="C56" s="66">
        <f>AVERAGE(1, 1, 1        )</f>
        <v>1</v>
      </c>
      <c r="D56" s="65">
        <f>AVERAGE(0.99, 0.99, 0.99        )</f>
        <v>0.98999999999999988</v>
      </c>
      <c r="E56" s="66">
        <f>AVERAGE(1, 1, 1        )</f>
        <v>1</v>
      </c>
      <c r="F56" s="67">
        <f>AVERAGE(0.99, 0.99, 0.99        )</f>
        <v>0.98999999999999988</v>
      </c>
      <c r="G56" s="67">
        <f>AVERAGE(1, 1, 1        )</f>
        <v>1</v>
      </c>
      <c r="H56" s="65">
        <f>AVERAGE(0.99, 0.99        )</f>
        <v>0.99</v>
      </c>
      <c r="I56" s="66">
        <f>AVERAGE(1, 1        )</f>
        <v>1</v>
      </c>
      <c r="K56" s="36" t="s">
        <v>19</v>
      </c>
      <c r="L56" s="150">
        <f t="shared" si="28"/>
        <v>0.99499999999999988</v>
      </c>
      <c r="M56" s="151"/>
      <c r="N56" s="150">
        <f t="shared" si="29"/>
        <v>0.99499999999999988</v>
      </c>
      <c r="O56" s="151"/>
      <c r="P56" s="150">
        <f t="shared" si="30"/>
        <v>0.99499999999999988</v>
      </c>
      <c r="Q56" s="151"/>
      <c r="R56" s="150">
        <f t="shared" si="31"/>
        <v>0.995</v>
      </c>
      <c r="S56" s="151"/>
    </row>
    <row r="57" spans="1:21" ht="15.5" x14ac:dyDescent="0.35">
      <c r="A57" s="36" t="s">
        <v>5</v>
      </c>
      <c r="B57" s="68">
        <f>AVERAGE(0.92, 0.92, 0.91       )</f>
        <v>0.91666666666666663</v>
      </c>
      <c r="C57" s="69">
        <f>AVERAGE(0.92, 0.92, 0.92       )</f>
        <v>0.92</v>
      </c>
      <c r="D57" s="68">
        <f>AVERAGE(0.89, 0.91, 0.91       )</f>
        <v>0.90333333333333332</v>
      </c>
      <c r="E57" s="69">
        <f>AVERAGE(0.9, 0.92, 0.91       )</f>
        <v>0.91</v>
      </c>
      <c r="F57" s="70">
        <f>AVERAGE(0.91, 0.93, 0.91       )</f>
        <v>0.91666666666666663</v>
      </c>
      <c r="G57" s="70">
        <f>AVERAGE(0.91, 0.94, 0.91       )</f>
        <v>0.92</v>
      </c>
      <c r="H57" s="68">
        <f>AVERAGE(0.89, 0.88       )</f>
        <v>0.88500000000000001</v>
      </c>
      <c r="I57" s="69">
        <f>AVERAGE(0.89, 0.88       )</f>
        <v>0.88500000000000001</v>
      </c>
      <c r="K57" s="36" t="s">
        <v>5</v>
      </c>
      <c r="L57" s="152">
        <f t="shared" si="28"/>
        <v>0.91833333333333333</v>
      </c>
      <c r="M57" s="153"/>
      <c r="N57" s="152">
        <f>AVERAGE(D57:E57)</f>
        <v>0.90666666666666673</v>
      </c>
      <c r="O57" s="153"/>
      <c r="P57" s="152">
        <f t="shared" si="30"/>
        <v>0.91833333333333333</v>
      </c>
      <c r="Q57" s="153"/>
      <c r="R57" s="152">
        <f t="shared" si="31"/>
        <v>0.88500000000000001</v>
      </c>
      <c r="S57" s="153"/>
    </row>
    <row r="58" spans="1:21" ht="15.5" x14ac:dyDescent="0.35">
      <c r="A58" s="36" t="s">
        <v>52</v>
      </c>
      <c r="B58" s="71">
        <f t="shared" ref="B58:I58" si="32">AVERAGE(B54:B56)</f>
        <v>0.81555555555555548</v>
      </c>
      <c r="C58" s="72">
        <f t="shared" si="32"/>
        <v>0.81555555555555548</v>
      </c>
      <c r="D58" s="71">
        <f t="shared" si="32"/>
        <v>0.80888888888888888</v>
      </c>
      <c r="E58" s="72">
        <f t="shared" si="32"/>
        <v>0.80888888888888888</v>
      </c>
      <c r="F58" s="73">
        <f t="shared" si="32"/>
        <v>0.82777777777777761</v>
      </c>
      <c r="G58" s="73">
        <f t="shared" si="32"/>
        <v>0.82888888888888879</v>
      </c>
      <c r="H58" s="71">
        <f t="shared" si="32"/>
        <v>0.77833333333333332</v>
      </c>
      <c r="I58" s="72">
        <f t="shared" si="32"/>
        <v>0.77500000000000002</v>
      </c>
      <c r="K58" s="36" t="s">
        <v>52</v>
      </c>
      <c r="L58" s="154">
        <f t="shared" si="28"/>
        <v>0.81555555555555548</v>
      </c>
      <c r="M58" s="155"/>
      <c r="N58" s="154">
        <f>AVERAGE(D58:E58)</f>
        <v>0.80888888888888888</v>
      </c>
      <c r="O58" s="155"/>
      <c r="P58" s="154">
        <f t="shared" si="30"/>
        <v>0.82833333333333314</v>
      </c>
      <c r="Q58" s="155"/>
      <c r="R58" s="154">
        <f t="shared" si="31"/>
        <v>0.77666666666666662</v>
      </c>
      <c r="S58" s="155"/>
    </row>
    <row r="59" spans="1:21" ht="15.5" x14ac:dyDescent="0.35">
      <c r="A59" s="36" t="s">
        <v>44</v>
      </c>
      <c r="B59" s="74">
        <f>AVERAGE(0.91, 0.91, 0.91       )</f>
        <v>0.91</v>
      </c>
      <c r="C59" s="75">
        <f>AVERAGE(0.92, 0.91, 0.91       )</f>
        <v>0.91333333333333344</v>
      </c>
      <c r="D59" s="74">
        <f>AVERAGE(0.9, 0.91, 0.91       )</f>
        <v>0.90666666666666673</v>
      </c>
      <c r="E59" s="75">
        <f>AVERAGE(0.9, 0.91, 0.91       )</f>
        <v>0.90666666666666673</v>
      </c>
      <c r="F59" s="76">
        <f>AVERAGE(0.91, 0.93, 0.91       )</f>
        <v>0.91666666666666663</v>
      </c>
      <c r="G59" s="76">
        <f>AVERAGE(0.91, 0.93, 0.91       )</f>
        <v>0.91666666666666663</v>
      </c>
      <c r="H59" s="65">
        <f>AVERAGE(0.89, 0.88       )</f>
        <v>0.88500000000000001</v>
      </c>
      <c r="I59" s="66">
        <f>AVERAGE(0.89, 0.88       )</f>
        <v>0.88500000000000001</v>
      </c>
      <c r="K59" s="36" t="s">
        <v>44</v>
      </c>
      <c r="L59" s="156">
        <f t="shared" si="28"/>
        <v>0.91166666666666674</v>
      </c>
      <c r="M59" s="157"/>
      <c r="N59" s="156">
        <f>AVERAGE(D59:E59)</f>
        <v>0.90666666666666673</v>
      </c>
      <c r="O59" s="157"/>
      <c r="P59" s="156">
        <f t="shared" si="30"/>
        <v>0.91666666666666663</v>
      </c>
      <c r="Q59" s="157"/>
      <c r="R59" s="156">
        <f t="shared" si="31"/>
        <v>0.88500000000000001</v>
      </c>
      <c r="S59" s="157"/>
    </row>
    <row r="60" spans="1:21" ht="15.5" x14ac:dyDescent="0.35">
      <c r="B60" s="34"/>
      <c r="C60" s="34"/>
      <c r="D60" s="34"/>
      <c r="E60" s="34"/>
      <c r="F60" s="34"/>
      <c r="G60" s="34"/>
      <c r="H60" s="34"/>
      <c r="I60" s="34"/>
    </row>
    <row r="61" spans="1:21" x14ac:dyDescent="0.35">
      <c r="B61" s="35"/>
      <c r="C61" s="35"/>
      <c r="D61" s="35"/>
      <c r="E61" s="35"/>
      <c r="F61" s="35"/>
      <c r="G61" s="35"/>
      <c r="H61" s="35"/>
      <c r="I61" s="35"/>
    </row>
    <row r="62" spans="1:21" x14ac:dyDescent="0.35">
      <c r="H62" s="35"/>
      <c r="I62" s="35"/>
    </row>
    <row r="64" spans="1:21" ht="26" x14ac:dyDescent="0.6">
      <c r="A64" s="164" t="s">
        <v>54</v>
      </c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</row>
    <row r="66" spans="1:19" ht="29.5" customHeight="1" x14ac:dyDescent="0.35">
      <c r="B66" s="165" t="s">
        <v>6</v>
      </c>
      <c r="C66" s="166"/>
      <c r="D66" s="165" t="s">
        <v>33</v>
      </c>
      <c r="E66" s="166"/>
      <c r="F66" s="165" t="s">
        <v>49</v>
      </c>
      <c r="G66" s="166"/>
      <c r="H66" s="165" t="s">
        <v>57</v>
      </c>
      <c r="I66" s="166"/>
      <c r="L66" s="158" t="s">
        <v>6</v>
      </c>
      <c r="M66" s="159"/>
      <c r="N66" s="158" t="s">
        <v>33</v>
      </c>
      <c r="O66" s="159"/>
      <c r="P66" s="158" t="s">
        <v>49</v>
      </c>
      <c r="Q66" s="159"/>
      <c r="R66" s="158" t="s">
        <v>57</v>
      </c>
      <c r="S66" s="159"/>
    </row>
    <row r="67" spans="1:19" ht="15.5" x14ac:dyDescent="0.35">
      <c r="A67" s="36" t="s">
        <v>0</v>
      </c>
      <c r="B67" s="37" t="s">
        <v>50</v>
      </c>
      <c r="C67" s="38" t="s">
        <v>51</v>
      </c>
      <c r="D67" s="39" t="s">
        <v>50</v>
      </c>
      <c r="E67" s="39" t="s">
        <v>51</v>
      </c>
      <c r="F67" s="37" t="s">
        <v>50</v>
      </c>
      <c r="G67" s="38" t="s">
        <v>51</v>
      </c>
      <c r="H67" s="37" t="s">
        <v>50</v>
      </c>
      <c r="I67" s="38" t="s">
        <v>51</v>
      </c>
      <c r="K67" s="36" t="s">
        <v>0</v>
      </c>
      <c r="L67" s="160" t="s">
        <v>53</v>
      </c>
      <c r="M67" s="161"/>
      <c r="N67" s="160" t="s">
        <v>53</v>
      </c>
      <c r="O67" s="161"/>
      <c r="P67" s="160" t="s">
        <v>53</v>
      </c>
      <c r="Q67" s="161"/>
      <c r="R67" s="160" t="s">
        <v>53</v>
      </c>
      <c r="S67" s="161"/>
    </row>
    <row r="68" spans="1:19" ht="15.5" x14ac:dyDescent="0.35">
      <c r="A68" s="36" t="s">
        <v>17</v>
      </c>
      <c r="B68" s="62">
        <f>AVERAGE(0.9, 0.88, 0.88              )</f>
        <v>0.88666666666666671</v>
      </c>
      <c r="C68" s="63">
        <f>AVERAGE(0.9, 0.88, 0.88              )</f>
        <v>0.88666666666666671</v>
      </c>
      <c r="D68" s="64">
        <f>AVERAGE(0.86, 0.88       )</f>
        <v>0.87</v>
      </c>
      <c r="E68" s="64">
        <f>AVERAGE(0.86, 0.88       )</f>
        <v>0.87</v>
      </c>
      <c r="F68" s="62">
        <f>AVERAGE(0.86, 0.88       )</f>
        <v>0.87</v>
      </c>
      <c r="G68" s="63">
        <f>AVERAGE(0.86, 0.88       )</f>
        <v>0.87</v>
      </c>
      <c r="H68" s="62">
        <f>AVERAGE(0.87, 0.87       )</f>
        <v>0.87</v>
      </c>
      <c r="I68" s="63">
        <f>AVERAGE(0.87, 0.87       )</f>
        <v>0.87</v>
      </c>
      <c r="K68" s="36" t="s">
        <v>17</v>
      </c>
      <c r="L68" s="162">
        <f t="shared" ref="L68:L73" si="33">AVERAGE(B68:C68)</f>
        <v>0.88666666666666671</v>
      </c>
      <c r="M68" s="163"/>
      <c r="N68" s="162">
        <f t="shared" ref="N68:N73" si="34">AVERAGE(D68:E68)</f>
        <v>0.87</v>
      </c>
      <c r="O68" s="163"/>
      <c r="P68" s="162">
        <f t="shared" ref="P68:P73" si="35">AVERAGE(F68:G68)</f>
        <v>0.87</v>
      </c>
      <c r="Q68" s="163"/>
      <c r="R68" s="162">
        <f t="shared" ref="R68:R73" si="36">AVERAGE(H68:I68)</f>
        <v>0.87</v>
      </c>
      <c r="S68" s="163"/>
    </row>
    <row r="69" spans="1:19" ht="15.5" x14ac:dyDescent="0.35">
      <c r="A69" s="36" t="s">
        <v>18</v>
      </c>
      <c r="B69" s="62">
        <f>AVERAGE(0.54, 0.6, 0.54                )</f>
        <v>0.56000000000000005</v>
      </c>
      <c r="C69" s="63">
        <f>AVERAGE(0.54, 0.6, 0.53                )</f>
        <v>0.55666666666666675</v>
      </c>
      <c r="D69" s="64">
        <f>AVERAGE(0.44, 0.44        )</f>
        <v>0.44</v>
      </c>
      <c r="E69" s="64">
        <f>AVERAGE(0.4, 0.43        )</f>
        <v>0.41500000000000004</v>
      </c>
      <c r="F69" s="62">
        <f>AVERAGE(0.45, 0.48        )</f>
        <v>0.46499999999999997</v>
      </c>
      <c r="G69" s="63">
        <f>AVERAGE(0.44, 0.47        )</f>
        <v>0.45499999999999996</v>
      </c>
      <c r="H69" s="62">
        <f>AVERAGE(0.46, 0.33        )</f>
        <v>0.39500000000000002</v>
      </c>
      <c r="I69" s="63">
        <f>AVERAGE(0.44, 0.31        )</f>
        <v>0.375</v>
      </c>
      <c r="K69" s="36" t="s">
        <v>18</v>
      </c>
      <c r="L69" s="162">
        <f t="shared" si="33"/>
        <v>0.55833333333333335</v>
      </c>
      <c r="M69" s="163"/>
      <c r="N69" s="162">
        <f t="shared" si="34"/>
        <v>0.42749999999999999</v>
      </c>
      <c r="O69" s="163"/>
      <c r="P69" s="162">
        <f t="shared" si="35"/>
        <v>0.45999999999999996</v>
      </c>
      <c r="Q69" s="163"/>
      <c r="R69" s="162">
        <f t="shared" si="36"/>
        <v>0.38500000000000001</v>
      </c>
      <c r="S69" s="163"/>
    </row>
    <row r="70" spans="1:19" ht="15.5" x14ac:dyDescent="0.35">
      <c r="A70" s="36" t="s">
        <v>19</v>
      </c>
      <c r="B70" s="65">
        <f>AVERAGE(0.19, 0.12, 0.11                )</f>
        <v>0.13999999999999999</v>
      </c>
      <c r="C70" s="66">
        <f>AVERAGE(0.22, 0.16, 0.15             )</f>
        <v>0.17666666666666667</v>
      </c>
      <c r="D70" s="67">
        <f>AVERAGE(0.26, 0.19        )</f>
        <v>0.22500000000000001</v>
      </c>
      <c r="E70" s="67">
        <f>AVERAGE(0.25, 0.22        )</f>
        <v>0.23499999999999999</v>
      </c>
      <c r="F70" s="65">
        <f>AVERAGE(0.29, 0.13        )</f>
        <v>0.21</v>
      </c>
      <c r="G70" s="66">
        <f>AVERAGE(0.31, 0.13        )</f>
        <v>0.22</v>
      </c>
      <c r="H70" s="65">
        <f>AVERAGE(0.39, 0.13        )</f>
        <v>0.26</v>
      </c>
      <c r="I70" s="66">
        <f>AVERAGE(0.4, 0.17        )</f>
        <v>0.28500000000000003</v>
      </c>
      <c r="K70" s="36" t="s">
        <v>19</v>
      </c>
      <c r="L70" s="150">
        <f t="shared" si="33"/>
        <v>0.15833333333333333</v>
      </c>
      <c r="M70" s="151"/>
      <c r="N70" s="150">
        <f t="shared" si="34"/>
        <v>0.22999999999999998</v>
      </c>
      <c r="O70" s="151"/>
      <c r="P70" s="150">
        <f t="shared" si="35"/>
        <v>0.215</v>
      </c>
      <c r="Q70" s="151"/>
      <c r="R70" s="150">
        <f t="shared" si="36"/>
        <v>0.27250000000000002</v>
      </c>
      <c r="S70" s="151"/>
    </row>
    <row r="71" spans="1:19" ht="15.5" x14ac:dyDescent="0.35">
      <c r="A71" s="36" t="s">
        <v>5</v>
      </c>
      <c r="B71" s="68">
        <f>AVERAGE(0.8, 0.79, 0.78              )</f>
        <v>0.79</v>
      </c>
      <c r="C71" s="69">
        <f>AVERAGE(0.8, 0.8, 0.78              )</f>
        <v>0.79333333333333333</v>
      </c>
      <c r="D71" s="70">
        <f>AVERAGE(0.77, 0.76       )</f>
        <v>0.76500000000000001</v>
      </c>
      <c r="E71" s="70">
        <f>AVERAGE(0.76, 0.76       )</f>
        <v>0.76</v>
      </c>
      <c r="F71" s="68">
        <f>AVERAGE(0.76, 0.77       )</f>
        <v>0.76500000000000001</v>
      </c>
      <c r="G71" s="69">
        <f>AVERAGE(0.76, 0.77       )</f>
        <v>0.76500000000000001</v>
      </c>
      <c r="H71" s="68">
        <f>AVERAGE(0.77, 0.76       )</f>
        <v>0.76500000000000001</v>
      </c>
      <c r="I71" s="69">
        <f>AVERAGE(0.77, 0.76       )</f>
        <v>0.76500000000000001</v>
      </c>
      <c r="K71" s="36" t="s">
        <v>5</v>
      </c>
      <c r="L71" s="152">
        <f t="shared" si="33"/>
        <v>0.79166666666666674</v>
      </c>
      <c r="M71" s="153"/>
      <c r="N71" s="152">
        <f t="shared" si="34"/>
        <v>0.76249999999999996</v>
      </c>
      <c r="O71" s="153"/>
      <c r="P71" s="152">
        <f t="shared" si="35"/>
        <v>0.76500000000000001</v>
      </c>
      <c r="Q71" s="153"/>
      <c r="R71" s="152">
        <f t="shared" si="36"/>
        <v>0.76500000000000001</v>
      </c>
      <c r="S71" s="153"/>
    </row>
    <row r="72" spans="1:19" ht="15.5" x14ac:dyDescent="0.35">
      <c r="A72" s="36" t="s">
        <v>52</v>
      </c>
      <c r="B72" s="71">
        <f t="shared" ref="B72:I72" si="37">AVERAGE(B68:B70)</f>
        <v>0.52888888888888885</v>
      </c>
      <c r="C72" s="72">
        <f t="shared" si="37"/>
        <v>0.54</v>
      </c>
      <c r="D72" s="73">
        <f t="shared" si="37"/>
        <v>0.51166666666666671</v>
      </c>
      <c r="E72" s="73">
        <f t="shared" si="37"/>
        <v>0.50666666666666671</v>
      </c>
      <c r="F72" s="71">
        <f t="shared" si="37"/>
        <v>0.51500000000000001</v>
      </c>
      <c r="G72" s="72">
        <f t="shared" si="37"/>
        <v>0.51500000000000001</v>
      </c>
      <c r="H72" s="71">
        <f t="shared" si="37"/>
        <v>0.50833333333333341</v>
      </c>
      <c r="I72" s="72">
        <f t="shared" si="37"/>
        <v>0.51000000000000012</v>
      </c>
      <c r="K72" s="36" t="s">
        <v>52</v>
      </c>
      <c r="L72" s="154">
        <f>AVERAGE(B72:C72)</f>
        <v>0.5344444444444445</v>
      </c>
      <c r="M72" s="155"/>
      <c r="N72" s="154">
        <f t="shared" si="34"/>
        <v>0.50916666666666677</v>
      </c>
      <c r="O72" s="155"/>
      <c r="P72" s="154">
        <f t="shared" si="35"/>
        <v>0.51500000000000001</v>
      </c>
      <c r="Q72" s="155"/>
      <c r="R72" s="154">
        <f t="shared" si="36"/>
        <v>0.50916666666666677</v>
      </c>
      <c r="S72" s="155"/>
    </row>
    <row r="73" spans="1:19" ht="15.5" x14ac:dyDescent="0.35">
      <c r="A73" s="36" t="s">
        <v>44</v>
      </c>
      <c r="B73" s="74">
        <f>AVERAGE(0.78, 0.77, 0.75              )</f>
        <v>0.76666666666666661</v>
      </c>
      <c r="C73" s="75">
        <f>AVERAGE(0.78, 0.77, 0.76              )</f>
        <v>0.77</v>
      </c>
      <c r="D73" s="67">
        <f>AVERAGE(0.75, 0.75       )</f>
        <v>0.75</v>
      </c>
      <c r="E73" s="67">
        <f>AVERAGE(0.75, 0.76       )</f>
        <v>0.755</v>
      </c>
      <c r="F73" s="65">
        <f>AVERAGE(0.76, 0.75       )</f>
        <v>0.755</v>
      </c>
      <c r="G73" s="66">
        <f>AVERAGE(0.76, 0.75       )</f>
        <v>0.755</v>
      </c>
      <c r="H73" s="65">
        <f>AVERAGE(0.78, 0.74       )</f>
        <v>0.76</v>
      </c>
      <c r="I73" s="66">
        <f>AVERAGE(0.78, 0.74       )</f>
        <v>0.76</v>
      </c>
      <c r="K73" s="36" t="s">
        <v>44</v>
      </c>
      <c r="L73" s="156">
        <f t="shared" si="33"/>
        <v>0.76833333333333331</v>
      </c>
      <c r="M73" s="157"/>
      <c r="N73" s="156">
        <f t="shared" si="34"/>
        <v>0.75249999999999995</v>
      </c>
      <c r="O73" s="157"/>
      <c r="P73" s="156">
        <f t="shared" si="35"/>
        <v>0.755</v>
      </c>
      <c r="Q73" s="157"/>
      <c r="R73" s="156">
        <f t="shared" si="36"/>
        <v>0.76</v>
      </c>
      <c r="S73" s="157"/>
    </row>
    <row r="79" spans="1:19" ht="23.5" x14ac:dyDescent="0.55000000000000004">
      <c r="A79" s="40" t="s">
        <v>72</v>
      </c>
    </row>
    <row r="81" spans="1:8" x14ac:dyDescent="0.35">
      <c r="C81" s="41" t="s">
        <v>68</v>
      </c>
      <c r="D81" s="41" t="s">
        <v>69</v>
      </c>
      <c r="E81" s="41" t="s">
        <v>70</v>
      </c>
      <c r="F81" s="41" t="s">
        <v>43</v>
      </c>
      <c r="G81" s="41" t="s">
        <v>71</v>
      </c>
      <c r="H81" s="41" t="s">
        <v>5</v>
      </c>
    </row>
    <row r="82" spans="1:8" ht="15.5" x14ac:dyDescent="0.35">
      <c r="A82" t="s">
        <v>59</v>
      </c>
      <c r="C82" s="42">
        <v>70</v>
      </c>
      <c r="D82" s="42">
        <v>20</v>
      </c>
      <c r="E82" s="42">
        <v>99</v>
      </c>
      <c r="F82" s="43">
        <f>AVERAGE(C82:E82)</f>
        <v>63</v>
      </c>
      <c r="G82" s="42">
        <v>68</v>
      </c>
      <c r="H82" s="42">
        <v>61</v>
      </c>
    </row>
    <row r="83" spans="1:8" ht="15.5" x14ac:dyDescent="0.35">
      <c r="A83" t="s">
        <v>60</v>
      </c>
      <c r="C83" s="42">
        <v>70</v>
      </c>
      <c r="D83" s="42">
        <v>20</v>
      </c>
      <c r="E83" s="42">
        <v>99</v>
      </c>
      <c r="F83" s="43">
        <f>AVERAGE(C83:E83)</f>
        <v>63</v>
      </c>
      <c r="G83" s="42">
        <v>68</v>
      </c>
      <c r="H83" s="42">
        <v>61</v>
      </c>
    </row>
    <row r="84" spans="1:8" ht="15.5" x14ac:dyDescent="0.35">
      <c r="A84" t="s">
        <v>61</v>
      </c>
      <c r="C84" s="42">
        <v>70</v>
      </c>
      <c r="D84" s="42">
        <v>19</v>
      </c>
      <c r="E84" s="42">
        <v>99</v>
      </c>
      <c r="F84" s="43">
        <f t="shared" ref="F84:F90" si="38">AVERAGE(C84:E84)</f>
        <v>62.666666666666664</v>
      </c>
      <c r="G84" s="42">
        <v>69</v>
      </c>
      <c r="H84" s="42">
        <v>61</v>
      </c>
    </row>
    <row r="85" spans="1:8" ht="15.5" x14ac:dyDescent="0.35">
      <c r="A85" t="s">
        <v>62</v>
      </c>
      <c r="C85" s="42">
        <v>73</v>
      </c>
      <c r="D85" s="42">
        <v>21</v>
      </c>
      <c r="E85" s="42">
        <v>99</v>
      </c>
      <c r="F85" s="43">
        <f t="shared" si="38"/>
        <v>64.333333333333329</v>
      </c>
      <c r="G85" s="42">
        <v>72</v>
      </c>
      <c r="H85" s="42">
        <v>65</v>
      </c>
    </row>
    <row r="86" spans="1:8" ht="15.5" x14ac:dyDescent="0.35">
      <c r="A86" t="s">
        <v>63</v>
      </c>
      <c r="C86" s="42">
        <v>85</v>
      </c>
      <c r="D86" s="42">
        <v>21</v>
      </c>
      <c r="E86" s="42">
        <v>99</v>
      </c>
      <c r="F86" s="43">
        <f t="shared" si="38"/>
        <v>68.333333333333329</v>
      </c>
      <c r="G86" s="42">
        <v>81</v>
      </c>
      <c r="H86" s="42">
        <v>78</v>
      </c>
    </row>
    <row r="87" spans="1:8" ht="15.5" x14ac:dyDescent="0.35">
      <c r="A87" t="s">
        <v>64</v>
      </c>
      <c r="C87" s="42">
        <v>92</v>
      </c>
      <c r="D87" s="42">
        <v>13</v>
      </c>
      <c r="E87" s="42">
        <v>99</v>
      </c>
      <c r="F87" s="43">
        <f t="shared" si="38"/>
        <v>68</v>
      </c>
      <c r="G87" s="42">
        <v>86</v>
      </c>
      <c r="H87" s="42">
        <v>87</v>
      </c>
    </row>
    <row r="88" spans="1:8" ht="15.5" x14ac:dyDescent="0.35">
      <c r="A88" t="s">
        <v>65</v>
      </c>
      <c r="C88" s="42">
        <v>93</v>
      </c>
      <c r="D88" s="42">
        <v>15</v>
      </c>
      <c r="E88" s="42">
        <v>99</v>
      </c>
      <c r="F88" s="43">
        <f t="shared" si="38"/>
        <v>69</v>
      </c>
      <c r="G88" s="42">
        <v>87</v>
      </c>
      <c r="H88" s="42">
        <v>89</v>
      </c>
    </row>
    <row r="89" spans="1:8" ht="15.5" x14ac:dyDescent="0.35">
      <c r="A89" t="s">
        <v>66</v>
      </c>
      <c r="C89" s="42">
        <v>93</v>
      </c>
      <c r="D89" s="42">
        <v>0</v>
      </c>
      <c r="E89" s="42">
        <v>99</v>
      </c>
      <c r="F89" s="43">
        <f t="shared" si="38"/>
        <v>64</v>
      </c>
      <c r="G89" s="42">
        <v>86</v>
      </c>
      <c r="H89" s="42">
        <v>89</v>
      </c>
    </row>
    <row r="90" spans="1:8" ht="15.5" x14ac:dyDescent="0.35">
      <c r="A90" t="s">
        <v>67</v>
      </c>
      <c r="C90" s="42">
        <v>94</v>
      </c>
      <c r="D90" s="42">
        <v>0</v>
      </c>
      <c r="E90" s="42">
        <v>99</v>
      </c>
      <c r="F90" s="43">
        <f t="shared" si="38"/>
        <v>64.333333333333329</v>
      </c>
      <c r="G90" s="42">
        <v>86</v>
      </c>
      <c r="H90" s="42">
        <v>91</v>
      </c>
    </row>
  </sheetData>
  <mergeCells count="426">
    <mergeCell ref="CQ32:CR32"/>
    <mergeCell ref="CM32:CN32"/>
    <mergeCell ref="CH25:CI25"/>
    <mergeCell ref="CJ25:CK25"/>
    <mergeCell ref="CL25:CM25"/>
    <mergeCell ref="CN25:CO25"/>
    <mergeCell ref="CP25:CQ25"/>
    <mergeCell ref="CR25:CS25"/>
    <mergeCell ref="CT25:CU25"/>
    <mergeCell ref="CV25:CW25"/>
    <mergeCell ref="CX25:CY25"/>
    <mergeCell ref="CD26:CE26"/>
    <mergeCell ref="CF26:CG26"/>
    <mergeCell ref="CH26:CI26"/>
    <mergeCell ref="CJ26:CK26"/>
    <mergeCell ref="CL26:CM26"/>
    <mergeCell ref="CN26:CO26"/>
    <mergeCell ref="CP26:CQ26"/>
    <mergeCell ref="CR26:CS26"/>
    <mergeCell ref="CT26:CU26"/>
    <mergeCell ref="CZ26:DA26"/>
    <mergeCell ref="CX26:CY26"/>
    <mergeCell ref="CV26:CW26"/>
    <mergeCell ref="CV24:CW24"/>
    <mergeCell ref="CX24:CY24"/>
    <mergeCell ref="CD22:CE22"/>
    <mergeCell ref="CD23:CE23"/>
    <mergeCell ref="CD24:CE24"/>
    <mergeCell ref="CF24:CG24"/>
    <mergeCell ref="CH24:CI24"/>
    <mergeCell ref="CJ24:CK24"/>
    <mergeCell ref="CL24:CM24"/>
    <mergeCell ref="CN24:CO24"/>
    <mergeCell ref="CH22:CI22"/>
    <mergeCell ref="CJ22:CK22"/>
    <mergeCell ref="CL22:CM22"/>
    <mergeCell ref="CN22:CO22"/>
    <mergeCell ref="CP22:CQ22"/>
    <mergeCell ref="CR22:CS22"/>
    <mergeCell ref="CT22:CU22"/>
    <mergeCell ref="CV22:CW22"/>
    <mergeCell ref="CX22:CY22"/>
    <mergeCell ref="CZ22:DA22"/>
    <mergeCell ref="CH23:CI23"/>
    <mergeCell ref="CD20:CE20"/>
    <mergeCell ref="CD21:CE21"/>
    <mergeCell ref="CZ20:DA20"/>
    <mergeCell ref="CF21:CG21"/>
    <mergeCell ref="CH21:CI21"/>
    <mergeCell ref="CJ21:CK21"/>
    <mergeCell ref="CL21:CM21"/>
    <mergeCell ref="CN21:CO21"/>
    <mergeCell ref="CP21:CQ21"/>
    <mergeCell ref="CR21:CS21"/>
    <mergeCell ref="CT21:CU21"/>
    <mergeCell ref="CV21:CW21"/>
    <mergeCell ref="CX21:CY21"/>
    <mergeCell ref="CZ21:DA21"/>
    <mergeCell ref="CF18:CG18"/>
    <mergeCell ref="CH18:CI18"/>
    <mergeCell ref="CJ18:CK18"/>
    <mergeCell ref="CL18:CM18"/>
    <mergeCell ref="CN18:CO18"/>
    <mergeCell ref="CD19:CE19"/>
    <mergeCell ref="CF19:CG19"/>
    <mergeCell ref="CH19:CI19"/>
    <mergeCell ref="CJ19:CK19"/>
    <mergeCell ref="CL19:CM19"/>
    <mergeCell ref="CN19:CO19"/>
    <mergeCell ref="CV17:DA17"/>
    <mergeCell ref="CP18:CQ18"/>
    <mergeCell ref="CR18:CS18"/>
    <mergeCell ref="CT18:CU18"/>
    <mergeCell ref="CV18:CW18"/>
    <mergeCell ref="CX18:CY18"/>
    <mergeCell ref="CZ18:DA18"/>
    <mergeCell ref="CP19:CQ19"/>
    <mergeCell ref="CR19:CS19"/>
    <mergeCell ref="CT19:CU19"/>
    <mergeCell ref="CV19:CW19"/>
    <mergeCell ref="CX19:CY19"/>
    <mergeCell ref="CZ23:DA23"/>
    <mergeCell ref="CZ25:DA25"/>
    <mergeCell ref="CZ19:DA19"/>
    <mergeCell ref="CH20:CI20"/>
    <mergeCell ref="CJ20:CK20"/>
    <mergeCell ref="CL20:CM20"/>
    <mergeCell ref="CN20:CO20"/>
    <mergeCell ref="CP20:CQ20"/>
    <mergeCell ref="CR20:CS20"/>
    <mergeCell ref="CT20:CU20"/>
    <mergeCell ref="CV20:CW20"/>
    <mergeCell ref="CX20:CY20"/>
    <mergeCell ref="CP24:CQ24"/>
    <mergeCell ref="CR24:CS24"/>
    <mergeCell ref="CT24:CU24"/>
    <mergeCell ref="CZ24:DA24"/>
    <mergeCell ref="CJ23:CK23"/>
    <mergeCell ref="CL23:CM23"/>
    <mergeCell ref="CN23:CO23"/>
    <mergeCell ref="CP23:CQ23"/>
    <mergeCell ref="CR23:CS23"/>
    <mergeCell ref="CT23:CU23"/>
    <mergeCell ref="CV23:CW23"/>
    <mergeCell ref="CX23:CY23"/>
    <mergeCell ref="X4:Y4"/>
    <mergeCell ref="L56:M56"/>
    <mergeCell ref="L57:M57"/>
    <mergeCell ref="L58:M58"/>
    <mergeCell ref="L59:M59"/>
    <mergeCell ref="N54:O54"/>
    <mergeCell ref="N55:O55"/>
    <mergeCell ref="N56:O56"/>
    <mergeCell ref="N57:O57"/>
    <mergeCell ref="N58:O58"/>
    <mergeCell ref="N59:O59"/>
    <mergeCell ref="L54:M54"/>
    <mergeCell ref="A43:F43"/>
    <mergeCell ref="A33:F33"/>
    <mergeCell ref="D4:E4"/>
    <mergeCell ref="F4:G4"/>
    <mergeCell ref="A50:U50"/>
    <mergeCell ref="B52:C52"/>
    <mergeCell ref="D52:E52"/>
    <mergeCell ref="F52:G52"/>
    <mergeCell ref="H52:I52"/>
    <mergeCell ref="L52:M52"/>
    <mergeCell ref="N52:O52"/>
    <mergeCell ref="P52:Q52"/>
    <mergeCell ref="A38:F38"/>
    <mergeCell ref="U18:V18"/>
    <mergeCell ref="S18:T18"/>
    <mergeCell ref="A1:V1"/>
    <mergeCell ref="A31:U31"/>
    <mergeCell ref="N18:O18"/>
    <mergeCell ref="L26:M26"/>
    <mergeCell ref="N26:O26"/>
    <mergeCell ref="A2:I2"/>
    <mergeCell ref="B18:C18"/>
    <mergeCell ref="H18:I18"/>
    <mergeCell ref="B4:C4"/>
    <mergeCell ref="L4:M4"/>
    <mergeCell ref="K3:L3"/>
    <mergeCell ref="M3:N3"/>
    <mergeCell ref="L18:M18"/>
    <mergeCell ref="A16:E16"/>
    <mergeCell ref="P4:Q4"/>
    <mergeCell ref="R4:S4"/>
    <mergeCell ref="J4:K4"/>
    <mergeCell ref="T4:U4"/>
    <mergeCell ref="V4:W4"/>
    <mergeCell ref="N4:O4"/>
    <mergeCell ref="H4:I4"/>
    <mergeCell ref="D18:E18"/>
    <mergeCell ref="F18:G18"/>
    <mergeCell ref="U25:V25"/>
    <mergeCell ref="AS5:AT5"/>
    <mergeCell ref="AE11:AF11"/>
    <mergeCell ref="AC5:AD5"/>
    <mergeCell ref="AE5:AF5"/>
    <mergeCell ref="AG5:AH5"/>
    <mergeCell ref="AI5:AJ5"/>
    <mergeCell ref="AK5:AL5"/>
    <mergeCell ref="AM5:AN5"/>
    <mergeCell ref="AC6:AD6"/>
    <mergeCell ref="AG8:AH8"/>
    <mergeCell ref="AG9:AH9"/>
    <mergeCell ref="AG10:AH10"/>
    <mergeCell ref="AG11:AH11"/>
    <mergeCell ref="AE8:AF8"/>
    <mergeCell ref="AE9:AF9"/>
    <mergeCell ref="AE7:AF7"/>
    <mergeCell ref="AM7:AN7"/>
    <mergeCell ref="AO8:AP8"/>
    <mergeCell ref="AC10:AD10"/>
    <mergeCell ref="AC11:AD11"/>
    <mergeCell ref="AC12:AD12"/>
    <mergeCell ref="AO5:AP5"/>
    <mergeCell ref="AQ5:AR5"/>
    <mergeCell ref="AE12:AF12"/>
    <mergeCell ref="AG12:AH12"/>
    <mergeCell ref="AC8:AD8"/>
    <mergeCell ref="AC9:AD9"/>
    <mergeCell ref="AE10:AF10"/>
    <mergeCell ref="AI11:AJ11"/>
    <mergeCell ref="AI12:AJ12"/>
    <mergeCell ref="AK8:AL8"/>
    <mergeCell ref="AK9:AL9"/>
    <mergeCell ref="AK10:AL10"/>
    <mergeCell ref="AK11:AL11"/>
    <mergeCell ref="AK12:AL12"/>
    <mergeCell ref="AI8:AJ8"/>
    <mergeCell ref="AI9:AJ9"/>
    <mergeCell ref="AI10:AJ10"/>
    <mergeCell ref="AU5:AV5"/>
    <mergeCell ref="AW5:AX5"/>
    <mergeCell ref="AO4:AP4"/>
    <mergeCell ref="AQ4:AR4"/>
    <mergeCell ref="AS4:AT4"/>
    <mergeCell ref="AU4:AV4"/>
    <mergeCell ref="AW4:AX4"/>
    <mergeCell ref="AC4:AD4"/>
    <mergeCell ref="AC7:AD7"/>
    <mergeCell ref="AK4:AL4"/>
    <mergeCell ref="AM4:AN4"/>
    <mergeCell ref="AE4:AF4"/>
    <mergeCell ref="AG4:AH4"/>
    <mergeCell ref="AI4:AJ4"/>
    <mergeCell ref="AG6:AH6"/>
    <mergeCell ref="AG7:AH7"/>
    <mergeCell ref="AE6:AF6"/>
    <mergeCell ref="AI6:AJ6"/>
    <mergeCell ref="AI7:AJ7"/>
    <mergeCell ref="AS6:AT6"/>
    <mergeCell ref="AS7:AT7"/>
    <mergeCell ref="AM6:AN6"/>
    <mergeCell ref="AO6:AP6"/>
    <mergeCell ref="AO7:AP7"/>
    <mergeCell ref="AC19:AD19"/>
    <mergeCell ref="AE19:AF19"/>
    <mergeCell ref="AG19:AH19"/>
    <mergeCell ref="AI19:AJ19"/>
    <mergeCell ref="AC20:AD20"/>
    <mergeCell ref="AC21:AD21"/>
    <mergeCell ref="AC22:AD22"/>
    <mergeCell ref="AC23:AD23"/>
    <mergeCell ref="AE20:AF20"/>
    <mergeCell ref="AG20:AH20"/>
    <mergeCell ref="AI20:AJ20"/>
    <mergeCell ref="AE21:AF21"/>
    <mergeCell ref="AG21:AH21"/>
    <mergeCell ref="AI21:AJ21"/>
    <mergeCell ref="AE22:AF22"/>
    <mergeCell ref="AG22:AH22"/>
    <mergeCell ref="AI22:AJ22"/>
    <mergeCell ref="AE23:AF23"/>
    <mergeCell ref="AG23:AH23"/>
    <mergeCell ref="AI23:AJ23"/>
    <mergeCell ref="Z2:AT2"/>
    <mergeCell ref="AC18:AD18"/>
    <mergeCell ref="AE18:AF18"/>
    <mergeCell ref="AG18:AH18"/>
    <mergeCell ref="AI18:AJ18"/>
    <mergeCell ref="AC16:AJ16"/>
    <mergeCell ref="AQ6:AR6"/>
    <mergeCell ref="AQ7:AR7"/>
    <mergeCell ref="AQ8:AR8"/>
    <mergeCell ref="AQ9:AR9"/>
    <mergeCell ref="AQ10:AR10"/>
    <mergeCell ref="AQ11:AR11"/>
    <mergeCell ref="AQ12:AR12"/>
    <mergeCell ref="AM9:AN9"/>
    <mergeCell ref="AM8:AN8"/>
    <mergeCell ref="AO9:AP9"/>
    <mergeCell ref="AO10:AP10"/>
    <mergeCell ref="AO11:AP11"/>
    <mergeCell ref="AO12:AP12"/>
    <mergeCell ref="AS8:AT8"/>
    <mergeCell ref="AS9:AT9"/>
    <mergeCell ref="AS10:AT10"/>
    <mergeCell ref="AK6:AL6"/>
    <mergeCell ref="AK7:AL7"/>
    <mergeCell ref="AE26:AF26"/>
    <mergeCell ref="AG26:AH26"/>
    <mergeCell ref="AI26:AJ26"/>
    <mergeCell ref="AW11:AX11"/>
    <mergeCell ref="AW12:AX12"/>
    <mergeCell ref="AW6:AX6"/>
    <mergeCell ref="AW7:AX7"/>
    <mergeCell ref="AW8:AX8"/>
    <mergeCell ref="AW9:AX9"/>
    <mergeCell ref="AW10:AX10"/>
    <mergeCell ref="AS11:AT11"/>
    <mergeCell ref="AS12:AT12"/>
    <mergeCell ref="AU6:AV6"/>
    <mergeCell ref="AU7:AV7"/>
    <mergeCell ref="AU8:AV8"/>
    <mergeCell ref="AU9:AV9"/>
    <mergeCell ref="AU10:AV10"/>
    <mergeCell ref="AU11:AV11"/>
    <mergeCell ref="AU12:AV12"/>
    <mergeCell ref="AM12:AN12"/>
    <mergeCell ref="AM11:AN11"/>
    <mergeCell ref="AM10:AN10"/>
    <mergeCell ref="L71:M71"/>
    <mergeCell ref="R39:S39"/>
    <mergeCell ref="T39:U39"/>
    <mergeCell ref="K39:L39"/>
    <mergeCell ref="M39:N39"/>
    <mergeCell ref="S25:T25"/>
    <mergeCell ref="P54:Q54"/>
    <mergeCell ref="P55:Q55"/>
    <mergeCell ref="P56:Q56"/>
    <mergeCell ref="P57:Q57"/>
    <mergeCell ref="P58:Q58"/>
    <mergeCell ref="P59:Q59"/>
    <mergeCell ref="L53:M53"/>
    <mergeCell ref="N53:O53"/>
    <mergeCell ref="P53:Q53"/>
    <mergeCell ref="L55:M55"/>
    <mergeCell ref="R52:S52"/>
    <mergeCell ref="R53:S53"/>
    <mergeCell ref="R54:S54"/>
    <mergeCell ref="R55:S55"/>
    <mergeCell ref="R56:S56"/>
    <mergeCell ref="R57:S57"/>
    <mergeCell ref="R58:S58"/>
    <mergeCell ref="R59:S59"/>
    <mergeCell ref="L72:M72"/>
    <mergeCell ref="L73:M73"/>
    <mergeCell ref="A64:U64"/>
    <mergeCell ref="B66:C66"/>
    <mergeCell ref="D66:E66"/>
    <mergeCell ref="F66:G66"/>
    <mergeCell ref="L66:M66"/>
    <mergeCell ref="L67:M67"/>
    <mergeCell ref="L68:M68"/>
    <mergeCell ref="L69:M69"/>
    <mergeCell ref="L70:M70"/>
    <mergeCell ref="H66:I66"/>
    <mergeCell ref="N66:O66"/>
    <mergeCell ref="N67:O67"/>
    <mergeCell ref="N68:O68"/>
    <mergeCell ref="N69:O69"/>
    <mergeCell ref="N70:O70"/>
    <mergeCell ref="N71:O71"/>
    <mergeCell ref="N72:O72"/>
    <mergeCell ref="N73:O73"/>
    <mergeCell ref="P66:Q66"/>
    <mergeCell ref="P67:Q67"/>
    <mergeCell ref="P68:Q68"/>
    <mergeCell ref="P69:Q69"/>
    <mergeCell ref="AY4:AZ4"/>
    <mergeCell ref="AY5:AZ5"/>
    <mergeCell ref="AY6:AZ6"/>
    <mergeCell ref="AY7:AZ7"/>
    <mergeCell ref="AY8:AZ8"/>
    <mergeCell ref="AY9:AZ9"/>
    <mergeCell ref="AY10:AZ10"/>
    <mergeCell ref="AY11:AZ11"/>
    <mergeCell ref="AY12:AZ12"/>
    <mergeCell ref="BK11:BL11"/>
    <mergeCell ref="BK12:BL12"/>
    <mergeCell ref="BI11:BJ11"/>
    <mergeCell ref="P70:Q70"/>
    <mergeCell ref="P71:Q71"/>
    <mergeCell ref="P72:Q72"/>
    <mergeCell ref="P73:Q73"/>
    <mergeCell ref="R66:S66"/>
    <mergeCell ref="R67:S67"/>
    <mergeCell ref="R68:S68"/>
    <mergeCell ref="R69:S69"/>
    <mergeCell ref="R70:S70"/>
    <mergeCell ref="R71:S71"/>
    <mergeCell ref="R72:S72"/>
    <mergeCell ref="R73:S73"/>
    <mergeCell ref="AC24:AD24"/>
    <mergeCell ref="AE24:AF24"/>
    <mergeCell ref="AG24:AH24"/>
    <mergeCell ref="AI24:AJ24"/>
    <mergeCell ref="AC25:AD25"/>
    <mergeCell ref="AE25:AF25"/>
    <mergeCell ref="AG25:AH25"/>
    <mergeCell ref="AI25:AJ25"/>
    <mergeCell ref="AC26:AD26"/>
    <mergeCell ref="BI6:BJ6"/>
    <mergeCell ref="BK6:BL6"/>
    <mergeCell ref="BK7:BL7"/>
    <mergeCell ref="BC2:BJ2"/>
    <mergeCell ref="BI4:BJ4"/>
    <mergeCell ref="BI5:BJ5"/>
    <mergeCell ref="BK4:BL4"/>
    <mergeCell ref="BK5:BL5"/>
    <mergeCell ref="BI10:BJ10"/>
    <mergeCell ref="BI7:BJ7"/>
    <mergeCell ref="BI8:BJ8"/>
    <mergeCell ref="BI9:BJ9"/>
    <mergeCell ref="BC4:BD4"/>
    <mergeCell ref="BE4:BF4"/>
    <mergeCell ref="BK8:BL8"/>
    <mergeCell ref="BK9:BL9"/>
    <mergeCell ref="BK10:BL10"/>
    <mergeCell ref="BI12:BJ12"/>
    <mergeCell ref="BI18:BJ18"/>
    <mergeCell ref="BM18:BN18"/>
    <mergeCell ref="BO18:BP18"/>
    <mergeCell ref="BC18:BD18"/>
    <mergeCell ref="BG18:BH18"/>
    <mergeCell ref="BC31:BD31"/>
    <mergeCell ref="BE31:BF31"/>
    <mergeCell ref="BC39:BD39"/>
    <mergeCell ref="BE39:BF39"/>
    <mergeCell ref="BI31:BJ31"/>
    <mergeCell ref="BK31:BL31"/>
    <mergeCell ref="BO31:BP31"/>
    <mergeCell ref="BE18:BF18"/>
    <mergeCell ref="BK18:BL18"/>
    <mergeCell ref="BC17:BH17"/>
    <mergeCell ref="BI17:BN17"/>
    <mergeCell ref="BO17:BT17"/>
    <mergeCell ref="BS18:BT18"/>
    <mergeCell ref="BQ18:BR18"/>
    <mergeCell ref="BQ31:BR31"/>
    <mergeCell ref="BI39:BJ39"/>
    <mergeCell ref="BK39:BL39"/>
    <mergeCell ref="BO39:BP39"/>
    <mergeCell ref="BQ39:BR39"/>
    <mergeCell ref="CO32:CP32"/>
    <mergeCell ref="BC16:BN16"/>
    <mergeCell ref="BY18:BZ18"/>
    <mergeCell ref="BU18:BV18"/>
    <mergeCell ref="BW18:BX18"/>
    <mergeCell ref="CP17:CU17"/>
    <mergeCell ref="CF20:CG20"/>
    <mergeCell ref="CF22:CG22"/>
    <mergeCell ref="CF23:CG23"/>
    <mergeCell ref="CD25:CE25"/>
    <mergeCell ref="CF25:CG25"/>
    <mergeCell ref="BU17:BZ17"/>
    <mergeCell ref="BU31:BV31"/>
    <mergeCell ref="BW31:BX31"/>
    <mergeCell ref="BU39:BV39"/>
    <mergeCell ref="BW39:BX39"/>
    <mergeCell ref="CD17:CI17"/>
    <mergeCell ref="CJ17:CO17"/>
    <mergeCell ref="CD18:CE18"/>
  </mergeCells>
  <pageMargins left="0.7" right="0.7" top="0.75" bottom="0.75" header="0.3" footer="0.3"/>
  <pageSetup orientation="portrait" r:id="rId1"/>
  <ignoredErrors>
    <ignoredError sqref="H9 V9 C56:G56 AC11:AY11 AC25:AG25 F58:I58 AZ11 AH25:AJ25 BE25:BF25 BL25 BQ25 CD25:DA25 CN34:CN40 CP34:CP40 CQ34:CQ39 CO34:CO39 CO40 CQ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Tqzdh</dc:creator>
  <cp:lastModifiedBy>AsusIran</cp:lastModifiedBy>
  <dcterms:created xsi:type="dcterms:W3CDTF">2015-06-05T18:17:20Z</dcterms:created>
  <dcterms:modified xsi:type="dcterms:W3CDTF">2023-08-29T10:21:18Z</dcterms:modified>
</cp:coreProperties>
</file>