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rsion" sheetId="1" r:id="rId4"/>
    <sheet state="visible" name="costos variables" sheetId="2" r:id="rId5"/>
    <sheet state="visible" name="Costos Fijos " sheetId="3" r:id="rId6"/>
    <sheet state="visible" name="Ingresos " sheetId="4" r:id="rId7"/>
  </sheets>
  <definedNames/>
  <calcPr/>
</workbook>
</file>

<file path=xl/sharedStrings.xml><?xml version="1.0" encoding="utf-8"?>
<sst xmlns="http://schemas.openxmlformats.org/spreadsheetml/2006/main" count="80" uniqueCount="75">
  <si>
    <t>Herramientas de elaboracion del presupuesto</t>
  </si>
  <si>
    <t>fecha 20/06/2023</t>
  </si>
  <si>
    <t>Inversion</t>
  </si>
  <si>
    <t>Nombre</t>
  </si>
  <si>
    <t>Cantidad</t>
  </si>
  <si>
    <t>Valor unitario</t>
  </si>
  <si>
    <t>valor total</t>
  </si>
  <si>
    <t>TORRE RYZEN 7 5700 G</t>
  </si>
  <si>
    <t xml:space="preserve">MONITOR 24¨ ASUS GAMER 165Hz PLANO </t>
  </si>
  <si>
    <t>MOUSE</t>
  </si>
  <si>
    <t xml:space="preserve">SILLA ESCRITORIO </t>
  </si>
  <si>
    <t>ESCRITORIO</t>
  </si>
  <si>
    <t>LICENCIA MICROSOFT 365</t>
  </si>
  <si>
    <t>INMOBILIARIO</t>
  </si>
  <si>
    <t>TOTAL</t>
  </si>
  <si>
    <t>herramienta elaboracion del presupuesto</t>
  </si>
  <si>
    <t>Salario base</t>
  </si>
  <si>
    <t>Auxilio  trasporte</t>
  </si>
  <si>
    <t>Personal de planta</t>
  </si>
  <si>
    <t>salario</t>
  </si>
  <si>
    <t>Nomina</t>
  </si>
  <si>
    <t>costos variables</t>
  </si>
  <si>
    <t>desarrollador</t>
  </si>
  <si>
    <t>cantidad</t>
  </si>
  <si>
    <t>valor inicial</t>
  </si>
  <si>
    <t>costo total</t>
  </si>
  <si>
    <t>administrativo</t>
  </si>
  <si>
    <t>servicios publicos</t>
  </si>
  <si>
    <t>2 SMLV</t>
  </si>
  <si>
    <t>internet</t>
  </si>
  <si>
    <t>mano de obra</t>
  </si>
  <si>
    <t>total</t>
  </si>
  <si>
    <t>hosting (50GB de espacio 2 GB de ram)</t>
  </si>
  <si>
    <t>imprevistos</t>
  </si>
  <si>
    <t>total final</t>
  </si>
  <si>
    <t xml:space="preserve">Prima </t>
  </si>
  <si>
    <t>Cesantias</t>
  </si>
  <si>
    <t>Intereses cesantias</t>
  </si>
  <si>
    <t>Vacaciones</t>
  </si>
  <si>
    <t>Aux transporte</t>
  </si>
  <si>
    <t>Fecha de ingreso</t>
  </si>
  <si>
    <t>Fecha fin</t>
  </si>
  <si>
    <t xml:space="preserve">Dias Laborados </t>
  </si>
  <si>
    <t>Sueldo Devengado</t>
  </si>
  <si>
    <t>HERRAMIENTAS DE ELABORACION  DEL PRESUPUESTO</t>
  </si>
  <si>
    <t>FECHA 20/06/2023</t>
  </si>
  <si>
    <t>COSTOS FIJOS</t>
  </si>
  <si>
    <t>NOMBRE</t>
  </si>
  <si>
    <t>VALOR INICIAL</t>
  </si>
  <si>
    <t>AÑOS VIDA UTIL</t>
  </si>
  <si>
    <t>TAZA DE DEPRECIACION</t>
  </si>
  <si>
    <t>VALOR RESCATE</t>
  </si>
  <si>
    <t>DEPRECIACION</t>
  </si>
  <si>
    <t>DEPRECIACION INSTALACIONES(OFICINA)</t>
  </si>
  <si>
    <t>DEPRECIACION DE EQUIPOS DE COMPUTO</t>
  </si>
  <si>
    <t>DEPRECIACION DE MUEBLES</t>
  </si>
  <si>
    <t>INTERES DE LA INVERSION</t>
  </si>
  <si>
    <t>COSTO POR ARRENDAMIENTO</t>
  </si>
  <si>
    <t>COSTO POR MANTENIMIENTO</t>
  </si>
  <si>
    <t>INTERES CAPITAL DE TRABAJO</t>
  </si>
  <si>
    <t>TOTAL FINAL</t>
  </si>
  <si>
    <t xml:space="preserve">Herramienta de elaboración del presupuesto </t>
  </si>
  <si>
    <t>Ingresos</t>
  </si>
  <si>
    <t xml:space="preserve">Analisis Financiero </t>
  </si>
  <si>
    <t xml:space="preserve">Concepto </t>
  </si>
  <si>
    <t xml:space="preserve">Cantidad </t>
  </si>
  <si>
    <t xml:space="preserve">Valor unitario </t>
  </si>
  <si>
    <t xml:space="preserve">Valor Anual </t>
  </si>
  <si>
    <t xml:space="preserve">Valor 5 Años </t>
  </si>
  <si>
    <t>UB</t>
  </si>
  <si>
    <t>MBU%</t>
  </si>
  <si>
    <t xml:space="preserve">UN </t>
  </si>
  <si>
    <t>MUN%</t>
  </si>
  <si>
    <t>RN</t>
  </si>
  <si>
    <t xml:space="preserve">Venta de producto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</si>
</sst>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sz val="17.0"/>
      <color theme="1"/>
      <name val="Arial"/>
      <scheme val="minor"/>
    </font>
    <font>
      <sz val="14.0"/>
      <color theme="1"/>
      <name val="Arial"/>
      <scheme val="minor"/>
    </font>
    <font>
      <sz val="13.0"/>
      <color theme="1"/>
      <name val="Arial"/>
      <scheme val="minor"/>
    </font>
    <font>
      <sz val="9.0"/>
      <color theme="1"/>
      <name val="&quot;Google Sans Mono&quot;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ill="1" applyFont="1">
      <alignment horizontal="center" readingOrder="0"/>
    </xf>
    <xf borderId="4" fillId="3" fontId="1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4" fillId="3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1" numFmtId="164" xfId="0" applyAlignment="1" applyBorder="1" applyFont="1" applyNumberFormat="1">
      <alignment horizontal="center"/>
    </xf>
    <xf borderId="1" fillId="3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center"/>
    </xf>
    <xf borderId="4" fillId="2" fontId="4" numFmtId="0" xfId="0" applyAlignment="1" applyBorder="1" applyFont="1">
      <alignment horizontal="center" readingOrder="0" vertical="center"/>
    </xf>
    <xf borderId="4" fillId="2" fontId="4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vertical="center"/>
    </xf>
    <xf borderId="0" fillId="2" fontId="5" numFmtId="0" xfId="0" applyAlignment="1" applyFont="1">
      <alignment readingOrder="0" vertical="center"/>
    </xf>
    <xf borderId="1" fillId="0" fontId="4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readingOrder="0"/>
    </xf>
    <xf borderId="0" fillId="0" fontId="1" numFmtId="164" xfId="0" applyFont="1" applyNumberFormat="1"/>
    <xf borderId="1" fillId="2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4" fillId="0" fontId="1" numFmtId="0" xfId="0" applyBorder="1" applyFont="1"/>
    <xf borderId="4" fillId="0" fontId="1" numFmtId="164" xfId="0" applyBorder="1" applyFont="1" applyNumberFormat="1"/>
    <xf borderId="1" fillId="0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4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center"/>
    </xf>
    <xf borderId="1" fillId="0" fontId="1" numFmtId="0" xfId="0" applyBorder="1" applyFont="1"/>
    <xf borderId="0" fillId="0" fontId="1" numFmtId="0" xfId="0" applyFont="1"/>
    <xf borderId="5" fillId="2" fontId="1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2" fontId="1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2" fillId="0" fontId="1" numFmtId="0" xfId="0" applyAlignment="1" applyBorder="1" applyFont="1">
      <alignment horizontal="center" readingOrder="0"/>
    </xf>
    <xf borderId="1" fillId="0" fontId="1" numFmtId="164" xfId="0" applyBorder="1" applyFont="1" applyNumberFormat="1"/>
    <xf borderId="4" fillId="4" fontId="6" numFmtId="164" xfId="0" applyBorder="1" applyFill="1" applyFont="1" applyNumberFormat="1"/>
    <xf borderId="4" fillId="4" fontId="7" numFmtId="164" xfId="0" applyBorder="1" applyFont="1" applyNumberFormat="1"/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/>
    </xf>
    <xf borderId="4" fillId="0" fontId="1" numFmtId="10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4" fillId="0" fontId="1" numFmtId="164" xfId="0" applyAlignment="1" applyBorder="1" applyFont="1" applyNumberFormat="1">
      <alignment readingOrder="0"/>
    </xf>
    <xf borderId="4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25"/>
  </cols>
  <sheetData>
    <row r="2">
      <c r="B2" s="1" t="s">
        <v>0</v>
      </c>
      <c r="C2" s="2"/>
      <c r="D2" s="2"/>
      <c r="E2" s="3"/>
    </row>
    <row r="3">
      <c r="B3" s="1" t="s">
        <v>1</v>
      </c>
      <c r="C3" s="3"/>
      <c r="D3" s="1" t="s">
        <v>2</v>
      </c>
      <c r="E3" s="3"/>
    </row>
    <row r="4">
      <c r="B4" s="4" t="s">
        <v>3</v>
      </c>
      <c r="C4" s="4" t="s">
        <v>4</v>
      </c>
      <c r="D4" s="4" t="s">
        <v>5</v>
      </c>
      <c r="E4" s="4" t="s">
        <v>6</v>
      </c>
    </row>
    <row r="5">
      <c r="B5" s="5" t="s">
        <v>7</v>
      </c>
      <c r="C5" s="6">
        <v>4.0</v>
      </c>
      <c r="D5" s="7">
        <v>6237600.0</v>
      </c>
      <c r="E5" s="7">
        <f t="shared" ref="E5:E12" si="1">C5*D5</f>
        <v>24950400</v>
      </c>
    </row>
    <row r="6">
      <c r="B6" s="5" t="s">
        <v>8</v>
      </c>
      <c r="C6" s="6">
        <v>4.0</v>
      </c>
      <c r="D6" s="7">
        <v>950000.0</v>
      </c>
      <c r="E6" s="7">
        <f t="shared" si="1"/>
        <v>3800000</v>
      </c>
    </row>
    <row r="7">
      <c r="B7" s="5" t="s">
        <v>9</v>
      </c>
      <c r="C7" s="6">
        <v>4.0</v>
      </c>
      <c r="D7" s="7">
        <v>599000.0</v>
      </c>
      <c r="E7" s="7">
        <f t="shared" si="1"/>
        <v>2396000</v>
      </c>
    </row>
    <row r="8">
      <c r="B8" s="5" t="s">
        <v>10</v>
      </c>
      <c r="C8" s="6">
        <v>4.0</v>
      </c>
      <c r="D8" s="7">
        <v>620000.0</v>
      </c>
      <c r="E8" s="7">
        <f t="shared" si="1"/>
        <v>2480000</v>
      </c>
    </row>
    <row r="9">
      <c r="B9" s="5" t="s">
        <v>11</v>
      </c>
      <c r="C9" s="6">
        <v>4.0</v>
      </c>
      <c r="D9" s="7">
        <v>450000.0</v>
      </c>
      <c r="E9" s="7">
        <f t="shared" si="1"/>
        <v>1800000</v>
      </c>
    </row>
    <row r="10">
      <c r="B10" s="5" t="s">
        <v>12</v>
      </c>
      <c r="C10" s="6">
        <v>1.0</v>
      </c>
      <c r="D10" s="7">
        <v>265000.0</v>
      </c>
      <c r="E10" s="7">
        <f t="shared" si="1"/>
        <v>265000</v>
      </c>
    </row>
    <row r="11">
      <c r="B11" s="5" t="s">
        <v>13</v>
      </c>
      <c r="C11" s="6">
        <v>1.0</v>
      </c>
      <c r="D11" s="7">
        <v>400000.0</v>
      </c>
      <c r="E11" s="7">
        <f t="shared" si="1"/>
        <v>400000</v>
      </c>
    </row>
    <row r="12">
      <c r="B12" s="8"/>
      <c r="C12" s="9"/>
      <c r="D12" s="10"/>
      <c r="E12" s="7">
        <f t="shared" si="1"/>
        <v>0</v>
      </c>
    </row>
    <row r="13">
      <c r="B13" s="11" t="s">
        <v>14</v>
      </c>
      <c r="C13" s="2"/>
      <c r="D13" s="3"/>
      <c r="E13" s="7">
        <f>SUM(E5:E12)</f>
        <v>36091400</v>
      </c>
    </row>
  </sheetData>
  <mergeCells count="4">
    <mergeCell ref="B2:E2"/>
    <mergeCell ref="B3:C3"/>
    <mergeCell ref="D3:E3"/>
    <mergeCell ref="B13:D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5.13"/>
    <col customWidth="1" min="6" max="6" width="22.0"/>
    <col customWidth="1" min="7" max="7" width="25.88"/>
    <col customWidth="1" min="10" max="10" width="14.13"/>
    <col customWidth="1" min="11" max="11" width="16.63"/>
  </cols>
  <sheetData>
    <row r="1" ht="20.25" customHeight="1"/>
    <row r="2" ht="33.75" customHeight="1">
      <c r="B2" s="12" t="s">
        <v>15</v>
      </c>
      <c r="C2" s="2"/>
      <c r="D2" s="2"/>
      <c r="E2" s="2"/>
      <c r="F2" s="2"/>
      <c r="G2" s="2"/>
      <c r="H2" s="3"/>
      <c r="J2" s="13" t="s">
        <v>16</v>
      </c>
      <c r="K2" s="14" t="s">
        <v>17</v>
      </c>
      <c r="M2" s="15" t="s">
        <v>18</v>
      </c>
      <c r="N2" s="16" t="s">
        <v>4</v>
      </c>
      <c r="O2" s="16" t="s">
        <v>19</v>
      </c>
      <c r="R2" s="17" t="s">
        <v>20</v>
      </c>
    </row>
    <row r="3">
      <c r="B3" s="18" t="s">
        <v>1</v>
      </c>
      <c r="C3" s="2"/>
      <c r="D3" s="2"/>
      <c r="E3" s="3"/>
      <c r="F3" s="18" t="s">
        <v>21</v>
      </c>
      <c r="G3" s="2"/>
      <c r="H3" s="3"/>
      <c r="J3" s="19">
        <v>1400000.0</v>
      </c>
      <c r="K3" s="19">
        <v>140606.0</v>
      </c>
      <c r="M3" s="6" t="s">
        <v>22</v>
      </c>
      <c r="N3" s="6">
        <v>1.0</v>
      </c>
      <c r="O3" s="7">
        <v>1600000.0</v>
      </c>
      <c r="R3" s="20">
        <f>SUM(Q18:R21)+J3*4</f>
        <v>8234237.333</v>
      </c>
    </row>
    <row r="4">
      <c r="B4" s="21" t="s">
        <v>3</v>
      </c>
      <c r="C4" s="2"/>
      <c r="D4" s="3"/>
      <c r="E4" s="4" t="s">
        <v>23</v>
      </c>
      <c r="F4" s="4" t="s">
        <v>24</v>
      </c>
      <c r="G4" s="21" t="s">
        <v>25</v>
      </c>
      <c r="H4" s="3"/>
      <c r="M4" s="6" t="s">
        <v>26</v>
      </c>
      <c r="N4" s="6">
        <v>1.0</v>
      </c>
      <c r="O4" s="7">
        <v>2000000.0</v>
      </c>
    </row>
    <row r="5">
      <c r="B5" s="22" t="s">
        <v>27</v>
      </c>
      <c r="C5" s="2"/>
      <c r="D5" s="3"/>
      <c r="E5" s="23"/>
      <c r="F5" s="24"/>
      <c r="G5" s="25">
        <v>200000.0</v>
      </c>
      <c r="H5" s="3"/>
      <c r="J5" s="26" t="s">
        <v>28</v>
      </c>
      <c r="M5" s="6" t="s">
        <v>22</v>
      </c>
      <c r="N5" s="6">
        <v>1.0</v>
      </c>
      <c r="O5" s="7">
        <v>1600000.0</v>
      </c>
    </row>
    <row r="6">
      <c r="B6" s="22" t="s">
        <v>29</v>
      </c>
      <c r="C6" s="2"/>
      <c r="D6" s="3"/>
      <c r="E6" s="23"/>
      <c r="F6" s="24"/>
      <c r="G6" s="25">
        <v>70000.0</v>
      </c>
      <c r="H6" s="3"/>
      <c r="J6" s="20"/>
      <c r="M6" s="6" t="s">
        <v>22</v>
      </c>
      <c r="N6" s="6">
        <v>1.0</v>
      </c>
      <c r="O6" s="7">
        <v>1600000.0</v>
      </c>
    </row>
    <row r="7">
      <c r="B7" s="22" t="s">
        <v>30</v>
      </c>
      <c r="C7" s="2"/>
      <c r="D7" s="3"/>
      <c r="E7" s="27">
        <v>4.0</v>
      </c>
      <c r="F7" s="19">
        <f>J3*4</f>
        <v>5600000</v>
      </c>
      <c r="G7" s="28">
        <f>J3+K3*4</f>
        <v>1962424</v>
      </c>
      <c r="H7" s="3"/>
      <c r="M7" s="1" t="s">
        <v>31</v>
      </c>
      <c r="N7" s="3"/>
      <c r="O7" s="7">
        <v>1600000.0</v>
      </c>
    </row>
    <row r="8">
      <c r="B8" s="22" t="s">
        <v>32</v>
      </c>
      <c r="C8" s="2"/>
      <c r="D8" s="3"/>
      <c r="E8" s="23"/>
      <c r="F8" s="24"/>
      <c r="G8" s="25">
        <v>44000.0</v>
      </c>
      <c r="H8" s="3"/>
    </row>
    <row r="9">
      <c r="B9" s="22" t="s">
        <v>33</v>
      </c>
      <c r="C9" s="2"/>
      <c r="D9" s="3"/>
      <c r="E9" s="23"/>
      <c r="F9" s="24"/>
      <c r="G9" s="28"/>
      <c r="H9" s="3"/>
    </row>
    <row r="10">
      <c r="B10" s="1" t="s">
        <v>34</v>
      </c>
      <c r="C10" s="2"/>
      <c r="D10" s="2"/>
      <c r="E10" s="2"/>
      <c r="F10" s="3"/>
      <c r="G10" s="28">
        <f>G5+G6+G7+G8</f>
        <v>2276424</v>
      </c>
      <c r="H10" s="3"/>
    </row>
    <row r="11">
      <c r="B11" s="29"/>
      <c r="C11" s="2"/>
      <c r="D11" s="3"/>
      <c r="E11" s="23"/>
      <c r="F11" s="24"/>
      <c r="G11" s="28"/>
      <c r="H11" s="3"/>
    </row>
    <row r="12">
      <c r="B12" s="29"/>
      <c r="C12" s="2"/>
      <c r="D12" s="3"/>
      <c r="E12" s="23"/>
      <c r="F12" s="24"/>
      <c r="G12" s="28"/>
      <c r="H12" s="3"/>
    </row>
    <row r="13">
      <c r="B13" s="29"/>
      <c r="C13" s="2"/>
      <c r="D13" s="3"/>
      <c r="E13" s="23"/>
      <c r="F13" s="24"/>
      <c r="G13" s="28"/>
      <c r="H13" s="3"/>
    </row>
    <row r="16">
      <c r="A16" s="30"/>
      <c r="C16" s="31" t="s">
        <v>35</v>
      </c>
      <c r="D16" s="32"/>
      <c r="E16" s="33" t="s">
        <v>36</v>
      </c>
      <c r="F16" s="33" t="s">
        <v>37</v>
      </c>
      <c r="G16" s="34" t="s">
        <v>38</v>
      </c>
      <c r="H16" s="32"/>
      <c r="I16" s="34" t="s">
        <v>39</v>
      </c>
      <c r="J16" s="32"/>
      <c r="K16" s="34" t="s">
        <v>40</v>
      </c>
      <c r="L16" s="32"/>
      <c r="M16" s="34" t="s">
        <v>41</v>
      </c>
      <c r="N16" s="32"/>
      <c r="O16" s="34" t="s">
        <v>42</v>
      </c>
      <c r="P16" s="32"/>
      <c r="Q16" s="34" t="s">
        <v>43</v>
      </c>
      <c r="R16" s="32"/>
    </row>
    <row r="17">
      <c r="A17" s="35"/>
      <c r="B17" s="35"/>
      <c r="C17" s="35"/>
      <c r="D17" s="36"/>
      <c r="E17" s="37"/>
      <c r="F17" s="37"/>
      <c r="G17" s="38"/>
      <c r="H17" s="36"/>
      <c r="I17" s="38"/>
      <c r="J17" s="36"/>
      <c r="K17" s="38"/>
      <c r="L17" s="36"/>
      <c r="M17" s="38"/>
      <c r="N17" s="36"/>
      <c r="O17" s="38"/>
      <c r="P17" s="36"/>
      <c r="Q17" s="38"/>
      <c r="R17" s="36"/>
    </row>
    <row r="18">
      <c r="A18" s="39" t="str">
        <f t="shared" ref="A18:A21" si="1">M3</f>
        <v>desarrollador</v>
      </c>
      <c r="B18" s="36"/>
      <c r="C18" s="40">
        <f>J3*30/360</f>
        <v>116666.6667</v>
      </c>
      <c r="D18" s="3"/>
      <c r="E18" s="24">
        <f>J3*8.33%</f>
        <v>116620</v>
      </c>
      <c r="F18" s="41">
        <f>J3*0.12*360/360</f>
        <v>168000</v>
      </c>
      <c r="G18" s="40">
        <f>J3/360*O18</f>
        <v>116666.6667</v>
      </c>
      <c r="H18" s="3"/>
      <c r="I18" s="29">
        <f>IF(J3&lt;=2000000, 140606, 0) </f>
        <v>140606</v>
      </c>
      <c r="J18" s="3"/>
      <c r="K18" s="29" t="str">
        <f>DATE()</f>
        <v>#N/A</v>
      </c>
      <c r="L18" s="3"/>
      <c r="M18" s="29"/>
      <c r="N18" s="3"/>
      <c r="O18" s="22">
        <v>30.0</v>
      </c>
      <c r="P18" s="3"/>
      <c r="Q18" s="40">
        <f t="shared" ref="Q18:Q21" si="2">C18+E18+F18+G18+I18</f>
        <v>658559.3333</v>
      </c>
      <c r="R18" s="3"/>
    </row>
    <row r="19">
      <c r="A19" s="1" t="str">
        <f t="shared" si="1"/>
        <v>administrativo</v>
      </c>
      <c r="B19" s="3"/>
      <c r="C19" s="40">
        <f>J3*30/360</f>
        <v>116666.6667</v>
      </c>
      <c r="D19" s="3"/>
      <c r="E19" s="42">
        <f>J3*8.33%</f>
        <v>116620</v>
      </c>
      <c r="F19" s="41">
        <f>J3*0.12*360/360</f>
        <v>168000</v>
      </c>
      <c r="G19" s="40">
        <f>J3/360*O19</f>
        <v>116666.6667</v>
      </c>
      <c r="H19" s="3"/>
      <c r="I19" s="29">
        <f>IF(J3&lt;=2000000, 140606, 0) </f>
        <v>140606</v>
      </c>
      <c r="J19" s="3"/>
      <c r="K19" s="29"/>
      <c r="L19" s="3"/>
      <c r="M19" s="29"/>
      <c r="N19" s="3"/>
      <c r="O19" s="22">
        <v>30.0</v>
      </c>
      <c r="P19" s="3"/>
      <c r="Q19" s="40">
        <f t="shared" si="2"/>
        <v>658559.3333</v>
      </c>
      <c r="R19" s="3"/>
    </row>
    <row r="20">
      <c r="A20" s="1" t="str">
        <f t="shared" si="1"/>
        <v>desarrollador</v>
      </c>
      <c r="B20" s="3"/>
      <c r="C20" s="40">
        <f>J3*30/360</f>
        <v>116666.6667</v>
      </c>
      <c r="D20" s="3"/>
      <c r="E20" s="42">
        <f>J3*8.33%</f>
        <v>116620</v>
      </c>
      <c r="F20" s="41">
        <f>J3*0.12*360/360</f>
        <v>168000</v>
      </c>
      <c r="G20" s="40">
        <f>J3/360*O20</f>
        <v>116666.6667</v>
      </c>
      <c r="H20" s="3"/>
      <c r="I20" s="29">
        <f>IF(J3&lt;=2000000, 140606, 0) </f>
        <v>140606</v>
      </c>
      <c r="J20" s="3"/>
      <c r="K20" s="29"/>
      <c r="L20" s="3"/>
      <c r="M20" s="29"/>
      <c r="N20" s="3"/>
      <c r="O20" s="22">
        <v>30.0</v>
      </c>
      <c r="P20" s="3"/>
      <c r="Q20" s="40">
        <f t="shared" si="2"/>
        <v>658559.3333</v>
      </c>
      <c r="R20" s="3"/>
    </row>
    <row r="21">
      <c r="A21" s="1" t="str">
        <f t="shared" si="1"/>
        <v>desarrollador</v>
      </c>
      <c r="B21" s="3"/>
      <c r="C21" s="40">
        <f>J3*30/360</f>
        <v>116666.6667</v>
      </c>
      <c r="D21" s="3"/>
      <c r="E21" s="42">
        <f>J3*8.33%</f>
        <v>116620</v>
      </c>
      <c r="F21" s="41">
        <f>J3*0.12*360/360</f>
        <v>168000</v>
      </c>
      <c r="G21" s="40">
        <f>J3/360*O21</f>
        <v>116666.6667</v>
      </c>
      <c r="H21" s="3"/>
      <c r="I21" s="29">
        <f>IF(J3&lt;=2000000, 140606, 0) </f>
        <v>140606</v>
      </c>
      <c r="J21" s="3"/>
      <c r="K21" s="29"/>
      <c r="L21" s="3"/>
      <c r="M21" s="29"/>
      <c r="N21" s="3"/>
      <c r="O21" s="22">
        <v>30.0</v>
      </c>
      <c r="P21" s="3"/>
      <c r="Q21" s="40">
        <f t="shared" si="2"/>
        <v>658559.3333</v>
      </c>
      <c r="R21" s="3"/>
    </row>
  </sheetData>
  <mergeCells count="66">
    <mergeCell ref="C18:D18"/>
    <mergeCell ref="G18:H18"/>
    <mergeCell ref="I18:J18"/>
    <mergeCell ref="K18:L18"/>
    <mergeCell ref="M18:N18"/>
    <mergeCell ref="O18:P18"/>
    <mergeCell ref="Q18:R18"/>
    <mergeCell ref="A18:B18"/>
    <mergeCell ref="A19:B19"/>
    <mergeCell ref="C19:D19"/>
    <mergeCell ref="G19:H19"/>
    <mergeCell ref="I19:J19"/>
    <mergeCell ref="K19:L19"/>
    <mergeCell ref="M19:N19"/>
    <mergeCell ref="O19:P19"/>
    <mergeCell ref="Q19:R19"/>
    <mergeCell ref="C20:D20"/>
    <mergeCell ref="G20:H20"/>
    <mergeCell ref="I20:J20"/>
    <mergeCell ref="K20:L20"/>
    <mergeCell ref="M20:N20"/>
    <mergeCell ref="O20:P20"/>
    <mergeCell ref="Q20:R20"/>
    <mergeCell ref="G5:H5"/>
    <mergeCell ref="G6:H6"/>
    <mergeCell ref="B2:H2"/>
    <mergeCell ref="B3:E3"/>
    <mergeCell ref="F3:H3"/>
    <mergeCell ref="B4:D4"/>
    <mergeCell ref="G4:H4"/>
    <mergeCell ref="B5:D5"/>
    <mergeCell ref="B6:D6"/>
    <mergeCell ref="B7:D7"/>
    <mergeCell ref="G7:H7"/>
    <mergeCell ref="M7:N7"/>
    <mergeCell ref="B8:D8"/>
    <mergeCell ref="G8:H8"/>
    <mergeCell ref="B9:D9"/>
    <mergeCell ref="G9:H9"/>
    <mergeCell ref="B10:F10"/>
    <mergeCell ref="G10:H10"/>
    <mergeCell ref="B11:D11"/>
    <mergeCell ref="G11:H11"/>
    <mergeCell ref="B12:D12"/>
    <mergeCell ref="G12:H12"/>
    <mergeCell ref="G13:H13"/>
    <mergeCell ref="K16:L17"/>
    <mergeCell ref="M16:N17"/>
    <mergeCell ref="O16:P17"/>
    <mergeCell ref="Q16:R17"/>
    <mergeCell ref="B13:D13"/>
    <mergeCell ref="A16:B17"/>
    <mergeCell ref="C16:D17"/>
    <mergeCell ref="E16:E17"/>
    <mergeCell ref="F16:F17"/>
    <mergeCell ref="G16:H17"/>
    <mergeCell ref="I16:J17"/>
    <mergeCell ref="O21:P21"/>
    <mergeCell ref="Q21:R21"/>
    <mergeCell ref="A20:B20"/>
    <mergeCell ref="A21:B21"/>
    <mergeCell ref="C21:D21"/>
    <mergeCell ref="G21:H21"/>
    <mergeCell ref="I21:J21"/>
    <mergeCell ref="K21:L21"/>
    <mergeCell ref="M21:N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37.63"/>
    <col customWidth="1" min="3" max="3" width="24.75"/>
    <col customWidth="1" min="4" max="4" width="15.0"/>
    <col customWidth="1" min="5" max="5" width="23.38"/>
    <col customWidth="1" min="6" max="6" width="20.63"/>
    <col customWidth="1" min="7" max="7" width="17.75"/>
  </cols>
  <sheetData>
    <row r="2">
      <c r="A2" s="1"/>
      <c r="B2" s="1" t="s">
        <v>44</v>
      </c>
      <c r="C2" s="2"/>
      <c r="D2" s="2"/>
      <c r="E2" s="2"/>
      <c r="F2" s="2"/>
      <c r="G2" s="3"/>
    </row>
    <row r="3">
      <c r="A3" s="1"/>
      <c r="B3" s="1" t="s">
        <v>45</v>
      </c>
      <c r="C3" s="2"/>
      <c r="D3" s="3"/>
      <c r="E3" s="1" t="s">
        <v>46</v>
      </c>
      <c r="F3" s="43"/>
      <c r="G3" s="44"/>
    </row>
    <row r="4" ht="54.0" customHeight="1">
      <c r="A4" s="1"/>
      <c r="B4" s="45" t="s">
        <v>47</v>
      </c>
      <c r="C4" s="16" t="s">
        <v>48</v>
      </c>
      <c r="D4" s="16" t="s">
        <v>49</v>
      </c>
      <c r="E4" s="16" t="s">
        <v>50</v>
      </c>
      <c r="F4" s="16" t="s">
        <v>51</v>
      </c>
      <c r="G4" s="16" t="s">
        <v>52</v>
      </c>
    </row>
    <row r="5">
      <c r="A5" s="46"/>
      <c r="B5" s="6" t="s">
        <v>53</v>
      </c>
      <c r="C5" s="10">
        <f>inversion!E11</f>
        <v>400000</v>
      </c>
      <c r="D5" s="6">
        <v>45.0</v>
      </c>
      <c r="E5" s="47">
        <v>0.05</v>
      </c>
      <c r="F5" s="7">
        <f t="shared" ref="F5:F7" si="1">(1/D5+C5)*2.22</f>
        <v>888000.0493</v>
      </c>
      <c r="G5" s="7">
        <f t="shared" ref="G5:G11" si="2">C5/D5</f>
        <v>8888.888889</v>
      </c>
    </row>
    <row r="6">
      <c r="A6" s="46"/>
      <c r="B6" s="6" t="s">
        <v>54</v>
      </c>
      <c r="C6" s="10">
        <f>inversion!E5+E7+E6</f>
        <v>24950400.6</v>
      </c>
      <c r="D6" s="6">
        <v>5.0</v>
      </c>
      <c r="E6" s="47">
        <v>0.4</v>
      </c>
      <c r="F6" s="7">
        <f t="shared" si="1"/>
        <v>55389889.78</v>
      </c>
      <c r="G6" s="7">
        <f t="shared" si="2"/>
        <v>4990080.12</v>
      </c>
    </row>
    <row r="7">
      <c r="A7" s="46"/>
      <c r="B7" s="6" t="s">
        <v>55</v>
      </c>
      <c r="C7" s="10">
        <f>inversion!E8+inversion!E9</f>
        <v>4280000</v>
      </c>
      <c r="D7" s="6">
        <v>10.0</v>
      </c>
      <c r="E7" s="47">
        <v>0.2</v>
      </c>
      <c r="F7" s="7">
        <f t="shared" si="1"/>
        <v>9501600.222</v>
      </c>
      <c r="G7" s="7">
        <f t="shared" si="2"/>
        <v>428000</v>
      </c>
    </row>
    <row r="8">
      <c r="A8" s="46"/>
      <c r="B8" s="6" t="s">
        <v>56</v>
      </c>
      <c r="C8" s="10">
        <f>'Ingresos '!G6-inversion!E13/inversion!E13*100</f>
        <v>71999900</v>
      </c>
      <c r="D8" s="6">
        <v>5.0</v>
      </c>
      <c r="E8" s="47">
        <v>0.27</v>
      </c>
      <c r="F8" s="7">
        <f t="shared" ref="F8:F11" si="3">(1/C8+E8)*2.22</f>
        <v>0.5994000308</v>
      </c>
      <c r="G8" s="7">
        <f t="shared" si="2"/>
        <v>14399980</v>
      </c>
    </row>
    <row r="9">
      <c r="A9" s="46"/>
      <c r="B9" s="6" t="s">
        <v>57</v>
      </c>
      <c r="C9" s="10">
        <f>inversion!E11</f>
        <v>400000</v>
      </c>
      <c r="D9" s="6">
        <v>2.0</v>
      </c>
      <c r="E9" s="47">
        <v>0.04</v>
      </c>
      <c r="F9" s="7">
        <f t="shared" si="3"/>
        <v>0.08880555</v>
      </c>
      <c r="G9" s="7">
        <f t="shared" si="2"/>
        <v>200000</v>
      </c>
    </row>
    <row r="10">
      <c r="A10" s="46"/>
      <c r="B10" s="6" t="s">
        <v>58</v>
      </c>
      <c r="C10" s="10">
        <f>60000*4</f>
        <v>240000</v>
      </c>
      <c r="D10" s="6">
        <v>2.0</v>
      </c>
      <c r="E10" s="47">
        <v>0.02</v>
      </c>
      <c r="F10" s="7">
        <f t="shared" si="3"/>
        <v>0.04440925</v>
      </c>
      <c r="G10" s="7">
        <f t="shared" si="2"/>
        <v>120000</v>
      </c>
    </row>
    <row r="11">
      <c r="A11" s="46"/>
      <c r="B11" s="6" t="s">
        <v>59</v>
      </c>
      <c r="C11" s="10">
        <f>inversion!E13</f>
        <v>36091400</v>
      </c>
      <c r="D11" s="9">
        <f t="shared" ref="D11:E11" si="4">SUM(D5:D10)</f>
        <v>69</v>
      </c>
      <c r="E11" s="47">
        <f t="shared" si="4"/>
        <v>0.98</v>
      </c>
      <c r="F11" s="7">
        <f t="shared" si="3"/>
        <v>2.175600062</v>
      </c>
      <c r="G11" s="7">
        <f t="shared" si="2"/>
        <v>523063.7681</v>
      </c>
    </row>
    <row r="12">
      <c r="A12" s="46"/>
      <c r="B12" s="9"/>
      <c r="C12" s="9"/>
      <c r="D12" s="9"/>
      <c r="E12" s="48"/>
      <c r="F12" s="7"/>
      <c r="G12" s="7">
        <v>0.0</v>
      </c>
    </row>
    <row r="13">
      <c r="A13" s="46"/>
      <c r="B13" s="1" t="s">
        <v>60</v>
      </c>
      <c r="C13" s="2"/>
      <c r="D13" s="2"/>
      <c r="E13" s="2"/>
      <c r="F13" s="3"/>
      <c r="G13" s="10">
        <f>SUM(F5:F12)</f>
        <v>65779492.96</v>
      </c>
    </row>
  </sheetData>
  <mergeCells count="3">
    <mergeCell ref="B2:G2"/>
    <mergeCell ref="B3:D3"/>
    <mergeCell ref="B13:F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</cols>
  <sheetData>
    <row r="2">
      <c r="B2" s="1" t="s">
        <v>61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>
      <c r="B3" s="21" t="s">
        <v>62</v>
      </c>
      <c r="C3" s="2"/>
      <c r="D3" s="2"/>
      <c r="E3" s="2"/>
      <c r="F3" s="2"/>
      <c r="G3" s="2"/>
      <c r="H3" s="3"/>
      <c r="J3" s="21" t="s">
        <v>63</v>
      </c>
      <c r="K3" s="2"/>
      <c r="L3" s="2"/>
      <c r="M3" s="2"/>
      <c r="N3" s="2"/>
      <c r="O3" s="2"/>
      <c r="P3" s="3"/>
    </row>
    <row r="4">
      <c r="B4" s="49" t="s">
        <v>64</v>
      </c>
      <c r="C4" s="50" t="s">
        <v>65</v>
      </c>
      <c r="D4" s="32"/>
      <c r="E4" s="49" t="s">
        <v>66</v>
      </c>
      <c r="F4" s="49" t="s">
        <v>67</v>
      </c>
      <c r="G4" s="50" t="s">
        <v>68</v>
      </c>
      <c r="H4" s="32"/>
      <c r="J4" s="50" t="s">
        <v>69</v>
      </c>
      <c r="K4" s="32"/>
      <c r="L4" s="49" t="s">
        <v>70</v>
      </c>
      <c r="M4" s="50" t="s">
        <v>71</v>
      </c>
      <c r="N4" s="32"/>
      <c r="O4" s="49" t="s">
        <v>72</v>
      </c>
      <c r="P4" s="49" t="s">
        <v>73</v>
      </c>
    </row>
    <row r="5">
      <c r="B5" s="37"/>
      <c r="C5" s="38"/>
      <c r="D5" s="36"/>
      <c r="E5" s="37"/>
      <c r="F5" s="37"/>
      <c r="G5" s="38"/>
      <c r="H5" s="36"/>
      <c r="J5" s="38"/>
      <c r="K5" s="36"/>
      <c r="L5" s="37"/>
      <c r="M5" s="38"/>
      <c r="N5" s="36"/>
      <c r="O5" s="37"/>
      <c r="P5" s="37"/>
    </row>
    <row r="6">
      <c r="B6" s="27" t="s">
        <v>74</v>
      </c>
      <c r="C6" s="1">
        <v>42.0</v>
      </c>
      <c r="D6" s="3"/>
      <c r="E6" s="51">
        <v>1200000.0</v>
      </c>
      <c r="F6" s="24">
        <f>E6*12</f>
        <v>14400000</v>
      </c>
      <c r="G6" s="40">
        <f>F6*5</f>
        <v>72000000</v>
      </c>
      <c r="H6" s="3"/>
      <c r="J6" s="40">
        <f>SUM('costos variables'!G10)</f>
        <v>2276424</v>
      </c>
      <c r="K6" s="3"/>
      <c r="L6" s="52">
        <f>J6/G6*100</f>
        <v>3.1617</v>
      </c>
      <c r="M6" s="29"/>
      <c r="N6" s="3"/>
      <c r="O6" s="23"/>
      <c r="P6" s="23"/>
    </row>
  </sheetData>
  <mergeCells count="17">
    <mergeCell ref="G4:H5"/>
    <mergeCell ref="J4:K5"/>
    <mergeCell ref="L4:L5"/>
    <mergeCell ref="M4:N5"/>
    <mergeCell ref="O4:O5"/>
    <mergeCell ref="P4:P5"/>
    <mergeCell ref="C6:D6"/>
    <mergeCell ref="G6:H6"/>
    <mergeCell ref="J6:K6"/>
    <mergeCell ref="M6:N6"/>
    <mergeCell ref="B2:P2"/>
    <mergeCell ref="B3:H3"/>
    <mergeCell ref="J3:P3"/>
    <mergeCell ref="B4:B5"/>
    <mergeCell ref="C4:D5"/>
    <mergeCell ref="E4:E5"/>
    <mergeCell ref="F4:F5"/>
  </mergeCells>
  <drawing r:id="rId1"/>
</worksheet>
</file>