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stDoc Experiments\Comparative\Repository\"/>
    </mc:Choice>
  </mc:AlternateContent>
  <xr:revisionPtr revIDLastSave="0" documentId="13_ncr:1_{61666FC8-1C3F-4DC2-A8D0-C76E2122E6C9}" xr6:coauthVersionLast="47" xr6:coauthVersionMax="47" xr10:uidLastSave="{00000000-0000-0000-0000-000000000000}"/>
  <bookViews>
    <workbookView xWindow="-28920" yWindow="-915" windowWidth="29040" windowHeight="15720" xr2:uid="{4A4660BA-7899-4826-A17E-ABE88500BBAD}"/>
  </bookViews>
  <sheets>
    <sheet name="Sheet3" sheetId="4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" i="4" l="1"/>
  <c r="D95" i="4"/>
  <c r="H17" i="5"/>
  <c r="G17" i="5"/>
  <c r="I17" i="5" s="1"/>
  <c r="I16" i="5"/>
  <c r="E119" i="4"/>
  <c r="D119" i="4"/>
  <c r="E76" i="4"/>
  <c r="D76" i="4"/>
  <c r="E23" i="4"/>
  <c r="D23" i="4"/>
  <c r="E14" i="4"/>
  <c r="E5" i="4"/>
  <c r="D4" i="4"/>
  <c r="D3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E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D5" i="4"/>
  <c r="E4" i="4"/>
  <c r="E3" i="4"/>
  <c r="E2" i="4"/>
  <c r="D2" i="4"/>
</calcChain>
</file>

<file path=xl/sharedStrings.xml><?xml version="1.0" encoding="utf-8"?>
<sst xmlns="http://schemas.openxmlformats.org/spreadsheetml/2006/main" count="408" uniqueCount="144">
  <si>
    <t>Genus</t>
  </si>
  <si>
    <t>species</t>
  </si>
  <si>
    <t>ID</t>
  </si>
  <si>
    <t>S421</t>
  </si>
  <si>
    <t>Acanthurus</t>
  </si>
  <si>
    <t>bahianus</t>
  </si>
  <si>
    <t>S423</t>
  </si>
  <si>
    <t>E45</t>
  </si>
  <si>
    <t>chirurgus</t>
  </si>
  <si>
    <t>S424</t>
  </si>
  <si>
    <t>coeruleus</t>
  </si>
  <si>
    <t>S427</t>
  </si>
  <si>
    <r>
      <t>P</t>
    </r>
    <r>
      <rPr>
        <sz val="11"/>
        <color theme="1"/>
        <rFont val="Aptos Narrow"/>
        <family val="2"/>
      </rPr>
      <t>F</t>
    </r>
    <r>
      <rPr>
        <sz val="11"/>
        <color theme="1"/>
        <rFont val="Aptos Narrow"/>
        <family val="2"/>
        <scheme val="minor"/>
      </rPr>
      <t>28</t>
    </r>
  </si>
  <si>
    <t>japonicus</t>
  </si>
  <si>
    <t>T24</t>
  </si>
  <si>
    <t>leucosternon</t>
  </si>
  <si>
    <t>T43</t>
  </si>
  <si>
    <t>T44</t>
  </si>
  <si>
    <t>lineatus</t>
  </si>
  <si>
    <t>W131</t>
  </si>
  <si>
    <t>nigrofuscus</t>
  </si>
  <si>
    <t>W65</t>
  </si>
  <si>
    <t>T44_2</t>
  </si>
  <si>
    <t>P45</t>
  </si>
  <si>
    <t>NULL1</t>
  </si>
  <si>
    <t>NULL2</t>
  </si>
  <si>
    <t>PF47</t>
  </si>
  <si>
    <t>W66</t>
  </si>
  <si>
    <t>W149</t>
  </si>
  <si>
    <t>xanthopterus</t>
  </si>
  <si>
    <t>Naso</t>
  </si>
  <si>
    <t>elegans</t>
  </si>
  <si>
    <t>NULL</t>
  </si>
  <si>
    <t>PF01</t>
  </si>
  <si>
    <t>PF02</t>
  </si>
  <si>
    <t>T45</t>
  </si>
  <si>
    <t>lituratus</t>
  </si>
  <si>
    <t>PF49</t>
  </si>
  <si>
    <t>W18</t>
  </si>
  <si>
    <t>W19</t>
  </si>
  <si>
    <t>W20</t>
  </si>
  <si>
    <t>Paracanthurus</t>
  </si>
  <si>
    <t>hepatus</t>
  </si>
  <si>
    <t>W157</t>
  </si>
  <si>
    <t>NULL3</t>
  </si>
  <si>
    <t>Prionurus</t>
  </si>
  <si>
    <t>laticlavius</t>
  </si>
  <si>
    <t>E24</t>
  </si>
  <si>
    <t>T20</t>
  </si>
  <si>
    <t>Zebrasoma</t>
  </si>
  <si>
    <t>desjardinii</t>
  </si>
  <si>
    <t>K81</t>
  </si>
  <si>
    <t>K83</t>
  </si>
  <si>
    <t>K84</t>
  </si>
  <si>
    <t>K85</t>
  </si>
  <si>
    <t>T_36</t>
  </si>
  <si>
    <t>veliferum</t>
  </si>
  <si>
    <t>T_42</t>
  </si>
  <si>
    <t>T_43</t>
  </si>
  <si>
    <t>T_44</t>
  </si>
  <si>
    <t>T_45</t>
  </si>
  <si>
    <t>W152</t>
  </si>
  <si>
    <t>bite_ratio</t>
  </si>
  <si>
    <t>uj_ratio</t>
  </si>
  <si>
    <t>lj_ratio</t>
  </si>
  <si>
    <t>sym</t>
  </si>
  <si>
    <t>achilles</t>
  </si>
  <si>
    <t>blochii</t>
  </si>
  <si>
    <t>W144</t>
  </si>
  <si>
    <t>W145</t>
  </si>
  <si>
    <t>fowleri</t>
  </si>
  <si>
    <t>PW5565</t>
  </si>
  <si>
    <t>K117</t>
  </si>
  <si>
    <t>gahhm</t>
  </si>
  <si>
    <t>K118</t>
  </si>
  <si>
    <t>K119</t>
  </si>
  <si>
    <t>K121</t>
  </si>
  <si>
    <t>K120</t>
  </si>
  <si>
    <t>leucopareius</t>
  </si>
  <si>
    <t>maculiceps</t>
  </si>
  <si>
    <t>mata</t>
  </si>
  <si>
    <t>PF27</t>
  </si>
  <si>
    <t>nigricans</t>
  </si>
  <si>
    <t>M594</t>
  </si>
  <si>
    <t>PF60</t>
  </si>
  <si>
    <t>PF61</t>
  </si>
  <si>
    <t>W115</t>
  </si>
  <si>
    <t>nigroris</t>
  </si>
  <si>
    <t>large</t>
  </si>
  <si>
    <t>small</t>
  </si>
  <si>
    <t>W147</t>
  </si>
  <si>
    <t>nigricauda</t>
  </si>
  <si>
    <t>olivaceus</t>
  </si>
  <si>
    <t>W71</t>
  </si>
  <si>
    <t>W72</t>
  </si>
  <si>
    <t>pyroferus</t>
  </si>
  <si>
    <t>sohal</t>
  </si>
  <si>
    <t>K113</t>
  </si>
  <si>
    <t>K114</t>
  </si>
  <si>
    <t>K115</t>
  </si>
  <si>
    <t>K116</t>
  </si>
  <si>
    <t>tennentii</t>
  </si>
  <si>
    <t>NULL4</t>
  </si>
  <si>
    <t>thompsonii</t>
  </si>
  <si>
    <t>W119</t>
  </si>
  <si>
    <t>676_7</t>
  </si>
  <si>
    <t>triostegus</t>
  </si>
  <si>
    <t>brevirostris</t>
  </si>
  <si>
    <t>W113</t>
  </si>
  <si>
    <t>W114</t>
  </si>
  <si>
    <t>vlamingii</t>
  </si>
  <si>
    <t>W88</t>
  </si>
  <si>
    <t>W92</t>
  </si>
  <si>
    <t>W93</t>
  </si>
  <si>
    <t>punctatus</t>
  </si>
  <si>
    <t>flavescens</t>
  </si>
  <si>
    <t>pw5583</t>
  </si>
  <si>
    <t>pw5585</t>
  </si>
  <si>
    <t>scopas</t>
  </si>
  <si>
    <t>PF24</t>
  </si>
  <si>
    <t>PF25</t>
  </si>
  <si>
    <t>PF26</t>
  </si>
  <si>
    <t>W63</t>
  </si>
  <si>
    <t>xanthurum</t>
  </si>
  <si>
    <t>null</t>
  </si>
  <si>
    <t>PF22</t>
  </si>
  <si>
    <t>K30</t>
  </si>
  <si>
    <t>K69</t>
  </si>
  <si>
    <t>K44</t>
  </si>
  <si>
    <t>guttatus</t>
  </si>
  <si>
    <t>Ctenochaetus</t>
  </si>
  <si>
    <t>strigosus</t>
  </si>
  <si>
    <t>Zanclus</t>
  </si>
  <si>
    <t>cornutus</t>
  </si>
  <si>
    <t>binotatus</t>
  </si>
  <si>
    <t>W59</t>
  </si>
  <si>
    <t>W60</t>
  </si>
  <si>
    <t>hawaiiensis</t>
  </si>
  <si>
    <t>M744</t>
  </si>
  <si>
    <t>striatus</t>
  </si>
  <si>
    <t>T42</t>
  </si>
  <si>
    <t>headflick_f</t>
  </si>
  <si>
    <t>uj_lateral_rotation</t>
  </si>
  <si>
    <t>lj_dorsoventral_flexion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</si>
</sst>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C21D-2A30-495D-B1AC-687725BFDA69}">
  <dimension ref="A1:E130"/>
  <sheetViews>
    <sheetView tabSelected="1" topLeftCell="A100" workbookViewId="0">
      <selection activeCell="I112" sqref="I112"/>
    </sheetView>
  </sheetViews>
  <sheetFormatPr defaultRowHeight="15" x14ac:dyDescent="0.25"/>
  <cols>
    <col min="1" max="1" width="9.140625" style="3"/>
    <col min="2" max="2" width="12.85546875" bestFit="1" customWidth="1"/>
    <col min="3" max="3" width="12.28515625" bestFit="1" customWidth="1"/>
    <col min="4" max="4" width="14" bestFit="1" customWidth="1"/>
    <col min="5" max="5" width="13.42578125" bestFit="1" customWidth="1"/>
    <col min="6" max="6" width="9.140625" customWidth="1"/>
    <col min="7" max="7" width="10.7109375" customWidth="1"/>
    <col min="8" max="9" width="10.5703125" bestFit="1" customWidth="1"/>
    <col min="10" max="10" width="10.5703125" customWidth="1"/>
    <col min="12" max="13" width="10" bestFit="1" customWidth="1"/>
  </cols>
  <sheetData>
    <row r="1" spans="1:5" x14ac:dyDescent="0.25">
      <c r="A1" s="2" t="s">
        <v>2</v>
      </c>
      <c r="B1" s="1" t="s">
        <v>0</v>
      </c>
      <c r="C1" s="1" t="s">
        <v>1</v>
      </c>
      <c r="D1" s="1" t="s">
        <v>63</v>
      </c>
      <c r="E1" s="1" t="s">
        <v>64</v>
      </c>
    </row>
    <row r="2" spans="1:5" x14ac:dyDescent="0.25">
      <c r="A2" s="3" t="s">
        <v>3</v>
      </c>
      <c r="B2" t="s">
        <v>4</v>
      </c>
      <c r="C2" t="s">
        <v>5</v>
      </c>
      <c r="D2">
        <f>0.69/0.708</f>
        <v>0.97457627118644063</v>
      </c>
      <c r="E2">
        <f>0.414/0.845</f>
        <v>0.48994082840236686</v>
      </c>
    </row>
    <row r="3" spans="1:5" x14ac:dyDescent="0.25">
      <c r="A3" s="3" t="s">
        <v>6</v>
      </c>
      <c r="B3" t="s">
        <v>4</v>
      </c>
      <c r="C3" t="s">
        <v>5</v>
      </c>
      <c r="D3">
        <f>1.332/1.343</f>
        <v>0.99180938198064039</v>
      </c>
      <c r="E3">
        <f>0.652/0.802</f>
        <v>0.81296758104738154</v>
      </c>
    </row>
    <row r="4" spans="1:5" x14ac:dyDescent="0.25">
      <c r="A4" s="3" t="s">
        <v>7</v>
      </c>
      <c r="B4" t="s">
        <v>4</v>
      </c>
      <c r="C4" t="s">
        <v>8</v>
      </c>
      <c r="D4">
        <f>1.292/1.332</f>
        <v>0.96996996996996998</v>
      </c>
      <c r="E4">
        <f>0.594/0.707</f>
        <v>0.8401697312588402</v>
      </c>
    </row>
    <row r="5" spans="1:5" x14ac:dyDescent="0.25">
      <c r="A5" s="3" t="s">
        <v>9</v>
      </c>
      <c r="B5" t="s">
        <v>4</v>
      </c>
      <c r="C5" t="s">
        <v>8</v>
      </c>
      <c r="D5">
        <f>0.906/1.214</f>
        <v>0.74629324546952225</v>
      </c>
      <c r="E5">
        <f>1.174/1.306</f>
        <v>0.89892802450229703</v>
      </c>
    </row>
    <row r="6" spans="1:5" x14ac:dyDescent="0.25">
      <c r="B6" t="s">
        <v>4</v>
      </c>
      <c r="C6" t="s">
        <v>10</v>
      </c>
      <c r="D6">
        <f>1.639/1.849</f>
        <v>0.88642509464575447</v>
      </c>
      <c r="E6">
        <f>0.998/1.255</f>
        <v>0.79521912350597612</v>
      </c>
    </row>
    <row r="7" spans="1:5" x14ac:dyDescent="0.25">
      <c r="A7" s="3" t="s">
        <v>11</v>
      </c>
      <c r="B7" t="s">
        <v>4</v>
      </c>
      <c r="C7" t="s">
        <v>10</v>
      </c>
      <c r="D7">
        <f>1.409/1.519</f>
        <v>0.92758393680052675</v>
      </c>
      <c r="E7">
        <f>0.7/1.05</f>
        <v>0.66666666666666663</v>
      </c>
    </row>
    <row r="8" spans="1:5" x14ac:dyDescent="0.25">
      <c r="A8" s="3" t="s">
        <v>12</v>
      </c>
      <c r="B8" t="s">
        <v>4</v>
      </c>
      <c r="C8" t="s">
        <v>13</v>
      </c>
      <c r="D8">
        <f>0.452/0.656</f>
        <v>0.68902439024390238</v>
      </c>
      <c r="E8">
        <f>0.201/0.653</f>
        <v>0.30781010719754975</v>
      </c>
    </row>
    <row r="9" spans="1:5" x14ac:dyDescent="0.25">
      <c r="A9" s="3" t="s">
        <v>14</v>
      </c>
      <c r="B9" t="s">
        <v>4</v>
      </c>
      <c r="C9" t="s">
        <v>15</v>
      </c>
      <c r="D9">
        <f>0.515/0.798</f>
        <v>0.64536340852130325</v>
      </c>
      <c r="E9">
        <f>0.148/0.611</f>
        <v>0.24222585924713583</v>
      </c>
    </row>
    <row r="10" spans="1:5" x14ac:dyDescent="0.25">
      <c r="A10" s="3" t="s">
        <v>16</v>
      </c>
      <c r="B10" t="s">
        <v>4</v>
      </c>
      <c r="C10" t="s">
        <v>15</v>
      </c>
      <c r="D10">
        <f>0.393/0.622</f>
        <v>0.63183279742765275</v>
      </c>
      <c r="E10">
        <f>0.16/0.61</f>
        <v>0.26229508196721313</v>
      </c>
    </row>
    <row r="11" spans="1:5" x14ac:dyDescent="0.25">
      <c r="A11" s="3" t="s">
        <v>17</v>
      </c>
      <c r="B11" t="s">
        <v>4</v>
      </c>
      <c r="C11" t="s">
        <v>15</v>
      </c>
      <c r="D11">
        <f>0.487/0.743</f>
        <v>0.65545087483176312</v>
      </c>
      <c r="E11">
        <f>0.231/0.606</f>
        <v>0.38118811881188119</v>
      </c>
    </row>
    <row r="12" spans="1:5" x14ac:dyDescent="0.25">
      <c r="A12" s="3" t="s">
        <v>22</v>
      </c>
      <c r="B12" t="s">
        <v>4</v>
      </c>
      <c r="C12" t="s">
        <v>15</v>
      </c>
      <c r="D12">
        <f>0.516/0.98</f>
        <v>0.52653061224489794</v>
      </c>
      <c r="E12">
        <f>0.161/0.724</f>
        <v>0.22237569060773482</v>
      </c>
    </row>
    <row r="13" spans="1:5" x14ac:dyDescent="0.25">
      <c r="A13" s="3" t="s">
        <v>23</v>
      </c>
      <c r="B13" t="s">
        <v>4</v>
      </c>
      <c r="C13" t="s">
        <v>15</v>
      </c>
      <c r="D13">
        <f>0.489/0.825</f>
        <v>0.59272727272727277</v>
      </c>
      <c r="E13">
        <f>0.251/0.862</f>
        <v>0.29118329466357307</v>
      </c>
    </row>
    <row r="14" spans="1:5" x14ac:dyDescent="0.25">
      <c r="A14" s="3" t="s">
        <v>24</v>
      </c>
      <c r="B14" t="s">
        <v>4</v>
      </c>
      <c r="C14" t="s">
        <v>18</v>
      </c>
      <c r="D14">
        <f>0.608/0.826</f>
        <v>0.73607748184019373</v>
      </c>
      <c r="E14">
        <f>0.488/0.507</f>
        <v>0.96252465483234706</v>
      </c>
    </row>
    <row r="15" spans="1:5" x14ac:dyDescent="0.25">
      <c r="A15" s="3" t="s">
        <v>19</v>
      </c>
      <c r="B15" t="s">
        <v>4</v>
      </c>
      <c r="C15" t="s">
        <v>18</v>
      </c>
      <c r="D15">
        <f>0.547/0.708</f>
        <v>0.7725988700564973</v>
      </c>
      <c r="E15">
        <f>0.168/0.456</f>
        <v>0.36842105263157898</v>
      </c>
    </row>
    <row r="16" spans="1:5" x14ac:dyDescent="0.25">
      <c r="A16" s="3" t="s">
        <v>25</v>
      </c>
      <c r="B16" t="s">
        <v>4</v>
      </c>
      <c r="C16" t="s">
        <v>18</v>
      </c>
      <c r="D16">
        <f>0.635/0.824</f>
        <v>0.77063106796116509</v>
      </c>
      <c r="E16">
        <f>0.239/0.643</f>
        <v>0.3716951788491446</v>
      </c>
    </row>
    <row r="17" spans="1:5" x14ac:dyDescent="0.25">
      <c r="A17" s="3" t="s">
        <v>26</v>
      </c>
      <c r="B17" t="s">
        <v>4</v>
      </c>
      <c r="C17" t="s">
        <v>18</v>
      </c>
      <c r="D17">
        <f>0.553/0.719</f>
        <v>0.76912378303198892</v>
      </c>
      <c r="E17">
        <f>0.333/0.577</f>
        <v>0.57712305025996546</v>
      </c>
    </row>
    <row r="18" spans="1:5" x14ac:dyDescent="0.25">
      <c r="A18" s="3">
        <v>674</v>
      </c>
      <c r="B18" t="s">
        <v>4</v>
      </c>
      <c r="C18" t="s">
        <v>20</v>
      </c>
      <c r="D18">
        <f>0.769/0.788</f>
        <v>0.9758883248730964</v>
      </c>
      <c r="E18">
        <f>0.262/0.63</f>
        <v>0.41587301587301589</v>
      </c>
    </row>
    <row r="19" spans="1:5" x14ac:dyDescent="0.25">
      <c r="A19" s="3">
        <v>4308</v>
      </c>
      <c r="B19" t="s">
        <v>4</v>
      </c>
      <c r="C19" t="s">
        <v>20</v>
      </c>
      <c r="D19">
        <f>0.854/0.896</f>
        <v>0.953125</v>
      </c>
      <c r="E19">
        <f>0.212/0.652</f>
        <v>0.32515337423312879</v>
      </c>
    </row>
    <row r="20" spans="1:5" x14ac:dyDescent="0.25">
      <c r="A20" s="3" t="s">
        <v>21</v>
      </c>
      <c r="B20" t="s">
        <v>4</v>
      </c>
      <c r="C20" t="s">
        <v>20</v>
      </c>
      <c r="D20">
        <f>0.798/1.017</f>
        <v>0.78466076696165199</v>
      </c>
      <c r="E20">
        <f>0.211/0.852</f>
        <v>0.24765258215962441</v>
      </c>
    </row>
    <row r="21" spans="1:5" x14ac:dyDescent="0.25">
      <c r="A21" s="3" t="s">
        <v>27</v>
      </c>
      <c r="B21" t="s">
        <v>4</v>
      </c>
      <c r="C21" t="s">
        <v>20</v>
      </c>
      <c r="D21">
        <f>0.624/1.022</f>
        <v>0.61056751467710368</v>
      </c>
      <c r="E21">
        <f>0.5/0.851</f>
        <v>0.58754406580493534</v>
      </c>
    </row>
    <row r="22" spans="1:5" x14ac:dyDescent="0.25">
      <c r="A22" s="3" t="s">
        <v>28</v>
      </c>
      <c r="B22" t="s">
        <v>4</v>
      </c>
      <c r="C22" t="s">
        <v>20</v>
      </c>
      <c r="D22">
        <f>0.906/0.971</f>
        <v>0.93305870236869215</v>
      </c>
      <c r="E22">
        <f>0.223/0.784</f>
        <v>0.28443877551020408</v>
      </c>
    </row>
    <row r="23" spans="1:5" x14ac:dyDescent="0.25">
      <c r="A23" s="3" t="s">
        <v>16</v>
      </c>
      <c r="B23" t="s">
        <v>4</v>
      </c>
      <c r="C23" t="s">
        <v>29</v>
      </c>
      <c r="D23">
        <f>0.957/1.14</f>
        <v>0.83947368421052637</v>
      </c>
      <c r="E23">
        <f>0.724/0.793</f>
        <v>0.9129886506935686</v>
      </c>
    </row>
    <row r="24" spans="1:5" x14ac:dyDescent="0.25">
      <c r="A24" s="3" t="s">
        <v>24</v>
      </c>
      <c r="B24" t="s">
        <v>30</v>
      </c>
      <c r="C24" t="s">
        <v>31</v>
      </c>
      <c r="D24">
        <f>0.241/0.269</f>
        <v>0.89591078066914487</v>
      </c>
      <c r="E24">
        <f>0.192/0.244</f>
        <v>0.78688524590163933</v>
      </c>
    </row>
    <row r="25" spans="1:5" x14ac:dyDescent="0.25">
      <c r="A25" s="3" t="s">
        <v>32</v>
      </c>
      <c r="B25" t="s">
        <v>30</v>
      </c>
      <c r="C25" t="s">
        <v>31</v>
      </c>
      <c r="D25">
        <f>0.309/0.324</f>
        <v>0.95370370370370361</v>
      </c>
      <c r="E25">
        <f>0.295/0.314</f>
        <v>0.93949044585987251</v>
      </c>
    </row>
    <row r="26" spans="1:5" x14ac:dyDescent="0.25">
      <c r="A26" s="3" t="s">
        <v>33</v>
      </c>
      <c r="B26" t="s">
        <v>30</v>
      </c>
      <c r="C26" t="s">
        <v>31</v>
      </c>
      <c r="D26">
        <f>0.135/0.144</f>
        <v>0.93750000000000011</v>
      </c>
      <c r="E26">
        <f>0.107/0.129</f>
        <v>0.82945736434108519</v>
      </c>
    </row>
    <row r="27" spans="1:5" x14ac:dyDescent="0.25">
      <c r="A27" s="3" t="s">
        <v>34</v>
      </c>
      <c r="B27" t="s">
        <v>30</v>
      </c>
      <c r="C27" t="s">
        <v>31</v>
      </c>
      <c r="D27">
        <f>0.177/0.227</f>
        <v>0.77973568281938321</v>
      </c>
      <c r="E27">
        <f>0.149/0.157</f>
        <v>0.94904458598726105</v>
      </c>
    </row>
    <row r="28" spans="1:5" x14ac:dyDescent="0.25">
      <c r="A28" s="3" t="s">
        <v>35</v>
      </c>
      <c r="B28" t="s">
        <v>30</v>
      </c>
      <c r="C28" t="s">
        <v>31</v>
      </c>
      <c r="D28">
        <f>0.323/0.341</f>
        <v>0.94721407624633425</v>
      </c>
      <c r="E28">
        <f>0.197/0.233</f>
        <v>0.84549356223175964</v>
      </c>
    </row>
    <row r="29" spans="1:5" x14ac:dyDescent="0.25">
      <c r="A29" s="3" t="s">
        <v>37</v>
      </c>
      <c r="B29" t="s">
        <v>30</v>
      </c>
      <c r="C29" t="s">
        <v>36</v>
      </c>
      <c r="D29">
        <f>0.302/0.328</f>
        <v>0.9207317073170731</v>
      </c>
      <c r="E29">
        <f>0.212/0.224</f>
        <v>0.9464285714285714</v>
      </c>
    </row>
    <row r="30" spans="1:5" x14ac:dyDescent="0.25">
      <c r="A30" s="3" t="s">
        <v>35</v>
      </c>
      <c r="B30" t="s">
        <v>30</v>
      </c>
      <c r="C30" t="s">
        <v>36</v>
      </c>
      <c r="D30">
        <f>0.423/0.434</f>
        <v>0.97465437788018428</v>
      </c>
      <c r="E30">
        <f>0.342/0.359</f>
        <v>0.95264623955431771</v>
      </c>
    </row>
    <row r="31" spans="1:5" x14ac:dyDescent="0.25">
      <c r="A31" s="3" t="s">
        <v>38</v>
      </c>
      <c r="B31" t="s">
        <v>30</v>
      </c>
      <c r="C31" t="s">
        <v>36</v>
      </c>
      <c r="D31">
        <f>0.477/0.539</f>
        <v>0.88497217068645628</v>
      </c>
      <c r="E31">
        <f>0.334/0.469</f>
        <v>0.71215351812366745</v>
      </c>
    </row>
    <row r="32" spans="1:5" x14ac:dyDescent="0.25">
      <c r="A32" s="3" t="s">
        <v>39</v>
      </c>
      <c r="B32" t="s">
        <v>30</v>
      </c>
      <c r="C32" t="s">
        <v>36</v>
      </c>
      <c r="D32">
        <f>0.412/0.471</f>
        <v>0.87473460721868368</v>
      </c>
      <c r="E32">
        <f>0.427/0.452</f>
        <v>0.94469026548672563</v>
      </c>
    </row>
    <row r="33" spans="1:5" x14ac:dyDescent="0.25">
      <c r="A33" s="3" t="s">
        <v>40</v>
      </c>
      <c r="B33" t="s">
        <v>30</v>
      </c>
      <c r="C33" t="s">
        <v>36</v>
      </c>
      <c r="D33">
        <f>0.247/0.34</f>
        <v>0.72647058823529409</v>
      </c>
      <c r="E33">
        <f>0.335/0.374</f>
        <v>0.89572192513368987</v>
      </c>
    </row>
    <row r="34" spans="1:5" x14ac:dyDescent="0.25">
      <c r="A34" s="3" t="s">
        <v>32</v>
      </c>
      <c r="B34" t="s">
        <v>41</v>
      </c>
      <c r="C34" t="s">
        <v>42</v>
      </c>
      <c r="D34">
        <f>0.418/0.422</f>
        <v>0.99052132701421802</v>
      </c>
      <c r="E34">
        <f>0.5/0.527</f>
        <v>0.94876660341555974</v>
      </c>
    </row>
    <row r="35" spans="1:5" x14ac:dyDescent="0.25">
      <c r="A35" s="3" t="s">
        <v>25</v>
      </c>
      <c r="B35" t="s">
        <v>41</v>
      </c>
      <c r="C35" t="s">
        <v>42</v>
      </c>
      <c r="D35">
        <f>0.432/0.441</f>
        <v>0.97959183673469385</v>
      </c>
      <c r="E35">
        <f>0.164/0.202</f>
        <v>0.81188118811881183</v>
      </c>
    </row>
    <row r="36" spans="1:5" x14ac:dyDescent="0.25">
      <c r="A36" s="3" t="s">
        <v>44</v>
      </c>
      <c r="B36" t="s">
        <v>41</v>
      </c>
      <c r="C36" t="s">
        <v>42</v>
      </c>
      <c r="D36">
        <f>0.75/0.808</f>
        <v>0.92821782178217815</v>
      </c>
      <c r="E36">
        <f>0.516/0.568</f>
        <v>0.90845070422535223</v>
      </c>
    </row>
    <row r="37" spans="1:5" x14ac:dyDescent="0.25">
      <c r="A37" s="3" t="s">
        <v>43</v>
      </c>
      <c r="B37" t="s">
        <v>41</v>
      </c>
      <c r="C37" t="s">
        <v>42</v>
      </c>
      <c r="D37">
        <f>0.802/0.947</f>
        <v>0.84688489968321023</v>
      </c>
      <c r="E37">
        <f>0.618/0.632</f>
        <v>0.97784810126582278</v>
      </c>
    </row>
    <row r="38" spans="1:5" x14ac:dyDescent="0.25">
      <c r="A38" s="3" t="s">
        <v>47</v>
      </c>
      <c r="B38" t="s">
        <v>45</v>
      </c>
      <c r="C38" t="s">
        <v>46</v>
      </c>
      <c r="D38">
        <f>0.19/0.569</f>
        <v>0.33391915641476277</v>
      </c>
      <c r="E38">
        <f>0.194/0.344</f>
        <v>0.56395348837209314</v>
      </c>
    </row>
    <row r="39" spans="1:5" x14ac:dyDescent="0.25">
      <c r="A39" s="3" t="s">
        <v>32</v>
      </c>
      <c r="B39" t="s">
        <v>45</v>
      </c>
      <c r="C39" t="s">
        <v>46</v>
      </c>
      <c r="D39">
        <f>0.938/1.152</f>
        <v>0.81423611111111116</v>
      </c>
      <c r="E39">
        <f>0.432/1.271</f>
        <v>0.33988985051140835</v>
      </c>
    </row>
    <row r="40" spans="1:5" x14ac:dyDescent="0.25">
      <c r="A40" s="3" t="s">
        <v>48</v>
      </c>
      <c r="B40" t="s">
        <v>45</v>
      </c>
      <c r="C40" t="s">
        <v>46</v>
      </c>
      <c r="D40">
        <f>0.152/0.287</f>
        <v>0.52961672473867594</v>
      </c>
      <c r="E40">
        <f>0.177/0.506</f>
        <v>0.34980237154150196</v>
      </c>
    </row>
    <row r="41" spans="1:5" x14ac:dyDescent="0.25">
      <c r="A41" s="4" t="s">
        <v>51</v>
      </c>
      <c r="B41" t="s">
        <v>49</v>
      </c>
      <c r="C41" t="s">
        <v>50</v>
      </c>
      <c r="D41">
        <f>0.869/1.024</f>
        <v>0.8486328125</v>
      </c>
      <c r="E41">
        <f>0.639/0.768</f>
        <v>0.83203125</v>
      </c>
    </row>
    <row r="42" spans="1:5" x14ac:dyDescent="0.25">
      <c r="A42" s="4" t="s">
        <v>52</v>
      </c>
      <c r="B42" t="s">
        <v>49</v>
      </c>
      <c r="C42" t="s">
        <v>50</v>
      </c>
      <c r="D42">
        <f>0.831/0.858</f>
        <v>0.96853146853146854</v>
      </c>
      <c r="E42">
        <f>0.569/0.609</f>
        <v>0.93431855500821015</v>
      </c>
    </row>
    <row r="43" spans="1:5" x14ac:dyDescent="0.25">
      <c r="A43" s="4" t="s">
        <v>53</v>
      </c>
      <c r="B43" t="s">
        <v>49</v>
      </c>
      <c r="C43" t="s">
        <v>50</v>
      </c>
      <c r="D43">
        <f>1.081/1.185</f>
        <v>0.91223628691983116</v>
      </c>
      <c r="E43">
        <f>0.511/0.589</f>
        <v>0.86757215619694406</v>
      </c>
    </row>
    <row r="44" spans="1:5" x14ac:dyDescent="0.25">
      <c r="A44" s="4" t="s">
        <v>54</v>
      </c>
      <c r="B44" t="s">
        <v>49</v>
      </c>
      <c r="C44" t="s">
        <v>50</v>
      </c>
      <c r="D44">
        <f>0.876/0.946</f>
        <v>0.92600422832980978</v>
      </c>
      <c r="E44">
        <f>0.554/0.727</f>
        <v>0.76203576341127932</v>
      </c>
    </row>
    <row r="45" spans="1:5" x14ac:dyDescent="0.25">
      <c r="A45" s="4" t="s">
        <v>55</v>
      </c>
      <c r="B45" t="s">
        <v>49</v>
      </c>
      <c r="C45" t="s">
        <v>50</v>
      </c>
      <c r="D45">
        <f>0.573/0.65</f>
        <v>0.88153846153846138</v>
      </c>
      <c r="E45">
        <f>0.269/0.307</f>
        <v>0.87622149837133556</v>
      </c>
    </row>
    <row r="46" spans="1:5" x14ac:dyDescent="0.25">
      <c r="A46" s="4" t="s">
        <v>57</v>
      </c>
      <c r="B46" t="s">
        <v>49</v>
      </c>
      <c r="C46" t="s">
        <v>56</v>
      </c>
      <c r="D46">
        <f>0.663/0.742</f>
        <v>0.8935309973045823</v>
      </c>
      <c r="E46">
        <f>0.492/0.529</f>
        <v>0.93005671077504715</v>
      </c>
    </row>
    <row r="47" spans="1:5" x14ac:dyDescent="0.25">
      <c r="A47" s="4" t="s">
        <v>58</v>
      </c>
      <c r="B47" t="s">
        <v>49</v>
      </c>
      <c r="C47" t="s">
        <v>56</v>
      </c>
      <c r="D47">
        <f>0.509/0.54</f>
        <v>0.94259259259259254</v>
      </c>
      <c r="E47">
        <f>0.214/0.351</f>
        <v>0.6096866096866097</v>
      </c>
    </row>
    <row r="48" spans="1:5" x14ac:dyDescent="0.25">
      <c r="A48" s="4" t="s">
        <v>59</v>
      </c>
      <c r="B48" t="s">
        <v>49</v>
      </c>
      <c r="C48" t="s">
        <v>56</v>
      </c>
      <c r="D48">
        <f>0.534/0.56</f>
        <v>0.95357142857142851</v>
      </c>
      <c r="E48">
        <f>0.268/0.348</f>
        <v>0.77011494252873569</v>
      </c>
    </row>
    <row r="49" spans="1:5" x14ac:dyDescent="0.25">
      <c r="A49" s="4" t="s">
        <v>60</v>
      </c>
      <c r="B49" t="s">
        <v>49</v>
      </c>
      <c r="C49" t="s">
        <v>56</v>
      </c>
      <c r="D49">
        <f>0.757/0.886</f>
        <v>0.85440180586907444</v>
      </c>
      <c r="E49">
        <f>0.667/0.68</f>
        <v>0.98088235294117643</v>
      </c>
    </row>
    <row r="50" spans="1:5" x14ac:dyDescent="0.25">
      <c r="A50" s="4" t="s">
        <v>61</v>
      </c>
      <c r="B50" t="s">
        <v>49</v>
      </c>
      <c r="C50" t="s">
        <v>56</v>
      </c>
      <c r="D50">
        <f>0.784/0.882</f>
        <v>0.88888888888888895</v>
      </c>
      <c r="E50">
        <f>0.616/0.694</f>
        <v>0.88760806916426516</v>
      </c>
    </row>
    <row r="51" spans="1:5" x14ac:dyDescent="0.25">
      <c r="A51" s="3">
        <v>4339</v>
      </c>
      <c r="B51" t="s">
        <v>4</v>
      </c>
      <c r="C51" t="s">
        <v>66</v>
      </c>
      <c r="D51">
        <f>0.398/0.86</f>
        <v>0.46279069767441866</v>
      </c>
      <c r="E51">
        <f>0.117/0.665</f>
        <v>0.17593984962406015</v>
      </c>
    </row>
    <row r="52" spans="1:5" x14ac:dyDescent="0.25">
      <c r="A52" s="3">
        <v>4340</v>
      </c>
      <c r="B52" t="s">
        <v>4</v>
      </c>
      <c r="C52" t="s">
        <v>66</v>
      </c>
      <c r="D52">
        <f>0.503/0.959</f>
        <v>0.52450469238790409</v>
      </c>
      <c r="E52">
        <f>0.224/0.965</f>
        <v>0.23212435233160622</v>
      </c>
    </row>
    <row r="53" spans="1:5" x14ac:dyDescent="0.25">
      <c r="A53" s="3">
        <v>4615</v>
      </c>
      <c r="B53" t="s">
        <v>4</v>
      </c>
      <c r="C53" t="s">
        <v>66</v>
      </c>
      <c r="D53">
        <f>0.44/0.797</f>
        <v>0.5520702634880803</v>
      </c>
      <c r="E53">
        <f>0.136/0.747</f>
        <v>0.18206157965194111</v>
      </c>
    </row>
    <row r="54" spans="1:5" x14ac:dyDescent="0.25">
      <c r="A54" s="3" t="s">
        <v>68</v>
      </c>
      <c r="B54" t="s">
        <v>4</v>
      </c>
      <c r="C54" t="s">
        <v>67</v>
      </c>
      <c r="D54">
        <f>1.123/1.222</f>
        <v>0.9189852700490998</v>
      </c>
      <c r="E54">
        <f>0.965/1.011</f>
        <v>0.95450049455984176</v>
      </c>
    </row>
    <row r="55" spans="1:5" x14ac:dyDescent="0.25">
      <c r="A55" s="3" t="s">
        <v>69</v>
      </c>
      <c r="B55" t="s">
        <v>4</v>
      </c>
      <c r="C55" t="s">
        <v>67</v>
      </c>
      <c r="D55">
        <f>1.263/1.42</f>
        <v>0.88943661971830978</v>
      </c>
      <c r="E55">
        <f>1.027/1.127</f>
        <v>0.91126885536823421</v>
      </c>
    </row>
    <row r="56" spans="1:5" x14ac:dyDescent="0.25">
      <c r="A56" s="3" t="s">
        <v>32</v>
      </c>
      <c r="B56" t="s">
        <v>4</v>
      </c>
      <c r="C56" t="s">
        <v>70</v>
      </c>
      <c r="D56">
        <f>0.834/0.874</f>
        <v>0.95423340961098391</v>
      </c>
      <c r="E56">
        <f>0.69/0.703</f>
        <v>0.98150782361308675</v>
      </c>
    </row>
    <row r="57" spans="1:5" x14ac:dyDescent="0.25">
      <c r="A57" s="3" t="s">
        <v>71</v>
      </c>
      <c r="B57" t="s">
        <v>4</v>
      </c>
      <c r="C57" t="s">
        <v>70</v>
      </c>
      <c r="D57">
        <f>0.967/0.981</f>
        <v>0.98572884811416916</v>
      </c>
      <c r="E57">
        <f>0.533/0.59</f>
        <v>0.90338983050847466</v>
      </c>
    </row>
    <row r="58" spans="1:5" x14ac:dyDescent="0.25">
      <c r="A58" s="3" t="s">
        <v>72</v>
      </c>
      <c r="B58" t="s">
        <v>4</v>
      </c>
      <c r="C58" t="s">
        <v>73</v>
      </c>
      <c r="D58">
        <f>1.141/1.172</f>
        <v>0.97354948805460761</v>
      </c>
      <c r="E58">
        <f>0.916/1.188</f>
        <v>0.77104377104377109</v>
      </c>
    </row>
    <row r="59" spans="1:5" x14ac:dyDescent="0.25">
      <c r="A59" s="3" t="s">
        <v>74</v>
      </c>
      <c r="B59" t="s">
        <v>4</v>
      </c>
      <c r="C59" t="s">
        <v>73</v>
      </c>
      <c r="D59">
        <f>1.431/1.475</f>
        <v>0.97016949152542376</v>
      </c>
      <c r="E59">
        <f>0.925/0.941</f>
        <v>0.98299681190223176</v>
      </c>
    </row>
    <row r="60" spans="1:5" x14ac:dyDescent="0.25">
      <c r="A60" s="3" t="s">
        <v>75</v>
      </c>
      <c r="B60" t="s">
        <v>4</v>
      </c>
      <c r="C60" t="s">
        <v>73</v>
      </c>
      <c r="D60">
        <f>1.484/1.495</f>
        <v>0.9926421404682273</v>
      </c>
      <c r="E60">
        <f>1.018/1.103</f>
        <v>0.92293744333635541</v>
      </c>
    </row>
    <row r="61" spans="1:5" x14ac:dyDescent="0.25">
      <c r="A61" s="3" t="s">
        <v>77</v>
      </c>
      <c r="B61" t="s">
        <v>4</v>
      </c>
      <c r="C61" t="s">
        <v>73</v>
      </c>
      <c r="D61">
        <f>1.137/1.186</f>
        <v>0.95868465430016869</v>
      </c>
      <c r="E61">
        <f>0.821/1.027</f>
        <v>0.79941577409931841</v>
      </c>
    </row>
    <row r="62" spans="1:5" x14ac:dyDescent="0.25">
      <c r="A62" s="3" t="s">
        <v>76</v>
      </c>
      <c r="B62" t="s">
        <v>4</v>
      </c>
      <c r="C62" t="s">
        <v>73</v>
      </c>
      <c r="D62">
        <f>1.074/1.14</f>
        <v>0.94210526315789489</v>
      </c>
      <c r="E62">
        <f>0.684/1.025</f>
        <v>0.66731707317073186</v>
      </c>
    </row>
    <row r="63" spans="1:5" x14ac:dyDescent="0.25">
      <c r="A63" s="3">
        <v>4353</v>
      </c>
      <c r="B63" t="s">
        <v>4</v>
      </c>
      <c r="C63" t="s">
        <v>78</v>
      </c>
      <c r="D63">
        <f>0.963/1.292</f>
        <v>0.74535603715170273</v>
      </c>
      <c r="E63">
        <f>0.543/0.687</f>
        <v>0.79039301310043664</v>
      </c>
    </row>
    <row r="64" spans="1:5" x14ac:dyDescent="0.25">
      <c r="A64" s="3">
        <v>4356</v>
      </c>
      <c r="B64" t="s">
        <v>4</v>
      </c>
      <c r="C64" t="s">
        <v>78</v>
      </c>
      <c r="D64">
        <f>0.847/0.959</f>
        <v>0.88321167883211682</v>
      </c>
      <c r="E64">
        <f>0.437/0.656</f>
        <v>0.66615853658536583</v>
      </c>
    </row>
    <row r="65" spans="1:5" x14ac:dyDescent="0.25">
      <c r="A65" s="3">
        <v>4626</v>
      </c>
      <c r="B65" t="s">
        <v>4</v>
      </c>
      <c r="C65" t="s">
        <v>78</v>
      </c>
      <c r="D65">
        <f>0.997/1.315</f>
        <v>0.7581749049429658</v>
      </c>
      <c r="E65">
        <f>0.608/0.882</f>
        <v>0.68934240362811794</v>
      </c>
    </row>
    <row r="66" spans="1:5" x14ac:dyDescent="0.25">
      <c r="A66" s="3">
        <v>4824</v>
      </c>
      <c r="B66" t="s">
        <v>4</v>
      </c>
      <c r="C66" t="s">
        <v>79</v>
      </c>
      <c r="D66">
        <f>1.474/1.494</f>
        <v>0.98661311914323957</v>
      </c>
      <c r="E66">
        <f>0.95/1.161</f>
        <v>0.81826012058570197</v>
      </c>
    </row>
    <row r="67" spans="1:5" x14ac:dyDescent="0.25">
      <c r="A67" s="3" t="s">
        <v>81</v>
      </c>
      <c r="B67" t="s">
        <v>4</v>
      </c>
      <c r="C67" t="s">
        <v>80</v>
      </c>
      <c r="D67">
        <f>0.4/0.458</f>
        <v>0.8733624454148472</v>
      </c>
      <c r="E67">
        <f>0.274/0.326</f>
        <v>0.8404907975460123</v>
      </c>
    </row>
    <row r="68" spans="1:5" x14ac:dyDescent="0.25">
      <c r="A68" s="3">
        <v>4659</v>
      </c>
      <c r="B68" t="s">
        <v>4</v>
      </c>
      <c r="C68" t="s">
        <v>82</v>
      </c>
      <c r="D68">
        <f>0.559/1.191</f>
        <v>0.46935348446683461</v>
      </c>
      <c r="E68">
        <f>0.557/0.98</f>
        <v>0.56836734693877555</v>
      </c>
    </row>
    <row r="69" spans="1:5" x14ac:dyDescent="0.25">
      <c r="A69" s="3" t="s">
        <v>83</v>
      </c>
      <c r="B69" t="s">
        <v>4</v>
      </c>
      <c r="C69" t="s">
        <v>82</v>
      </c>
      <c r="D69">
        <f>0.734/1.376</f>
        <v>0.53343023255813959</v>
      </c>
      <c r="E69">
        <f>0.28/1.239</f>
        <v>0.22598870056497175</v>
      </c>
    </row>
    <row r="70" spans="1:5" x14ac:dyDescent="0.25">
      <c r="A70" s="3" t="s">
        <v>84</v>
      </c>
      <c r="B70" t="s">
        <v>4</v>
      </c>
      <c r="C70" t="s">
        <v>82</v>
      </c>
      <c r="D70">
        <f>0.404/0.719</f>
        <v>0.56189151599443676</v>
      </c>
      <c r="E70">
        <f>0.191/0.594</f>
        <v>0.32154882154882158</v>
      </c>
    </row>
    <row r="71" spans="1:5" x14ac:dyDescent="0.25">
      <c r="A71" s="3" t="s">
        <v>85</v>
      </c>
      <c r="B71" t="s">
        <v>4</v>
      </c>
      <c r="C71" t="s">
        <v>82</v>
      </c>
      <c r="D71">
        <f>0.486/0.7</f>
        <v>0.69428571428571428</v>
      </c>
      <c r="E71">
        <f>0.168/0.57</f>
        <v>0.29473684210526319</v>
      </c>
    </row>
    <row r="72" spans="1:5" x14ac:dyDescent="0.25">
      <c r="A72" s="3" t="s">
        <v>86</v>
      </c>
      <c r="B72" t="s">
        <v>4</v>
      </c>
      <c r="C72" t="s">
        <v>82</v>
      </c>
      <c r="D72">
        <f>0.697/1.319</f>
        <v>0.52843062926459439</v>
      </c>
      <c r="E72">
        <f>0.294/1.214</f>
        <v>0.24217462932454695</v>
      </c>
    </row>
    <row r="73" spans="1:5" x14ac:dyDescent="0.25">
      <c r="A73" s="3">
        <v>4603</v>
      </c>
      <c r="B73" t="s">
        <v>4</v>
      </c>
      <c r="C73" t="s">
        <v>87</v>
      </c>
      <c r="D73">
        <f>0.557/0.6</f>
        <v>0.92833333333333345</v>
      </c>
      <c r="E73">
        <f>0.346/0.506</f>
        <v>0.68379446640316199</v>
      </c>
    </row>
    <row r="74" spans="1:5" x14ac:dyDescent="0.25">
      <c r="A74" s="3" t="s">
        <v>88</v>
      </c>
      <c r="B74" t="s">
        <v>4</v>
      </c>
      <c r="C74" t="s">
        <v>87</v>
      </c>
      <c r="D74">
        <f>1.202/1.286</f>
        <v>0.93468118195956451</v>
      </c>
      <c r="E74">
        <f>0.221/0.666</f>
        <v>0.33183183183183179</v>
      </c>
    </row>
    <row r="75" spans="1:5" x14ac:dyDescent="0.25">
      <c r="A75" s="3" t="s">
        <v>89</v>
      </c>
      <c r="B75" t="s">
        <v>4</v>
      </c>
      <c r="C75" t="s">
        <v>87</v>
      </c>
      <c r="D75">
        <f>0.901/1.109</f>
        <v>0.81244364292155102</v>
      </c>
      <c r="E75">
        <f>0.266/0.785</f>
        <v>0.33885350318471336</v>
      </c>
    </row>
    <row r="76" spans="1:5" x14ac:dyDescent="0.25">
      <c r="A76" s="3" t="s">
        <v>90</v>
      </c>
      <c r="B76" t="s">
        <v>4</v>
      </c>
      <c r="C76" t="s">
        <v>91</v>
      </c>
      <c r="D76">
        <f>1.171/1.373</f>
        <v>0.85287691187181358</v>
      </c>
      <c r="E76">
        <f>0.633/0.899</f>
        <v>0.70411568409343717</v>
      </c>
    </row>
    <row r="77" spans="1:5" x14ac:dyDescent="0.25">
      <c r="A77" s="3">
        <v>4318</v>
      </c>
      <c r="B77" t="s">
        <v>4</v>
      </c>
      <c r="C77" t="s">
        <v>92</v>
      </c>
      <c r="D77">
        <f>0.96/0.988</f>
        <v>0.97165991902834004</v>
      </c>
      <c r="E77">
        <f>0.677/0.888</f>
        <v>0.76238738738738743</v>
      </c>
    </row>
    <row r="78" spans="1:5" x14ac:dyDescent="0.25">
      <c r="A78" s="3" t="s">
        <v>32</v>
      </c>
      <c r="B78" t="s">
        <v>4</v>
      </c>
      <c r="C78" t="s">
        <v>92</v>
      </c>
      <c r="D78">
        <f>0.775/0.848</f>
        <v>0.9139150943396227</v>
      </c>
      <c r="E78">
        <f>0.53/0.531</f>
        <v>0.99811676082862522</v>
      </c>
    </row>
    <row r="79" spans="1:5" x14ac:dyDescent="0.25">
      <c r="A79" s="3" t="s">
        <v>17</v>
      </c>
      <c r="B79" t="s">
        <v>4</v>
      </c>
      <c r="C79" t="s">
        <v>92</v>
      </c>
      <c r="D79">
        <f>0.683/0.728</f>
        <v>0.9381868131868133</v>
      </c>
      <c r="E79">
        <f>0.527/0.677</f>
        <v>0.77843426883308708</v>
      </c>
    </row>
    <row r="80" spans="1:5" x14ac:dyDescent="0.25">
      <c r="A80" s="3" t="s">
        <v>93</v>
      </c>
      <c r="B80" t="s">
        <v>4</v>
      </c>
      <c r="C80" t="s">
        <v>92</v>
      </c>
      <c r="D80">
        <f>1.354/1.63</f>
        <v>0.83067484662576696</v>
      </c>
      <c r="E80">
        <f>0.996/1.495</f>
        <v>0.66622073578595309</v>
      </c>
    </row>
    <row r="81" spans="1:5" x14ac:dyDescent="0.25">
      <c r="A81" s="3" t="s">
        <v>94</v>
      </c>
      <c r="B81" t="s">
        <v>4</v>
      </c>
      <c r="C81" t="s">
        <v>92</v>
      </c>
      <c r="D81">
        <f>1.18/1.292</f>
        <v>0.9133126934984519</v>
      </c>
      <c r="E81">
        <f>0.305/0.963</f>
        <v>0.31671858774662515</v>
      </c>
    </row>
    <row r="82" spans="1:5" x14ac:dyDescent="0.25">
      <c r="A82" s="3" t="s">
        <v>32</v>
      </c>
      <c r="B82" t="s">
        <v>4</v>
      </c>
      <c r="C82" t="s">
        <v>95</v>
      </c>
      <c r="D82">
        <f>0.653/0.734</f>
        <v>0.88964577656675758</v>
      </c>
      <c r="E82">
        <f>0.26/0.387</f>
        <v>0.67183462532299743</v>
      </c>
    </row>
    <row r="83" spans="1:5" x14ac:dyDescent="0.25">
      <c r="A83" s="3" t="s">
        <v>25</v>
      </c>
      <c r="B83" t="s">
        <v>4</v>
      </c>
      <c r="C83" t="s">
        <v>95</v>
      </c>
      <c r="D83">
        <f>0.522/0.606</f>
        <v>0.86138613861386149</v>
      </c>
      <c r="E83">
        <f>0.36/0.547</f>
        <v>0.65813528336380245</v>
      </c>
    </row>
    <row r="84" spans="1:5" x14ac:dyDescent="0.25">
      <c r="A84" s="3" t="s">
        <v>97</v>
      </c>
      <c r="B84" t="s">
        <v>4</v>
      </c>
      <c r="C84" t="s">
        <v>96</v>
      </c>
      <c r="D84">
        <f>1.068/1.495</f>
        <v>0.71438127090301007</v>
      </c>
      <c r="E84">
        <f>1.081/1.292</f>
        <v>0.83668730650154788</v>
      </c>
    </row>
    <row r="85" spans="1:5" x14ac:dyDescent="0.25">
      <c r="A85" s="3" t="s">
        <v>98</v>
      </c>
      <c r="B85" t="s">
        <v>4</v>
      </c>
      <c r="C85" t="s">
        <v>96</v>
      </c>
      <c r="D85">
        <f>1.061/1.784</f>
        <v>0.59473094170403584</v>
      </c>
      <c r="E85">
        <f>1.037/1.098</f>
        <v>0.94444444444444431</v>
      </c>
    </row>
    <row r="86" spans="1:5" x14ac:dyDescent="0.25">
      <c r="A86" s="3" t="s">
        <v>99</v>
      </c>
      <c r="B86" t="s">
        <v>4</v>
      </c>
      <c r="C86" t="s">
        <v>96</v>
      </c>
      <c r="D86">
        <f>1.322/1.608</f>
        <v>0.82213930348258701</v>
      </c>
      <c r="E86">
        <f>0.919/1.459</f>
        <v>0.62988348183687459</v>
      </c>
    </row>
    <row r="87" spans="1:5" x14ac:dyDescent="0.25">
      <c r="A87" s="3" t="s">
        <v>100</v>
      </c>
      <c r="B87" t="s">
        <v>4</v>
      </c>
      <c r="C87" t="s">
        <v>96</v>
      </c>
      <c r="D87">
        <f>0.993/1.49</f>
        <v>0.66644295302013423</v>
      </c>
      <c r="E87">
        <f>0.988/1.285</f>
        <v>0.76887159533073934</v>
      </c>
    </row>
    <row r="88" spans="1:5" x14ac:dyDescent="0.25">
      <c r="A88" s="3" t="s">
        <v>32</v>
      </c>
      <c r="B88" t="s">
        <v>4</v>
      </c>
      <c r="C88" t="s">
        <v>101</v>
      </c>
      <c r="D88">
        <f>0.723/0.779</f>
        <v>0.92811296534017962</v>
      </c>
      <c r="E88">
        <f>0.535/0.625</f>
        <v>0.85600000000000009</v>
      </c>
    </row>
    <row r="89" spans="1:5" x14ac:dyDescent="0.25">
      <c r="A89" s="3" t="s">
        <v>25</v>
      </c>
      <c r="B89" t="s">
        <v>4</v>
      </c>
      <c r="C89" t="s">
        <v>101</v>
      </c>
      <c r="D89">
        <f>0.769/0.794</f>
        <v>0.96851385390428213</v>
      </c>
      <c r="E89">
        <f>0.326/0.501</f>
        <v>0.65069860279441116</v>
      </c>
    </row>
    <row r="90" spans="1:5" x14ac:dyDescent="0.25">
      <c r="A90" s="3" t="s">
        <v>44</v>
      </c>
      <c r="B90" t="s">
        <v>4</v>
      </c>
      <c r="C90" t="s">
        <v>101</v>
      </c>
      <c r="D90">
        <f>0.786/0.834</f>
        <v>0.94244604316546765</v>
      </c>
      <c r="E90">
        <f>0.51/0.677</f>
        <v>0.75332348596750365</v>
      </c>
    </row>
    <row r="91" spans="1:5" x14ac:dyDescent="0.25">
      <c r="A91" s="3" t="s">
        <v>102</v>
      </c>
      <c r="B91" t="s">
        <v>4</v>
      </c>
      <c r="C91" t="s">
        <v>101</v>
      </c>
      <c r="D91">
        <f>0.918/0.954</f>
        <v>0.96226415094339635</v>
      </c>
      <c r="E91">
        <f>0.39/0.685</f>
        <v>0.56934306569343063</v>
      </c>
    </row>
    <row r="92" spans="1:5" x14ac:dyDescent="0.25">
      <c r="A92" s="3">
        <v>4320</v>
      </c>
      <c r="B92" t="s">
        <v>4</v>
      </c>
      <c r="C92" t="s">
        <v>103</v>
      </c>
      <c r="D92">
        <f>0.339/0.358</f>
        <v>0.94692737430167606</v>
      </c>
      <c r="E92">
        <f>0.354/0.382</f>
        <v>0.92670157068062819</v>
      </c>
    </row>
    <row r="93" spans="1:5" x14ac:dyDescent="0.25">
      <c r="A93" s="3">
        <v>4660</v>
      </c>
      <c r="B93" t="s">
        <v>4</v>
      </c>
      <c r="C93" t="s">
        <v>103</v>
      </c>
      <c r="D93">
        <f>0.497/0.504</f>
        <v>0.98611111111111105</v>
      </c>
      <c r="E93">
        <f>0.509/0.526</f>
        <v>0.96768060836501901</v>
      </c>
    </row>
    <row r="94" spans="1:5" x14ac:dyDescent="0.25">
      <c r="A94" s="3" t="s">
        <v>104</v>
      </c>
      <c r="B94" t="s">
        <v>4</v>
      </c>
      <c r="C94" t="s">
        <v>103</v>
      </c>
      <c r="D94">
        <f>0.439/0.441</f>
        <v>0.99546485260770978</v>
      </c>
      <c r="E94">
        <f>0.43/0.431</f>
        <v>0.99767981438515085</v>
      </c>
    </row>
    <row r="95" spans="1:5" x14ac:dyDescent="0.25">
      <c r="A95" s="3" t="s">
        <v>105</v>
      </c>
      <c r="B95" t="s">
        <v>4</v>
      </c>
      <c r="C95" t="s">
        <v>106</v>
      </c>
      <c r="D95">
        <f>638.624/947.553</f>
        <v>0.67397179893895121</v>
      </c>
      <c r="E95">
        <f>0.368/0.669</f>
        <v>0.55007473841554555</v>
      </c>
    </row>
    <row r="96" spans="1:5" x14ac:dyDescent="0.25">
      <c r="A96" s="3">
        <v>4601</v>
      </c>
      <c r="B96" t="s">
        <v>4</v>
      </c>
      <c r="C96" t="s">
        <v>106</v>
      </c>
      <c r="D96">
        <f>349.201/582.495</f>
        <v>0.59949184113168352</v>
      </c>
      <c r="E96">
        <f>0.28/0.458</f>
        <v>0.611353711790393</v>
      </c>
    </row>
    <row r="97" spans="1:5" x14ac:dyDescent="0.25">
      <c r="A97" s="3">
        <v>4607</v>
      </c>
      <c r="B97" t="s">
        <v>4</v>
      </c>
      <c r="C97" t="s">
        <v>106</v>
      </c>
      <c r="D97">
        <f>0.721/0.741</f>
        <v>0.97300944669365719</v>
      </c>
      <c r="E97">
        <f>0.28/0.436</f>
        <v>0.64220183486238536</v>
      </c>
    </row>
    <row r="98" spans="1:5" x14ac:dyDescent="0.25">
      <c r="A98" s="3" t="s">
        <v>108</v>
      </c>
      <c r="B98" t="s">
        <v>30</v>
      </c>
      <c r="C98" t="s">
        <v>107</v>
      </c>
      <c r="D98">
        <f>0.329/0.349</f>
        <v>0.94269340974212046</v>
      </c>
      <c r="E98">
        <f>0.371/0.423</f>
        <v>0.87706855791962179</v>
      </c>
    </row>
    <row r="99" spans="1:5" x14ac:dyDescent="0.25">
      <c r="A99" s="3" t="s">
        <v>109</v>
      </c>
      <c r="B99" t="s">
        <v>30</v>
      </c>
      <c r="C99" t="s">
        <v>107</v>
      </c>
      <c r="D99">
        <f>0.364/0.367</f>
        <v>0.99182561307901906</v>
      </c>
      <c r="E99">
        <f>0.437/0.439</f>
        <v>0.99544419134396356</v>
      </c>
    </row>
    <row r="100" spans="1:5" x14ac:dyDescent="0.25">
      <c r="A100" s="3" t="s">
        <v>111</v>
      </c>
      <c r="B100" t="s">
        <v>30</v>
      </c>
      <c r="C100" t="s">
        <v>110</v>
      </c>
      <c r="D100">
        <f>0.41/0.421</f>
        <v>0.97387173396674587</v>
      </c>
      <c r="E100">
        <f>0.341/0.357</f>
        <v>0.95518207282913181</v>
      </c>
    </row>
    <row r="101" spans="1:5" x14ac:dyDescent="0.25">
      <c r="A101" s="3" t="s">
        <v>112</v>
      </c>
      <c r="B101" t="s">
        <v>30</v>
      </c>
      <c r="C101" t="s">
        <v>110</v>
      </c>
      <c r="D101">
        <f>0.441/0.464</f>
        <v>0.95043103448275856</v>
      </c>
      <c r="E101">
        <f>0.282/0.302</f>
        <v>0.93377483443708598</v>
      </c>
    </row>
    <row r="102" spans="1:5" x14ac:dyDescent="0.25">
      <c r="A102" s="3" t="s">
        <v>113</v>
      </c>
      <c r="B102" t="s">
        <v>30</v>
      </c>
      <c r="C102" t="s">
        <v>110</v>
      </c>
      <c r="D102">
        <f>0.275/0.303</f>
        <v>0.90759075907590769</v>
      </c>
      <c r="E102">
        <f>0.176/0.188</f>
        <v>0.93617021276595735</v>
      </c>
    </row>
    <row r="103" spans="1:5" x14ac:dyDescent="0.25">
      <c r="A103" s="3" t="s">
        <v>32</v>
      </c>
      <c r="B103" t="s">
        <v>45</v>
      </c>
      <c r="C103" t="s">
        <v>114</v>
      </c>
      <c r="D103">
        <f>0.412/1.502</f>
        <v>0.2743009320905459</v>
      </c>
      <c r="E103">
        <f>0.422/1.5</f>
        <v>0.28133333333333332</v>
      </c>
    </row>
    <row r="104" spans="1:5" x14ac:dyDescent="0.25">
      <c r="A104" s="3">
        <v>4616</v>
      </c>
      <c r="B104" t="s">
        <v>49</v>
      </c>
      <c r="C104" t="s">
        <v>115</v>
      </c>
      <c r="D104">
        <f>0.42/0.559</f>
        <v>0.75134168157423964</v>
      </c>
      <c r="E104">
        <f>0.275/0.412</f>
        <v>0.66747572815533984</v>
      </c>
    </row>
    <row r="105" spans="1:5" x14ac:dyDescent="0.25">
      <c r="A105" s="3">
        <v>4628</v>
      </c>
      <c r="B105" t="s">
        <v>49</v>
      </c>
      <c r="C105" t="s">
        <v>115</v>
      </c>
      <c r="D105">
        <f>0.314/0.563</f>
        <v>0.55772646536412085</v>
      </c>
      <c r="E105">
        <f>0.403/0.416</f>
        <v>0.96875000000000011</v>
      </c>
    </row>
    <row r="106" spans="1:5" x14ac:dyDescent="0.25">
      <c r="A106" s="3">
        <v>4647</v>
      </c>
      <c r="B106" t="s">
        <v>49</v>
      </c>
      <c r="C106" t="s">
        <v>115</v>
      </c>
      <c r="D106">
        <f>0.381/0.597</f>
        <v>0.63819095477386933</v>
      </c>
      <c r="E106">
        <f>0.532/0.553</f>
        <v>0.96202531645569622</v>
      </c>
    </row>
    <row r="107" spans="1:5" x14ac:dyDescent="0.25">
      <c r="A107" s="3" t="s">
        <v>116</v>
      </c>
      <c r="B107" t="s">
        <v>49</v>
      </c>
      <c r="C107" t="s">
        <v>115</v>
      </c>
      <c r="D107">
        <f>0.506/0.519</f>
        <v>0.97495183044315992</v>
      </c>
      <c r="E107">
        <f>0.293/0.327</f>
        <v>0.8960244648318042</v>
      </c>
    </row>
    <row r="108" spans="1:5" x14ac:dyDescent="0.25">
      <c r="A108" s="3" t="s">
        <v>117</v>
      </c>
      <c r="B108" t="s">
        <v>49</v>
      </c>
      <c r="C108" t="s">
        <v>115</v>
      </c>
      <c r="D108">
        <f>0.364/0.604</f>
        <v>0.60264900662251653</v>
      </c>
      <c r="E108">
        <f>0.41/0.411</f>
        <v>0.9975669099756691</v>
      </c>
    </row>
    <row r="109" spans="1:5" x14ac:dyDescent="0.25">
      <c r="A109" s="3">
        <v>675</v>
      </c>
      <c r="B109" t="s">
        <v>49</v>
      </c>
      <c r="C109" t="s">
        <v>118</v>
      </c>
      <c r="D109">
        <f>0.588/0.636</f>
        <v>0.92452830188679236</v>
      </c>
      <c r="E109">
        <f>0.409/0.423</f>
        <v>0.96690307328605196</v>
      </c>
    </row>
    <row r="110" spans="1:5" x14ac:dyDescent="0.25">
      <c r="A110" s="3" t="s">
        <v>119</v>
      </c>
      <c r="B110" t="s">
        <v>49</v>
      </c>
      <c r="C110" t="s">
        <v>118</v>
      </c>
      <c r="D110">
        <f>0.376/0.383</f>
        <v>0.98172323759791125</v>
      </c>
      <c r="E110">
        <f>0.237/0.295</f>
        <v>0.80338983050847457</v>
      </c>
    </row>
    <row r="111" spans="1:5" x14ac:dyDescent="0.25">
      <c r="A111" s="3" t="s">
        <v>120</v>
      </c>
      <c r="B111" t="s">
        <v>49</v>
      </c>
      <c r="C111" t="s">
        <v>118</v>
      </c>
      <c r="D111">
        <f>0.322/0.501</f>
        <v>0.64271457085828343</v>
      </c>
      <c r="E111">
        <f>0.211/0.219</f>
        <v>0.9634703196347032</v>
      </c>
    </row>
    <row r="112" spans="1:5" x14ac:dyDescent="0.25">
      <c r="A112" s="3" t="s">
        <v>121</v>
      </c>
      <c r="B112" t="s">
        <v>49</v>
      </c>
      <c r="C112" t="s">
        <v>118</v>
      </c>
      <c r="D112">
        <f>0.268/0.435</f>
        <v>0.61609195402298855</v>
      </c>
      <c r="E112">
        <f>0.224/0.275</f>
        <v>0.81454545454545446</v>
      </c>
    </row>
    <row r="113" spans="1:5" x14ac:dyDescent="0.25">
      <c r="A113" s="3" t="s">
        <v>122</v>
      </c>
      <c r="B113" t="s">
        <v>49</v>
      </c>
      <c r="C113" t="s">
        <v>118</v>
      </c>
      <c r="D113">
        <f>0.512/0.754</f>
        <v>0.67904509283819625</v>
      </c>
      <c r="E113">
        <f>0.364/0.379</f>
        <v>0.9604221635883905</v>
      </c>
    </row>
    <row r="114" spans="1:5" x14ac:dyDescent="0.25">
      <c r="A114" s="3" t="s">
        <v>124</v>
      </c>
      <c r="B114" t="s">
        <v>49</v>
      </c>
      <c r="C114" t="s">
        <v>123</v>
      </c>
      <c r="D114">
        <f>0.547/0.731</f>
        <v>0.74829001367989068</v>
      </c>
      <c r="E114">
        <f>0.323/0.369</f>
        <v>0.87533875338753386</v>
      </c>
    </row>
    <row r="115" spans="1:5" x14ac:dyDescent="0.25">
      <c r="A115" s="3" t="s">
        <v>125</v>
      </c>
      <c r="B115" t="s">
        <v>49</v>
      </c>
      <c r="C115" t="s">
        <v>123</v>
      </c>
      <c r="D115">
        <f>0.464/0.64</f>
        <v>0.72499999999999998</v>
      </c>
      <c r="E115">
        <f>0.295/0.363</f>
        <v>0.81267217630853994</v>
      </c>
    </row>
    <row r="116" spans="1:5" x14ac:dyDescent="0.25">
      <c r="A116" s="3" t="s">
        <v>126</v>
      </c>
      <c r="B116" t="s">
        <v>49</v>
      </c>
      <c r="C116" t="s">
        <v>123</v>
      </c>
      <c r="D116">
        <f>0.483/0.527</f>
        <v>0.91650853889943062</v>
      </c>
      <c r="E116">
        <f>0.31/0.351</f>
        <v>0.88319088319088324</v>
      </c>
    </row>
    <row r="117" spans="1:5" x14ac:dyDescent="0.25">
      <c r="A117" s="3" t="s">
        <v>127</v>
      </c>
      <c r="B117" t="s">
        <v>49</v>
      </c>
      <c r="C117" t="s">
        <v>123</v>
      </c>
      <c r="D117">
        <f>0.545/0.742</f>
        <v>0.73450134770889497</v>
      </c>
      <c r="E117">
        <f>0.399/0.448</f>
        <v>0.890625</v>
      </c>
    </row>
    <row r="118" spans="1:5" x14ac:dyDescent="0.25">
      <c r="A118" s="3" t="s">
        <v>128</v>
      </c>
      <c r="B118" t="s">
        <v>49</v>
      </c>
      <c r="C118" t="s">
        <v>123</v>
      </c>
      <c r="D118">
        <f>0.563/0.646</f>
        <v>0.87151702786377694</v>
      </c>
      <c r="E118">
        <f>0.433/0.447</f>
        <v>0.96868008948545858</v>
      </c>
    </row>
    <row r="119" spans="1:5" x14ac:dyDescent="0.25">
      <c r="A119" s="3" t="s">
        <v>124</v>
      </c>
      <c r="B119" t="s">
        <v>4</v>
      </c>
      <c r="C119" t="s">
        <v>129</v>
      </c>
      <c r="D119">
        <f>65.924/107.229</f>
        <v>0.61479637038487733</v>
      </c>
      <c r="E119">
        <f>46.174/80.231</f>
        <v>0.57551320561877584</v>
      </c>
    </row>
    <row r="120" spans="1:5" x14ac:dyDescent="0.25">
      <c r="A120" s="3" t="s">
        <v>124</v>
      </c>
      <c r="B120" t="s">
        <v>130</v>
      </c>
      <c r="C120" t="s">
        <v>134</v>
      </c>
      <c r="D120">
        <v>0.25622775800711739</v>
      </c>
      <c r="E120">
        <v>0.56547619047619047</v>
      </c>
    </row>
    <row r="121" spans="1:5" x14ac:dyDescent="0.25">
      <c r="A121" s="3" t="s">
        <v>135</v>
      </c>
      <c r="B121" t="s">
        <v>130</v>
      </c>
      <c r="C121" t="s">
        <v>134</v>
      </c>
      <c r="D121">
        <v>0.10675381263616558</v>
      </c>
      <c r="E121">
        <v>9.0725806451612906E-2</v>
      </c>
    </row>
    <row r="122" spans="1:5" x14ac:dyDescent="0.25">
      <c r="A122" s="3" t="s">
        <v>136</v>
      </c>
      <c r="B122" t="s">
        <v>130</v>
      </c>
      <c r="C122" t="s">
        <v>134</v>
      </c>
      <c r="D122">
        <v>7.5268817204301078E-2</v>
      </c>
      <c r="E122">
        <v>0.21092278719397362</v>
      </c>
    </row>
    <row r="123" spans="1:5" x14ac:dyDescent="0.25">
      <c r="A123" s="3">
        <v>4633</v>
      </c>
      <c r="B123" t="s">
        <v>130</v>
      </c>
      <c r="C123" t="s">
        <v>137</v>
      </c>
      <c r="D123">
        <v>0.12371134020618557</v>
      </c>
      <c r="E123">
        <v>0.18003565062388591</v>
      </c>
    </row>
    <row r="124" spans="1:5" x14ac:dyDescent="0.25">
      <c r="A124" s="3">
        <v>4665</v>
      </c>
      <c r="B124" t="s">
        <v>130</v>
      </c>
      <c r="C124" t="s">
        <v>137</v>
      </c>
      <c r="D124">
        <v>0.27893175074183973</v>
      </c>
      <c r="E124">
        <v>0.13747228381374724</v>
      </c>
    </row>
    <row r="125" spans="1:5" x14ac:dyDescent="0.25">
      <c r="A125" s="3" t="s">
        <v>138</v>
      </c>
      <c r="B125" t="s">
        <v>130</v>
      </c>
      <c r="C125" t="s">
        <v>139</v>
      </c>
      <c r="D125">
        <v>7.8402366863905323E-2</v>
      </c>
      <c r="E125">
        <v>0.28919860627177701</v>
      </c>
    </row>
    <row r="126" spans="1:5" x14ac:dyDescent="0.25">
      <c r="A126" s="3" t="s">
        <v>32</v>
      </c>
      <c r="B126" t="s">
        <v>130</v>
      </c>
      <c r="C126" t="s">
        <v>139</v>
      </c>
      <c r="D126">
        <v>0.11891891891891891</v>
      </c>
      <c r="E126">
        <v>0.1476510067114094</v>
      </c>
    </row>
    <row r="127" spans="1:5" x14ac:dyDescent="0.25">
      <c r="A127" s="3" t="s">
        <v>140</v>
      </c>
      <c r="B127" t="s">
        <v>130</v>
      </c>
      <c r="C127" t="s">
        <v>139</v>
      </c>
      <c r="D127">
        <v>0.1943462897526502</v>
      </c>
      <c r="E127">
        <v>0.10858585858585858</v>
      </c>
    </row>
    <row r="128" spans="1:5" x14ac:dyDescent="0.25">
      <c r="A128" s="3">
        <v>4307</v>
      </c>
      <c r="B128" t="s">
        <v>130</v>
      </c>
      <c r="C128" t="s">
        <v>131</v>
      </c>
      <c r="D128">
        <v>9.6837944664031617E-2</v>
      </c>
      <c r="E128">
        <v>0.14913957934990441</v>
      </c>
    </row>
    <row r="129" spans="1:5" x14ac:dyDescent="0.25">
      <c r="A129" s="3">
        <v>4306</v>
      </c>
      <c r="B129" t="s">
        <v>130</v>
      </c>
      <c r="C129" t="s">
        <v>131</v>
      </c>
      <c r="D129">
        <v>0.22950819672131151</v>
      </c>
      <c r="E129">
        <v>0.14076782449725775</v>
      </c>
    </row>
    <row r="130" spans="1:5" x14ac:dyDescent="0.25">
      <c r="A130" s="3" t="s">
        <v>124</v>
      </c>
      <c r="B130" t="s">
        <v>132</v>
      </c>
      <c r="C130" t="s">
        <v>133</v>
      </c>
      <c r="D130">
        <v>0.93805309734513265</v>
      </c>
      <c r="E130">
        <v>0.97124600638977632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AFF1-2EF3-4FEA-8875-AF705E3DCC7B}">
  <dimension ref="A1:I17"/>
  <sheetViews>
    <sheetView workbookViewId="0">
      <selection activeCell="B20" sqref="B20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12" bestFit="1" customWidth="1"/>
    <col min="4" max="4" width="17.42578125" bestFit="1" customWidth="1"/>
    <col min="5" max="5" width="21.140625" bestFit="1" customWidth="1"/>
    <col min="6" max="6" width="12" customWidth="1"/>
  </cols>
  <sheetData>
    <row r="1" spans="1:9" x14ac:dyDescent="0.25">
      <c r="A1" t="s">
        <v>0</v>
      </c>
      <c r="B1" t="s">
        <v>1</v>
      </c>
      <c r="C1" t="s">
        <v>62</v>
      </c>
      <c r="D1" t="s">
        <v>142</v>
      </c>
      <c r="E1" t="s">
        <v>143</v>
      </c>
      <c r="F1" t="s">
        <v>141</v>
      </c>
      <c r="G1" t="s">
        <v>63</v>
      </c>
      <c r="H1" t="s">
        <v>64</v>
      </c>
      <c r="I1" t="s">
        <v>65</v>
      </c>
    </row>
    <row r="2" spans="1:9" x14ac:dyDescent="0.25">
      <c r="A2" t="s">
        <v>4</v>
      </c>
      <c r="B2" t="s">
        <v>5</v>
      </c>
      <c r="C2">
        <v>1</v>
      </c>
      <c r="D2">
        <v>1</v>
      </c>
      <c r="E2">
        <v>0</v>
      </c>
      <c r="F2">
        <v>0.78947368399999995</v>
      </c>
      <c r="G2">
        <v>0.98319282658354057</v>
      </c>
      <c r="H2">
        <v>0.65145420472487414</v>
      </c>
      <c r="I2">
        <v>1.5092278466431392</v>
      </c>
    </row>
    <row r="3" spans="1:9" x14ac:dyDescent="0.25">
      <c r="A3" t="s">
        <v>4</v>
      </c>
      <c r="B3" t="s">
        <v>8</v>
      </c>
      <c r="C3">
        <v>1</v>
      </c>
      <c r="D3">
        <v>0.76</v>
      </c>
      <c r="E3">
        <v>0.34615384599999999</v>
      </c>
      <c r="F3">
        <v>0.92307692299999999</v>
      </c>
      <c r="G3">
        <v>0.85813160771974606</v>
      </c>
      <c r="H3">
        <v>0.86954887788056867</v>
      </c>
      <c r="I3">
        <v>0.98686989259459346</v>
      </c>
    </row>
    <row r="4" spans="1:9" x14ac:dyDescent="0.25">
      <c r="A4" t="s">
        <v>4</v>
      </c>
      <c r="B4" t="s">
        <v>10</v>
      </c>
      <c r="C4">
        <v>0</v>
      </c>
      <c r="D4">
        <v>0.16666666699999999</v>
      </c>
      <c r="E4">
        <v>0.27700000000000002</v>
      </c>
      <c r="F4">
        <v>0.38888888900000002</v>
      </c>
      <c r="G4">
        <v>0.90700451572314056</v>
      </c>
      <c r="H4">
        <v>0.73094289508632138</v>
      </c>
      <c r="I4">
        <v>1.240869186663381</v>
      </c>
    </row>
    <row r="5" spans="1:9" x14ac:dyDescent="0.25">
      <c r="A5" t="s">
        <v>4</v>
      </c>
      <c r="B5" t="s">
        <v>13</v>
      </c>
      <c r="C5">
        <v>0</v>
      </c>
      <c r="D5">
        <v>0</v>
      </c>
      <c r="E5">
        <v>1</v>
      </c>
      <c r="F5">
        <v>0.01</v>
      </c>
      <c r="G5">
        <v>0.68902439024390238</v>
      </c>
      <c r="H5">
        <v>0.30781010719754975</v>
      </c>
      <c r="I5">
        <v>2.2384722727824293</v>
      </c>
    </row>
    <row r="6" spans="1:9" x14ac:dyDescent="0.25">
      <c r="A6" t="s">
        <v>4</v>
      </c>
      <c r="B6" t="s">
        <v>15</v>
      </c>
      <c r="C6">
        <v>0</v>
      </c>
      <c r="D6">
        <v>0</v>
      </c>
      <c r="E6">
        <v>1</v>
      </c>
      <c r="F6">
        <v>0.235294118</v>
      </c>
      <c r="G6">
        <v>0.61038099315057803</v>
      </c>
      <c r="H6">
        <v>0.27985360905950762</v>
      </c>
      <c r="I6">
        <v>2.1810724371283259</v>
      </c>
    </row>
    <row r="7" spans="1:9" x14ac:dyDescent="0.25">
      <c r="A7" t="s">
        <v>4</v>
      </c>
      <c r="B7" t="s">
        <v>18</v>
      </c>
      <c r="C7">
        <v>0</v>
      </c>
      <c r="D7">
        <v>0.12</v>
      </c>
      <c r="E7">
        <v>0.88</v>
      </c>
      <c r="F7">
        <v>0.96</v>
      </c>
      <c r="G7">
        <v>0.76210780072246131</v>
      </c>
      <c r="H7">
        <v>0.569940984143259</v>
      </c>
      <c r="I7">
        <v>1.3371696753271207</v>
      </c>
    </row>
    <row r="8" spans="1:9" x14ac:dyDescent="0.25">
      <c r="A8" t="s">
        <v>4</v>
      </c>
      <c r="B8" t="s">
        <v>20</v>
      </c>
      <c r="C8">
        <v>0</v>
      </c>
      <c r="D8">
        <v>0.05</v>
      </c>
      <c r="E8">
        <v>0.1</v>
      </c>
      <c r="F8">
        <v>1</v>
      </c>
      <c r="G8">
        <v>0.85146006177610878</v>
      </c>
      <c r="H8">
        <v>0.37213236271618172</v>
      </c>
      <c r="I8">
        <v>2.2880570116539451</v>
      </c>
    </row>
    <row r="9" spans="1:9" x14ac:dyDescent="0.25">
      <c r="A9" t="s">
        <v>4</v>
      </c>
      <c r="B9" t="s">
        <v>29</v>
      </c>
      <c r="C9">
        <v>1</v>
      </c>
      <c r="D9">
        <v>0.97142857100000002</v>
      </c>
      <c r="E9">
        <v>0</v>
      </c>
      <c r="F9">
        <v>0.8</v>
      </c>
      <c r="G9">
        <v>0.94205298013245031</v>
      </c>
      <c r="H9">
        <v>0.54199328107502798</v>
      </c>
      <c r="I9">
        <v>1.7381266761534673</v>
      </c>
    </row>
    <row r="10" spans="1:9" x14ac:dyDescent="0.25">
      <c r="A10" t="s">
        <v>30</v>
      </c>
      <c r="B10" t="s">
        <v>31</v>
      </c>
      <c r="C10">
        <v>0</v>
      </c>
      <c r="D10">
        <v>0.25</v>
      </c>
      <c r="E10">
        <v>0</v>
      </c>
      <c r="F10">
        <v>1</v>
      </c>
      <c r="G10">
        <v>0.90281284868771317</v>
      </c>
      <c r="H10">
        <v>0.87007424086432361</v>
      </c>
      <c r="I10">
        <v>1.0376273727985181</v>
      </c>
    </row>
    <row r="11" spans="1:9" x14ac:dyDescent="0.25">
      <c r="A11" t="s">
        <v>30</v>
      </c>
      <c r="B11" t="s">
        <v>36</v>
      </c>
      <c r="C11">
        <v>0</v>
      </c>
      <c r="D11">
        <v>0.16</v>
      </c>
      <c r="E11">
        <v>0</v>
      </c>
      <c r="F11">
        <v>1</v>
      </c>
      <c r="G11">
        <v>0.87631269026753833</v>
      </c>
      <c r="H11">
        <v>0.89032810394539441</v>
      </c>
      <c r="I11">
        <v>0.98425814751241902</v>
      </c>
    </row>
    <row r="12" spans="1:9" x14ac:dyDescent="0.25">
      <c r="A12" t="s">
        <v>41</v>
      </c>
      <c r="B12" t="s">
        <v>42</v>
      </c>
      <c r="C12">
        <v>1</v>
      </c>
      <c r="D12">
        <v>1</v>
      </c>
      <c r="E12">
        <v>0</v>
      </c>
      <c r="F12">
        <v>1</v>
      </c>
      <c r="G12">
        <v>0.93630397130357512</v>
      </c>
      <c r="H12">
        <v>0.91173664925638664</v>
      </c>
      <c r="I12">
        <v>1.0269456339911591</v>
      </c>
    </row>
    <row r="13" spans="1:9" x14ac:dyDescent="0.25">
      <c r="A13" t="s">
        <v>45</v>
      </c>
      <c r="B13" t="s">
        <v>46</v>
      </c>
      <c r="C13">
        <v>0</v>
      </c>
      <c r="D13">
        <v>0.27272727299999999</v>
      </c>
      <c r="E13">
        <v>0.81818181800000001</v>
      </c>
      <c r="F13">
        <v>0.68181818199999999</v>
      </c>
      <c r="G13">
        <v>0.55925733075484996</v>
      </c>
      <c r="H13">
        <v>0.41788190347500115</v>
      </c>
      <c r="I13">
        <v>1.3383143086700002</v>
      </c>
    </row>
    <row r="14" spans="1:9" x14ac:dyDescent="0.25">
      <c r="A14" t="s">
        <v>49</v>
      </c>
      <c r="B14" t="s">
        <v>50</v>
      </c>
      <c r="C14">
        <v>1</v>
      </c>
      <c r="D14">
        <v>1</v>
      </c>
      <c r="E14">
        <v>0</v>
      </c>
      <c r="F14">
        <v>0.81481481499999997</v>
      </c>
      <c r="G14">
        <v>0.90738865156391424</v>
      </c>
      <c r="H14">
        <v>0.85443584459755384</v>
      </c>
      <c r="I14">
        <v>1.0619739999219036</v>
      </c>
    </row>
    <row r="15" spans="1:9" x14ac:dyDescent="0.25">
      <c r="A15" t="s">
        <v>49</v>
      </c>
      <c r="B15" t="s">
        <v>56</v>
      </c>
      <c r="C15">
        <v>1</v>
      </c>
      <c r="D15">
        <v>1</v>
      </c>
      <c r="E15">
        <v>0</v>
      </c>
      <c r="F15">
        <v>0.96153846200000004</v>
      </c>
      <c r="G15">
        <v>0.90659714264531333</v>
      </c>
      <c r="H15">
        <v>0.8356697370191668</v>
      </c>
      <c r="I15">
        <v>1.0848749242483573</v>
      </c>
    </row>
    <row r="16" spans="1:9" x14ac:dyDescent="0.25">
      <c r="A16" t="s">
        <v>130</v>
      </c>
      <c r="B16" t="s">
        <v>131</v>
      </c>
      <c r="C16">
        <v>0</v>
      </c>
      <c r="D16">
        <v>0</v>
      </c>
      <c r="E16">
        <v>1</v>
      </c>
      <c r="F16">
        <v>0.01</v>
      </c>
      <c r="G16">
        <v>0.16317307069267156</v>
      </c>
      <c r="H16">
        <v>0.14495370192358109</v>
      </c>
      <c r="I16">
        <f>G16/H16</f>
        <v>1.125690951850927</v>
      </c>
    </row>
    <row r="17" spans="1:9" x14ac:dyDescent="0.25">
      <c r="A17" t="s">
        <v>132</v>
      </c>
      <c r="B17" t="s">
        <v>133</v>
      </c>
      <c r="C17">
        <v>1</v>
      </c>
      <c r="D17">
        <v>1</v>
      </c>
      <c r="E17">
        <v>0</v>
      </c>
      <c r="G17">
        <f>0.318/0.339</f>
        <v>0.93805309734513265</v>
      </c>
      <c r="H17">
        <f>0.304/0.313</f>
        <v>0.97124600638977632</v>
      </c>
      <c r="I17">
        <f>G17/H17</f>
        <v>0.9658244061481136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Michalis Mihalitsis</cp:lastModifiedBy>
  <dcterms:created xsi:type="dcterms:W3CDTF">2024-06-12T23:41:16Z</dcterms:created>
  <dcterms:modified xsi:type="dcterms:W3CDTF">2025-05-12T06:40:16Z</dcterms:modified>
</cp:coreProperties>
</file>