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ostDoc Experiments\Comparative\Repository\"/>
    </mc:Choice>
  </mc:AlternateContent>
  <xr:revisionPtr revIDLastSave="0" documentId="13_ncr:1_{97C5BB4C-B2D7-4928-A96A-83D9839913C1}" xr6:coauthVersionLast="47" xr6:coauthVersionMax="47" xr10:uidLastSave="{00000000-0000-0000-0000-000000000000}"/>
  <bookViews>
    <workbookView xWindow="-28920" yWindow="-915" windowWidth="29040" windowHeight="15720" xr2:uid="{4A4660BA-7899-4826-A17E-ABE88500BBAD}"/>
  </bookViews>
  <sheets>
    <sheet name="Sheet3" sheetId="4" r:id="rId1"/>
    <sheet name="Sheet2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6" i="4" l="1"/>
  <c r="C95" i="4"/>
  <c r="H17" i="5"/>
  <c r="G17" i="5"/>
  <c r="I17" i="5" s="1"/>
  <c r="I16" i="5"/>
  <c r="D119" i="4"/>
  <c r="C119" i="4"/>
  <c r="D76" i="4"/>
  <c r="C76" i="4"/>
  <c r="D23" i="4"/>
  <c r="C23" i="4"/>
  <c r="D14" i="4"/>
  <c r="D5" i="4"/>
  <c r="C4" i="4"/>
  <c r="C3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D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C5" i="4"/>
  <c r="D4" i="4"/>
  <c r="D3" i="4"/>
  <c r="D2" i="4"/>
  <c r="C2" i="4"/>
</calcChain>
</file>

<file path=xl/sharedStrings.xml><?xml version="1.0" encoding="utf-8"?>
<sst xmlns="http://schemas.openxmlformats.org/spreadsheetml/2006/main" count="303" uniqueCount="58">
  <si>
    <t>Genus</t>
  </si>
  <si>
    <t>species</t>
  </si>
  <si>
    <t>Acanthurus</t>
  </si>
  <si>
    <t>bahianus</t>
  </si>
  <si>
    <t>chirurgus</t>
  </si>
  <si>
    <t>coeruleus</t>
  </si>
  <si>
    <t>japonicus</t>
  </si>
  <si>
    <t>leucosternon</t>
  </si>
  <si>
    <t>lineatus</t>
  </si>
  <si>
    <t>nigrofuscus</t>
  </si>
  <si>
    <t>xanthopterus</t>
  </si>
  <si>
    <t>Naso</t>
  </si>
  <si>
    <t>elegans</t>
  </si>
  <si>
    <t>lituratus</t>
  </si>
  <si>
    <t>Paracanthurus</t>
  </si>
  <si>
    <t>hepatus</t>
  </si>
  <si>
    <t>Prionurus</t>
  </si>
  <si>
    <t>laticlavius</t>
  </si>
  <si>
    <t>Zebrasoma</t>
  </si>
  <si>
    <t>desjardinii</t>
  </si>
  <si>
    <t>veliferum</t>
  </si>
  <si>
    <t>bite_ratio</t>
  </si>
  <si>
    <t>uj_ratio</t>
  </si>
  <si>
    <t>lj_ratio</t>
  </si>
  <si>
    <t>sym</t>
  </si>
  <si>
    <t>achilles</t>
  </si>
  <si>
    <t>blochii</t>
  </si>
  <si>
    <t>fowleri</t>
  </si>
  <si>
    <t>gahhm</t>
  </si>
  <si>
    <t>leucopareius</t>
  </si>
  <si>
    <t>maculiceps</t>
  </si>
  <si>
    <t>mata</t>
  </si>
  <si>
    <t>nigricans</t>
  </si>
  <si>
    <t>nigroris</t>
  </si>
  <si>
    <t>nigricauda</t>
  </si>
  <si>
    <t>olivaceus</t>
  </si>
  <si>
    <t>pyroferus</t>
  </si>
  <si>
    <t>sohal</t>
  </si>
  <si>
    <t>tennentii</t>
  </si>
  <si>
    <t>thompsonii</t>
  </si>
  <si>
    <t>triostegus</t>
  </si>
  <si>
    <t>brevirostris</t>
  </si>
  <si>
    <t>vlamingii</t>
  </si>
  <si>
    <t>punctatus</t>
  </si>
  <si>
    <t>flavescens</t>
  </si>
  <si>
    <t>scopas</t>
  </si>
  <si>
    <t>xanthurum</t>
  </si>
  <si>
    <t>guttatus</t>
  </si>
  <si>
    <t>Ctenochaetus</t>
  </si>
  <si>
    <t>strigosus</t>
  </si>
  <si>
    <t>Zanclus</t>
  </si>
  <si>
    <t>cornutus</t>
  </si>
  <si>
    <t>binotatus</t>
  </si>
  <si>
    <t>hawaiiensis</t>
  </si>
  <si>
    <t>striatus</t>
  </si>
  <si>
    <t>headflick_f</t>
  </si>
  <si>
    <t>uj_lateral_rotation</t>
  </si>
  <si>
    <t>lj_dorsoventral_flexion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</si>
</sst>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DC21D-2A30-495D-B1AC-687725BFDA69}">
  <dimension ref="A1:D130"/>
  <sheetViews>
    <sheetView tabSelected="1" workbookViewId="0">
      <selection activeCell="H12" sqref="H12"/>
    </sheetView>
  </sheetViews>
  <sheetFormatPr defaultRowHeight="15" x14ac:dyDescent="0.25"/>
  <cols>
    <col min="1" max="1" width="12.85546875" bestFit="1" customWidth="1"/>
    <col min="2" max="2" width="12.28515625" bestFit="1" customWidth="1"/>
    <col min="3" max="3" width="14" bestFit="1" customWidth="1"/>
    <col min="4" max="4" width="13.42578125" bestFit="1" customWidth="1"/>
    <col min="5" max="5" width="9.140625" customWidth="1"/>
    <col min="6" max="6" width="10.7109375" customWidth="1"/>
    <col min="7" max="8" width="10.5703125" bestFit="1" customWidth="1"/>
    <col min="9" max="9" width="10.5703125" customWidth="1"/>
    <col min="11" max="12" width="10" bestFit="1" customWidth="1"/>
  </cols>
  <sheetData>
    <row r="1" spans="1:4" x14ac:dyDescent="0.25">
      <c r="A1" s="1" t="s">
        <v>0</v>
      </c>
      <c r="B1" s="1" t="s">
        <v>1</v>
      </c>
      <c r="C1" s="1" t="s">
        <v>22</v>
      </c>
      <c r="D1" s="1" t="s">
        <v>23</v>
      </c>
    </row>
    <row r="2" spans="1:4" x14ac:dyDescent="0.25">
      <c r="A2" t="s">
        <v>2</v>
      </c>
      <c r="B2" t="s">
        <v>3</v>
      </c>
      <c r="C2">
        <f>0.69/0.708</f>
        <v>0.97457627118644063</v>
      </c>
      <c r="D2">
        <f>0.414/0.845</f>
        <v>0.48994082840236686</v>
      </c>
    </row>
    <row r="3" spans="1:4" x14ac:dyDescent="0.25">
      <c r="A3" t="s">
        <v>2</v>
      </c>
      <c r="B3" t="s">
        <v>3</v>
      </c>
      <c r="C3">
        <f>1.332/1.343</f>
        <v>0.99180938198064039</v>
      </c>
      <c r="D3">
        <f>0.652/0.802</f>
        <v>0.81296758104738154</v>
      </c>
    </row>
    <row r="4" spans="1:4" x14ac:dyDescent="0.25">
      <c r="A4" t="s">
        <v>2</v>
      </c>
      <c r="B4" t="s">
        <v>4</v>
      </c>
      <c r="C4">
        <f>1.292/1.332</f>
        <v>0.96996996996996998</v>
      </c>
      <c r="D4">
        <f>0.594/0.707</f>
        <v>0.8401697312588402</v>
      </c>
    </row>
    <row r="5" spans="1:4" x14ac:dyDescent="0.25">
      <c r="A5" t="s">
        <v>2</v>
      </c>
      <c r="B5" t="s">
        <v>4</v>
      </c>
      <c r="C5">
        <f>0.906/1.214</f>
        <v>0.74629324546952225</v>
      </c>
      <c r="D5">
        <f>1.174/1.306</f>
        <v>0.89892802450229703</v>
      </c>
    </row>
    <row r="6" spans="1:4" x14ac:dyDescent="0.25">
      <c r="A6" t="s">
        <v>2</v>
      </c>
      <c r="B6" t="s">
        <v>5</v>
      </c>
      <c r="C6">
        <f>1.639/1.849</f>
        <v>0.88642509464575447</v>
      </c>
      <c r="D6">
        <f>0.998/1.255</f>
        <v>0.79521912350597612</v>
      </c>
    </row>
    <row r="7" spans="1:4" x14ac:dyDescent="0.25">
      <c r="A7" t="s">
        <v>2</v>
      </c>
      <c r="B7" t="s">
        <v>5</v>
      </c>
      <c r="C7">
        <f>1.409/1.519</f>
        <v>0.92758393680052675</v>
      </c>
      <c r="D7">
        <f>0.7/1.05</f>
        <v>0.66666666666666663</v>
      </c>
    </row>
    <row r="8" spans="1:4" x14ac:dyDescent="0.25">
      <c r="A8" t="s">
        <v>2</v>
      </c>
      <c r="B8" t="s">
        <v>6</v>
      </c>
      <c r="C8">
        <f>0.452/0.656</f>
        <v>0.68902439024390238</v>
      </c>
      <c r="D8">
        <f>0.201/0.653</f>
        <v>0.30781010719754975</v>
      </c>
    </row>
    <row r="9" spans="1:4" x14ac:dyDescent="0.25">
      <c r="A9" t="s">
        <v>2</v>
      </c>
      <c r="B9" t="s">
        <v>7</v>
      </c>
      <c r="C9">
        <f>0.515/0.798</f>
        <v>0.64536340852130325</v>
      </c>
      <c r="D9">
        <f>0.148/0.611</f>
        <v>0.24222585924713583</v>
      </c>
    </row>
    <row r="10" spans="1:4" x14ac:dyDescent="0.25">
      <c r="A10" t="s">
        <v>2</v>
      </c>
      <c r="B10" t="s">
        <v>7</v>
      </c>
      <c r="C10">
        <f>0.393/0.622</f>
        <v>0.63183279742765275</v>
      </c>
      <c r="D10">
        <f>0.16/0.61</f>
        <v>0.26229508196721313</v>
      </c>
    </row>
    <row r="11" spans="1:4" x14ac:dyDescent="0.25">
      <c r="A11" t="s">
        <v>2</v>
      </c>
      <c r="B11" t="s">
        <v>7</v>
      </c>
      <c r="C11">
        <f>0.487/0.743</f>
        <v>0.65545087483176312</v>
      </c>
      <c r="D11">
        <f>0.231/0.606</f>
        <v>0.38118811881188119</v>
      </c>
    </row>
    <row r="12" spans="1:4" x14ac:dyDescent="0.25">
      <c r="A12" t="s">
        <v>2</v>
      </c>
      <c r="B12" t="s">
        <v>7</v>
      </c>
      <c r="C12">
        <f>0.516/0.98</f>
        <v>0.52653061224489794</v>
      </c>
      <c r="D12">
        <f>0.161/0.724</f>
        <v>0.22237569060773482</v>
      </c>
    </row>
    <row r="13" spans="1:4" x14ac:dyDescent="0.25">
      <c r="A13" t="s">
        <v>2</v>
      </c>
      <c r="B13" t="s">
        <v>7</v>
      </c>
      <c r="C13">
        <f>0.489/0.825</f>
        <v>0.59272727272727277</v>
      </c>
      <c r="D13">
        <f>0.251/0.862</f>
        <v>0.29118329466357307</v>
      </c>
    </row>
    <row r="14" spans="1:4" x14ac:dyDescent="0.25">
      <c r="A14" t="s">
        <v>2</v>
      </c>
      <c r="B14" t="s">
        <v>8</v>
      </c>
      <c r="C14">
        <f>0.608/0.826</f>
        <v>0.73607748184019373</v>
      </c>
      <c r="D14">
        <f>0.488/0.507</f>
        <v>0.96252465483234706</v>
      </c>
    </row>
    <row r="15" spans="1:4" x14ac:dyDescent="0.25">
      <c r="A15" t="s">
        <v>2</v>
      </c>
      <c r="B15" t="s">
        <v>8</v>
      </c>
      <c r="C15">
        <f>0.547/0.708</f>
        <v>0.7725988700564973</v>
      </c>
      <c r="D15">
        <f>0.168/0.456</f>
        <v>0.36842105263157898</v>
      </c>
    </row>
    <row r="16" spans="1:4" x14ac:dyDescent="0.25">
      <c r="A16" t="s">
        <v>2</v>
      </c>
      <c r="B16" t="s">
        <v>8</v>
      </c>
      <c r="C16">
        <f>0.635/0.824</f>
        <v>0.77063106796116509</v>
      </c>
      <c r="D16">
        <f>0.239/0.643</f>
        <v>0.3716951788491446</v>
      </c>
    </row>
    <row r="17" spans="1:4" x14ac:dyDescent="0.25">
      <c r="A17" t="s">
        <v>2</v>
      </c>
      <c r="B17" t="s">
        <v>8</v>
      </c>
      <c r="C17">
        <f>0.553/0.719</f>
        <v>0.76912378303198892</v>
      </c>
      <c r="D17">
        <f>0.333/0.577</f>
        <v>0.57712305025996546</v>
      </c>
    </row>
    <row r="18" spans="1:4" x14ac:dyDescent="0.25">
      <c r="A18" t="s">
        <v>2</v>
      </c>
      <c r="B18" t="s">
        <v>9</v>
      </c>
      <c r="C18">
        <f>0.769/0.788</f>
        <v>0.9758883248730964</v>
      </c>
      <c r="D18">
        <f>0.262/0.63</f>
        <v>0.41587301587301589</v>
      </c>
    </row>
    <row r="19" spans="1:4" x14ac:dyDescent="0.25">
      <c r="A19" t="s">
        <v>2</v>
      </c>
      <c r="B19" t="s">
        <v>9</v>
      </c>
      <c r="C19">
        <f>0.854/0.896</f>
        <v>0.953125</v>
      </c>
      <c r="D19">
        <f>0.212/0.652</f>
        <v>0.32515337423312879</v>
      </c>
    </row>
    <row r="20" spans="1:4" x14ac:dyDescent="0.25">
      <c r="A20" t="s">
        <v>2</v>
      </c>
      <c r="B20" t="s">
        <v>9</v>
      </c>
      <c r="C20">
        <f>0.798/1.017</f>
        <v>0.78466076696165199</v>
      </c>
      <c r="D20">
        <f>0.211/0.852</f>
        <v>0.24765258215962441</v>
      </c>
    </row>
    <row r="21" spans="1:4" x14ac:dyDescent="0.25">
      <c r="A21" t="s">
        <v>2</v>
      </c>
      <c r="B21" t="s">
        <v>9</v>
      </c>
      <c r="C21">
        <f>0.624/1.022</f>
        <v>0.61056751467710368</v>
      </c>
      <c r="D21">
        <f>0.5/0.851</f>
        <v>0.58754406580493534</v>
      </c>
    </row>
    <row r="22" spans="1:4" x14ac:dyDescent="0.25">
      <c r="A22" t="s">
        <v>2</v>
      </c>
      <c r="B22" t="s">
        <v>9</v>
      </c>
      <c r="C22">
        <f>0.906/0.971</f>
        <v>0.93305870236869215</v>
      </c>
      <c r="D22">
        <f>0.223/0.784</f>
        <v>0.28443877551020408</v>
      </c>
    </row>
    <row r="23" spans="1:4" x14ac:dyDescent="0.25">
      <c r="A23" t="s">
        <v>2</v>
      </c>
      <c r="B23" t="s">
        <v>10</v>
      </c>
      <c r="C23">
        <f>0.957/1.14</f>
        <v>0.83947368421052637</v>
      </c>
      <c r="D23">
        <f>0.724/0.793</f>
        <v>0.9129886506935686</v>
      </c>
    </row>
    <row r="24" spans="1:4" x14ac:dyDescent="0.25">
      <c r="A24" t="s">
        <v>11</v>
      </c>
      <c r="B24" t="s">
        <v>12</v>
      </c>
      <c r="C24">
        <f>0.241/0.269</f>
        <v>0.89591078066914487</v>
      </c>
      <c r="D24">
        <f>0.192/0.244</f>
        <v>0.78688524590163933</v>
      </c>
    </row>
    <row r="25" spans="1:4" x14ac:dyDescent="0.25">
      <c r="A25" t="s">
        <v>11</v>
      </c>
      <c r="B25" t="s">
        <v>12</v>
      </c>
      <c r="C25">
        <f>0.309/0.324</f>
        <v>0.95370370370370361</v>
      </c>
      <c r="D25">
        <f>0.295/0.314</f>
        <v>0.93949044585987251</v>
      </c>
    </row>
    <row r="26" spans="1:4" x14ac:dyDescent="0.25">
      <c r="A26" t="s">
        <v>11</v>
      </c>
      <c r="B26" t="s">
        <v>12</v>
      </c>
      <c r="C26">
        <f>0.135/0.144</f>
        <v>0.93750000000000011</v>
      </c>
      <c r="D26">
        <f>0.107/0.129</f>
        <v>0.82945736434108519</v>
      </c>
    </row>
    <row r="27" spans="1:4" x14ac:dyDescent="0.25">
      <c r="A27" t="s">
        <v>11</v>
      </c>
      <c r="B27" t="s">
        <v>12</v>
      </c>
      <c r="C27">
        <f>0.177/0.227</f>
        <v>0.77973568281938321</v>
      </c>
      <c r="D27">
        <f>0.149/0.157</f>
        <v>0.94904458598726105</v>
      </c>
    </row>
    <row r="28" spans="1:4" x14ac:dyDescent="0.25">
      <c r="A28" t="s">
        <v>11</v>
      </c>
      <c r="B28" t="s">
        <v>12</v>
      </c>
      <c r="C28">
        <f>0.323/0.341</f>
        <v>0.94721407624633425</v>
      </c>
      <c r="D28">
        <f>0.197/0.233</f>
        <v>0.84549356223175964</v>
      </c>
    </row>
    <row r="29" spans="1:4" x14ac:dyDescent="0.25">
      <c r="A29" t="s">
        <v>11</v>
      </c>
      <c r="B29" t="s">
        <v>13</v>
      </c>
      <c r="C29">
        <f>0.302/0.328</f>
        <v>0.9207317073170731</v>
      </c>
      <c r="D29">
        <f>0.212/0.224</f>
        <v>0.9464285714285714</v>
      </c>
    </row>
    <row r="30" spans="1:4" x14ac:dyDescent="0.25">
      <c r="A30" t="s">
        <v>11</v>
      </c>
      <c r="B30" t="s">
        <v>13</v>
      </c>
      <c r="C30">
        <f>0.423/0.434</f>
        <v>0.97465437788018428</v>
      </c>
      <c r="D30">
        <f>0.342/0.359</f>
        <v>0.95264623955431771</v>
      </c>
    </row>
    <row r="31" spans="1:4" x14ac:dyDescent="0.25">
      <c r="A31" t="s">
        <v>11</v>
      </c>
      <c r="B31" t="s">
        <v>13</v>
      </c>
      <c r="C31">
        <f>0.477/0.539</f>
        <v>0.88497217068645628</v>
      </c>
      <c r="D31">
        <f>0.334/0.469</f>
        <v>0.71215351812366745</v>
      </c>
    </row>
    <row r="32" spans="1:4" x14ac:dyDescent="0.25">
      <c r="A32" t="s">
        <v>11</v>
      </c>
      <c r="B32" t="s">
        <v>13</v>
      </c>
      <c r="C32">
        <f>0.412/0.471</f>
        <v>0.87473460721868368</v>
      </c>
      <c r="D32">
        <f>0.427/0.452</f>
        <v>0.94469026548672563</v>
      </c>
    </row>
    <row r="33" spans="1:4" x14ac:dyDescent="0.25">
      <c r="A33" t="s">
        <v>11</v>
      </c>
      <c r="B33" t="s">
        <v>13</v>
      </c>
      <c r="C33">
        <f>0.247/0.34</f>
        <v>0.72647058823529409</v>
      </c>
      <c r="D33">
        <f>0.335/0.374</f>
        <v>0.89572192513368987</v>
      </c>
    </row>
    <row r="34" spans="1:4" x14ac:dyDescent="0.25">
      <c r="A34" t="s">
        <v>14</v>
      </c>
      <c r="B34" t="s">
        <v>15</v>
      </c>
      <c r="C34">
        <f>0.418/0.422</f>
        <v>0.99052132701421802</v>
      </c>
      <c r="D34">
        <f>0.5/0.527</f>
        <v>0.94876660341555974</v>
      </c>
    </row>
    <row r="35" spans="1:4" x14ac:dyDescent="0.25">
      <c r="A35" t="s">
        <v>14</v>
      </c>
      <c r="B35" t="s">
        <v>15</v>
      </c>
      <c r="C35">
        <f>0.432/0.441</f>
        <v>0.97959183673469385</v>
      </c>
      <c r="D35">
        <f>0.164/0.202</f>
        <v>0.81188118811881183</v>
      </c>
    </row>
    <row r="36" spans="1:4" x14ac:dyDescent="0.25">
      <c r="A36" t="s">
        <v>14</v>
      </c>
      <c r="B36" t="s">
        <v>15</v>
      </c>
      <c r="C36">
        <f>0.75/0.808</f>
        <v>0.92821782178217815</v>
      </c>
      <c r="D36">
        <f>0.516/0.568</f>
        <v>0.90845070422535223</v>
      </c>
    </row>
    <row r="37" spans="1:4" x14ac:dyDescent="0.25">
      <c r="A37" t="s">
        <v>14</v>
      </c>
      <c r="B37" t="s">
        <v>15</v>
      </c>
      <c r="C37">
        <f>0.802/0.947</f>
        <v>0.84688489968321023</v>
      </c>
      <c r="D37">
        <f>0.618/0.632</f>
        <v>0.97784810126582278</v>
      </c>
    </row>
    <row r="38" spans="1:4" x14ac:dyDescent="0.25">
      <c r="A38" t="s">
        <v>16</v>
      </c>
      <c r="B38" t="s">
        <v>17</v>
      </c>
      <c r="C38">
        <f>0.19/0.569</f>
        <v>0.33391915641476277</v>
      </c>
      <c r="D38">
        <f>0.194/0.344</f>
        <v>0.56395348837209314</v>
      </c>
    </row>
    <row r="39" spans="1:4" x14ac:dyDescent="0.25">
      <c r="A39" t="s">
        <v>16</v>
      </c>
      <c r="B39" t="s">
        <v>17</v>
      </c>
      <c r="C39">
        <f>0.938/1.152</f>
        <v>0.81423611111111116</v>
      </c>
      <c r="D39">
        <f>0.432/1.271</f>
        <v>0.33988985051140835</v>
      </c>
    </row>
    <row r="40" spans="1:4" x14ac:dyDescent="0.25">
      <c r="A40" t="s">
        <v>16</v>
      </c>
      <c r="B40" t="s">
        <v>17</v>
      </c>
      <c r="C40">
        <f>0.152/0.287</f>
        <v>0.52961672473867594</v>
      </c>
      <c r="D40">
        <f>0.177/0.506</f>
        <v>0.34980237154150196</v>
      </c>
    </row>
    <row r="41" spans="1:4" x14ac:dyDescent="0.25">
      <c r="A41" t="s">
        <v>18</v>
      </c>
      <c r="B41" t="s">
        <v>19</v>
      </c>
      <c r="C41">
        <f>0.869/1.024</f>
        <v>0.8486328125</v>
      </c>
      <c r="D41">
        <f>0.639/0.768</f>
        <v>0.83203125</v>
      </c>
    </row>
    <row r="42" spans="1:4" x14ac:dyDescent="0.25">
      <c r="A42" t="s">
        <v>18</v>
      </c>
      <c r="B42" t="s">
        <v>19</v>
      </c>
      <c r="C42">
        <f>0.831/0.858</f>
        <v>0.96853146853146854</v>
      </c>
      <c r="D42">
        <f>0.569/0.609</f>
        <v>0.93431855500821015</v>
      </c>
    </row>
    <row r="43" spans="1:4" x14ac:dyDescent="0.25">
      <c r="A43" t="s">
        <v>18</v>
      </c>
      <c r="B43" t="s">
        <v>19</v>
      </c>
      <c r="C43">
        <f>1.081/1.185</f>
        <v>0.91223628691983116</v>
      </c>
      <c r="D43">
        <f>0.511/0.589</f>
        <v>0.86757215619694406</v>
      </c>
    </row>
    <row r="44" spans="1:4" x14ac:dyDescent="0.25">
      <c r="A44" t="s">
        <v>18</v>
      </c>
      <c r="B44" t="s">
        <v>19</v>
      </c>
      <c r="C44">
        <f>0.876/0.946</f>
        <v>0.92600422832980978</v>
      </c>
      <c r="D44">
        <f>0.554/0.727</f>
        <v>0.76203576341127932</v>
      </c>
    </row>
    <row r="45" spans="1:4" x14ac:dyDescent="0.25">
      <c r="A45" t="s">
        <v>18</v>
      </c>
      <c r="B45" t="s">
        <v>19</v>
      </c>
      <c r="C45">
        <f>0.573/0.65</f>
        <v>0.88153846153846138</v>
      </c>
      <c r="D45">
        <f>0.269/0.307</f>
        <v>0.87622149837133556</v>
      </c>
    </row>
    <row r="46" spans="1:4" x14ac:dyDescent="0.25">
      <c r="A46" t="s">
        <v>18</v>
      </c>
      <c r="B46" t="s">
        <v>20</v>
      </c>
      <c r="C46">
        <f>0.663/0.742</f>
        <v>0.8935309973045823</v>
      </c>
      <c r="D46">
        <f>0.492/0.529</f>
        <v>0.93005671077504715</v>
      </c>
    </row>
    <row r="47" spans="1:4" x14ac:dyDescent="0.25">
      <c r="A47" t="s">
        <v>18</v>
      </c>
      <c r="B47" t="s">
        <v>20</v>
      </c>
      <c r="C47">
        <f>0.509/0.54</f>
        <v>0.94259259259259254</v>
      </c>
      <c r="D47">
        <f>0.214/0.351</f>
        <v>0.6096866096866097</v>
      </c>
    </row>
    <row r="48" spans="1:4" x14ac:dyDescent="0.25">
      <c r="A48" t="s">
        <v>18</v>
      </c>
      <c r="B48" t="s">
        <v>20</v>
      </c>
      <c r="C48">
        <f>0.534/0.56</f>
        <v>0.95357142857142851</v>
      </c>
      <c r="D48">
        <f>0.268/0.348</f>
        <v>0.77011494252873569</v>
      </c>
    </row>
    <row r="49" spans="1:4" x14ac:dyDescent="0.25">
      <c r="A49" t="s">
        <v>18</v>
      </c>
      <c r="B49" t="s">
        <v>20</v>
      </c>
      <c r="C49">
        <f>0.757/0.886</f>
        <v>0.85440180586907444</v>
      </c>
      <c r="D49">
        <f>0.667/0.68</f>
        <v>0.98088235294117643</v>
      </c>
    </row>
    <row r="50" spans="1:4" x14ac:dyDescent="0.25">
      <c r="A50" t="s">
        <v>18</v>
      </c>
      <c r="B50" t="s">
        <v>20</v>
      </c>
      <c r="C50">
        <f>0.784/0.882</f>
        <v>0.88888888888888895</v>
      </c>
      <c r="D50">
        <f>0.616/0.694</f>
        <v>0.88760806916426516</v>
      </c>
    </row>
    <row r="51" spans="1:4" x14ac:dyDescent="0.25">
      <c r="A51" t="s">
        <v>2</v>
      </c>
      <c r="B51" t="s">
        <v>25</v>
      </c>
      <c r="C51">
        <f>0.398/0.86</f>
        <v>0.46279069767441866</v>
      </c>
      <c r="D51">
        <f>0.117/0.665</f>
        <v>0.17593984962406015</v>
      </c>
    </row>
    <row r="52" spans="1:4" x14ac:dyDescent="0.25">
      <c r="A52" t="s">
        <v>2</v>
      </c>
      <c r="B52" t="s">
        <v>25</v>
      </c>
      <c r="C52">
        <f>0.503/0.959</f>
        <v>0.52450469238790409</v>
      </c>
      <c r="D52">
        <f>0.224/0.965</f>
        <v>0.23212435233160622</v>
      </c>
    </row>
    <row r="53" spans="1:4" x14ac:dyDescent="0.25">
      <c r="A53" t="s">
        <v>2</v>
      </c>
      <c r="B53" t="s">
        <v>25</v>
      </c>
      <c r="C53">
        <f>0.44/0.797</f>
        <v>0.5520702634880803</v>
      </c>
      <c r="D53">
        <f>0.136/0.747</f>
        <v>0.18206157965194111</v>
      </c>
    </row>
    <row r="54" spans="1:4" x14ac:dyDescent="0.25">
      <c r="A54" t="s">
        <v>2</v>
      </c>
      <c r="B54" t="s">
        <v>26</v>
      </c>
      <c r="C54">
        <f>1.123/1.222</f>
        <v>0.9189852700490998</v>
      </c>
      <c r="D54">
        <f>0.965/1.011</f>
        <v>0.95450049455984176</v>
      </c>
    </row>
    <row r="55" spans="1:4" x14ac:dyDescent="0.25">
      <c r="A55" t="s">
        <v>2</v>
      </c>
      <c r="B55" t="s">
        <v>26</v>
      </c>
      <c r="C55">
        <f>1.263/1.42</f>
        <v>0.88943661971830978</v>
      </c>
      <c r="D55">
        <f>1.027/1.127</f>
        <v>0.91126885536823421</v>
      </c>
    </row>
    <row r="56" spans="1:4" x14ac:dyDescent="0.25">
      <c r="A56" t="s">
        <v>2</v>
      </c>
      <c r="B56" t="s">
        <v>27</v>
      </c>
      <c r="C56">
        <f>0.834/0.874</f>
        <v>0.95423340961098391</v>
      </c>
      <c r="D56">
        <f>0.69/0.703</f>
        <v>0.98150782361308675</v>
      </c>
    </row>
    <row r="57" spans="1:4" x14ac:dyDescent="0.25">
      <c r="A57" t="s">
        <v>2</v>
      </c>
      <c r="B57" t="s">
        <v>27</v>
      </c>
      <c r="C57">
        <f>0.967/0.981</f>
        <v>0.98572884811416916</v>
      </c>
      <c r="D57">
        <f>0.533/0.59</f>
        <v>0.90338983050847466</v>
      </c>
    </row>
    <row r="58" spans="1:4" x14ac:dyDescent="0.25">
      <c r="A58" t="s">
        <v>2</v>
      </c>
      <c r="B58" t="s">
        <v>28</v>
      </c>
      <c r="C58">
        <f>1.141/1.172</f>
        <v>0.97354948805460761</v>
      </c>
      <c r="D58">
        <f>0.916/1.188</f>
        <v>0.77104377104377109</v>
      </c>
    </row>
    <row r="59" spans="1:4" x14ac:dyDescent="0.25">
      <c r="A59" t="s">
        <v>2</v>
      </c>
      <c r="B59" t="s">
        <v>28</v>
      </c>
      <c r="C59">
        <f>1.431/1.475</f>
        <v>0.97016949152542376</v>
      </c>
      <c r="D59">
        <f>0.925/0.941</f>
        <v>0.98299681190223176</v>
      </c>
    </row>
    <row r="60" spans="1:4" x14ac:dyDescent="0.25">
      <c r="A60" t="s">
        <v>2</v>
      </c>
      <c r="B60" t="s">
        <v>28</v>
      </c>
      <c r="C60">
        <f>1.484/1.495</f>
        <v>0.9926421404682273</v>
      </c>
      <c r="D60">
        <f>1.018/1.103</f>
        <v>0.92293744333635541</v>
      </c>
    </row>
    <row r="61" spans="1:4" x14ac:dyDescent="0.25">
      <c r="A61" t="s">
        <v>2</v>
      </c>
      <c r="B61" t="s">
        <v>28</v>
      </c>
      <c r="C61">
        <f>1.137/1.186</f>
        <v>0.95868465430016869</v>
      </c>
      <c r="D61">
        <f>0.821/1.027</f>
        <v>0.79941577409931841</v>
      </c>
    </row>
    <row r="62" spans="1:4" x14ac:dyDescent="0.25">
      <c r="A62" t="s">
        <v>2</v>
      </c>
      <c r="B62" t="s">
        <v>28</v>
      </c>
      <c r="C62">
        <f>1.074/1.14</f>
        <v>0.94210526315789489</v>
      </c>
      <c r="D62">
        <f>0.684/1.025</f>
        <v>0.66731707317073186</v>
      </c>
    </row>
    <row r="63" spans="1:4" x14ac:dyDescent="0.25">
      <c r="A63" t="s">
        <v>2</v>
      </c>
      <c r="B63" t="s">
        <v>29</v>
      </c>
      <c r="C63">
        <f>0.963/1.292</f>
        <v>0.74535603715170273</v>
      </c>
      <c r="D63">
        <f>0.543/0.687</f>
        <v>0.79039301310043664</v>
      </c>
    </row>
    <row r="64" spans="1:4" x14ac:dyDescent="0.25">
      <c r="A64" t="s">
        <v>2</v>
      </c>
      <c r="B64" t="s">
        <v>29</v>
      </c>
      <c r="C64">
        <f>0.847/0.959</f>
        <v>0.88321167883211682</v>
      </c>
      <c r="D64">
        <f>0.437/0.656</f>
        <v>0.66615853658536583</v>
      </c>
    </row>
    <row r="65" spans="1:4" x14ac:dyDescent="0.25">
      <c r="A65" t="s">
        <v>2</v>
      </c>
      <c r="B65" t="s">
        <v>29</v>
      </c>
      <c r="C65">
        <f>0.997/1.315</f>
        <v>0.7581749049429658</v>
      </c>
      <c r="D65">
        <f>0.608/0.882</f>
        <v>0.68934240362811794</v>
      </c>
    </row>
    <row r="66" spans="1:4" x14ac:dyDescent="0.25">
      <c r="A66" t="s">
        <v>2</v>
      </c>
      <c r="B66" t="s">
        <v>30</v>
      </c>
      <c r="C66">
        <f>1.474/1.494</f>
        <v>0.98661311914323957</v>
      </c>
      <c r="D66">
        <f>0.95/1.161</f>
        <v>0.81826012058570197</v>
      </c>
    </row>
    <row r="67" spans="1:4" x14ac:dyDescent="0.25">
      <c r="A67" t="s">
        <v>2</v>
      </c>
      <c r="B67" t="s">
        <v>31</v>
      </c>
      <c r="C67">
        <f>0.4/0.458</f>
        <v>0.8733624454148472</v>
      </c>
      <c r="D67">
        <f>0.274/0.326</f>
        <v>0.8404907975460123</v>
      </c>
    </row>
    <row r="68" spans="1:4" x14ac:dyDescent="0.25">
      <c r="A68" t="s">
        <v>2</v>
      </c>
      <c r="B68" t="s">
        <v>32</v>
      </c>
      <c r="C68">
        <f>0.559/1.191</f>
        <v>0.46935348446683461</v>
      </c>
      <c r="D68">
        <f>0.557/0.98</f>
        <v>0.56836734693877555</v>
      </c>
    </row>
    <row r="69" spans="1:4" x14ac:dyDescent="0.25">
      <c r="A69" t="s">
        <v>2</v>
      </c>
      <c r="B69" t="s">
        <v>32</v>
      </c>
      <c r="C69">
        <f>0.734/1.376</f>
        <v>0.53343023255813959</v>
      </c>
      <c r="D69">
        <f>0.28/1.239</f>
        <v>0.22598870056497175</v>
      </c>
    </row>
    <row r="70" spans="1:4" x14ac:dyDescent="0.25">
      <c r="A70" t="s">
        <v>2</v>
      </c>
      <c r="B70" t="s">
        <v>32</v>
      </c>
      <c r="C70">
        <f>0.404/0.719</f>
        <v>0.56189151599443676</v>
      </c>
      <c r="D70">
        <f>0.191/0.594</f>
        <v>0.32154882154882158</v>
      </c>
    </row>
    <row r="71" spans="1:4" x14ac:dyDescent="0.25">
      <c r="A71" t="s">
        <v>2</v>
      </c>
      <c r="B71" t="s">
        <v>32</v>
      </c>
      <c r="C71">
        <f>0.486/0.7</f>
        <v>0.69428571428571428</v>
      </c>
      <c r="D71">
        <f>0.168/0.57</f>
        <v>0.29473684210526319</v>
      </c>
    </row>
    <row r="72" spans="1:4" x14ac:dyDescent="0.25">
      <c r="A72" t="s">
        <v>2</v>
      </c>
      <c r="B72" t="s">
        <v>32</v>
      </c>
      <c r="C72">
        <f>0.697/1.319</f>
        <v>0.52843062926459439</v>
      </c>
      <c r="D72">
        <f>0.294/1.214</f>
        <v>0.24217462932454695</v>
      </c>
    </row>
    <row r="73" spans="1:4" x14ac:dyDescent="0.25">
      <c r="A73" t="s">
        <v>2</v>
      </c>
      <c r="B73" t="s">
        <v>33</v>
      </c>
      <c r="C73">
        <f>0.557/0.6</f>
        <v>0.92833333333333345</v>
      </c>
      <c r="D73">
        <f>0.346/0.506</f>
        <v>0.68379446640316199</v>
      </c>
    </row>
    <row r="74" spans="1:4" x14ac:dyDescent="0.25">
      <c r="A74" t="s">
        <v>2</v>
      </c>
      <c r="B74" t="s">
        <v>33</v>
      </c>
      <c r="C74">
        <f>1.202/1.286</f>
        <v>0.93468118195956451</v>
      </c>
      <c r="D74">
        <f>0.221/0.666</f>
        <v>0.33183183183183179</v>
      </c>
    </row>
    <row r="75" spans="1:4" x14ac:dyDescent="0.25">
      <c r="A75" t="s">
        <v>2</v>
      </c>
      <c r="B75" t="s">
        <v>33</v>
      </c>
      <c r="C75">
        <f>0.901/1.109</f>
        <v>0.81244364292155102</v>
      </c>
      <c r="D75">
        <f>0.266/0.785</f>
        <v>0.33885350318471336</v>
      </c>
    </row>
    <row r="76" spans="1:4" x14ac:dyDescent="0.25">
      <c r="A76" t="s">
        <v>2</v>
      </c>
      <c r="B76" t="s">
        <v>34</v>
      </c>
      <c r="C76">
        <f>1.171/1.373</f>
        <v>0.85287691187181358</v>
      </c>
      <c r="D76">
        <f>0.633/0.899</f>
        <v>0.70411568409343717</v>
      </c>
    </row>
    <row r="77" spans="1:4" x14ac:dyDescent="0.25">
      <c r="A77" t="s">
        <v>2</v>
      </c>
      <c r="B77" t="s">
        <v>35</v>
      </c>
      <c r="C77">
        <f>0.96/0.988</f>
        <v>0.97165991902834004</v>
      </c>
      <c r="D77">
        <f>0.677/0.888</f>
        <v>0.76238738738738743</v>
      </c>
    </row>
    <row r="78" spans="1:4" x14ac:dyDescent="0.25">
      <c r="A78" t="s">
        <v>2</v>
      </c>
      <c r="B78" t="s">
        <v>35</v>
      </c>
      <c r="C78">
        <f>0.775/0.848</f>
        <v>0.9139150943396227</v>
      </c>
      <c r="D78">
        <f>0.53/0.531</f>
        <v>0.99811676082862522</v>
      </c>
    </row>
    <row r="79" spans="1:4" x14ac:dyDescent="0.25">
      <c r="A79" t="s">
        <v>2</v>
      </c>
      <c r="B79" t="s">
        <v>35</v>
      </c>
      <c r="C79">
        <f>0.683/0.728</f>
        <v>0.9381868131868133</v>
      </c>
      <c r="D79">
        <f>0.527/0.677</f>
        <v>0.77843426883308708</v>
      </c>
    </row>
    <row r="80" spans="1:4" x14ac:dyDescent="0.25">
      <c r="A80" t="s">
        <v>2</v>
      </c>
      <c r="B80" t="s">
        <v>35</v>
      </c>
      <c r="C80">
        <f>1.354/1.63</f>
        <v>0.83067484662576696</v>
      </c>
      <c r="D80">
        <f>0.996/1.495</f>
        <v>0.66622073578595309</v>
      </c>
    </row>
    <row r="81" spans="1:4" x14ac:dyDescent="0.25">
      <c r="A81" t="s">
        <v>2</v>
      </c>
      <c r="B81" t="s">
        <v>35</v>
      </c>
      <c r="C81">
        <f>1.18/1.292</f>
        <v>0.9133126934984519</v>
      </c>
      <c r="D81">
        <f>0.305/0.963</f>
        <v>0.31671858774662515</v>
      </c>
    </row>
    <row r="82" spans="1:4" x14ac:dyDescent="0.25">
      <c r="A82" t="s">
        <v>2</v>
      </c>
      <c r="B82" t="s">
        <v>36</v>
      </c>
      <c r="C82">
        <f>0.653/0.734</f>
        <v>0.88964577656675758</v>
      </c>
      <c r="D82">
        <f>0.26/0.387</f>
        <v>0.67183462532299743</v>
      </c>
    </row>
    <row r="83" spans="1:4" x14ac:dyDescent="0.25">
      <c r="A83" t="s">
        <v>2</v>
      </c>
      <c r="B83" t="s">
        <v>36</v>
      </c>
      <c r="C83">
        <f>0.522/0.606</f>
        <v>0.86138613861386149</v>
      </c>
      <c r="D83">
        <f>0.36/0.547</f>
        <v>0.65813528336380245</v>
      </c>
    </row>
    <row r="84" spans="1:4" x14ac:dyDescent="0.25">
      <c r="A84" t="s">
        <v>2</v>
      </c>
      <c r="B84" t="s">
        <v>37</v>
      </c>
      <c r="C84">
        <f>1.068/1.495</f>
        <v>0.71438127090301007</v>
      </c>
      <c r="D84">
        <f>1.081/1.292</f>
        <v>0.83668730650154788</v>
      </c>
    </row>
    <row r="85" spans="1:4" x14ac:dyDescent="0.25">
      <c r="A85" t="s">
        <v>2</v>
      </c>
      <c r="B85" t="s">
        <v>37</v>
      </c>
      <c r="C85">
        <f>1.061/1.784</f>
        <v>0.59473094170403584</v>
      </c>
      <c r="D85">
        <f>1.037/1.098</f>
        <v>0.94444444444444431</v>
      </c>
    </row>
    <row r="86" spans="1:4" x14ac:dyDescent="0.25">
      <c r="A86" t="s">
        <v>2</v>
      </c>
      <c r="B86" t="s">
        <v>37</v>
      </c>
      <c r="C86">
        <f>1.322/1.608</f>
        <v>0.82213930348258701</v>
      </c>
      <c r="D86">
        <f>0.919/1.459</f>
        <v>0.62988348183687459</v>
      </c>
    </row>
    <row r="87" spans="1:4" x14ac:dyDescent="0.25">
      <c r="A87" t="s">
        <v>2</v>
      </c>
      <c r="B87" t="s">
        <v>37</v>
      </c>
      <c r="C87">
        <f>0.993/1.49</f>
        <v>0.66644295302013423</v>
      </c>
      <c r="D87">
        <f>0.988/1.285</f>
        <v>0.76887159533073934</v>
      </c>
    </row>
    <row r="88" spans="1:4" x14ac:dyDescent="0.25">
      <c r="A88" t="s">
        <v>2</v>
      </c>
      <c r="B88" t="s">
        <v>38</v>
      </c>
      <c r="C88">
        <f>0.723/0.779</f>
        <v>0.92811296534017962</v>
      </c>
      <c r="D88">
        <f>0.535/0.625</f>
        <v>0.85600000000000009</v>
      </c>
    </row>
    <row r="89" spans="1:4" x14ac:dyDescent="0.25">
      <c r="A89" t="s">
        <v>2</v>
      </c>
      <c r="B89" t="s">
        <v>38</v>
      </c>
      <c r="C89">
        <f>0.769/0.794</f>
        <v>0.96851385390428213</v>
      </c>
      <c r="D89">
        <f>0.326/0.501</f>
        <v>0.65069860279441116</v>
      </c>
    </row>
    <row r="90" spans="1:4" x14ac:dyDescent="0.25">
      <c r="A90" t="s">
        <v>2</v>
      </c>
      <c r="B90" t="s">
        <v>38</v>
      </c>
      <c r="C90">
        <f>0.786/0.834</f>
        <v>0.94244604316546765</v>
      </c>
      <c r="D90">
        <f>0.51/0.677</f>
        <v>0.75332348596750365</v>
      </c>
    </row>
    <row r="91" spans="1:4" x14ac:dyDescent="0.25">
      <c r="A91" t="s">
        <v>2</v>
      </c>
      <c r="B91" t="s">
        <v>38</v>
      </c>
      <c r="C91">
        <f>0.918/0.954</f>
        <v>0.96226415094339635</v>
      </c>
      <c r="D91">
        <f>0.39/0.685</f>
        <v>0.56934306569343063</v>
      </c>
    </row>
    <row r="92" spans="1:4" x14ac:dyDescent="0.25">
      <c r="A92" t="s">
        <v>2</v>
      </c>
      <c r="B92" t="s">
        <v>39</v>
      </c>
      <c r="C92">
        <f>0.339/0.358</f>
        <v>0.94692737430167606</v>
      </c>
      <c r="D92">
        <f>0.354/0.382</f>
        <v>0.92670157068062819</v>
      </c>
    </row>
    <row r="93" spans="1:4" x14ac:dyDescent="0.25">
      <c r="A93" t="s">
        <v>2</v>
      </c>
      <c r="B93" t="s">
        <v>39</v>
      </c>
      <c r="C93">
        <f>0.497/0.504</f>
        <v>0.98611111111111105</v>
      </c>
      <c r="D93">
        <f>0.509/0.526</f>
        <v>0.96768060836501901</v>
      </c>
    </row>
    <row r="94" spans="1:4" x14ac:dyDescent="0.25">
      <c r="A94" t="s">
        <v>2</v>
      </c>
      <c r="B94" t="s">
        <v>39</v>
      </c>
      <c r="C94">
        <f>0.439/0.441</f>
        <v>0.99546485260770978</v>
      </c>
      <c r="D94">
        <f>0.43/0.431</f>
        <v>0.99767981438515085</v>
      </c>
    </row>
    <row r="95" spans="1:4" x14ac:dyDescent="0.25">
      <c r="A95" t="s">
        <v>2</v>
      </c>
      <c r="B95" t="s">
        <v>40</v>
      </c>
      <c r="C95">
        <f>638.624/947.553</f>
        <v>0.67397179893895121</v>
      </c>
      <c r="D95">
        <f>0.368/0.669</f>
        <v>0.55007473841554555</v>
      </c>
    </row>
    <row r="96" spans="1:4" x14ac:dyDescent="0.25">
      <c r="A96" t="s">
        <v>2</v>
      </c>
      <c r="B96" t="s">
        <v>40</v>
      </c>
      <c r="C96">
        <f>349.201/582.495</f>
        <v>0.59949184113168352</v>
      </c>
      <c r="D96">
        <f>0.28/0.458</f>
        <v>0.611353711790393</v>
      </c>
    </row>
    <row r="97" spans="1:4" x14ac:dyDescent="0.25">
      <c r="A97" t="s">
        <v>2</v>
      </c>
      <c r="B97" t="s">
        <v>40</v>
      </c>
      <c r="C97">
        <f>0.721/0.741</f>
        <v>0.97300944669365719</v>
      </c>
      <c r="D97">
        <f>0.28/0.436</f>
        <v>0.64220183486238536</v>
      </c>
    </row>
    <row r="98" spans="1:4" x14ac:dyDescent="0.25">
      <c r="A98" t="s">
        <v>11</v>
      </c>
      <c r="B98" t="s">
        <v>41</v>
      </c>
      <c r="C98">
        <f>0.329/0.349</f>
        <v>0.94269340974212046</v>
      </c>
      <c r="D98">
        <f>0.371/0.423</f>
        <v>0.87706855791962179</v>
      </c>
    </row>
    <row r="99" spans="1:4" x14ac:dyDescent="0.25">
      <c r="A99" t="s">
        <v>11</v>
      </c>
      <c r="B99" t="s">
        <v>41</v>
      </c>
      <c r="C99">
        <f>0.364/0.367</f>
        <v>0.99182561307901906</v>
      </c>
      <c r="D99">
        <f>0.437/0.439</f>
        <v>0.99544419134396356</v>
      </c>
    </row>
    <row r="100" spans="1:4" x14ac:dyDescent="0.25">
      <c r="A100" t="s">
        <v>11</v>
      </c>
      <c r="B100" t="s">
        <v>42</v>
      </c>
      <c r="C100">
        <f>0.41/0.421</f>
        <v>0.97387173396674587</v>
      </c>
      <c r="D100">
        <f>0.341/0.357</f>
        <v>0.95518207282913181</v>
      </c>
    </row>
    <row r="101" spans="1:4" x14ac:dyDescent="0.25">
      <c r="A101" t="s">
        <v>11</v>
      </c>
      <c r="B101" t="s">
        <v>42</v>
      </c>
      <c r="C101">
        <f>0.441/0.464</f>
        <v>0.95043103448275856</v>
      </c>
      <c r="D101">
        <f>0.282/0.302</f>
        <v>0.93377483443708598</v>
      </c>
    </row>
    <row r="102" spans="1:4" x14ac:dyDescent="0.25">
      <c r="A102" t="s">
        <v>11</v>
      </c>
      <c r="B102" t="s">
        <v>42</v>
      </c>
      <c r="C102">
        <f>0.275/0.303</f>
        <v>0.90759075907590769</v>
      </c>
      <c r="D102">
        <f>0.176/0.188</f>
        <v>0.93617021276595735</v>
      </c>
    </row>
    <row r="103" spans="1:4" x14ac:dyDescent="0.25">
      <c r="A103" t="s">
        <v>16</v>
      </c>
      <c r="B103" t="s">
        <v>43</v>
      </c>
      <c r="C103">
        <f>0.412/1.502</f>
        <v>0.2743009320905459</v>
      </c>
      <c r="D103">
        <f>0.422/1.5</f>
        <v>0.28133333333333332</v>
      </c>
    </row>
    <row r="104" spans="1:4" x14ac:dyDescent="0.25">
      <c r="A104" t="s">
        <v>18</v>
      </c>
      <c r="B104" t="s">
        <v>44</v>
      </c>
      <c r="C104">
        <f>0.42/0.559</f>
        <v>0.75134168157423964</v>
      </c>
      <c r="D104">
        <f>0.275/0.412</f>
        <v>0.66747572815533984</v>
      </c>
    </row>
    <row r="105" spans="1:4" x14ac:dyDescent="0.25">
      <c r="A105" t="s">
        <v>18</v>
      </c>
      <c r="B105" t="s">
        <v>44</v>
      </c>
      <c r="C105">
        <f>0.314/0.563</f>
        <v>0.55772646536412085</v>
      </c>
      <c r="D105">
        <f>0.403/0.416</f>
        <v>0.96875000000000011</v>
      </c>
    </row>
    <row r="106" spans="1:4" x14ac:dyDescent="0.25">
      <c r="A106" t="s">
        <v>18</v>
      </c>
      <c r="B106" t="s">
        <v>44</v>
      </c>
      <c r="C106">
        <f>0.381/0.597</f>
        <v>0.63819095477386933</v>
      </c>
      <c r="D106">
        <f>0.532/0.553</f>
        <v>0.96202531645569622</v>
      </c>
    </row>
    <row r="107" spans="1:4" x14ac:dyDescent="0.25">
      <c r="A107" t="s">
        <v>18</v>
      </c>
      <c r="B107" t="s">
        <v>44</v>
      </c>
      <c r="C107">
        <f>0.506/0.519</f>
        <v>0.97495183044315992</v>
      </c>
      <c r="D107">
        <f>0.293/0.327</f>
        <v>0.8960244648318042</v>
      </c>
    </row>
    <row r="108" spans="1:4" x14ac:dyDescent="0.25">
      <c r="A108" t="s">
        <v>18</v>
      </c>
      <c r="B108" t="s">
        <v>44</v>
      </c>
      <c r="C108">
        <f>0.364/0.604</f>
        <v>0.60264900662251653</v>
      </c>
      <c r="D108">
        <f>0.41/0.411</f>
        <v>0.9975669099756691</v>
      </c>
    </row>
    <row r="109" spans="1:4" x14ac:dyDescent="0.25">
      <c r="A109" t="s">
        <v>18</v>
      </c>
      <c r="B109" t="s">
        <v>45</v>
      </c>
      <c r="C109">
        <f>0.588/0.636</f>
        <v>0.92452830188679236</v>
      </c>
      <c r="D109">
        <f>0.409/0.423</f>
        <v>0.96690307328605196</v>
      </c>
    </row>
    <row r="110" spans="1:4" x14ac:dyDescent="0.25">
      <c r="A110" t="s">
        <v>18</v>
      </c>
      <c r="B110" t="s">
        <v>45</v>
      </c>
      <c r="C110">
        <f>0.376/0.383</f>
        <v>0.98172323759791125</v>
      </c>
      <c r="D110">
        <f>0.237/0.295</f>
        <v>0.80338983050847457</v>
      </c>
    </row>
    <row r="111" spans="1:4" x14ac:dyDescent="0.25">
      <c r="A111" t="s">
        <v>18</v>
      </c>
      <c r="B111" t="s">
        <v>45</v>
      </c>
      <c r="C111">
        <f>0.322/0.501</f>
        <v>0.64271457085828343</v>
      </c>
      <c r="D111">
        <f>0.211/0.219</f>
        <v>0.9634703196347032</v>
      </c>
    </row>
    <row r="112" spans="1:4" x14ac:dyDescent="0.25">
      <c r="A112" t="s">
        <v>18</v>
      </c>
      <c r="B112" t="s">
        <v>45</v>
      </c>
      <c r="C112">
        <f>0.268/0.435</f>
        <v>0.61609195402298855</v>
      </c>
      <c r="D112">
        <f>0.224/0.275</f>
        <v>0.81454545454545446</v>
      </c>
    </row>
    <row r="113" spans="1:4" x14ac:dyDescent="0.25">
      <c r="A113" t="s">
        <v>18</v>
      </c>
      <c r="B113" t="s">
        <v>45</v>
      </c>
      <c r="C113">
        <f>0.512/0.754</f>
        <v>0.67904509283819625</v>
      </c>
      <c r="D113">
        <f>0.364/0.379</f>
        <v>0.9604221635883905</v>
      </c>
    </row>
    <row r="114" spans="1:4" x14ac:dyDescent="0.25">
      <c r="A114" t="s">
        <v>18</v>
      </c>
      <c r="B114" t="s">
        <v>46</v>
      </c>
      <c r="C114">
        <f>0.547/0.731</f>
        <v>0.74829001367989068</v>
      </c>
      <c r="D114">
        <f>0.323/0.369</f>
        <v>0.87533875338753386</v>
      </c>
    </row>
    <row r="115" spans="1:4" x14ac:dyDescent="0.25">
      <c r="A115" t="s">
        <v>18</v>
      </c>
      <c r="B115" t="s">
        <v>46</v>
      </c>
      <c r="C115">
        <f>0.464/0.64</f>
        <v>0.72499999999999998</v>
      </c>
      <c r="D115">
        <f>0.295/0.363</f>
        <v>0.81267217630853994</v>
      </c>
    </row>
    <row r="116" spans="1:4" x14ac:dyDescent="0.25">
      <c r="A116" t="s">
        <v>18</v>
      </c>
      <c r="B116" t="s">
        <v>46</v>
      </c>
      <c r="C116">
        <f>0.483/0.527</f>
        <v>0.91650853889943062</v>
      </c>
      <c r="D116">
        <f>0.31/0.351</f>
        <v>0.88319088319088324</v>
      </c>
    </row>
    <row r="117" spans="1:4" x14ac:dyDescent="0.25">
      <c r="A117" t="s">
        <v>18</v>
      </c>
      <c r="B117" t="s">
        <v>46</v>
      </c>
      <c r="C117">
        <f>0.545/0.742</f>
        <v>0.73450134770889497</v>
      </c>
      <c r="D117">
        <f>0.399/0.448</f>
        <v>0.890625</v>
      </c>
    </row>
    <row r="118" spans="1:4" x14ac:dyDescent="0.25">
      <c r="A118" t="s">
        <v>18</v>
      </c>
      <c r="B118" t="s">
        <v>46</v>
      </c>
      <c r="C118">
        <f>0.563/0.646</f>
        <v>0.87151702786377694</v>
      </c>
      <c r="D118">
        <f>0.433/0.447</f>
        <v>0.96868008948545858</v>
      </c>
    </row>
    <row r="119" spans="1:4" x14ac:dyDescent="0.25">
      <c r="A119" t="s">
        <v>2</v>
      </c>
      <c r="B119" t="s">
        <v>47</v>
      </c>
      <c r="C119">
        <f>65.924/107.229</f>
        <v>0.61479637038487733</v>
      </c>
      <c r="D119">
        <f>46.174/80.231</f>
        <v>0.57551320561877584</v>
      </c>
    </row>
    <row r="120" spans="1:4" x14ac:dyDescent="0.25">
      <c r="A120" t="s">
        <v>48</v>
      </c>
      <c r="B120" t="s">
        <v>52</v>
      </c>
      <c r="C120">
        <v>0.25622775800711739</v>
      </c>
      <c r="D120">
        <v>0.56547619047619047</v>
      </c>
    </row>
    <row r="121" spans="1:4" x14ac:dyDescent="0.25">
      <c r="A121" t="s">
        <v>48</v>
      </c>
      <c r="B121" t="s">
        <v>52</v>
      </c>
      <c r="C121">
        <v>0.10675381263616558</v>
      </c>
      <c r="D121">
        <v>9.0725806451612906E-2</v>
      </c>
    </row>
    <row r="122" spans="1:4" x14ac:dyDescent="0.25">
      <c r="A122" t="s">
        <v>48</v>
      </c>
      <c r="B122" t="s">
        <v>52</v>
      </c>
      <c r="C122">
        <v>7.5268817204301078E-2</v>
      </c>
      <c r="D122">
        <v>0.21092278719397362</v>
      </c>
    </row>
    <row r="123" spans="1:4" x14ac:dyDescent="0.25">
      <c r="A123" t="s">
        <v>48</v>
      </c>
      <c r="B123" t="s">
        <v>53</v>
      </c>
      <c r="C123">
        <v>0.12371134020618557</v>
      </c>
      <c r="D123">
        <v>0.18003565062388591</v>
      </c>
    </row>
    <row r="124" spans="1:4" x14ac:dyDescent="0.25">
      <c r="A124" t="s">
        <v>48</v>
      </c>
      <c r="B124" t="s">
        <v>53</v>
      </c>
      <c r="C124">
        <v>0.27893175074183973</v>
      </c>
      <c r="D124">
        <v>0.13747228381374724</v>
      </c>
    </row>
    <row r="125" spans="1:4" x14ac:dyDescent="0.25">
      <c r="A125" t="s">
        <v>48</v>
      </c>
      <c r="B125" t="s">
        <v>54</v>
      </c>
      <c r="C125">
        <v>7.8402366863905323E-2</v>
      </c>
      <c r="D125">
        <v>0.28919860627177701</v>
      </c>
    </row>
    <row r="126" spans="1:4" x14ac:dyDescent="0.25">
      <c r="A126" t="s">
        <v>48</v>
      </c>
      <c r="B126" t="s">
        <v>54</v>
      </c>
      <c r="C126">
        <v>0.11891891891891891</v>
      </c>
      <c r="D126">
        <v>0.1476510067114094</v>
      </c>
    </row>
    <row r="127" spans="1:4" x14ac:dyDescent="0.25">
      <c r="A127" t="s">
        <v>48</v>
      </c>
      <c r="B127" t="s">
        <v>54</v>
      </c>
      <c r="C127">
        <v>0.1943462897526502</v>
      </c>
      <c r="D127">
        <v>0.10858585858585858</v>
      </c>
    </row>
    <row r="128" spans="1:4" x14ac:dyDescent="0.25">
      <c r="A128" t="s">
        <v>48</v>
      </c>
      <c r="B128" t="s">
        <v>49</v>
      </c>
      <c r="C128">
        <v>9.6837944664031617E-2</v>
      </c>
      <c r="D128">
        <v>0.14913957934990441</v>
      </c>
    </row>
    <row r="129" spans="1:4" x14ac:dyDescent="0.25">
      <c r="A129" t="s">
        <v>48</v>
      </c>
      <c r="B129" t="s">
        <v>49</v>
      </c>
      <c r="C129">
        <v>0.22950819672131151</v>
      </c>
      <c r="D129">
        <v>0.14076782449725775</v>
      </c>
    </row>
    <row r="130" spans="1:4" x14ac:dyDescent="0.25">
      <c r="A130" t="s">
        <v>50</v>
      </c>
      <c r="B130" t="s">
        <v>51</v>
      </c>
      <c r="C130">
        <v>0.93805309734513265</v>
      </c>
      <c r="D130">
        <v>0.97124600638977632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3AFF1-2EF3-4FEA-8875-AF705E3DCC7B}">
  <dimension ref="A1:I17"/>
  <sheetViews>
    <sheetView workbookViewId="0">
      <selection activeCell="B20" sqref="B20"/>
    </sheetView>
  </sheetViews>
  <sheetFormatPr defaultRowHeight="15" x14ac:dyDescent="0.25"/>
  <cols>
    <col min="1" max="1" width="14.28515625" bestFit="1" customWidth="1"/>
    <col min="2" max="2" width="12.5703125" bestFit="1" customWidth="1"/>
    <col min="3" max="3" width="12" bestFit="1" customWidth="1"/>
    <col min="4" max="4" width="17.42578125" bestFit="1" customWidth="1"/>
    <col min="5" max="5" width="21.140625" bestFit="1" customWidth="1"/>
    <col min="6" max="6" width="12" customWidth="1"/>
  </cols>
  <sheetData>
    <row r="1" spans="1:9" x14ac:dyDescent="0.25">
      <c r="A1" t="s">
        <v>0</v>
      </c>
      <c r="B1" t="s">
        <v>1</v>
      </c>
      <c r="C1" t="s">
        <v>21</v>
      </c>
      <c r="D1" t="s">
        <v>56</v>
      </c>
      <c r="E1" t="s">
        <v>57</v>
      </c>
      <c r="F1" t="s">
        <v>55</v>
      </c>
      <c r="G1" t="s">
        <v>22</v>
      </c>
      <c r="H1" t="s">
        <v>23</v>
      </c>
      <c r="I1" t="s">
        <v>24</v>
      </c>
    </row>
    <row r="2" spans="1:9" x14ac:dyDescent="0.25">
      <c r="A2" t="s">
        <v>2</v>
      </c>
      <c r="B2" t="s">
        <v>3</v>
      </c>
      <c r="C2">
        <v>1</v>
      </c>
      <c r="D2">
        <v>1</v>
      </c>
      <c r="E2">
        <v>0</v>
      </c>
      <c r="F2">
        <v>0.78947368399999995</v>
      </c>
      <c r="G2">
        <v>0.98319282658354057</v>
      </c>
      <c r="H2">
        <v>0.65145420472487414</v>
      </c>
      <c r="I2">
        <v>1.5092278466431392</v>
      </c>
    </row>
    <row r="3" spans="1:9" x14ac:dyDescent="0.25">
      <c r="A3" t="s">
        <v>2</v>
      </c>
      <c r="B3" t="s">
        <v>4</v>
      </c>
      <c r="C3">
        <v>1</v>
      </c>
      <c r="D3">
        <v>0.76</v>
      </c>
      <c r="E3">
        <v>0.34615384599999999</v>
      </c>
      <c r="F3">
        <v>0.92307692299999999</v>
      </c>
      <c r="G3">
        <v>0.85813160771974606</v>
      </c>
      <c r="H3">
        <v>0.86954887788056867</v>
      </c>
      <c r="I3">
        <v>0.98686989259459346</v>
      </c>
    </row>
    <row r="4" spans="1:9" x14ac:dyDescent="0.25">
      <c r="A4" t="s">
        <v>2</v>
      </c>
      <c r="B4" t="s">
        <v>5</v>
      </c>
      <c r="C4">
        <v>0</v>
      </c>
      <c r="D4">
        <v>0.16666666699999999</v>
      </c>
      <c r="E4">
        <v>0.27700000000000002</v>
      </c>
      <c r="F4">
        <v>0.38888888900000002</v>
      </c>
      <c r="G4">
        <v>0.90700451572314056</v>
      </c>
      <c r="H4">
        <v>0.73094289508632138</v>
      </c>
      <c r="I4">
        <v>1.240869186663381</v>
      </c>
    </row>
    <row r="5" spans="1:9" x14ac:dyDescent="0.25">
      <c r="A5" t="s">
        <v>2</v>
      </c>
      <c r="B5" t="s">
        <v>6</v>
      </c>
      <c r="C5">
        <v>0</v>
      </c>
      <c r="D5">
        <v>0</v>
      </c>
      <c r="E5">
        <v>1</v>
      </c>
      <c r="F5">
        <v>0.01</v>
      </c>
      <c r="G5">
        <v>0.68902439024390238</v>
      </c>
      <c r="H5">
        <v>0.30781010719754975</v>
      </c>
      <c r="I5">
        <v>2.2384722727824293</v>
      </c>
    </row>
    <row r="6" spans="1:9" x14ac:dyDescent="0.25">
      <c r="A6" t="s">
        <v>2</v>
      </c>
      <c r="B6" t="s">
        <v>7</v>
      </c>
      <c r="C6">
        <v>0</v>
      </c>
      <c r="D6">
        <v>0</v>
      </c>
      <c r="E6">
        <v>1</v>
      </c>
      <c r="F6">
        <v>0.235294118</v>
      </c>
      <c r="G6">
        <v>0.61038099315057803</v>
      </c>
      <c r="H6">
        <v>0.27985360905950762</v>
      </c>
      <c r="I6">
        <v>2.1810724371283259</v>
      </c>
    </row>
    <row r="7" spans="1:9" x14ac:dyDescent="0.25">
      <c r="A7" t="s">
        <v>2</v>
      </c>
      <c r="B7" t="s">
        <v>8</v>
      </c>
      <c r="C7">
        <v>0</v>
      </c>
      <c r="D7">
        <v>0.12</v>
      </c>
      <c r="E7">
        <v>0.88</v>
      </c>
      <c r="F7">
        <v>0.96</v>
      </c>
      <c r="G7">
        <v>0.76210780072246131</v>
      </c>
      <c r="H7">
        <v>0.569940984143259</v>
      </c>
      <c r="I7">
        <v>1.3371696753271207</v>
      </c>
    </row>
    <row r="8" spans="1:9" x14ac:dyDescent="0.25">
      <c r="A8" t="s">
        <v>2</v>
      </c>
      <c r="B8" t="s">
        <v>9</v>
      </c>
      <c r="C8">
        <v>0</v>
      </c>
      <c r="D8">
        <v>0.05</v>
      </c>
      <c r="E8">
        <v>0.1</v>
      </c>
      <c r="F8">
        <v>1</v>
      </c>
      <c r="G8">
        <v>0.85146006177610878</v>
      </c>
      <c r="H8">
        <v>0.37213236271618172</v>
      </c>
      <c r="I8">
        <v>2.2880570116539451</v>
      </c>
    </row>
    <row r="9" spans="1:9" x14ac:dyDescent="0.25">
      <c r="A9" t="s">
        <v>2</v>
      </c>
      <c r="B9" t="s">
        <v>10</v>
      </c>
      <c r="C9">
        <v>1</v>
      </c>
      <c r="D9">
        <v>0.97142857100000002</v>
      </c>
      <c r="E9">
        <v>0</v>
      </c>
      <c r="F9">
        <v>0.8</v>
      </c>
      <c r="G9">
        <v>0.94205298013245031</v>
      </c>
      <c r="H9">
        <v>0.54199328107502798</v>
      </c>
      <c r="I9">
        <v>1.7381266761534673</v>
      </c>
    </row>
    <row r="10" spans="1:9" x14ac:dyDescent="0.25">
      <c r="A10" t="s">
        <v>11</v>
      </c>
      <c r="B10" t="s">
        <v>12</v>
      </c>
      <c r="C10">
        <v>0</v>
      </c>
      <c r="D10">
        <v>0.25</v>
      </c>
      <c r="E10">
        <v>0</v>
      </c>
      <c r="F10">
        <v>1</v>
      </c>
      <c r="G10">
        <v>0.90281284868771317</v>
      </c>
      <c r="H10">
        <v>0.87007424086432361</v>
      </c>
      <c r="I10">
        <v>1.0376273727985181</v>
      </c>
    </row>
    <row r="11" spans="1:9" x14ac:dyDescent="0.25">
      <c r="A11" t="s">
        <v>11</v>
      </c>
      <c r="B11" t="s">
        <v>13</v>
      </c>
      <c r="C11">
        <v>0</v>
      </c>
      <c r="D11">
        <v>0.16</v>
      </c>
      <c r="E11">
        <v>0</v>
      </c>
      <c r="F11">
        <v>1</v>
      </c>
      <c r="G11">
        <v>0.87631269026753833</v>
      </c>
      <c r="H11">
        <v>0.89032810394539441</v>
      </c>
      <c r="I11">
        <v>0.98425814751241902</v>
      </c>
    </row>
    <row r="12" spans="1:9" x14ac:dyDescent="0.25">
      <c r="A12" t="s">
        <v>14</v>
      </c>
      <c r="B12" t="s">
        <v>15</v>
      </c>
      <c r="C12">
        <v>1</v>
      </c>
      <c r="D12">
        <v>1</v>
      </c>
      <c r="E12">
        <v>0</v>
      </c>
      <c r="F12">
        <v>1</v>
      </c>
      <c r="G12">
        <v>0.93630397130357512</v>
      </c>
      <c r="H12">
        <v>0.91173664925638664</v>
      </c>
      <c r="I12">
        <v>1.0269456339911591</v>
      </c>
    </row>
    <row r="13" spans="1:9" x14ac:dyDescent="0.25">
      <c r="A13" t="s">
        <v>16</v>
      </c>
      <c r="B13" t="s">
        <v>17</v>
      </c>
      <c r="C13">
        <v>0</v>
      </c>
      <c r="D13">
        <v>0.27272727299999999</v>
      </c>
      <c r="E13">
        <v>0.81818181800000001</v>
      </c>
      <c r="F13">
        <v>0.68181818199999999</v>
      </c>
      <c r="G13">
        <v>0.55925733075484996</v>
      </c>
      <c r="H13">
        <v>0.41788190347500115</v>
      </c>
      <c r="I13">
        <v>1.3383143086700002</v>
      </c>
    </row>
    <row r="14" spans="1:9" x14ac:dyDescent="0.25">
      <c r="A14" t="s">
        <v>18</v>
      </c>
      <c r="B14" t="s">
        <v>19</v>
      </c>
      <c r="C14">
        <v>1</v>
      </c>
      <c r="D14">
        <v>1</v>
      </c>
      <c r="E14">
        <v>0</v>
      </c>
      <c r="F14">
        <v>0.81481481499999997</v>
      </c>
      <c r="G14">
        <v>0.90738865156391424</v>
      </c>
      <c r="H14">
        <v>0.85443584459755384</v>
      </c>
      <c r="I14">
        <v>1.0619739999219036</v>
      </c>
    </row>
    <row r="15" spans="1:9" x14ac:dyDescent="0.25">
      <c r="A15" t="s">
        <v>18</v>
      </c>
      <c r="B15" t="s">
        <v>20</v>
      </c>
      <c r="C15">
        <v>1</v>
      </c>
      <c r="D15">
        <v>1</v>
      </c>
      <c r="E15">
        <v>0</v>
      </c>
      <c r="F15">
        <v>0.96153846200000004</v>
      </c>
      <c r="G15">
        <v>0.90659714264531333</v>
      </c>
      <c r="H15">
        <v>0.8356697370191668</v>
      </c>
      <c r="I15">
        <v>1.0848749242483573</v>
      </c>
    </row>
    <row r="16" spans="1:9" x14ac:dyDescent="0.25">
      <c r="A16" t="s">
        <v>48</v>
      </c>
      <c r="B16" t="s">
        <v>49</v>
      </c>
      <c r="C16">
        <v>0</v>
      </c>
      <c r="D16">
        <v>0</v>
      </c>
      <c r="E16">
        <v>1</v>
      </c>
      <c r="F16">
        <v>0.01</v>
      </c>
      <c r="G16">
        <v>0.16317307069267156</v>
      </c>
      <c r="H16">
        <v>0.14495370192358109</v>
      </c>
      <c r="I16">
        <f>G16/H16</f>
        <v>1.125690951850927</v>
      </c>
    </row>
    <row r="17" spans="1:9" x14ac:dyDescent="0.25">
      <c r="A17" t="s">
        <v>50</v>
      </c>
      <c r="B17" t="s">
        <v>51</v>
      </c>
      <c r="C17">
        <v>1</v>
      </c>
      <c r="D17">
        <v>1</v>
      </c>
      <c r="E17">
        <v>0</v>
      </c>
      <c r="G17">
        <f>0.318/0.339</f>
        <v>0.93805309734513265</v>
      </c>
      <c r="H17">
        <f>0.304/0.313</f>
        <v>0.97124600638977632</v>
      </c>
      <c r="I17">
        <f>G17/H17</f>
        <v>0.9658244061481136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Michalis Mihalitsis</cp:lastModifiedBy>
  <dcterms:created xsi:type="dcterms:W3CDTF">2024-06-12T23:41:16Z</dcterms:created>
  <dcterms:modified xsi:type="dcterms:W3CDTF">2025-05-21T05:20:24Z</dcterms:modified>
</cp:coreProperties>
</file>