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ha\OneDrive\Documents\_OSVČ\_papírování\2025\"/>
    </mc:Choice>
  </mc:AlternateContent>
  <xr:revisionPtr revIDLastSave="0" documentId="8_{59333EDE-D8CC-4C54-BEE6-C8D3DB2FDCA4}" xr6:coauthVersionLast="47" xr6:coauthVersionMax="47" xr10:uidLastSave="{00000000-0000-0000-0000-000000000000}"/>
  <bookViews>
    <workbookView xWindow="-120" yWindow="-120" windowWidth="38640" windowHeight="21120" firstSheet="3" activeTab="3" xr2:uid="{00000000-000D-0000-FFFF-FFFF00000000}"/>
  </bookViews>
  <sheets>
    <sheet name="Nabídka" sheetId="1" r:id="rId1"/>
    <sheet name="Zálohová Faktura" sheetId="6" r:id="rId2"/>
    <sheet name="Faktura" sheetId="2" state="hidden" r:id="rId3"/>
    <sheet name="Vystavené" sheetId="3" r:id="rId4"/>
    <sheet name="Klienti" sheetId="7" r:id="rId5"/>
    <sheet name="QR_Config" sheetId="10" r:id="rId6"/>
  </sheets>
  <definedNames>
    <definedName name="_xlnm._FilterDatabase" localSheetId="3" hidden="1">Vystavené!$C$13:$G$16</definedName>
    <definedName name="_xleta.NA" hidden="1" xlm="1">#NAME?</definedName>
    <definedName name="_xleta.ROUNDUP" hidden="1" xlm="1">#NAME?</definedName>
    <definedName name="_xleta.VALUE" hidden="1" xlm="1">#NAME?</definedName>
    <definedName name="_xlpm.base" hidden="1" xlm="1">#NAME?</definedName>
    <definedName name="_xlpm.baseClean" hidden="1" xlm="1">#NAME?</definedName>
    <definedName name="_xlpm.baseSeq" hidden="1" xlm="1">#NAME?</definedName>
    <definedName name="_xlpm.cAbs" hidden="1" xlm="1">#NAME?</definedName>
    <definedName name="_xlpm.cela" hidden="1" xlm="1">#NAME?</definedName>
    <definedName name="_xlpm.ci" hidden="1" xlm="1">#NAME?</definedName>
    <definedName name="_xlpm.ciAbs" hidden="1" xlm="1">#NAME?</definedName>
    <definedName name="_xlpm.cleaned" hidden="1" xlm="1">#NAME?</definedName>
    <definedName name="_xlpm.cleanedRight" hidden="1" xlm="1">#NAME?</definedName>
    <definedName name="_xlpm.col" hidden="1" xlm="1">#NAME?</definedName>
    <definedName name="_xlpm.cols" hidden="1" xlm="1">#NAME?</definedName>
    <definedName name="_xlpm.currYr" hidden="1" xlm="1">#NAME?</definedName>
    <definedName name="_xlpm.d" hidden="1" xlm="1">#NAME?</definedName>
    <definedName name="_xlpm.delta" hidden="1" xlm="1">#NAME?</definedName>
    <definedName name="_xlpm.dnum" hidden="1" xlm="1">#NAME?</definedName>
    <definedName name="_xlpm.dtext" hidden="1" xlm="1">#NAME?</definedName>
    <definedName name="_xlpm.fak" hidden="1" xlm="1">#NAME?</definedName>
    <definedName name="_xlpm.hal" hidden="1" xlm="1">#NAME?</definedName>
    <definedName name="_xlpm.hasData" hidden="1" xlm="1">#NAME?</definedName>
    <definedName name="_xlpm.last" hidden="1" xlm="1">#NAME?</definedName>
    <definedName name="_xlpm.lastNum" hidden="1" xlm="1">#NAME?</definedName>
    <definedName name="_xlpm.lastYr" hidden="1" xlm="1">#NAME?</definedName>
    <definedName name="_xlpm.lst" hidden="1" xlm="1">#NAME?</definedName>
    <definedName name="_xlpm.m" hidden="1" xlm="1">#NAME?</definedName>
    <definedName name="_xlpm.mena" hidden="1" xlm="1">#NAME?</definedName>
    <definedName name="_xlpm.n" hidden="1" xlm="1">#NAME?</definedName>
    <definedName name="_xlpm.nab" hidden="1" xlm="1">#NAME?</definedName>
    <definedName name="_xlpm.nb" hidden="1" xlm="1">#NAME?</definedName>
    <definedName name="_xlpm.nbsp" hidden="1" xlm="1">#NAME?</definedName>
    <definedName name="_xlpm.nextSeq" hidden="1" xlm="1">#NAME?</definedName>
    <definedName name="_xlpm.nums" hidden="1" xlm="1">#NAME?</definedName>
    <definedName name="_xlpm.ones" hidden="1" xlm="1">#NAME?</definedName>
    <definedName name="_xlpm.r" hidden="1" xlm="1">#NAME?</definedName>
    <definedName name="_xlpm.rAbs" hidden="1" xlm="1">#NAME?</definedName>
    <definedName name="_xlpm.ri" hidden="1" xlm="1">#NAME?</definedName>
    <definedName name="_xlpm.riAbs" hidden="1" xlm="1">#NAME?</definedName>
    <definedName name="_xlpm.rightRow" hidden="1" xlm="1">#NAME?</definedName>
    <definedName name="_xlpm.rng" hidden="1" xlm="1">#NAME?</definedName>
    <definedName name="_xlpm.rowsum" hidden="1" xlm="1">#NAME?</definedName>
    <definedName name="_xlpm.rt" hidden="1" xlm="1">#NAME?</definedName>
    <definedName name="_xlpm.rx" hidden="1" xlm="1">#NAME?</definedName>
    <definedName name="_xlpm.s" hidden="1" xlm="1">#NAME?</definedName>
    <definedName name="_xlpm.sazba" hidden="1" xlm="1">#NAME?</definedName>
    <definedName name="_xlpm.sel" hidden="1" xlm="1">#NAME?</definedName>
    <definedName name="_xlpm.seq" hidden="1" xlm="1">#NAME?</definedName>
    <definedName name="_xlpm.seqMax" hidden="1" xlm="1">#NAME?</definedName>
    <definedName name="_xlpm.txt" hidden="1" xlm="1">#NAME?</definedName>
    <definedName name="_xlpm.vals" hidden="1" xlm="1">#NAME?</definedName>
    <definedName name="_xlpm.yrs" hidden="1" xlm="1">#NAME?</definedName>
    <definedName name="_xlpm.zaklad" hidden="1" xlm="1">#NAME?</definedName>
    <definedName name="Firmy">Klienti[Firma]</definedName>
    <definedName name="HdrPaid">"Uhrazeno"</definedName>
    <definedName name="_xlnm.Print_Area" localSheetId="0">Nabídka!$A$1:$I$81</definedName>
    <definedName name="_xlnm.Print_Area" localSheetId="3">Vystavené!$A$1:$J$81</definedName>
    <definedName name="_xlnm.Print_Area" localSheetId="1">'Zálohová Faktura'!$A$1:$I$81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" l="1" a="1"/>
  <c r="G2" i="3"/>
  <c r="M8" i="6"/>
  <c r="G2" i="6" a="1"/>
  <c r="G2" i="6" s="1"/>
  <c r="G3" i="6" s="1"/>
  <c r="L1" i="6"/>
  <c r="G2" i="1" a="1"/>
  <c r="G2" i="1" s="1"/>
  <c r="M1" i="1"/>
  <c r="O15" i="3"/>
  <c r="F5" i="3" s="1"/>
  <c r="N35" i="3"/>
  <c r="N32" i="3"/>
  <c r="N31" i="3"/>
  <c r="B9" i="2" a="1"/>
  <c r="B9" i="2" s="1"/>
  <c r="B2" i="2" a="1"/>
  <c r="B2" i="2" s="1"/>
  <c r="E23" i="6"/>
  <c r="J5" i="7"/>
  <c r="J4" i="7"/>
  <c r="J3" i="7"/>
  <c r="J2" i="7"/>
  <c r="E16" i="1"/>
  <c r="E16" i="6" s="1"/>
  <c r="L16" i="1"/>
  <c r="E16" i="2" s="1"/>
  <c r="E25" i="6"/>
  <c r="L13" i="3"/>
  <c r="C84" i="1"/>
  <c r="C84" i="6"/>
  <c r="U13" i="1"/>
  <c r="E78" i="1"/>
  <c r="D5" i="6"/>
  <c r="B10" i="6"/>
  <c r="B7" i="6"/>
  <c r="B6" i="6"/>
  <c r="B5" i="6"/>
  <c r="D5" i="1"/>
  <c r="B10" i="1"/>
  <c r="B7" i="1"/>
  <c r="B6" i="1"/>
  <c r="B5" i="1"/>
  <c r="F57" i="6"/>
  <c r="B80" i="6"/>
  <c r="B80" i="1"/>
  <c r="C29" i="6"/>
  <c r="D29" i="6"/>
  <c r="E29" i="6"/>
  <c r="F29" i="6"/>
  <c r="F20" i="6"/>
  <c r="F21" i="6"/>
  <c r="F22" i="6"/>
  <c r="F23" i="6"/>
  <c r="F24" i="6"/>
  <c r="F25" i="6"/>
  <c r="F26" i="6"/>
  <c r="F27" i="6"/>
  <c r="F28" i="6"/>
  <c r="L7" i="1"/>
  <c r="D6" i="1" s="1"/>
  <c r="F4" i="7"/>
  <c r="B22" i="10"/>
  <c r="C16" i="1"/>
  <c r="C16" i="6" s="1"/>
  <c r="F3" i="7"/>
  <c r="L8" i="1"/>
  <c r="L9" i="1"/>
  <c r="L11" i="1"/>
  <c r="D8" i="1" s="1"/>
  <c r="L12" i="1"/>
  <c r="D10" i="1" s="1"/>
  <c r="F2" i="7"/>
  <c r="L10" i="1" s="1"/>
  <c r="D9" i="1" s="1"/>
  <c r="F5" i="7"/>
  <c r="B10" i="2"/>
  <c r="B2" i="3"/>
  <c r="B5" i="2"/>
  <c r="B5" i="3"/>
  <c r="D5" i="2"/>
  <c r="B9" i="3"/>
  <c r="B10" i="3"/>
  <c r="B7" i="3"/>
  <c r="B6" i="3"/>
  <c r="B7" i="2"/>
  <c r="B6" i="2"/>
  <c r="Q10" i="1"/>
  <c r="B8" i="6" s="1"/>
  <c r="F58" i="1"/>
  <c r="G52" i="6"/>
  <c r="F52" i="6"/>
  <c r="E52" i="6"/>
  <c r="D52" i="6"/>
  <c r="C52" i="6"/>
  <c r="G51" i="6"/>
  <c r="F51" i="6"/>
  <c r="E51" i="6"/>
  <c r="D51" i="6"/>
  <c r="C51" i="6"/>
  <c r="G50" i="6"/>
  <c r="F50" i="6"/>
  <c r="E50" i="6"/>
  <c r="D50" i="6"/>
  <c r="C50" i="6"/>
  <c r="G49" i="6"/>
  <c r="F49" i="6"/>
  <c r="E49" i="6"/>
  <c r="D49" i="6"/>
  <c r="C49" i="6"/>
  <c r="G48" i="6"/>
  <c r="F48" i="6"/>
  <c r="E48" i="6"/>
  <c r="D48" i="6"/>
  <c r="C48" i="6"/>
  <c r="G47" i="6"/>
  <c r="F47" i="6"/>
  <c r="E47" i="6"/>
  <c r="D47" i="6"/>
  <c r="C47" i="6"/>
  <c r="G42" i="6"/>
  <c r="F42" i="6"/>
  <c r="E42" i="6"/>
  <c r="D42" i="6"/>
  <c r="C42" i="6"/>
  <c r="G41" i="6"/>
  <c r="F41" i="6"/>
  <c r="E41" i="6"/>
  <c r="D41" i="6"/>
  <c r="C41" i="6"/>
  <c r="G40" i="6"/>
  <c r="F40" i="6"/>
  <c r="E40" i="6"/>
  <c r="D40" i="6"/>
  <c r="C40" i="6"/>
  <c r="G39" i="6"/>
  <c r="F39" i="6"/>
  <c r="E39" i="6"/>
  <c r="D39" i="6"/>
  <c r="C39" i="6"/>
  <c r="G38" i="6"/>
  <c r="F38" i="6"/>
  <c r="E38" i="6"/>
  <c r="D38" i="6"/>
  <c r="C38" i="6"/>
  <c r="G37" i="6"/>
  <c r="F37" i="6"/>
  <c r="E37" i="6"/>
  <c r="D37" i="6"/>
  <c r="C37" i="6"/>
  <c r="G36" i="6"/>
  <c r="F36" i="6"/>
  <c r="E36" i="6"/>
  <c r="D36" i="6"/>
  <c r="C36" i="6"/>
  <c r="G35" i="6"/>
  <c r="F35" i="6"/>
  <c r="E35" i="6"/>
  <c r="D35" i="6"/>
  <c r="C35" i="6"/>
  <c r="G34" i="6"/>
  <c r="F34" i="6"/>
  <c r="E34" i="6"/>
  <c r="D34" i="6"/>
  <c r="C34" i="6"/>
  <c r="G33" i="6"/>
  <c r="F33" i="6"/>
  <c r="E33" i="6"/>
  <c r="D33" i="6"/>
  <c r="C33" i="6"/>
  <c r="G32" i="6"/>
  <c r="F32" i="6"/>
  <c r="E32" i="6"/>
  <c r="D32" i="6"/>
  <c r="C32" i="6"/>
  <c r="G31" i="6"/>
  <c r="F31" i="6"/>
  <c r="E31" i="6"/>
  <c r="D31" i="6"/>
  <c r="C31" i="6"/>
  <c r="G30" i="6"/>
  <c r="F30" i="6"/>
  <c r="E30" i="6"/>
  <c r="D30" i="6"/>
  <c r="C30" i="6"/>
  <c r="G29" i="6"/>
  <c r="G28" i="6"/>
  <c r="E28" i="6"/>
  <c r="D28" i="6"/>
  <c r="C28" i="6"/>
  <c r="G27" i="6"/>
  <c r="E27" i="6"/>
  <c r="D27" i="6"/>
  <c r="C27" i="6"/>
  <c r="G26" i="6"/>
  <c r="E26" i="6"/>
  <c r="D26" i="6"/>
  <c r="C26" i="6"/>
  <c r="G25" i="6"/>
  <c r="D25" i="6"/>
  <c r="C25" i="6"/>
  <c r="G24" i="6"/>
  <c r="E24" i="6"/>
  <c r="D24" i="6"/>
  <c r="C24" i="6"/>
  <c r="G23" i="6"/>
  <c r="D23" i="6"/>
  <c r="C23" i="6"/>
  <c r="G22" i="6"/>
  <c r="E22" i="6"/>
  <c r="D22" i="6"/>
  <c r="C22" i="6"/>
  <c r="G21" i="6"/>
  <c r="E21" i="6"/>
  <c r="D21" i="6"/>
  <c r="C21" i="6"/>
  <c r="G20" i="6"/>
  <c r="E20" i="6"/>
  <c r="D20" i="6"/>
  <c r="C20" i="6"/>
  <c r="C58" i="1"/>
  <c r="C57" i="1"/>
  <c r="B9" i="1" a="1"/>
  <c r="B2" i="1" a="1"/>
  <c r="B2" i="10" a="1"/>
  <c r="N23" i="3"/>
  <c r="B6" i="10" a="1"/>
  <c r="N22" i="3"/>
  <c r="H10" i="3" a="1"/>
  <c r="G3" i="3" a="1"/>
  <c r="B9" i="6" a="1"/>
  <c r="B2" i="6" a="1"/>
  <c r="G8" i="3" a="1"/>
  <c r="B2" i="10" l="1"/>
  <c r="B6" i="10"/>
  <c r="L5" i="1"/>
  <c r="H10" i="3"/>
  <c r="G8" i="3"/>
  <c r="N24" i="3"/>
  <c r="B9" i="6"/>
  <c r="B2" i="6"/>
  <c r="K39" i="6" s="1" a="1"/>
  <c r="K39" i="6" s="1"/>
  <c r="G16" i="1"/>
  <c r="G3" i="1"/>
  <c r="G3" i="3"/>
  <c r="B2" i="1"/>
  <c r="B9" i="1"/>
  <c r="B8" i="1"/>
  <c r="D7" i="1"/>
  <c r="G16" i="6"/>
  <c r="E4" i="1"/>
  <c r="T16" i="1"/>
  <c r="G2" i="2"/>
  <c r="G3" i="2" s="1"/>
  <c r="B8" i="2"/>
  <c r="B8" i="3"/>
  <c r="E21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20" i="2"/>
  <c r="E20" i="2"/>
  <c r="F20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20" i="2"/>
  <c r="F47" i="2"/>
  <c r="F48" i="2"/>
  <c r="F49" i="2"/>
  <c r="F50" i="2"/>
  <c r="F51" i="2"/>
  <c r="F52" i="2"/>
  <c r="E47" i="2"/>
  <c r="E48" i="2"/>
  <c r="E49" i="2"/>
  <c r="E50" i="2"/>
  <c r="E51" i="2"/>
  <c r="E52" i="2"/>
  <c r="D47" i="2"/>
  <c r="D48" i="2"/>
  <c r="D50" i="2"/>
  <c r="D51" i="2"/>
  <c r="D52" i="2"/>
  <c r="D49" i="2"/>
  <c r="C50" i="2"/>
  <c r="C51" i="2"/>
  <c r="C52" i="2"/>
  <c r="C47" i="2"/>
  <c r="C48" i="2"/>
  <c r="C49" i="2"/>
  <c r="G49" i="2"/>
  <c r="G50" i="2"/>
  <c r="G51" i="2"/>
  <c r="G52" i="2"/>
  <c r="G47" i="2"/>
  <c r="G48" i="2"/>
  <c r="C79" i="2"/>
  <c r="C77" i="2"/>
  <c r="B5" i="10" a="1"/>
  <c r="F6" i="3" a="1"/>
  <c r="E6" i="3" a="1"/>
  <c r="B5" i="10" l="1"/>
  <c r="E4" i="2"/>
  <c r="E6" i="3"/>
  <c r="E4" i="6"/>
  <c r="F6" i="3"/>
  <c r="N25" i="3"/>
  <c r="C78" i="2"/>
  <c r="C16" i="2"/>
  <c r="G22" i="1"/>
  <c r="G25" i="1"/>
  <c r="G41" i="1"/>
  <c r="G38" i="1"/>
  <c r="G33" i="1"/>
  <c r="G32" i="1"/>
  <c r="G40" i="1"/>
  <c r="G36" i="1"/>
  <c r="G42" i="1"/>
  <c r="G34" i="1"/>
  <c r="G23" i="1"/>
  <c r="G6" i="3" a="1"/>
  <c r="N21" i="3" a="1"/>
  <c r="N21" i="3" l="1"/>
  <c r="G6" i="3"/>
  <c r="N26" i="3"/>
  <c r="N28" i="3"/>
  <c r="D7" i="2"/>
  <c r="D7" i="6"/>
  <c r="D10" i="2"/>
  <c r="D10" i="6"/>
  <c r="D6" i="2"/>
  <c r="D6" i="6"/>
  <c r="D8" i="2"/>
  <c r="D8" i="6"/>
  <c r="D9" i="2"/>
  <c r="D9" i="6"/>
  <c r="G51" i="1"/>
  <c r="G20" i="1"/>
  <c r="G30" i="1"/>
  <c r="G24" i="1"/>
  <c r="G27" i="1"/>
  <c r="G47" i="1"/>
  <c r="G50" i="1"/>
  <c r="G52" i="1"/>
  <c r="G48" i="1"/>
  <c r="G49" i="1"/>
  <c r="G31" i="1"/>
  <c r="G37" i="1"/>
  <c r="G35" i="1"/>
  <c r="G21" i="1"/>
  <c r="G39" i="1"/>
  <c r="G26" i="1"/>
  <c r="G29" i="1"/>
  <c r="G28" i="1"/>
  <c r="N20" i="3" a="1"/>
  <c r="H6" i="3" a="1"/>
  <c r="N30" i="3" l="1"/>
  <c r="N20" i="3"/>
  <c r="N27" i="3"/>
  <c r="H6" i="3"/>
  <c r="G53" i="1"/>
  <c r="G43" i="1"/>
  <c r="G57" i="1" s="1"/>
  <c r="G53" i="6"/>
  <c r="G43" i="6"/>
  <c r="D16" i="2"/>
  <c r="G53" i="2"/>
  <c r="G43" i="2"/>
  <c r="F8" i="3" a="1"/>
  <c r="B3" i="10" a="1"/>
  <c r="B3" i="10" l="1"/>
  <c r="G58" i="1"/>
  <c r="E77" i="1" s="1"/>
  <c r="F8" i="3"/>
  <c r="N29" i="3"/>
  <c r="G56" i="1"/>
  <c r="G57" i="2" s="1"/>
  <c r="E8" i="3" a="1"/>
  <c r="E8" i="3" l="1"/>
  <c r="N33" i="3"/>
  <c r="N34" i="3" s="1"/>
  <c r="N36" i="3" s="1"/>
  <c r="G57" i="6"/>
  <c r="F57" i="1"/>
  <c r="F58" i="6" s="1"/>
  <c r="G58" i="6"/>
  <c r="E77" i="6" s="1"/>
  <c r="G58" i="2"/>
  <c r="H8" i="3" a="1"/>
  <c r="E10" i="3" a="1"/>
  <c r="F10" i="3" a="1"/>
  <c r="M53" i="6" a="1"/>
  <c r="H8" i="3" l="1"/>
  <c r="F10" i="3"/>
  <c r="G10" i="3" s="1"/>
  <c r="E10" i="3"/>
  <c r="M53" i="6"/>
  <c r="F58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<sst xmlns="http://schemas.openxmlformats.org/spreadsheetml/2006/main" count="291" uniqueCount="229">
  <si>
    <t>____________________________</t>
  </si>
  <si>
    <t>Cenová nabídka ze dne:</t>
  </si>
  <si>
    <t>Platnost nabídky do:</t>
  </si>
  <si>
    <t>Místo</t>
  </si>
  <si>
    <t>Datum</t>
  </si>
  <si>
    <t>Činnost</t>
  </si>
  <si>
    <t>MJ</t>
  </si>
  <si>
    <t>Jednotek</t>
  </si>
  <si>
    <t>Cena</t>
  </si>
  <si>
    <t>Cena/MJ</t>
  </si>
  <si>
    <t>Celková cena činností:</t>
  </si>
  <si>
    <t>Účelně vynaložené náklady k proplacení</t>
  </si>
  <si>
    <t>Celkem vynaložené náklady:</t>
  </si>
  <si>
    <t>Celkem bez DPH:</t>
  </si>
  <si>
    <t>Platnost do (dnes + 30 dnů) - automatická kalkulace</t>
  </si>
  <si>
    <t>Celková cena za Činnosti - počítáno samo</t>
  </si>
  <si>
    <t>Celková cena za účelně vynaložené náklady je rovněž sečtena automaticky</t>
  </si>
  <si>
    <t>Automaticky sečtená výše celkové částky z Činností a Nákladů bez DPH.</t>
  </si>
  <si>
    <t>Obsah článků, obrázky ke zveřejnění, dokumenty ke zveřejnění.</t>
  </si>
  <si>
    <t>Fakturační údaje, Kontaktní údaje.</t>
  </si>
  <si>
    <t>Od této buňky (o jeden řádek výše a jeden sloupec doleva) se vše vybere pro uložení do formátu PDF. Cokoliv mimo tuto oblast nebude vytištěno (A4 formát).</t>
  </si>
  <si>
    <t>Oblast tisku je (A1:I81). Makro tiskne do PDF z aktuálních hodnot.</t>
  </si>
  <si>
    <t>Faktura ze dne:</t>
  </si>
  <si>
    <t>Splatnost faktury do:</t>
  </si>
  <si>
    <t>Celková cena nákladů:</t>
  </si>
  <si>
    <t>První faktura ze dne:</t>
  </si>
  <si>
    <t>Poslední faktura ze dne:</t>
  </si>
  <si>
    <t>Číslo faktury</t>
  </si>
  <si>
    <t>Celkem s DPH</t>
  </si>
  <si>
    <t>Celkem bez DPH</t>
  </si>
  <si>
    <t>Datum faktury</t>
  </si>
  <si>
    <t>hodina</t>
  </si>
  <si>
    <t>C:\_DEV\</t>
  </si>
  <si>
    <t>Celková cena je zaokrouhlena na nejbližší celé Kč.</t>
  </si>
  <si>
    <t>Cena se vypočítá podle počtu množstevních jednotek a ceny za množstevní jednotku.</t>
  </si>
  <si>
    <t>Oblast tisku je (A1:I81) - nastaveno v makru. Makro tiskne do PDF z aktuálních hodnot.</t>
  </si>
  <si>
    <t>Potřebné dokumenty a informace:</t>
  </si>
  <si>
    <t>Celková cena i záloha, jsou zaokrouhleny na celé Kč.</t>
  </si>
  <si>
    <t>Seznam všech vydaných Faktur, spolu s jejich výšemi. Jedná se o Faktury konečné, tj. nikoliv Zálohové.</t>
  </si>
  <si>
    <t>Použitím filtrů na řádku 13, lze zvolit atributy pro celkovou kalkulaci Sumy za výběr. Celková suma je zobrazena stále.</t>
  </si>
  <si>
    <t>michal@kopl.pro</t>
  </si>
  <si>
    <t>https://www.kopl.pro</t>
  </si>
  <si>
    <t>Pokud nejsou vyplněny hodnoty ve všech sloupcích (C,D,E,F), ve sloupci G s cenou není zobrazeno nic.</t>
  </si>
  <si>
    <t>2) Odběratel</t>
  </si>
  <si>
    <t>Odběratel</t>
  </si>
  <si>
    <t>Časový fond</t>
  </si>
  <si>
    <t>Firma</t>
  </si>
  <si>
    <t>Jednající</t>
  </si>
  <si>
    <t>Adresa</t>
  </si>
  <si>
    <t>Země</t>
  </si>
  <si>
    <t>Telefon</t>
  </si>
  <si>
    <t>e-mail</t>
  </si>
  <si>
    <t>web</t>
  </si>
  <si>
    <t>IČO</t>
  </si>
  <si>
    <t>BIZ DATA a.s.</t>
  </si>
  <si>
    <t>Česká Republika</t>
  </si>
  <si>
    <t>PSČ</t>
  </si>
  <si>
    <t>https://www.bizdata.cz</t>
  </si>
  <si>
    <t>SVJ Krškova 783-784</t>
  </si>
  <si>
    <t>Ing. Vendula Mikolášová</t>
  </si>
  <si>
    <t>Krškova 783, Praha 5-Hlubočepy</t>
  </si>
  <si>
    <t>152 00</t>
  </si>
  <si>
    <t>140 00</t>
  </si>
  <si>
    <t>mikolasova@svjkrskova783-784.cz</t>
  </si>
  <si>
    <t>4) Dodavatel</t>
  </si>
  <si>
    <t>www.svjkrskova783-784.cz</t>
  </si>
  <si>
    <t>KEJA</t>
  </si>
  <si>
    <t>Ing. Ján Kertis</t>
  </si>
  <si>
    <t>kertis@keja.cz</t>
  </si>
  <si>
    <t>https://www.keja.cz</t>
  </si>
  <si>
    <t>Projekt</t>
  </si>
  <si>
    <t>Lokalita</t>
  </si>
  <si>
    <t>Full-remote</t>
  </si>
  <si>
    <t>Pavla Černá</t>
  </si>
  <si>
    <t>cerna@bizdata.cz</t>
  </si>
  <si>
    <t>Počet hodin</t>
  </si>
  <si>
    <t>3) Detaily Odběratele (z listu Klienti)</t>
  </si>
  <si>
    <t>Key</t>
  </si>
  <si>
    <t>Value</t>
  </si>
  <si>
    <t>ACC</t>
  </si>
  <si>
    <t>AM</t>
  </si>
  <si>
    <t>CC</t>
  </si>
  <si>
    <t>CZK</t>
  </si>
  <si>
    <t>MSG</t>
  </si>
  <si>
    <t>X-VS</t>
  </si>
  <si>
    <t>Body</t>
  </si>
  <si>
    <t>Eye</t>
  </si>
  <si>
    <t>EyeBall</t>
  </si>
  <si>
    <t>BGColor</t>
  </si>
  <si>
    <t>#FFFFFF</t>
  </si>
  <si>
    <t>BodyColor</t>
  </si>
  <si>
    <t>Eye1Color</t>
  </si>
  <si>
    <t>Eye2Color</t>
  </si>
  <si>
    <t>Eye3Color</t>
  </si>
  <si>
    <t>GradientOnEyes</t>
  </si>
  <si>
    <t>LogoURL</t>
  </si>
  <si>
    <t>https://vyzze.cz/images/kopl-logo.png</t>
  </si>
  <si>
    <t>LogoMode</t>
  </si>
  <si>
    <t>default</t>
  </si>
  <si>
    <t>SizePx</t>
  </si>
  <si>
    <t>Format</t>
  </si>
  <si>
    <t>png</t>
  </si>
  <si>
    <t>OutputPath</t>
  </si>
  <si>
    <t>C:\_DEV\Excel\spayd_qr.png</t>
  </si>
  <si>
    <t>TargetSheet</t>
  </si>
  <si>
    <t>TargetCell</t>
  </si>
  <si>
    <t>LogoScale</t>
  </si>
  <si>
    <t>0.3</t>
  </si>
  <si>
    <t>#000000</t>
  </si>
  <si>
    <t>ErrorCorrection</t>
  </si>
  <si>
    <t>RemoveBehindLogo</t>
  </si>
  <si>
    <t>H</t>
  </si>
  <si>
    <t>LastRequestJSON</t>
  </si>
  <si>
    <t>frame16</t>
  </si>
  <si>
    <t>ball19</t>
  </si>
  <si>
    <t>mosaic</t>
  </si>
  <si>
    <t>gradientColor1</t>
  </si>
  <si>
    <t>gradientColor2</t>
  </si>
  <si>
    <t>gradientType</t>
  </si>
  <si>
    <t>radial</t>
  </si>
  <si>
    <t>#FF0000</t>
  </si>
  <si>
    <t>#BD027C</t>
  </si>
  <si>
    <t>Zálohová Faktura</t>
  </si>
  <si>
    <t>PlaceWidthPx</t>
  </si>
  <si>
    <t>PlaceHeightRatio</t>
  </si>
  <si>
    <t>E62</t>
  </si>
  <si>
    <t>PlaceOffsetXPx</t>
  </si>
  <si>
    <t>PlaceOffsetYPx</t>
  </si>
  <si>
    <t>Nabídka</t>
  </si>
  <si>
    <t>List</t>
  </si>
  <si>
    <t>Buňka pro Qrko</t>
  </si>
  <si>
    <t>E63</t>
  </si>
  <si>
    <t>Pension Private-Inn</t>
  </si>
  <si>
    <t>Marta Kubíčková</t>
  </si>
  <si>
    <t>K Zahrádkám 46, Praha 5 -Stodůlky</t>
  </si>
  <si>
    <t>155 00</t>
  </si>
  <si>
    <t>info@private-inn.cz</t>
  </si>
  <si>
    <t>https://www.private-in.cz</t>
  </si>
  <si>
    <t>Česká Republika, 110 00</t>
  </si>
  <si>
    <t>dokumentace API</t>
  </si>
  <si>
    <t>Pro zachování čtvercového poměru stran u vytištěného listu PDF u QR a loga, dodržovat poměr stran, a to i přesto, že v Excelu se nezdají býti čtvercové.</t>
  </si>
  <si>
    <t>Poměr stran QR řešen v makru, logo je nutné na každém tištěném listu po výměně upravit a dosadit na mřížku buňky pomocí ALT a DRAG myší.</t>
  </si>
  <si>
    <t>Michal Kopl</t>
  </si>
  <si>
    <t>Výsledný soubor PDF bude uložen do složky definované pod tlačítkem v buňce L33 (musí existovat, s právy k zápisu, jinak se objeví chyba a zpracování bude přerušeno). Cesta musí končit oddělovačem složek (znakem "/" anebo "\" - podle Operačního Systému). Stejně pojmenovaný soubor který bude vytvářen, nesmí být otevřen v jiné aplikaci (např. Adobe Reader). Po dokončení běhu makra, se nový výsledný soubor PDF sám otevře v asociované aplikaci.</t>
  </si>
  <si>
    <t>Dlouhá 715/38, Praha 1-Staré Město</t>
  </si>
  <si>
    <t>Celkem:</t>
  </si>
  <si>
    <t>Částka k úhradě je zaokrouhlena na nejbližší celé Kč.</t>
  </si>
  <si>
    <t>BIC/SWIFT:RZBCCZPP, IČO: 03217213, Dodavatel není plátcem DPH.</t>
  </si>
  <si>
    <t>Období plnění</t>
  </si>
  <si>
    <t>Column1</t>
  </si>
  <si>
    <t>Column2</t>
  </si>
  <si>
    <t>000000-4213366004/5500</t>
  </si>
  <si>
    <t>CZ2355000000004213366004</t>
  </si>
  <si>
    <t>Česká Republika, dle dohody stran</t>
  </si>
  <si>
    <t>Táborská 940/31, Praha 4-Nusle</t>
  </si>
  <si>
    <t>Borského 1044/1a, Praha 5 - Hlubočepy</t>
  </si>
  <si>
    <t>D15, D16, F15 a F16 jsou skryté formátem buňky ;;;</t>
  </si>
  <si>
    <t>Konfigurace QR kódu na listu QR_Config</t>
  </si>
  <si>
    <t>Česká Republika, Praha</t>
  </si>
  <si>
    <t>OfferVS</t>
  </si>
  <si>
    <t>Od této buňky k A1 se vše vybere pro uložení do formátu PDF. Cokoliv mimo tuto oblast nebude vytištěno (A4 formát).</t>
  </si>
  <si>
    <t>D15, D16, F15 a F16 jsou skryté formátem buňky ;;; Orámování buněk v tabulce Místo je definované vlastním stylem tabulky</t>
  </si>
  <si>
    <t>Uhrazeno</t>
  </si>
  <si>
    <t>Tento měsíc</t>
  </si>
  <si>
    <t>6) Doba trvání projektu - počet hodin - mění se v nabídce samo</t>
  </si>
  <si>
    <t>7) Přidat činnosti</t>
  </si>
  <si>
    <t>8) Upravovat pouze Činnosti, Množstevní Jednotky, Počet množstevních jednotek, Cenu za Množstevní Jednotku. Ve sloupci Cena je vzorec.</t>
  </si>
  <si>
    <t>9) Před tiskem by možná bylo dobré vše setřídit, ale není to nutné. Na funkci to nemá vliv.</t>
  </si>
  <si>
    <t>10) Potřebné dokumenty a informace (C57-C58)</t>
  </si>
  <si>
    <t>11) Vyplnit účelně vynaložené náklady stejným způsobem jako činnosti</t>
  </si>
  <si>
    <t>12) Upravovat pouze Činnosti, Množstevní Jednotky, Počet množstevních jednotek, Cenu za Množstevní Jednotku. Ve sloupci Cena je vzorec.</t>
  </si>
  <si>
    <t>13) Před tiskem by možná bylo dobré vše setřídit, ale není to nutné. Na funkci to nemá vliv.</t>
  </si>
  <si>
    <t>14) Sazba DPH použitá pro kalkulaci celkové částky včetně DPH</t>
  </si>
  <si>
    <t>15) Výše procentní zálohy používaná pro kalkulaci její výše (včetně DPH).</t>
  </si>
  <si>
    <t>16) Rozměry obrázků mají záměrně nečtvercový poměr stran 1:1,14</t>
  </si>
  <si>
    <t>5) Sestava za:</t>
  </si>
  <si>
    <t>0042025</t>
  </si>
  <si>
    <t>Vytiskne fakturu bez zákazové značky - jen upozornění pro zábranu editace vzorců ;-)</t>
  </si>
  <si>
    <t>Vendula Mikolášová, SVJ Krškova 783-784</t>
  </si>
  <si>
    <t>Vym. Základ</t>
  </si>
  <si>
    <t>Sleva na poplatníka</t>
  </si>
  <si>
    <t>ZP zaplaceno za rok (Kč)</t>
  </si>
  <si>
    <t>SP zaplaceno za rok (Kč)</t>
  </si>
  <si>
    <t>Zdroj pojistného (Vystaveno/Uhrazeno)</t>
  </si>
  <si>
    <t>Health insurance (used: compute/paid)</t>
  </si>
  <si>
    <t>Příjem</t>
  </si>
  <si>
    <t>Zisk</t>
  </si>
  <si>
    <t>Soc. Pojištění</t>
  </si>
  <si>
    <t>Odvody</t>
  </si>
  <si>
    <t>Měsíčně</t>
  </si>
  <si>
    <t>Penz. Sleva</t>
  </si>
  <si>
    <t>Daňový základ</t>
  </si>
  <si>
    <t>Daň z příjmu</t>
  </si>
  <si>
    <t>Penz. Poj/rok</t>
  </si>
  <si>
    <t>Součet viditelných (filtr)</t>
  </si>
  <si>
    <t>Celkový příjem (uhrazené)</t>
  </si>
  <si>
    <t>Nákladový paušál</t>
  </si>
  <si>
    <t>Vyměřovací základ (50% zisku)</t>
  </si>
  <si>
    <t>Zdravotní pojištění (kalkulace)</t>
  </si>
  <si>
    <t>Sociální pojištění (kalkulace) (29,2 % z 55 % zisku)</t>
  </si>
  <si>
    <t>Sociální pojištění (použito: kalkulace/uhrazeno)</t>
  </si>
  <si>
    <t>Roční přísp. Penzijní připojištění (Kč)</t>
  </si>
  <si>
    <t>Sleva na penzijní připojištění (2025+)</t>
  </si>
  <si>
    <t>Daň před odvody (15%)</t>
  </si>
  <si>
    <t>Sleva na poplatníka (základní + invalidita)</t>
  </si>
  <si>
    <t>Zdr. Pojištění (13,5%)</t>
  </si>
  <si>
    <t>Daň z příjmu (15%)</t>
  </si>
  <si>
    <t>Příspěvek na penzijní připojištění měsíčně (Kč)</t>
  </si>
  <si>
    <t>Sleva na Invaliditu (0/1/2/3)</t>
  </si>
  <si>
    <t>1) Název projektu (z listu Klienti)</t>
  </si>
  <si>
    <t>Den dokladů</t>
  </si>
  <si>
    <t>Den dokladu</t>
  </si>
  <si>
    <t>Pavla Černá, BIZ DATA a.s.</t>
  </si>
  <si>
    <t>0052025</t>
  </si>
  <si>
    <t>31. srpen 2025</t>
  </si>
  <si>
    <t>Zítra</t>
  </si>
  <si>
    <t>006</t>
  </si>
  <si>
    <t>Ing. Vendula Mikolášová, SVJ Krškova 783-784</t>
  </si>
  <si>
    <t>0062025</t>
  </si>
  <si>
    <t>1. září 2025</t>
  </si>
  <si>
    <t>Správa Modal Pop-Up 147, 148, 149</t>
  </si>
  <si>
    <t>Digitalizace obsahu dokumentů z nástěnky, skenování, přepis 145,146</t>
  </si>
  <si>
    <t>Tvorba článků 142, 143, 144, 145, 146, 147, 148, 149</t>
  </si>
  <si>
    <t>Připnutí článků 145, 146 - změna pořadí</t>
  </si>
  <si>
    <t>Dokument s aktuálními kontakty SVJ pro nástěnky vchodů</t>
  </si>
  <si>
    <t>Aktualizace komponenty AIMY Sitemap 38.0 -&gt; 38.1</t>
  </si>
  <si>
    <t>Aktualizace komponenty Nicepage 7.9.4 -&gt; 7.10.10, 7.10.10 -&gt; 7.11.4,  7.11.4 -&gt; 7.12.8</t>
  </si>
  <si>
    <t>Aktualizace CMS Joomla! 5.3.1 -&gt; 5.3.2,  5.3.2 -&gt; 5.3.3</t>
  </si>
  <si>
    <t>{"data":"SPD*1.0*ACC:CZ2355000000004213366004*AM:4200.00*CC:CZK*MSG:SVJ-2025-08 (SVJ web)*RN:Michal Kopl*X-VS:0062025","config":{"body":"mosaic","eye":"frame16","eyeBall":"ball19","bgColor":"#FFFFFF","colorLight":"#FFFFFF","bodyColor":"#000000","colorDark":"#000000","eye1Color":"#000000","eye2Color":"#000000","eye3Color":"#000000","gradientOnEyes":true,"errorCorrection":"H","logo":"https://vyzze.cz/images/kopl-logo.png","logoMode":"default","logoScale":0.3,"removeQrCodeBehindLogo":false,"gradientType":"radial","gradientColor1":"#FF0000","gradientColor2":"#BD027C"},"size":1200,"download":true,"file":"png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</si>
</sst>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d&quot;. &quot;m&quot;. &quot;yy"/>
    <numFmt numFmtId="165" formatCode="0.0"/>
    <numFmt numFmtId="166" formatCode="#,##0.00\ &quot;Kč&quot;"/>
    <numFmt numFmtId="167" formatCode="[$-405]d\.\ mmmm\ yyyy;@"/>
    <numFmt numFmtId="168" formatCode="d&quot;. &quot;m&quot;. &quot;yyyy"/>
    <numFmt numFmtId="169" formatCode="[$$-409]#,##0.00"/>
    <numFmt numFmtId="170" formatCode="#,##0\ &quot;Kč&quot;"/>
    <numFmt numFmtId="171" formatCode=";;;"/>
    <numFmt numFmtId="172" formatCode="dd/\ mmmm\ yyyy"/>
    <numFmt numFmtId="173" formatCode="[$-405]d\.\ mmmm\ yyyy"/>
    <numFmt numFmtId="174" formatCode="mm:ss.0;@"/>
    <numFmt numFmtId="175" formatCode="h:mm;@"/>
  </numFmts>
  <fonts count="48" x14ac:knownFonts="1">
    <font>
      <sz val="11"/>
      <color indexed="8"/>
      <name val="Calibri"/>
      <family val="2"/>
      <charset val="238"/>
    </font>
    <font>
      <u/>
      <sz val="11"/>
      <color rgb="FF0000FF"/>
      <name val="Calibri"/>
      <family val="2"/>
      <charset val="238"/>
    </font>
    <font>
      <b/>
      <i/>
      <sz val="16"/>
      <color rgb="FF000000"/>
      <name val="Calibri"/>
      <family val="2"/>
      <charset val="238"/>
    </font>
    <font>
      <u/>
      <sz val="11"/>
      <color theme="10"/>
      <name val="Calibri"/>
      <family val="2"/>
      <charset val="238"/>
    </font>
    <font>
      <u/>
      <sz val="12.6"/>
      <color rgb="FF0000FF"/>
      <name val="Calibri"/>
      <family val="2"/>
      <charset val="238"/>
    </font>
    <font>
      <b/>
      <i/>
      <u/>
      <sz val="11"/>
      <color rgb="FF000000"/>
      <name val="Calibri"/>
      <family val="2"/>
      <charset val="238"/>
    </font>
    <font>
      <b/>
      <sz val="11"/>
      <color rgb="FF000000"/>
      <name val="Arial"/>
      <family val="2"/>
      <charset val="238"/>
    </font>
    <font>
      <sz val="11"/>
      <color indexed="8"/>
      <name val="Arial"/>
      <family val="2"/>
      <charset val="238"/>
    </font>
    <font>
      <b/>
      <sz val="11"/>
      <color indexed="8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6"/>
      <color rgb="FF000000"/>
      <name val="Arial"/>
      <family val="2"/>
      <charset val="238"/>
    </font>
    <font>
      <b/>
      <sz val="10"/>
      <color indexed="8"/>
      <name val="Arial"/>
      <family val="2"/>
      <charset val="238"/>
    </font>
    <font>
      <b/>
      <sz val="14"/>
      <color rgb="FFFF0000"/>
      <name val="Arial"/>
      <family val="2"/>
    </font>
    <font>
      <b/>
      <u/>
      <sz val="11"/>
      <color indexed="8"/>
      <name val="Arial"/>
      <family val="2"/>
    </font>
    <font>
      <b/>
      <u/>
      <sz val="11"/>
      <color rgb="FF000000"/>
      <name val="Arial"/>
      <family val="2"/>
    </font>
    <font>
      <b/>
      <sz val="16"/>
      <color indexed="8"/>
      <name val="Arial"/>
      <family val="2"/>
      <charset val="238"/>
    </font>
    <font>
      <sz val="11"/>
      <name val="Arial"/>
      <family val="2"/>
      <charset val="238"/>
    </font>
    <font>
      <sz val="11"/>
      <name val="Calibri"/>
      <family val="2"/>
      <charset val="238"/>
    </font>
    <font>
      <sz val="11"/>
      <color rgb="FF006100"/>
      <name val="Calibri"/>
      <family val="2"/>
      <scheme val="minor"/>
    </font>
    <font>
      <b/>
      <u/>
      <sz val="11"/>
      <color indexed="8"/>
      <name val="Arial"/>
      <family val="2"/>
      <charset val="238"/>
    </font>
    <font>
      <b/>
      <sz val="14"/>
      <color rgb="FFFF0000"/>
      <name val="Calibri"/>
      <family val="2"/>
      <charset val="238"/>
    </font>
    <font>
      <sz val="11"/>
      <name val="Arial"/>
      <family val="2"/>
    </font>
    <font>
      <b/>
      <sz val="11"/>
      <name val="Arial"/>
      <family val="2"/>
    </font>
    <font>
      <b/>
      <u/>
      <sz val="11"/>
      <name val="Arial"/>
      <family val="2"/>
    </font>
    <font>
      <sz val="11"/>
      <color indexed="8"/>
      <name val="Calibri"/>
      <family val="2"/>
      <scheme val="minor"/>
    </font>
    <font>
      <b/>
      <sz val="16"/>
      <color rgb="FFFF0000"/>
      <name val="Arial"/>
      <family val="2"/>
      <charset val="238"/>
    </font>
    <font>
      <b/>
      <u/>
      <sz val="11"/>
      <color indexed="8"/>
      <name val="Calibri"/>
      <family val="2"/>
    </font>
    <font>
      <sz val="11"/>
      <color indexed="8"/>
      <name val="Arial"/>
      <family val="2"/>
    </font>
    <font>
      <sz val="11"/>
      <color theme="4" tint="-0.249977111117893"/>
      <name val="Arial"/>
      <family val="2"/>
    </font>
    <font>
      <b/>
      <sz val="11"/>
      <color rgb="FF000000"/>
      <name val="Arial"/>
      <family val="2"/>
    </font>
    <font>
      <b/>
      <sz val="12"/>
      <color rgb="FFFF0000"/>
      <name val="Arial"/>
      <family val="2"/>
    </font>
    <font>
      <sz val="8"/>
      <color indexed="8"/>
      <name val="Calibri"/>
      <family val="2"/>
      <charset val="238"/>
    </font>
    <font>
      <sz val="8"/>
      <color indexed="8"/>
      <name val="Calibri"/>
      <family val="2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  <charset val="238"/>
    </font>
    <font>
      <sz val="9"/>
      <color indexed="8"/>
      <name val="Arial"/>
      <family val="2"/>
      <charset val="238"/>
    </font>
    <font>
      <sz val="8"/>
      <color indexed="8"/>
      <name val="Arial"/>
      <family val="2"/>
      <charset val="238"/>
    </font>
    <font>
      <b/>
      <sz val="11"/>
      <color theme="0"/>
      <name val="Arial"/>
      <family val="2"/>
      <charset val="238"/>
    </font>
    <font>
      <b/>
      <u/>
      <sz val="10"/>
      <color indexed="8"/>
      <name val="Arial"/>
      <family val="2"/>
    </font>
    <font>
      <sz val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6"/>
      <color rgb="FFFF0000"/>
      <name val="Arial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u/>
      <sz val="14"/>
      <color indexed="8"/>
      <name val="Calibri"/>
      <family val="2"/>
      <charset val="238"/>
    </font>
    <font>
      <sz val="11"/>
      <name val="Calibri"/>
      <family val="2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E5FF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theme="2"/>
      </right>
      <top style="thick">
        <color indexed="64"/>
      </top>
      <bottom/>
      <diagonal/>
    </border>
    <border>
      <left style="thick">
        <color indexed="64"/>
      </left>
      <right style="thick">
        <color theme="2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theme="2"/>
      </left>
      <right style="thin">
        <color indexed="64"/>
      </right>
      <top style="thick">
        <color indexed="64"/>
      </top>
      <bottom/>
      <diagonal/>
    </border>
    <border>
      <left style="thick">
        <color theme="2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ck">
        <color indexed="64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indexed="64"/>
      </right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 applyNumberFormat="0" applyFill="0" applyBorder="0" applyAlignment="0" applyProtection="0"/>
    <xf numFmtId="0" fontId="4" fillId="0" borderId="0"/>
    <xf numFmtId="0" fontId="5" fillId="0" borderId="0"/>
    <xf numFmtId="0" fontId="5" fillId="0" borderId="0"/>
    <xf numFmtId="0" fontId="18" fillId="3" borderId="0" applyNumberFormat="0" applyBorder="0" applyAlignment="0" applyProtection="0"/>
  </cellStyleXfs>
  <cellXfs count="337">
    <xf numFmtId="0" fontId="0" fillId="0" borderId="0" xfId="0"/>
    <xf numFmtId="0" fontId="7" fillId="2" borderId="0" xfId="0" applyFont="1" applyFill="1" applyAlignment="1">
      <alignment vertical="center"/>
    </xf>
    <xf numFmtId="0" fontId="7" fillId="2" borderId="2" xfId="0" applyFont="1" applyFill="1" applyBorder="1" applyAlignment="1">
      <alignment vertical="center"/>
    </xf>
    <xf numFmtId="1" fontId="7" fillId="2" borderId="0" xfId="0" applyNumberFormat="1" applyFont="1" applyFill="1" applyAlignment="1">
      <alignment vertical="center"/>
    </xf>
    <xf numFmtId="0" fontId="0" fillId="2" borderId="0" xfId="0" applyFill="1"/>
    <xf numFmtId="165" fontId="7" fillId="2" borderId="0" xfId="0" applyNumberFormat="1" applyFont="1" applyFill="1" applyAlignment="1">
      <alignment vertical="center"/>
    </xf>
    <xf numFmtId="3" fontId="7" fillId="2" borderId="0" xfId="1" applyNumberFormat="1" applyFont="1" applyFill="1" applyAlignment="1">
      <alignment horizontal="left" vertical="center"/>
    </xf>
    <xf numFmtId="166" fontId="7" fillId="2" borderId="0" xfId="0" applyNumberFormat="1" applyFont="1" applyFill="1" applyAlignment="1">
      <alignment vertical="center"/>
    </xf>
    <xf numFmtId="0" fontId="3" fillId="0" borderId="0" xfId="4" applyFill="1" applyBorder="1" applyAlignment="1">
      <alignment horizontal="center" vertical="center"/>
    </xf>
    <xf numFmtId="0" fontId="7" fillId="2" borderId="0" xfId="0" quotePrefix="1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0" fontId="16" fillId="2" borderId="1" xfId="0" applyFont="1" applyFill="1" applyBorder="1" applyAlignment="1">
      <alignment vertical="center"/>
    </xf>
    <xf numFmtId="168" fontId="7" fillId="2" borderId="0" xfId="0" applyNumberFormat="1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3" fillId="2" borderId="0" xfId="4" applyFill="1" applyBorder="1" applyAlignment="1">
      <alignment vertical="center"/>
    </xf>
    <xf numFmtId="0" fontId="9" fillId="0" borderId="3" xfId="4" applyFont="1" applyFill="1" applyBorder="1" applyAlignment="1">
      <alignment vertical="center"/>
    </xf>
    <xf numFmtId="0" fontId="7" fillId="0" borderId="0" xfId="0" applyFont="1" applyAlignment="1">
      <alignment vertical="center"/>
    </xf>
    <xf numFmtId="168" fontId="7" fillId="0" borderId="6" xfId="0" applyNumberFormat="1" applyFont="1" applyBorder="1" applyAlignment="1">
      <alignment horizontal="left" vertical="center"/>
    </xf>
    <xf numFmtId="0" fontId="7" fillId="0" borderId="5" xfId="0" applyFont="1" applyBorder="1" applyAlignment="1">
      <alignment vertical="center"/>
    </xf>
    <xf numFmtId="0" fontId="8" fillId="0" borderId="0" xfId="0" applyFont="1" applyAlignment="1">
      <alignment horizontal="right" vertical="center"/>
    </xf>
    <xf numFmtId="168" fontId="7" fillId="0" borderId="0" xfId="0" applyNumberFormat="1" applyFont="1" applyAlignment="1">
      <alignment horizontal="left"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165" fontId="7" fillId="0" borderId="0" xfId="0" applyNumberFormat="1" applyFont="1" applyAlignment="1">
      <alignment vertical="center"/>
    </xf>
    <xf numFmtId="3" fontId="7" fillId="0" borderId="0" xfId="1" applyNumberFormat="1" applyFont="1" applyAlignment="1">
      <alignment horizontal="left" vertical="center"/>
    </xf>
    <xf numFmtId="0" fontId="7" fillId="0" borderId="8" xfId="0" applyFont="1" applyBorder="1" applyAlignment="1">
      <alignment vertical="center"/>
    </xf>
    <xf numFmtId="1" fontId="7" fillId="0" borderId="0" xfId="0" applyNumberFormat="1" applyFont="1" applyAlignment="1">
      <alignment vertical="center"/>
    </xf>
    <xf numFmtId="0" fontId="7" fillId="0" borderId="4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3" fontId="7" fillId="0" borderId="6" xfId="1" applyNumberFormat="1" applyFont="1" applyBorder="1" applyAlignment="1">
      <alignment horizontal="left" vertical="center"/>
    </xf>
    <xf numFmtId="1" fontId="7" fillId="0" borderId="6" xfId="0" applyNumberFormat="1" applyFont="1" applyBorder="1" applyAlignment="1">
      <alignment vertical="center"/>
    </xf>
    <xf numFmtId="0" fontId="7" fillId="0" borderId="0" xfId="1" applyFont="1" applyAlignment="1">
      <alignment horizontal="left" vertical="center"/>
    </xf>
    <xf numFmtId="0" fontId="8" fillId="0" borderId="0" xfId="0" applyFont="1" applyAlignment="1">
      <alignment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165" fontId="8" fillId="0" borderId="0" xfId="0" applyNumberFormat="1" applyFont="1" applyAlignment="1">
      <alignment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1" fontId="7" fillId="0" borderId="2" xfId="0" applyNumberFormat="1" applyFont="1" applyBorder="1" applyAlignment="1">
      <alignment vertical="center"/>
    </xf>
    <xf numFmtId="1" fontId="8" fillId="0" borderId="2" xfId="0" applyNumberFormat="1" applyFont="1" applyBorder="1" applyAlignment="1">
      <alignment vertical="center"/>
    </xf>
    <xf numFmtId="0" fontId="6" fillId="0" borderId="0" xfId="0" applyFont="1" applyAlignment="1">
      <alignment horizontal="right" vertical="center"/>
    </xf>
    <xf numFmtId="166" fontId="8" fillId="0" borderId="0" xfId="0" applyNumberFormat="1" applyFont="1" applyAlignment="1">
      <alignment horizontal="right" vertical="center"/>
    </xf>
    <xf numFmtId="1" fontId="8" fillId="0" borderId="0" xfId="0" applyNumberFormat="1" applyFont="1" applyAlignment="1">
      <alignment horizontal="right" vertical="center"/>
    </xf>
    <xf numFmtId="1" fontId="8" fillId="0" borderId="0" xfId="0" applyNumberFormat="1" applyFont="1" applyAlignment="1">
      <alignment vertical="center"/>
    </xf>
    <xf numFmtId="2" fontId="8" fillId="0" borderId="0" xfId="0" applyNumberFormat="1" applyFont="1" applyAlignment="1">
      <alignment vertical="center"/>
    </xf>
    <xf numFmtId="0" fontId="0" fillId="0" borderId="0" xfId="0" applyAlignment="1">
      <alignment horizontal="center"/>
    </xf>
    <xf numFmtId="3" fontId="7" fillId="0" borderId="0" xfId="0" applyNumberFormat="1" applyFont="1" applyAlignment="1">
      <alignment vertical="center"/>
    </xf>
    <xf numFmtId="166" fontId="8" fillId="0" borderId="0" xfId="0" applyNumberFormat="1" applyFont="1" applyAlignment="1">
      <alignment vertical="center"/>
    </xf>
    <xf numFmtId="0" fontId="8" fillId="0" borderId="2" xfId="0" applyFont="1" applyBorder="1" applyAlignment="1">
      <alignment vertical="center"/>
    </xf>
    <xf numFmtId="16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horizontal="center" vertical="center"/>
    </xf>
    <xf numFmtId="0" fontId="7" fillId="0" borderId="1" xfId="0" applyFont="1" applyBorder="1" applyAlignment="1">
      <alignment vertical="center"/>
    </xf>
    <xf numFmtId="165" fontId="7" fillId="0" borderId="1" xfId="0" applyNumberFormat="1" applyFont="1" applyBorder="1" applyAlignment="1">
      <alignment vertical="center"/>
    </xf>
    <xf numFmtId="1" fontId="7" fillId="0" borderId="1" xfId="0" applyNumberFormat="1" applyFont="1" applyBorder="1" applyAlignment="1">
      <alignment vertical="center"/>
    </xf>
    <xf numFmtId="0" fontId="21" fillId="2" borderId="0" xfId="0" applyFont="1" applyFill="1" applyAlignment="1">
      <alignment vertical="center"/>
    </xf>
    <xf numFmtId="0" fontId="22" fillId="2" borderId="0" xfId="0" applyFont="1" applyFill="1" applyAlignment="1">
      <alignment vertical="center" wrapText="1"/>
    </xf>
    <xf numFmtId="2" fontId="21" fillId="2" borderId="0" xfId="0" applyNumberFormat="1" applyFont="1" applyFill="1" applyAlignment="1">
      <alignment vertical="center"/>
    </xf>
    <xf numFmtId="0" fontId="23" fillId="2" borderId="0" xfId="0" applyFont="1" applyFill="1" applyAlignment="1">
      <alignment vertical="center"/>
    </xf>
    <xf numFmtId="0" fontId="3" fillId="2" borderId="0" xfId="4" applyFill="1" applyAlignment="1">
      <alignment vertical="center"/>
    </xf>
    <xf numFmtId="0" fontId="11" fillId="0" borderId="0" xfId="0" applyFont="1" applyAlignment="1">
      <alignment horizontal="right" vertical="center"/>
    </xf>
    <xf numFmtId="169" fontId="16" fillId="0" borderId="0" xfId="0" applyNumberFormat="1" applyFont="1" applyAlignment="1">
      <alignment horizontal="right" vertical="center"/>
    </xf>
    <xf numFmtId="169" fontId="7" fillId="2" borderId="0" xfId="0" applyNumberFormat="1" applyFont="1" applyFill="1" applyAlignment="1">
      <alignment vertical="center"/>
    </xf>
    <xf numFmtId="0" fontId="7" fillId="0" borderId="0" xfId="0" applyFont="1" applyAlignment="1">
      <alignment horizontal="left" vertical="center"/>
    </xf>
    <xf numFmtId="169" fontId="16" fillId="0" borderId="0" xfId="0" applyNumberFormat="1" applyFont="1" applyAlignment="1">
      <alignment vertical="center"/>
    </xf>
    <xf numFmtId="0" fontId="18" fillId="2" borderId="0" xfId="8" applyFill="1" applyBorder="1" applyAlignment="1">
      <alignment horizontal="center" vertical="center"/>
    </xf>
    <xf numFmtId="10" fontId="18" fillId="2" borderId="0" xfId="8" applyNumberFormat="1" applyFill="1" applyBorder="1" applyAlignment="1">
      <alignment horizontal="center" vertical="center"/>
    </xf>
    <xf numFmtId="0" fontId="12" fillId="2" borderId="0" xfId="0" applyFont="1" applyFill="1" applyAlignment="1">
      <alignment vertical="center" wrapText="1"/>
    </xf>
    <xf numFmtId="0" fontId="8" fillId="0" borderId="11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17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vertical="center"/>
      <protection locked="0"/>
    </xf>
    <xf numFmtId="166" fontId="7" fillId="0" borderId="0" xfId="0" applyNumberFormat="1" applyFont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166" fontId="7" fillId="0" borderId="10" xfId="0" applyNumberFormat="1" applyFont="1" applyBorder="1" applyAlignment="1">
      <alignment horizontal="center" vertical="center"/>
    </xf>
    <xf numFmtId="170" fontId="16" fillId="0" borderId="5" xfId="0" applyNumberFormat="1" applyFont="1" applyBorder="1" applyAlignment="1">
      <alignment horizontal="center" vertical="center"/>
    </xf>
    <xf numFmtId="170" fontId="16" fillId="0" borderId="3" xfId="0" applyNumberFormat="1" applyFont="1" applyBorder="1" applyAlignment="1">
      <alignment horizontal="center" vertical="center"/>
    </xf>
    <xf numFmtId="0" fontId="11" fillId="0" borderId="20" xfId="0" applyFont="1" applyBorder="1" applyAlignment="1">
      <alignment horizontal="right" vertical="center"/>
    </xf>
    <xf numFmtId="0" fontId="11" fillId="0" borderId="21" xfId="0" applyFont="1" applyBorder="1" applyAlignment="1">
      <alignment horizontal="right" vertical="center"/>
    </xf>
    <xf numFmtId="10" fontId="18" fillId="3" borderId="13" xfId="8" applyNumberFormat="1" applyBorder="1" applyAlignment="1" applyProtection="1">
      <alignment horizontal="center" vertical="center"/>
      <protection locked="0"/>
    </xf>
    <xf numFmtId="10" fontId="18" fillId="3" borderId="17" xfId="8" applyNumberFormat="1" applyBorder="1" applyAlignment="1" applyProtection="1">
      <alignment horizontal="center" vertical="center"/>
      <protection locked="0"/>
    </xf>
    <xf numFmtId="0" fontId="18" fillId="3" borderId="13" xfId="8" applyBorder="1" applyAlignment="1">
      <alignment horizontal="center" vertical="center"/>
    </xf>
    <xf numFmtId="0" fontId="7" fillId="0" borderId="0" xfId="0" applyFont="1"/>
    <xf numFmtId="0" fontId="7" fillId="0" borderId="5" xfId="0" applyFont="1" applyBorder="1"/>
    <xf numFmtId="0" fontId="7" fillId="2" borderId="0" xfId="0" applyFont="1" applyFill="1"/>
    <xf numFmtId="167" fontId="7" fillId="2" borderId="0" xfId="0" applyNumberFormat="1" applyFont="1" applyFill="1"/>
    <xf numFmtId="0" fontId="27" fillId="2" borderId="0" xfId="0" applyFont="1" applyFill="1"/>
    <xf numFmtId="171" fontId="8" fillId="0" borderId="0" xfId="0" applyNumberFormat="1" applyFont="1" applyAlignment="1">
      <alignment horizontal="center" vertical="center"/>
    </xf>
    <xf numFmtId="171" fontId="7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quotePrefix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quotePrefix="1"/>
    <xf numFmtId="0" fontId="17" fillId="0" borderId="0" xfId="0" applyFont="1" applyAlignment="1">
      <alignment vertical="top"/>
    </xf>
    <xf numFmtId="0" fontId="3" fillId="0" borderId="0" xfId="4"/>
    <xf numFmtId="171" fontId="8" fillId="0" borderId="0" xfId="0" applyNumberFormat="1" applyFont="1" applyAlignment="1">
      <alignment horizontal="left" vertical="center"/>
    </xf>
    <xf numFmtId="165" fontId="38" fillId="0" borderId="0" xfId="0" applyNumberFormat="1" applyFont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168" fontId="7" fillId="4" borderId="0" xfId="0" applyNumberFormat="1" applyFont="1" applyFill="1" applyAlignment="1">
      <alignment vertical="center"/>
    </xf>
    <xf numFmtId="0" fontId="7" fillId="4" borderId="0" xfId="0" applyFont="1" applyFill="1"/>
    <xf numFmtId="0" fontId="0" fillId="4" borderId="0" xfId="0" applyFill="1"/>
    <xf numFmtId="0" fontId="0" fillId="4" borderId="0" xfId="0" applyFill="1" applyAlignment="1">
      <alignment horizontal="center"/>
    </xf>
    <xf numFmtId="0" fontId="7" fillId="4" borderId="0" xfId="0" quotePrefix="1" applyFont="1" applyFill="1" applyAlignment="1">
      <alignment vertical="center"/>
    </xf>
    <xf numFmtId="1" fontId="7" fillId="4" borderId="0" xfId="0" applyNumberFormat="1" applyFont="1" applyFill="1" applyAlignment="1">
      <alignment vertical="center"/>
    </xf>
    <xf numFmtId="3" fontId="7" fillId="4" borderId="0" xfId="1" applyNumberFormat="1" applyFont="1" applyFill="1" applyAlignment="1">
      <alignment horizontal="left" vertical="center"/>
    </xf>
    <xf numFmtId="0" fontId="3" fillId="4" borderId="0" xfId="4" applyFill="1" applyBorder="1" applyAlignment="1">
      <alignment vertical="center"/>
    </xf>
    <xf numFmtId="0" fontId="24" fillId="4" borderId="0" xfId="0" applyFont="1" applyFill="1" applyAlignment="1">
      <alignment vertical="center"/>
    </xf>
    <xf numFmtId="169" fontId="7" fillId="4" borderId="0" xfId="0" applyNumberFormat="1" applyFont="1" applyFill="1" applyAlignment="1">
      <alignment vertical="center"/>
    </xf>
    <xf numFmtId="166" fontId="7" fillId="4" borderId="0" xfId="0" applyNumberFormat="1" applyFont="1" applyFill="1" applyAlignment="1">
      <alignment vertical="center"/>
    </xf>
    <xf numFmtId="0" fontId="20" fillId="4" borderId="0" xfId="0" applyFont="1" applyFill="1" applyAlignment="1">
      <alignment horizontal="left" vertical="top" wrapText="1"/>
    </xf>
    <xf numFmtId="0" fontId="12" fillId="4" borderId="0" xfId="0" applyFont="1" applyFill="1" applyAlignment="1">
      <alignment vertical="center" wrapText="1"/>
    </xf>
    <xf numFmtId="0" fontId="19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16" fillId="4" borderId="0" xfId="0" applyFont="1" applyFill="1" applyAlignment="1">
      <alignment vertical="center"/>
    </xf>
    <xf numFmtId="0" fontId="21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17" fillId="4" borderId="0" xfId="0" applyFont="1" applyFill="1" applyAlignment="1">
      <alignment vertical="center"/>
    </xf>
    <xf numFmtId="0" fontId="23" fillId="4" borderId="0" xfId="0" applyFont="1" applyFill="1" applyAlignment="1">
      <alignment vertical="center"/>
    </xf>
    <xf numFmtId="0" fontId="28" fillId="4" borderId="0" xfId="0" applyFont="1" applyFill="1" applyAlignment="1">
      <alignment vertical="center"/>
    </xf>
    <xf numFmtId="0" fontId="22" fillId="4" borderId="0" xfId="0" applyFont="1" applyFill="1" applyAlignment="1">
      <alignment vertical="center"/>
    </xf>
    <xf numFmtId="2" fontId="21" fillId="4" borderId="0" xfId="0" applyNumberFormat="1" applyFont="1" applyFill="1" applyAlignment="1">
      <alignment vertical="center"/>
    </xf>
    <xf numFmtId="166" fontId="21" fillId="4" borderId="0" xfId="0" applyNumberFormat="1" applyFont="1" applyFill="1" applyAlignment="1">
      <alignment vertical="center"/>
    </xf>
    <xf numFmtId="165" fontId="7" fillId="4" borderId="0" xfId="0" applyNumberFormat="1" applyFont="1" applyFill="1" applyAlignment="1">
      <alignment vertical="center"/>
    </xf>
    <xf numFmtId="0" fontId="22" fillId="4" borderId="0" xfId="0" applyFont="1" applyFill="1" applyAlignment="1">
      <alignment vertical="center" wrapText="1"/>
    </xf>
    <xf numFmtId="0" fontId="3" fillId="4" borderId="0" xfId="4" applyFill="1" applyAlignment="1">
      <alignment vertical="center"/>
    </xf>
    <xf numFmtId="0" fontId="8" fillId="0" borderId="0" xfId="0" applyFont="1" applyAlignment="1">
      <alignment horizontal="left" vertical="center" indent="1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 indent="1"/>
    </xf>
    <xf numFmtId="166" fontId="27" fillId="0" borderId="10" xfId="0" applyNumberFormat="1" applyFont="1" applyBorder="1" applyAlignment="1">
      <alignment horizontal="right" vertical="center" indent="1"/>
    </xf>
    <xf numFmtId="166" fontId="7" fillId="0" borderId="10" xfId="0" applyNumberFormat="1" applyFont="1" applyBorder="1" applyAlignment="1">
      <alignment horizontal="right" vertical="center" indent="1"/>
    </xf>
    <xf numFmtId="0" fontId="8" fillId="0" borderId="0" xfId="0" applyFont="1" applyAlignment="1" applyProtection="1">
      <alignment vertical="center"/>
      <protection locked="0"/>
    </xf>
    <xf numFmtId="0" fontId="11" fillId="0" borderId="18" xfId="0" applyFont="1" applyBorder="1" applyAlignment="1">
      <alignment horizontal="right" vertical="center"/>
    </xf>
    <xf numFmtId="166" fontId="16" fillId="0" borderId="0" xfId="0" applyNumberFormat="1" applyFont="1" applyAlignment="1">
      <alignment horizontal="right" vertical="center" indent="1"/>
    </xf>
    <xf numFmtId="170" fontId="16" fillId="0" borderId="0" xfId="0" applyNumberFormat="1" applyFont="1" applyAlignment="1">
      <alignment horizontal="right" vertical="center" indent="1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27" fillId="4" borderId="0" xfId="0" applyFont="1" applyFill="1"/>
    <xf numFmtId="0" fontId="13" fillId="4" borderId="0" xfId="0" applyFont="1" applyFill="1"/>
    <xf numFmtId="167" fontId="7" fillId="4" borderId="0" xfId="0" applyNumberFormat="1" applyFont="1" applyFill="1"/>
    <xf numFmtId="0" fontId="18" fillId="4" borderId="0" xfId="8" applyFill="1" applyBorder="1" applyAlignment="1">
      <alignment horizontal="center" vertical="center"/>
    </xf>
    <xf numFmtId="0" fontId="20" fillId="4" borderId="0" xfId="0" applyFont="1" applyFill="1" applyAlignment="1">
      <alignment vertical="center" wrapText="1"/>
    </xf>
    <xf numFmtId="10" fontId="18" fillId="4" borderId="0" xfId="8" applyNumberFormat="1" applyFill="1" applyBorder="1" applyAlignment="1">
      <alignment horizontal="center" vertical="center"/>
    </xf>
    <xf numFmtId="0" fontId="24" fillId="0" borderId="0" xfId="0" applyFont="1" applyAlignment="1">
      <alignment horizontal="left" vertical="center" indent="1"/>
    </xf>
    <xf numFmtId="0" fontId="24" fillId="0" borderId="0" xfId="0" applyFont="1" applyAlignment="1">
      <alignment horizontal="center" vertical="center"/>
    </xf>
    <xf numFmtId="166" fontId="24" fillId="0" borderId="0" xfId="0" applyNumberFormat="1" applyFont="1" applyAlignment="1">
      <alignment horizontal="center" vertical="center"/>
    </xf>
    <xf numFmtId="0" fontId="24" fillId="0" borderId="0" xfId="0" applyFont="1" applyAlignment="1">
      <alignment vertical="center"/>
    </xf>
    <xf numFmtId="166" fontId="24" fillId="0" borderId="10" xfId="0" applyNumberFormat="1" applyFont="1" applyBorder="1" applyAlignment="1">
      <alignment horizontal="right" vertical="center" indent="1"/>
    </xf>
    <xf numFmtId="0" fontId="36" fillId="0" borderId="0" xfId="0" applyFont="1" applyAlignment="1">
      <alignment horizontal="right" vertical="top" wrapText="1"/>
    </xf>
    <xf numFmtId="1" fontId="32" fillId="0" borderId="0" xfId="0" applyNumberFormat="1" applyFont="1" applyAlignment="1">
      <alignment horizontal="right" vertical="top"/>
    </xf>
    <xf numFmtId="169" fontId="40" fillId="0" borderId="0" xfId="0" applyNumberFormat="1" applyFont="1" applyAlignment="1">
      <alignment horizontal="right" indent="1"/>
    </xf>
    <xf numFmtId="0" fontId="0" fillId="4" borderId="0" xfId="0" quotePrefix="1" applyFill="1"/>
    <xf numFmtId="14" fontId="26" fillId="4" borderId="0" xfId="0" applyNumberFormat="1" applyFont="1" applyFill="1"/>
    <xf numFmtId="0" fontId="17" fillId="4" borderId="0" xfId="0" applyFont="1" applyFill="1"/>
    <xf numFmtId="0" fontId="8" fillId="0" borderId="6" xfId="0" applyFont="1" applyBorder="1"/>
    <xf numFmtId="165" fontId="39" fillId="0" borderId="0" xfId="0" applyNumberFormat="1" applyFont="1" applyAlignment="1">
      <alignment horizontal="center" vertical="center"/>
    </xf>
    <xf numFmtId="166" fontId="34" fillId="0" borderId="0" xfId="1" applyNumberFormat="1" applyFont="1" applyAlignment="1">
      <alignment horizontal="center" vertical="center"/>
    </xf>
    <xf numFmtId="166" fontId="34" fillId="0" borderId="0" xfId="0" applyNumberFormat="1" applyFont="1" applyAlignment="1">
      <alignment horizontal="center" vertical="center"/>
    </xf>
    <xf numFmtId="3" fontId="39" fillId="0" borderId="0" xfId="1" applyNumberFormat="1" applyFont="1" applyAlignment="1">
      <alignment horizontal="center" vertical="center"/>
    </xf>
    <xf numFmtId="3" fontId="39" fillId="0" borderId="0" xfId="1" applyNumberFormat="1" applyFont="1" applyAlignment="1">
      <alignment horizontal="left" vertical="center"/>
    </xf>
    <xf numFmtId="0" fontId="24" fillId="0" borderId="7" xfId="0" applyFont="1" applyBorder="1" applyAlignment="1">
      <alignment vertical="center"/>
    </xf>
    <xf numFmtId="0" fontId="24" fillId="0" borderId="2" xfId="0" applyFont="1" applyBorder="1" applyAlignment="1">
      <alignment vertical="center"/>
    </xf>
    <xf numFmtId="1" fontId="24" fillId="0" borderId="2" xfId="0" applyNumberFormat="1" applyFont="1" applyBorder="1" applyAlignment="1">
      <alignment vertical="center"/>
    </xf>
    <xf numFmtId="0" fontId="24" fillId="0" borderId="2" xfId="0" applyFont="1" applyBorder="1"/>
    <xf numFmtId="0" fontId="24" fillId="0" borderId="0" xfId="0" applyFont="1" applyAlignment="1" applyProtection="1">
      <alignment horizontal="left" vertical="center" wrapText="1" indent="1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166" fontId="24" fillId="0" borderId="0" xfId="0" applyNumberFormat="1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left" vertical="center" indent="1"/>
      <protection locked="0"/>
    </xf>
    <xf numFmtId="171" fontId="24" fillId="0" borderId="0" xfId="0" applyNumberFormat="1" applyFont="1" applyAlignment="1">
      <alignment horizontal="right" vertical="center"/>
    </xf>
    <xf numFmtId="165" fontId="24" fillId="0" borderId="0" xfId="0" applyNumberFormat="1" applyFont="1" applyAlignment="1">
      <alignment horizontal="center" vertical="center"/>
    </xf>
    <xf numFmtId="171" fontId="24" fillId="0" borderId="0" xfId="0" applyNumberFormat="1" applyFont="1" applyAlignment="1">
      <alignment horizontal="left" vertical="center"/>
    </xf>
    <xf numFmtId="171" fontId="7" fillId="4" borderId="0" xfId="0" applyNumberFormat="1" applyFont="1" applyFill="1" applyAlignment="1">
      <alignment horizontal="center" vertical="top"/>
    </xf>
    <xf numFmtId="0" fontId="3" fillId="4" borderId="0" xfId="4" applyFill="1" applyBorder="1" applyAlignment="1">
      <alignment horizontal="left" vertical="center" indent="1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left" indent="1"/>
    </xf>
    <xf numFmtId="168" fontId="7" fillId="0" borderId="6" xfId="0" applyNumberFormat="1" applyFont="1" applyBorder="1" applyAlignment="1">
      <alignment horizontal="left" indent="1"/>
    </xf>
    <xf numFmtId="168" fontId="7" fillId="0" borderId="0" xfId="0" applyNumberFormat="1" applyFont="1" applyAlignment="1">
      <alignment horizontal="left" vertical="center" indent="1"/>
    </xf>
    <xf numFmtId="49" fontId="0" fillId="0" borderId="0" xfId="0" applyNumberFormat="1" applyAlignment="1">
      <alignment vertical="top"/>
    </xf>
    <xf numFmtId="171" fontId="24" fillId="0" borderId="0" xfId="0" applyNumberFormat="1" applyFont="1" applyAlignment="1">
      <alignment horizontal="center" vertical="center"/>
    </xf>
    <xf numFmtId="165" fontId="43" fillId="0" borderId="0" xfId="0" applyNumberFormat="1" applyFont="1" applyAlignment="1">
      <alignment horizontal="left" vertical="center"/>
    </xf>
    <xf numFmtId="1" fontId="43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4" borderId="0" xfId="0" applyFill="1" applyAlignment="1">
      <alignment horizontal="left" inden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4" borderId="0" xfId="0" applyNumberFormat="1" applyFill="1"/>
    <xf numFmtId="0" fontId="0" fillId="0" borderId="0" xfId="0" applyAlignment="1">
      <alignment horizontal="left" vertical="center" indent="1"/>
    </xf>
    <xf numFmtId="0" fontId="18" fillId="3" borderId="17" xfId="8" applyBorder="1" applyAlignment="1" applyProtection="1">
      <alignment horizontal="center" vertical="center"/>
      <protection locked="0"/>
    </xf>
    <xf numFmtId="172" fontId="0" fillId="4" borderId="0" xfId="0" applyNumberFormat="1" applyFill="1"/>
    <xf numFmtId="0" fontId="44" fillId="0" borderId="0" xfId="0" applyFont="1" applyAlignment="1">
      <alignment horizontal="left" vertical="center" indent="1"/>
    </xf>
    <xf numFmtId="49" fontId="44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171" fontId="44" fillId="0" borderId="0" xfId="0" applyNumberFormat="1" applyFont="1" applyAlignment="1">
      <alignment horizontal="center" vertical="center"/>
    </xf>
    <xf numFmtId="171" fontId="7" fillId="0" borderId="0" xfId="0" applyNumberFormat="1" applyFont="1" applyAlignment="1">
      <alignment vertical="center"/>
    </xf>
    <xf numFmtId="0" fontId="24" fillId="0" borderId="22" xfId="0" applyFont="1" applyBorder="1" applyAlignment="1">
      <alignment vertical="center"/>
    </xf>
    <xf numFmtId="0" fontId="24" fillId="0" borderId="24" xfId="0" applyFont="1" applyBorder="1" applyAlignment="1">
      <alignment vertical="center"/>
    </xf>
    <xf numFmtId="0" fontId="9" fillId="0" borderId="0" xfId="4" applyFont="1" applyFill="1" applyBorder="1" applyAlignment="1">
      <alignment vertical="center"/>
    </xf>
    <xf numFmtId="0" fontId="34" fillId="0" borderId="0" xfId="0" applyFont="1" applyAlignment="1">
      <alignment vertical="center"/>
    </xf>
    <xf numFmtId="1" fontId="34" fillId="0" borderId="0" xfId="0" applyNumberFormat="1" applyFont="1" applyAlignment="1">
      <alignment horizontal="center" vertical="center"/>
    </xf>
    <xf numFmtId="0" fontId="24" fillId="0" borderId="25" xfId="0" applyFont="1" applyBorder="1" applyAlignment="1">
      <alignment vertical="center"/>
    </xf>
    <xf numFmtId="0" fontId="24" fillId="0" borderId="26" xfId="0" applyFont="1" applyBorder="1" applyAlignment="1">
      <alignment vertical="center"/>
    </xf>
    <xf numFmtId="3" fontId="24" fillId="0" borderId="26" xfId="1" applyNumberFormat="1" applyFont="1" applyBorder="1" applyAlignment="1">
      <alignment horizontal="left" vertical="center"/>
    </xf>
    <xf numFmtId="1" fontId="24" fillId="0" borderId="26" xfId="0" applyNumberFormat="1" applyFont="1" applyBorder="1" applyAlignment="1">
      <alignment vertical="center"/>
    </xf>
    <xf numFmtId="0" fontId="24" fillId="0" borderId="27" xfId="0" applyFont="1" applyBorder="1" applyAlignment="1">
      <alignment vertical="center"/>
    </xf>
    <xf numFmtId="0" fontId="0" fillId="0" borderId="23" xfId="0" applyBorder="1" applyAlignment="1">
      <alignment horizontal="left" vertical="center" indent="1"/>
    </xf>
    <xf numFmtId="0" fontId="0" fillId="0" borderId="23" xfId="0" applyBorder="1" applyAlignment="1">
      <alignment horizontal="center" vertical="center"/>
    </xf>
    <xf numFmtId="171" fontId="0" fillId="0" borderId="23" xfId="0" applyNumberFormat="1" applyBorder="1" applyAlignment="1">
      <alignment horizontal="center" vertical="center"/>
    </xf>
    <xf numFmtId="166" fontId="44" fillId="0" borderId="0" xfId="0" applyNumberFormat="1" applyFont="1" applyAlignment="1">
      <alignment horizontal="center" vertical="center"/>
    </xf>
    <xf numFmtId="0" fontId="25" fillId="4" borderId="0" xfId="0" applyFont="1" applyFill="1" applyAlignment="1">
      <alignment horizontal="left" vertical="center" wrapText="1"/>
    </xf>
    <xf numFmtId="170" fontId="0" fillId="4" borderId="0" xfId="0" applyNumberFormat="1" applyFill="1"/>
    <xf numFmtId="0" fontId="18" fillId="3" borderId="28" xfId="8" applyBorder="1" applyAlignment="1">
      <alignment horizontal="right"/>
    </xf>
    <xf numFmtId="0" fontId="18" fillId="3" borderId="29" xfId="8" applyBorder="1" applyAlignment="1">
      <alignment horizontal="right"/>
    </xf>
    <xf numFmtId="170" fontId="18" fillId="3" borderId="29" xfId="8" applyNumberFormat="1" applyBorder="1" applyAlignment="1">
      <alignment horizontal="right"/>
    </xf>
    <xf numFmtId="170" fontId="18" fillId="3" borderId="30" xfId="8" applyNumberFormat="1" applyBorder="1" applyAlignment="1">
      <alignment horizontal="right"/>
    </xf>
    <xf numFmtId="166" fontId="26" fillId="0" borderId="0" xfId="0" applyNumberFormat="1" applyFont="1" applyAlignment="1">
      <alignment horizontal="center" vertical="center"/>
    </xf>
    <xf numFmtId="166" fontId="39" fillId="0" borderId="0" xfId="0" applyNumberFormat="1" applyFont="1" applyAlignment="1">
      <alignment horizontal="center" vertical="center"/>
    </xf>
    <xf numFmtId="0" fontId="0" fillId="0" borderId="26" xfId="0" applyBorder="1" applyAlignment="1">
      <alignment horizontal="left" vertical="center"/>
    </xf>
    <xf numFmtId="0" fontId="7" fillId="0" borderId="27" xfId="0" applyFont="1" applyBorder="1" applyAlignment="1">
      <alignment vertical="center"/>
    </xf>
    <xf numFmtId="14" fontId="0" fillId="0" borderId="0" xfId="0" applyNumberFormat="1" applyAlignment="1">
      <alignment horizontal="left" vertical="center"/>
    </xf>
    <xf numFmtId="0" fontId="8" fillId="0" borderId="23" xfId="0" applyFont="1" applyBorder="1" applyAlignment="1">
      <alignment horizontal="center" vertical="center"/>
    </xf>
    <xf numFmtId="1" fontId="24" fillId="0" borderId="24" xfId="0" applyNumberFormat="1" applyFont="1" applyBorder="1" applyAlignment="1">
      <alignment vertical="center"/>
    </xf>
    <xf numFmtId="14" fontId="46" fillId="4" borderId="0" xfId="0" applyNumberFormat="1" applyFont="1" applyFill="1" applyAlignment="1">
      <alignment horizontal="left" vertical="top" wrapText="1"/>
    </xf>
    <xf numFmtId="0" fontId="18" fillId="4" borderId="0" xfId="8" applyFill="1" applyBorder="1" applyAlignment="1"/>
    <xf numFmtId="0" fontId="18" fillId="4" borderId="0" xfId="8" applyFill="1" applyBorder="1" applyAlignment="1">
      <alignment vertical="center"/>
    </xf>
    <xf numFmtId="167" fontId="18" fillId="4" borderId="0" xfId="8" applyNumberFormat="1" applyFill="1" applyBorder="1" applyAlignment="1">
      <alignment vertical="center"/>
    </xf>
    <xf numFmtId="49" fontId="0" fillId="0" borderId="23" xfId="0" applyNumberFormat="1" applyBorder="1" applyAlignment="1">
      <alignment horizontal="center" vertical="center"/>
    </xf>
    <xf numFmtId="0" fontId="7" fillId="0" borderId="7" xfId="0" applyFont="1" applyBorder="1" applyAlignment="1">
      <alignment horizontal="left" vertical="center" indent="2"/>
    </xf>
    <xf numFmtId="0" fontId="7" fillId="0" borderId="2" xfId="0" applyFont="1" applyBorder="1" applyAlignment="1">
      <alignment horizontal="left" vertical="center" indent="2"/>
    </xf>
    <xf numFmtId="0" fontId="45" fillId="4" borderId="0" xfId="0" applyFont="1" applyFill="1"/>
    <xf numFmtId="0" fontId="0" fillId="4" borderId="0" xfId="0" applyFill="1"/>
    <xf numFmtId="0" fontId="0" fillId="4" borderId="0" xfId="0" applyFill="1" applyAlignment="1">
      <alignment horizontal="center"/>
    </xf>
    <xf numFmtId="3" fontId="7" fillId="0" borderId="7" xfId="1" applyNumberFormat="1" applyFont="1" applyBorder="1" applyAlignment="1">
      <alignment horizontal="left" vertical="center" indent="2"/>
    </xf>
    <xf numFmtId="3" fontId="7" fillId="0" borderId="0" xfId="1" applyNumberFormat="1" applyFont="1" applyAlignment="1">
      <alignment horizontal="left" vertical="center" indent="2"/>
    </xf>
    <xf numFmtId="0" fontId="7" fillId="0" borderId="8" xfId="0" applyFont="1" applyBorder="1" applyAlignment="1">
      <alignment horizontal="left" vertical="center" indent="2"/>
    </xf>
    <xf numFmtId="0" fontId="7" fillId="0" borderId="3" xfId="0" applyFont="1" applyBorder="1" applyAlignment="1">
      <alignment horizontal="left" vertical="center" indent="2"/>
    </xf>
    <xf numFmtId="0" fontId="8" fillId="0" borderId="8" xfId="0" applyFont="1" applyBorder="1" applyAlignment="1">
      <alignment horizontal="right" vertical="top"/>
    </xf>
    <xf numFmtId="0" fontId="8" fillId="0" borderId="1" xfId="0" applyFont="1" applyBorder="1" applyAlignment="1">
      <alignment horizontal="right" vertical="top"/>
    </xf>
    <xf numFmtId="0" fontId="29" fillId="0" borderId="9" xfId="0" applyFont="1" applyBorder="1" applyAlignment="1">
      <alignment horizontal="right" vertical="center"/>
    </xf>
    <xf numFmtId="0" fontId="29" fillId="0" borderId="19" xfId="0" applyFont="1" applyBorder="1" applyAlignment="1">
      <alignment horizontal="right" vertical="center"/>
    </xf>
    <xf numFmtId="0" fontId="18" fillId="3" borderId="7" xfId="8" applyBorder="1" applyAlignment="1" applyProtection="1">
      <alignment horizontal="center" vertical="center"/>
      <protection locked="0"/>
    </xf>
    <xf numFmtId="0" fontId="18" fillId="3" borderId="0" xfId="8" applyBorder="1" applyAlignment="1" applyProtection="1">
      <alignment horizontal="center" vertical="center"/>
      <protection locked="0"/>
    </xf>
    <xf numFmtId="0" fontId="18" fillId="3" borderId="2" xfId="8" applyBorder="1" applyAlignment="1" applyProtection="1">
      <alignment horizontal="center" vertical="center"/>
      <protection locked="0"/>
    </xf>
    <xf numFmtId="0" fontId="8" fillId="0" borderId="9" xfId="0" applyFont="1" applyBorder="1" applyAlignment="1">
      <alignment horizontal="right" vertical="center"/>
    </xf>
    <xf numFmtId="0" fontId="8" fillId="0" borderId="19" xfId="0" applyFont="1" applyBorder="1" applyAlignment="1">
      <alignment horizontal="right" vertical="center"/>
    </xf>
    <xf numFmtId="0" fontId="18" fillId="3" borderId="14" xfId="8" applyBorder="1" applyAlignment="1">
      <alignment horizontal="center"/>
    </xf>
    <xf numFmtId="0" fontId="18" fillId="3" borderId="15" xfId="8" applyBorder="1" applyAlignment="1">
      <alignment horizontal="center"/>
    </xf>
    <xf numFmtId="0" fontId="18" fillId="3" borderId="16" xfId="8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8" fillId="3" borderId="4" xfId="8" applyBorder="1" applyAlignment="1">
      <alignment horizontal="left" vertical="center" wrapText="1"/>
    </xf>
    <xf numFmtId="0" fontId="18" fillId="3" borderId="6" xfId="8" applyBorder="1" applyAlignment="1">
      <alignment horizontal="left" vertical="center" wrapText="1"/>
    </xf>
    <xf numFmtId="0" fontId="18" fillId="3" borderId="5" xfId="8" applyBorder="1" applyAlignment="1">
      <alignment horizontal="left" vertical="center" wrapText="1"/>
    </xf>
    <xf numFmtId="0" fontId="18" fillId="3" borderId="8" xfId="8" applyBorder="1" applyAlignment="1">
      <alignment horizontal="left" vertical="center" wrapText="1"/>
    </xf>
    <xf numFmtId="0" fontId="18" fillId="3" borderId="1" xfId="8" applyBorder="1" applyAlignment="1">
      <alignment horizontal="left" vertical="center" wrapText="1"/>
    </xf>
    <xf numFmtId="0" fontId="18" fillId="3" borderId="3" xfId="8" applyBorder="1" applyAlignment="1">
      <alignment horizontal="left" vertical="center" wrapText="1"/>
    </xf>
    <xf numFmtId="0" fontId="30" fillId="4" borderId="0" xfId="0" applyFont="1" applyFill="1" applyAlignment="1">
      <alignment horizontal="left" vertical="center" wrapText="1"/>
    </xf>
    <xf numFmtId="0" fontId="12" fillId="4" borderId="0" xfId="0" applyFont="1" applyFill="1" applyAlignment="1">
      <alignment horizontal="left" vertical="center" wrapText="1"/>
    </xf>
    <xf numFmtId="0" fontId="31" fillId="0" borderId="0" xfId="0" applyFont="1" applyAlignment="1">
      <alignment horizontal="right"/>
    </xf>
    <xf numFmtId="0" fontId="34" fillId="0" borderId="0" xfId="0" applyFont="1" applyAlignment="1">
      <alignment horizontal="right" indent="2"/>
    </xf>
    <xf numFmtId="0" fontId="8" fillId="0" borderId="7" xfId="0" applyFont="1" applyBorder="1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8" fillId="0" borderId="4" xfId="0" applyFont="1" applyBorder="1" applyAlignment="1">
      <alignment horizontal="right"/>
    </xf>
    <xf numFmtId="0" fontId="8" fillId="0" borderId="6" xfId="0" applyFont="1" applyBorder="1" applyAlignment="1">
      <alignment horizontal="right"/>
    </xf>
    <xf numFmtId="0" fontId="18" fillId="3" borderId="8" xfId="8" applyBorder="1" applyAlignment="1" applyProtection="1">
      <alignment horizontal="center" vertical="center"/>
      <protection locked="0"/>
    </xf>
    <xf numFmtId="0" fontId="18" fillId="3" borderId="1" xfId="8" applyBorder="1" applyAlignment="1" applyProtection="1">
      <alignment horizontal="center" vertical="center"/>
      <protection locked="0"/>
    </xf>
    <xf numFmtId="0" fontId="18" fillId="3" borderId="3" xfId="8" applyBorder="1" applyAlignment="1" applyProtection="1">
      <alignment horizontal="center" vertical="center"/>
      <protection locked="0"/>
    </xf>
    <xf numFmtId="165" fontId="7" fillId="0" borderId="7" xfId="0" applyNumberFormat="1" applyFont="1" applyBorder="1" applyAlignment="1">
      <alignment horizontal="left" vertical="center" indent="2"/>
    </xf>
    <xf numFmtId="165" fontId="7" fillId="0" borderId="0" xfId="0" applyNumberFormat="1" applyFont="1" applyAlignment="1">
      <alignment horizontal="left" vertical="center" indent="2"/>
    </xf>
    <xf numFmtId="0" fontId="19" fillId="4" borderId="0" xfId="0" applyFont="1" applyFill="1" applyAlignment="1">
      <alignment horizontal="center" vertical="center"/>
    </xf>
    <xf numFmtId="0" fontId="18" fillId="3" borderId="4" xfId="8" applyBorder="1" applyAlignment="1" applyProtection="1">
      <alignment horizontal="center" vertical="center"/>
      <protection locked="0"/>
    </xf>
    <xf numFmtId="0" fontId="18" fillId="3" borderId="6" xfId="8" applyBorder="1" applyAlignment="1" applyProtection="1">
      <alignment horizontal="center" vertical="center"/>
      <protection locked="0"/>
    </xf>
    <xf numFmtId="0" fontId="18" fillId="3" borderId="5" xfId="8" applyBorder="1" applyAlignment="1" applyProtection="1">
      <alignment horizontal="center" vertical="center"/>
      <protection locked="0"/>
    </xf>
    <xf numFmtId="0" fontId="7" fillId="0" borderId="1" xfId="0" applyFont="1" applyBorder="1" applyAlignment="1">
      <alignment horizontal="left" vertical="center" indent="2"/>
    </xf>
    <xf numFmtId="0" fontId="25" fillId="4" borderId="0" xfId="0" applyFont="1" applyFill="1" applyAlignment="1">
      <alignment horizontal="left" vertical="center" wrapText="1"/>
    </xf>
    <xf numFmtId="0" fontId="34" fillId="0" borderId="0" xfId="0" applyFont="1" applyAlignment="1">
      <alignment horizontal="right" vertical="center" indent="2"/>
    </xf>
    <xf numFmtId="0" fontId="37" fillId="0" borderId="8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13" fillId="4" borderId="0" xfId="0" applyFont="1" applyFill="1" applyAlignment="1">
      <alignment horizontal="center"/>
    </xf>
    <xf numFmtId="0" fontId="8" fillId="0" borderId="4" xfId="0" applyFont="1" applyBorder="1" applyAlignment="1">
      <alignment horizontal="left" indent="2"/>
    </xf>
    <xf numFmtId="0" fontId="8" fillId="0" borderId="6" xfId="0" applyFont="1" applyBorder="1" applyAlignment="1">
      <alignment horizontal="left" indent="2"/>
    </xf>
    <xf numFmtId="0" fontId="18" fillId="3" borderId="14" xfId="8" applyBorder="1" applyAlignment="1" applyProtection="1">
      <alignment horizontal="center" vertical="center"/>
      <protection locked="0"/>
    </xf>
    <xf numFmtId="0" fontId="18" fillId="3" borderId="16" xfId="8" applyBorder="1" applyAlignment="1" applyProtection="1">
      <alignment horizontal="center" vertical="center"/>
      <protection locked="0"/>
    </xf>
    <xf numFmtId="0" fontId="10" fillId="0" borderId="0" xfId="2" applyFont="1" applyAlignment="1">
      <alignment horizontal="left" vertical="center" indent="15"/>
    </xf>
    <xf numFmtId="0" fontId="10" fillId="0" borderId="2" xfId="2" applyFont="1" applyBorder="1" applyAlignment="1">
      <alignment horizontal="left" vertical="center" indent="15"/>
    </xf>
    <xf numFmtId="0" fontId="8" fillId="0" borderId="5" xfId="0" applyFont="1" applyBorder="1" applyAlignment="1">
      <alignment horizontal="left" indent="2"/>
    </xf>
    <xf numFmtId="0" fontId="18" fillId="4" borderId="0" xfId="8" applyFill="1" applyBorder="1" applyAlignment="1">
      <alignment horizontal="center" vertical="center"/>
    </xf>
    <xf numFmtId="0" fontId="42" fillId="4" borderId="0" xfId="0" applyFont="1" applyFill="1" applyAlignment="1">
      <alignment horizontal="left" vertical="center" wrapText="1"/>
    </xf>
    <xf numFmtId="0" fontId="3" fillId="4" borderId="0" xfId="4" applyFill="1" applyBorder="1" applyAlignment="1">
      <alignment horizontal="center" vertical="center"/>
    </xf>
    <xf numFmtId="1" fontId="33" fillId="0" borderId="0" xfId="0" applyNumberFormat="1" applyFont="1" applyAlignment="1">
      <alignment horizontal="right" vertical="top" indent="2"/>
    </xf>
    <xf numFmtId="0" fontId="41" fillId="0" borderId="9" xfId="0" applyFont="1" applyBorder="1" applyAlignment="1">
      <alignment horizontal="right" vertical="center"/>
    </xf>
    <xf numFmtId="0" fontId="41" fillId="0" borderId="19" xfId="0" applyFont="1" applyBorder="1" applyAlignment="1">
      <alignment horizontal="right" vertical="center"/>
    </xf>
    <xf numFmtId="1" fontId="32" fillId="0" borderId="0" xfId="0" applyNumberFormat="1" applyFont="1" applyAlignment="1">
      <alignment horizontal="right" vertical="center"/>
    </xf>
    <xf numFmtId="0" fontId="7" fillId="0" borderId="7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165" fontId="7" fillId="0" borderId="7" xfId="0" applyNumberFormat="1" applyFont="1" applyBorder="1" applyAlignment="1">
      <alignment vertical="center"/>
    </xf>
    <xf numFmtId="165" fontId="7" fillId="0" borderId="0" xfId="0" applyNumberFormat="1" applyFont="1" applyAlignment="1">
      <alignment vertical="center"/>
    </xf>
    <xf numFmtId="0" fontId="18" fillId="2" borderId="0" xfId="8" applyFill="1" applyBorder="1" applyAlignment="1">
      <alignment horizontal="center" vertical="center"/>
    </xf>
    <xf numFmtId="0" fontId="3" fillId="2" borderId="0" xfId="4" applyFill="1" applyBorder="1" applyAlignment="1">
      <alignment horizontal="center" vertical="center"/>
    </xf>
    <xf numFmtId="0" fontId="20" fillId="2" borderId="0" xfId="0" applyFont="1" applyFill="1" applyAlignment="1">
      <alignment horizontal="left" vertical="center" wrapText="1"/>
    </xf>
    <xf numFmtId="0" fontId="6" fillId="0" borderId="9" xfId="0" applyFont="1" applyBorder="1" applyAlignment="1">
      <alignment horizontal="right" vertical="center"/>
    </xf>
    <xf numFmtId="0" fontId="6" fillId="0" borderId="19" xfId="0" applyFont="1" applyBorder="1" applyAlignment="1">
      <alignment horizontal="right" vertical="center"/>
    </xf>
    <xf numFmtId="167" fontId="18" fillId="2" borderId="0" xfId="8" applyNumberForma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6" xfId="0" applyFont="1" applyBorder="1" applyAlignment="1">
      <alignment vertical="center"/>
    </xf>
    <xf numFmtId="0" fontId="18" fillId="2" borderId="0" xfId="8" applyFill="1" applyBorder="1" applyAlignment="1">
      <alignment horizontal="center"/>
    </xf>
    <xf numFmtId="0" fontId="10" fillId="0" borderId="0" xfId="2" applyFont="1" applyAlignment="1">
      <alignment horizontal="left" vertical="center"/>
    </xf>
    <xf numFmtId="0" fontId="8" fillId="0" borderId="8" xfId="0" applyFont="1" applyBorder="1" applyAlignment="1">
      <alignment horizontal="center" vertical="top"/>
    </xf>
    <xf numFmtId="0" fontId="8" fillId="0" borderId="1" xfId="0" applyFont="1" applyBorder="1" applyAlignment="1">
      <alignment horizontal="center" vertical="top"/>
    </xf>
    <xf numFmtId="0" fontId="8" fillId="0" borderId="4" xfId="0" applyFont="1" applyBorder="1" applyAlignment="1">
      <alignment horizontal="right" vertical="center"/>
    </xf>
    <xf numFmtId="0" fontId="8" fillId="0" borderId="6" xfId="0" applyFont="1" applyBorder="1" applyAlignment="1">
      <alignment horizontal="right" vertical="center"/>
    </xf>
    <xf numFmtId="0" fontId="7" fillId="0" borderId="0" xfId="0" applyFont="1" applyAlignment="1">
      <alignment vertical="center"/>
    </xf>
    <xf numFmtId="0" fontId="10" fillId="0" borderId="2" xfId="2" applyFont="1" applyBorder="1" applyAlignment="1">
      <alignment horizontal="left" vertical="center"/>
    </xf>
    <xf numFmtId="0" fontId="8" fillId="0" borderId="25" xfId="0" applyFont="1" applyBorder="1" applyAlignment="1">
      <alignment horizontal="right" vertical="center"/>
    </xf>
    <xf numFmtId="0" fontId="8" fillId="0" borderId="26" xfId="0" applyFont="1" applyBorder="1" applyAlignment="1">
      <alignment horizontal="right" vertical="center"/>
    </xf>
    <xf numFmtId="0" fontId="8" fillId="0" borderId="22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NumberFormat="1" applyAlignment="1">
      <alignment horizontal="center"/>
    </xf>
    <xf numFmtId="174" fontId="7" fillId="4" borderId="0" xfId="0" applyNumberFormat="1" applyFont="1" applyFill="1" applyAlignment="1">
      <alignment vertical="center"/>
    </xf>
    <xf numFmtId="175" fontId="7" fillId="4" borderId="0" xfId="0" applyNumberFormat="1" applyFont="1" applyFill="1" applyAlignment="1">
      <alignment vertical="center"/>
    </xf>
  </cellXfs>
  <cellStyles count="9">
    <cellStyle name="Excel_BuiltIn_Hyperlink" xfId="1" xr:uid="{00000000-0005-0000-0000-000000000000}"/>
    <cellStyle name="Good" xfId="8" builtinId="26"/>
    <cellStyle name="Heading" xfId="2" xr:uid="{00000000-0005-0000-0000-000001000000}"/>
    <cellStyle name="Heading1" xfId="3" xr:uid="{00000000-0005-0000-0000-000002000000}"/>
    <cellStyle name="Hyperlink" xfId="4" builtinId="8"/>
    <cellStyle name="Hypertextový odkaz 2" xfId="5" xr:uid="{00000000-0005-0000-0000-000004000000}"/>
    <cellStyle name="Normal" xfId="0" builtinId="0"/>
    <cellStyle name="Result" xfId="6" xr:uid="{00000000-0005-0000-0000-000006000000}"/>
    <cellStyle name="Result2" xfId="7" xr:uid="{00000000-0005-0000-0000-000007000000}"/>
  </cellStyles>
  <dxfs count="120">
    <dxf>
      <numFmt numFmtId="172" formatCode="dd/\ mmmm\ yyyy"/>
      <alignment horizontal="center" vertical="center" textRotation="0" wrapText="0" indent="0" justifyLastLine="0" shrinkToFit="0" readingOrder="0"/>
    </dxf>
    <dxf>
      <numFmt numFmtId="171" formatCode=";;;"/>
      <alignment horizontal="center" vertical="center" textRotation="0" wrapText="0" indent="0" justifyLastLine="0" shrinkToFit="0" readingOrder="0"/>
    </dxf>
    <dxf>
      <numFmt numFmtId="166" formatCode="#,##0.00\ &quot;Kč&quot;"/>
      <alignment horizontal="center" vertical="center" textRotation="0" wrapText="0" indent="0" justifyLastLine="0" shrinkToFit="0" readingOrder="0"/>
    </dxf>
    <dxf>
      <alignment horizontal="left" vertical="center" textRotation="0" wrapText="0" indent="1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66" formatCode="#,##0.00\ &quot;Kč&quot;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left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</dxf>
    <dxf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1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none"/>
      </font>
      <numFmt numFmtId="169" formatCode="[$$-409]#,##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5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71" formatCode=";;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none">
          <fgColor rgb="FF000000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none">
          <fgColor rgb="FF000000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none"/>
      </font>
      <numFmt numFmtId="169" formatCode="[$$-409]#,##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165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171" formatCode=";;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none"/>
      </font>
      <numFmt numFmtId="169" formatCode="[$$-409]#,##0.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numFmt numFmtId="166" formatCode="#,##0.00\ &quot;Kč&quot;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charset val="238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171" formatCode=";;;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165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171" formatCode=";;;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166" formatCode="#,##0.00\ &quot;Kč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sz val="1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FFCCFF"/>
        </patternFill>
      </fill>
      <border>
        <vertical style="thin">
          <color rgb="FFFF6699"/>
        </vertical>
        <horizontal style="thin">
          <color rgb="FFFF6699"/>
        </horizontal>
      </border>
    </dxf>
    <dxf>
      <font>
        <b/>
        <i val="0"/>
        <strike val="0"/>
        <color theme="0"/>
      </font>
      <fill>
        <patternFill>
          <bgColor rgb="FFFF6699"/>
        </patternFill>
      </fill>
    </dxf>
    <dxf>
      <font>
        <b val="0"/>
        <i val="0"/>
      </font>
      <border>
        <left style="thick">
          <color theme="1"/>
        </left>
        <right style="thick">
          <color theme="1"/>
        </right>
        <top style="thick">
          <color theme="1"/>
        </top>
        <bottom style="thick">
          <color theme="1"/>
        </bottom>
        <vertical style="thin">
          <color rgb="FFFF0000"/>
        </vertical>
        <horizontal style="thin">
          <color rgb="FFFF0000"/>
        </horizontal>
      </border>
    </dxf>
    <dxf>
      <fill>
        <patternFill patternType="none">
          <fgColor indexed="64"/>
          <bgColor auto="1"/>
        </patternFill>
      </fill>
    </dxf>
    <dxf>
      <font>
        <b val="0"/>
        <i val="0"/>
        <color theme="1"/>
      </font>
      <fill>
        <patternFill>
          <bgColor rgb="FFFFCCFF"/>
        </patternFill>
      </fill>
      <border>
        <vertical/>
        <horizontal/>
      </border>
    </dxf>
    <dxf>
      <font>
        <b/>
        <i val="0"/>
        <strike val="0"/>
        <color theme="0"/>
      </font>
      <fill>
        <patternFill>
          <bgColor rgb="FFFF6699"/>
        </patternFill>
      </fill>
    </dxf>
    <dxf>
      <font>
        <b val="0"/>
        <i val="0"/>
      </font>
      <border>
        <left style="thick">
          <color theme="1"/>
        </left>
        <right style="thick">
          <color theme="1"/>
        </right>
        <top style="thick">
          <color theme="1"/>
        </top>
        <bottom style="thick">
          <color theme="1"/>
        </bottom>
        <vertical/>
        <horizontal/>
      </border>
    </dxf>
  </dxfs>
  <tableStyles count="2" defaultTableStyle="20250823 cerveny styl tabulky" defaultPivotStyle="PivotStyleLight16">
    <tableStyle name="20250823 cerveny styl bez vnitrniho oramovani" pivot="0" count="4" xr9:uid="{61997196-D841-4B3A-B994-E7C470CE61CD}">
      <tableStyleElement type="wholeTable" dxfId="119"/>
      <tableStyleElement type="headerRow" dxfId="118"/>
      <tableStyleElement type="firstRowStripe" dxfId="117"/>
      <tableStyleElement type="firstColumnStripe" dxfId="116"/>
    </tableStyle>
    <tableStyle name="20250823 cerveny styl tabulky" pivot="0" count="4" xr9:uid="{D5508FBC-C4ED-4689-9EDD-A6AE39302B8F}">
      <tableStyleElement type="wholeTable" dxfId="115"/>
      <tableStyleElement type="headerRow" dxfId="114"/>
      <tableStyleElement type="firstRowStripe" dxfId="113"/>
      <tableStyleElement type="firstColumnStripe" dxfId="11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E5FF"/>
      <color rgb="FFFF6699"/>
      <color rgb="FFFFCCFF"/>
      <color rgb="FF0033CC"/>
      <color rgb="FF2F528F"/>
      <color rgb="FFFFAA01"/>
      <color rgb="FF996600"/>
      <color rgb="FF967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Vystavené!H14" lockText="1" noThreeD="1"/>
</file>

<file path=xl/ctrlProps/ctrlProp2.xml><?xml version="1.0" encoding="utf-8"?>
<formControlPr xmlns="http://schemas.microsoft.com/office/spreadsheetml/2009/9/main" objectType="CheckBox" fmlaLink="Vystavené!H15" lockText="1" noThreeD="1"/>
</file>

<file path=xl/ctrlProps/ctrlProp3.xml><?xml version="1.0" encoding="utf-8"?>
<formControlPr xmlns="http://schemas.microsoft.com/office/spreadsheetml/2009/9/main" objectType="CheckBox" fmlaLink="Vystavené!H16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80</xdr:row>
      <xdr:rowOff>95250</xdr:rowOff>
    </xdr:from>
    <xdr:to>
      <xdr:col>10</xdr:col>
      <xdr:colOff>590550</xdr:colOff>
      <xdr:row>84</xdr:row>
      <xdr:rowOff>57150</xdr:rowOff>
    </xdr:to>
    <xdr:cxnSp macro="">
      <xdr:nvCxnSpPr>
        <xdr:cNvPr id="3" name="Přímá spojnice se šipkou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10106025" y="15592425"/>
          <a:ext cx="1333500" cy="695325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11</xdr:col>
      <xdr:colOff>82363</xdr:colOff>
      <xdr:row>25</xdr:row>
      <xdr:rowOff>104773</xdr:rowOff>
    </xdr:from>
    <xdr:to>
      <xdr:col>12</xdr:col>
      <xdr:colOff>1604188</xdr:colOff>
      <xdr:row>29</xdr:row>
      <xdr:rowOff>62773</xdr:rowOff>
    </xdr:to>
    <xdr:sp macro="[0]!GenerateQR_ExportPDFs_AndLog" textlink="">
      <xdr:nvSpPr>
        <xdr:cNvPr id="16" name="Rectangle 15">
          <a:extLst>
            <a:ext uri="{FF2B5EF4-FFF2-40B4-BE49-F238E27FC236}">
              <a16:creationId xmlns:a16="http://schemas.microsoft.com/office/drawing/2014/main" id="{7E279A0D-B377-A13D-FFB5-B2FDC8BFA3BE}"/>
            </a:ext>
          </a:extLst>
        </xdr:cNvPr>
        <xdr:cNvSpPr/>
      </xdr:nvSpPr>
      <xdr:spPr>
        <a:xfrm>
          <a:off x="11540938" y="5124448"/>
          <a:ext cx="2160000" cy="720000"/>
        </a:xfrm>
        <a:prstGeom prst="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effectLst>
          <a:glow rad="127000">
            <a:schemeClr val="accent1">
              <a:satMod val="175000"/>
              <a:alpha val="22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0" dist="50800" dir="5400000" sy="-100000" algn="bl" rotWithShape="0"/>
          <a:softEdge rad="1143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3200"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Tisk PDF</a:t>
          </a:r>
          <a:endParaRPr lang="en-US" sz="3200"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12</xdr:col>
      <xdr:colOff>2038350</xdr:colOff>
      <xdr:row>32</xdr:row>
      <xdr:rowOff>104775</xdr:rowOff>
    </xdr:from>
    <xdr:to>
      <xdr:col>17</xdr:col>
      <xdr:colOff>476250</xdr:colOff>
      <xdr:row>33</xdr:row>
      <xdr:rowOff>104775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0E01D12-5C2B-8EF4-DA66-3411C4B0B735}"/>
            </a:ext>
          </a:extLst>
        </xdr:cNvPr>
        <xdr:cNvCxnSpPr/>
      </xdr:nvCxnSpPr>
      <xdr:spPr>
        <a:xfrm flipH="1" flipV="1">
          <a:off x="14135100" y="6457950"/>
          <a:ext cx="3143250" cy="190500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0</xdr:row>
      <xdr:rowOff>261937</xdr:rowOff>
    </xdr:from>
    <xdr:to>
      <xdr:col>2</xdr:col>
      <xdr:colOff>624676</xdr:colOff>
      <xdr:row>3</xdr:row>
      <xdr:rowOff>159394</xdr:rowOff>
    </xdr:to>
    <xdr:pic>
      <xdr:nvPicPr>
        <xdr:cNvPr id="45" name="Obrázek 1">
          <a:extLst>
            <a:ext uri="{FF2B5EF4-FFF2-40B4-BE49-F238E27FC236}">
              <a16:creationId xmlns:a16="http://schemas.microsoft.com/office/drawing/2014/main" id="{2FA83BE9-977C-48FD-8DB4-4823DFE556A4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38150" y="261937"/>
          <a:ext cx="624676" cy="69755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28575</xdr:colOff>
      <xdr:row>79</xdr:row>
      <xdr:rowOff>76200</xdr:rowOff>
    </xdr:from>
    <xdr:to>
      <xdr:col>2</xdr:col>
      <xdr:colOff>76200</xdr:colOff>
      <xdr:row>82</xdr:row>
      <xdr:rowOff>104775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B6D0B77B-3D45-0A62-2B9D-DB3629123BD4}"/>
            </a:ext>
          </a:extLst>
        </xdr:cNvPr>
        <xdr:cNvCxnSpPr/>
      </xdr:nvCxnSpPr>
      <xdr:spPr>
        <a:xfrm flipH="1" flipV="1">
          <a:off x="466725" y="15382875"/>
          <a:ext cx="47625" cy="590550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979581</xdr:colOff>
      <xdr:row>74</xdr:row>
      <xdr:rowOff>5603</xdr:rowOff>
    </xdr:from>
    <xdr:to>
      <xdr:col>2</xdr:col>
      <xdr:colOff>3059206</xdr:colOff>
      <xdr:row>77</xdr:row>
      <xdr:rowOff>84978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37DC503-3AF9-49A5-96D1-E515BF64633B}"/>
            </a:ext>
          </a:extLst>
        </xdr:cNvPr>
        <xdr:cNvGrpSpPr/>
      </xdr:nvGrpSpPr>
      <xdr:grpSpPr>
        <a:xfrm>
          <a:off x="1417731" y="14359778"/>
          <a:ext cx="2079625" cy="650875"/>
          <a:chOff x="1682750" y="13208000"/>
          <a:chExt cx="2825750" cy="925512"/>
        </a:xfrm>
      </xdr:grpSpPr>
      <xdr:sp macro="" textlink="Nabídka!$T$16">
        <xdr:nvSpPr>
          <xdr:cNvPr id="4" name="TextBox 3">
            <a:extLst>
              <a:ext uri="{FF2B5EF4-FFF2-40B4-BE49-F238E27FC236}">
                <a16:creationId xmlns:a16="http://schemas.microsoft.com/office/drawing/2014/main" id="{F4D8A9FA-0AFE-5849-9DB3-6C38BDC45AF1}"/>
              </a:ext>
            </a:extLst>
          </xdr:cNvPr>
          <xdr:cNvSpPr txBox="1"/>
        </xdr:nvSpPr>
        <xdr:spPr>
          <a:xfrm>
            <a:off x="1688042" y="13219112"/>
            <a:ext cx="2817283" cy="9144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6B20621-36C7-4391-8517-2FFD304D3653}" type="TxLink">
              <a:rPr lang="en-US" sz="1100" b="0" i="0" u="none" strike="noStrike">
                <a:solidFill>
                  <a:srgbClr val="000000"/>
                </a:solidFill>
                <a:latin typeface="+mn-lt"/>
                <a:ea typeface="Calibri"/>
                <a:cs typeface="Arial"/>
              </a:rPr>
              <a:pPr algn="ctr"/>
              <a:t>+420 777 062 425
michal@kopl.pro</a:t>
            </a:fld>
            <a:endParaRPr lang="en-US" sz="1100">
              <a:latin typeface="+mn-lt"/>
            </a:endParaRPr>
          </a:p>
        </xdr:txBody>
      </xdr:sp>
      <xdr:cxnSp macro="">
        <xdr:nvCxnSpPr>
          <xdr:cNvPr id="8" name="Straight Connector 7">
            <a:extLst>
              <a:ext uri="{FF2B5EF4-FFF2-40B4-BE49-F238E27FC236}">
                <a16:creationId xmlns:a16="http://schemas.microsoft.com/office/drawing/2014/main" id="{D47B83CC-48B3-5CB8-71E8-B843BA953A6F}"/>
              </a:ext>
            </a:extLst>
          </xdr:cNvPr>
          <xdr:cNvCxnSpPr/>
        </xdr:nvCxnSpPr>
        <xdr:spPr>
          <a:xfrm>
            <a:off x="1682750" y="13208000"/>
            <a:ext cx="282575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0</xdr:colOff>
      <xdr:row>3</xdr:row>
      <xdr:rowOff>104775</xdr:rowOff>
    </xdr:from>
    <xdr:to>
      <xdr:col>12</xdr:col>
      <xdr:colOff>895350</xdr:colOff>
      <xdr:row>4</xdr:row>
      <xdr:rowOff>95250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EB6285AB-4734-DAD0-846C-BB890F089E38}"/>
            </a:ext>
          </a:extLst>
        </xdr:cNvPr>
        <xdr:cNvCxnSpPr/>
      </xdr:nvCxnSpPr>
      <xdr:spPr>
        <a:xfrm flipH="1" flipV="1">
          <a:off x="9801225" y="904875"/>
          <a:ext cx="3190875" cy="190500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4</xdr:col>
      <xdr:colOff>0</xdr:colOff>
      <xdr:row>55</xdr:row>
      <xdr:rowOff>9525</xdr:rowOff>
    </xdr:from>
    <xdr:to>
      <xdr:col>7</xdr:col>
      <xdr:colOff>0</xdr:colOff>
      <xdr:row>58</xdr:row>
      <xdr:rowOff>12927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6A837B54-3F94-6058-BEC5-13FE610834A3}"/>
            </a:ext>
          </a:extLst>
        </xdr:cNvPr>
        <xdr:cNvSpPr/>
      </xdr:nvSpPr>
      <xdr:spPr>
        <a:xfrm>
          <a:off x="6496050" y="10744200"/>
          <a:ext cx="3305175" cy="57490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28575</xdr:colOff>
      <xdr:row>68</xdr:row>
      <xdr:rowOff>95250</xdr:rowOff>
    </xdr:from>
    <xdr:to>
      <xdr:col>11</xdr:col>
      <xdr:colOff>628650</xdr:colOff>
      <xdr:row>68</xdr:row>
      <xdr:rowOff>166688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2669A7E8-5EDA-2D2C-9516-BBF51C863A96}"/>
            </a:ext>
          </a:extLst>
        </xdr:cNvPr>
        <xdr:cNvCxnSpPr>
          <a:cxnSpLocks/>
        </xdr:cNvCxnSpPr>
      </xdr:nvCxnSpPr>
      <xdr:spPr>
        <a:xfrm flipH="1">
          <a:off x="9829800" y="13306425"/>
          <a:ext cx="2257425" cy="71438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7</xdr:col>
      <xdr:colOff>28575</xdr:colOff>
      <xdr:row>1</xdr:row>
      <xdr:rowOff>133350</xdr:rowOff>
    </xdr:from>
    <xdr:to>
      <xdr:col>10</xdr:col>
      <xdr:colOff>47625</xdr:colOff>
      <xdr:row>1</xdr:row>
      <xdr:rowOff>133350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6AEF2815-790E-483E-B798-8823EA4DB47F}"/>
            </a:ext>
          </a:extLst>
        </xdr:cNvPr>
        <xdr:cNvCxnSpPr/>
      </xdr:nvCxnSpPr>
      <xdr:spPr>
        <a:xfrm flipH="1">
          <a:off x="9829800" y="400050"/>
          <a:ext cx="1066800" cy="0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6</xdr:col>
      <xdr:colOff>981075</xdr:colOff>
      <xdr:row>2</xdr:row>
      <xdr:rowOff>123825</xdr:rowOff>
    </xdr:from>
    <xdr:to>
      <xdr:col>10</xdr:col>
      <xdr:colOff>600075</xdr:colOff>
      <xdr:row>2</xdr:row>
      <xdr:rowOff>123825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43F09893-D2F6-4B5F-9AC1-AA24BB133F97}"/>
            </a:ext>
          </a:extLst>
        </xdr:cNvPr>
        <xdr:cNvCxnSpPr/>
      </xdr:nvCxnSpPr>
      <xdr:spPr>
        <a:xfrm flipH="1">
          <a:off x="9734550" y="657225"/>
          <a:ext cx="1714500" cy="0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oneCell">
    <xdr:from>
      <xdr:col>4</xdr:col>
      <xdr:colOff>952500</xdr:colOff>
      <xdr:row>62</xdr:row>
      <xdr:rowOff>0</xdr:rowOff>
    </xdr:from>
    <xdr:to>
      <xdr:col>7</xdr:col>
      <xdr:colOff>28575</xdr:colOff>
      <xdr:row>75</xdr:row>
      <xdr:rowOff>142875</xdr:rowOff>
    </xdr:to>
    <xdr:pic>
      <xdr:nvPicPr>
        <xdr:cNvPr id="10" name="PaymentQR">
          <a:extLst>
            <a:ext uri="{FF2B5EF4-FFF2-40B4-BE49-F238E27FC236}">
              <a16:creationId xmlns:a16="http://schemas.microsoft.com/office/drawing/2014/main" id="{8004AF68-CC23-860F-56F6-B25498560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12068175"/>
          <a:ext cx="2381250" cy="2619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</xdr:colOff>
      <xdr:row>80</xdr:row>
      <xdr:rowOff>85725</xdr:rowOff>
    </xdr:from>
    <xdr:to>
      <xdr:col>10</xdr:col>
      <xdr:colOff>560295</xdr:colOff>
      <xdr:row>83</xdr:row>
      <xdr:rowOff>145678</xdr:rowOff>
    </xdr:to>
    <xdr:cxnSp macro="">
      <xdr:nvCxnSpPr>
        <xdr:cNvPr id="3" name="Přímá spojnice se šipkou 2">
          <a:extLst>
            <a:ext uri="{FF2B5EF4-FFF2-40B4-BE49-F238E27FC236}">
              <a16:creationId xmlns:a16="http://schemas.microsoft.com/office/drawing/2014/main" id="{9A7E5C5F-0EAA-4761-B402-9BBE66439418}"/>
            </a:ext>
          </a:extLst>
        </xdr:cNvPr>
        <xdr:cNvCxnSpPr/>
      </xdr:nvCxnSpPr>
      <xdr:spPr>
        <a:xfrm flipH="1" flipV="1">
          <a:off x="10115550" y="15582900"/>
          <a:ext cx="1293720" cy="621928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10</xdr:col>
      <xdr:colOff>549088</xdr:colOff>
      <xdr:row>25</xdr:row>
      <xdr:rowOff>0</xdr:rowOff>
    </xdr:from>
    <xdr:to>
      <xdr:col>14</xdr:col>
      <xdr:colOff>585013</xdr:colOff>
      <xdr:row>28</xdr:row>
      <xdr:rowOff>148500</xdr:rowOff>
    </xdr:to>
    <xdr:sp macro="[0]!GenerateQR_ExportPDFs_AndLog" textlink="">
      <xdr:nvSpPr>
        <xdr:cNvPr id="4" name="Rectangle 3">
          <a:extLst>
            <a:ext uri="{FF2B5EF4-FFF2-40B4-BE49-F238E27FC236}">
              <a16:creationId xmlns:a16="http://schemas.microsoft.com/office/drawing/2014/main" id="{D65BFC1A-C7BA-42B0-90AA-144DCBE961BC}"/>
            </a:ext>
          </a:extLst>
        </xdr:cNvPr>
        <xdr:cNvSpPr/>
      </xdr:nvSpPr>
      <xdr:spPr>
        <a:xfrm>
          <a:off x="11398063" y="5019675"/>
          <a:ext cx="2160000" cy="720000"/>
        </a:xfrm>
        <a:prstGeom prst="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effectLst>
          <a:glow rad="127000">
            <a:schemeClr val="accent1">
              <a:satMod val="175000"/>
              <a:alpha val="22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0" dist="50800" dir="5400000" sy="-100000" algn="bl" rotWithShape="0"/>
          <a:softEdge rad="1143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3200">
              <a:solidFill>
                <a:schemeClr val="lt1"/>
              </a:solidFill>
              <a:effectLst>
                <a:outerShdw blurRad="50800" dist="38100" dir="27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Tisk PDF</a:t>
          </a:r>
          <a:endParaRPr lang="en-US" sz="7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0</xdr:row>
      <xdr:rowOff>260638</xdr:rowOff>
    </xdr:from>
    <xdr:to>
      <xdr:col>2</xdr:col>
      <xdr:colOff>626400</xdr:colOff>
      <xdr:row>3</xdr:row>
      <xdr:rowOff>158938</xdr:rowOff>
    </xdr:to>
    <xdr:pic>
      <xdr:nvPicPr>
        <xdr:cNvPr id="57" name="Obrázek 1">
          <a:extLst>
            <a:ext uri="{FF2B5EF4-FFF2-40B4-BE49-F238E27FC236}">
              <a16:creationId xmlns:a16="http://schemas.microsoft.com/office/drawing/2014/main" id="{21017BAC-7792-4B20-88A8-B8600C9E8E8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38150" y="260638"/>
          <a:ext cx="626400" cy="6984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171450</xdr:colOff>
      <xdr:row>79</xdr:row>
      <xdr:rowOff>85725</xdr:rowOff>
    </xdr:from>
    <xdr:to>
      <xdr:col>2</xdr:col>
      <xdr:colOff>180975</xdr:colOff>
      <xdr:row>82</xdr:row>
      <xdr:rowOff>142875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11F92A2B-BAB7-E547-27CE-3D3FF455F35A}"/>
            </a:ext>
          </a:extLst>
        </xdr:cNvPr>
        <xdr:cNvCxnSpPr/>
      </xdr:nvCxnSpPr>
      <xdr:spPr>
        <a:xfrm flipH="1" flipV="1">
          <a:off x="609600" y="15392400"/>
          <a:ext cx="9525" cy="619125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978949</xdr:colOff>
      <xdr:row>74</xdr:row>
      <xdr:rowOff>5292</xdr:rowOff>
    </xdr:from>
    <xdr:to>
      <xdr:col>2</xdr:col>
      <xdr:colOff>3058574</xdr:colOff>
      <xdr:row>77</xdr:row>
      <xdr:rowOff>84667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DB965A93-0755-E49A-8E8A-009CEC9C37BA}"/>
            </a:ext>
          </a:extLst>
        </xdr:cNvPr>
        <xdr:cNvGrpSpPr/>
      </xdr:nvGrpSpPr>
      <xdr:grpSpPr>
        <a:xfrm>
          <a:off x="1417099" y="14359467"/>
          <a:ext cx="2079625" cy="650875"/>
          <a:chOff x="1682750" y="13208000"/>
          <a:chExt cx="2825750" cy="925512"/>
        </a:xfrm>
      </xdr:grpSpPr>
      <xdr:sp macro="" textlink="Nabídka!$T$16">
        <xdr:nvSpPr>
          <xdr:cNvPr id="2" name="TextBox 1">
            <a:extLst>
              <a:ext uri="{FF2B5EF4-FFF2-40B4-BE49-F238E27FC236}">
                <a16:creationId xmlns:a16="http://schemas.microsoft.com/office/drawing/2014/main" id="{D7D2C499-6673-9083-2915-C24B3F0F16D1}"/>
              </a:ext>
            </a:extLst>
          </xdr:cNvPr>
          <xdr:cNvSpPr txBox="1"/>
        </xdr:nvSpPr>
        <xdr:spPr>
          <a:xfrm>
            <a:off x="1688042" y="13219112"/>
            <a:ext cx="2817283" cy="9144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6B20621-36C7-4391-8517-2FFD304D3653}" type="TxLink">
              <a:rPr lang="en-US" sz="1100" b="0" i="0" u="none" strike="noStrike">
                <a:solidFill>
                  <a:srgbClr val="000000"/>
                </a:solidFill>
                <a:latin typeface="+mn-lt"/>
                <a:ea typeface="Calibri"/>
                <a:cs typeface="Arial"/>
              </a:rPr>
              <a:pPr algn="ctr"/>
              <a:t>+420 777 062 425
michal@kopl.pro</a:t>
            </a:fld>
            <a:endParaRPr lang="en-US" sz="1100">
              <a:latin typeface="+mn-lt"/>
            </a:endParaRPr>
          </a:p>
        </xdr:txBody>
      </xdr: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26EA05FB-0D5F-5A4C-9DD9-D0F2CFA2AE1E}"/>
              </a:ext>
            </a:extLst>
          </xdr:cNvPr>
          <xdr:cNvCxnSpPr/>
        </xdr:nvCxnSpPr>
        <xdr:spPr>
          <a:xfrm>
            <a:off x="1682750" y="13208000"/>
            <a:ext cx="282575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0</xdr:colOff>
      <xdr:row>56</xdr:row>
      <xdr:rowOff>3361</xdr:rowOff>
    </xdr:from>
    <xdr:to>
      <xdr:col>7</xdr:col>
      <xdr:colOff>8140</xdr:colOff>
      <xdr:row>58</xdr:row>
      <xdr:rowOff>28575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92D70B85-49AD-7AC7-4777-5E5A435E7394}"/>
            </a:ext>
          </a:extLst>
        </xdr:cNvPr>
        <xdr:cNvSpPr/>
      </xdr:nvSpPr>
      <xdr:spPr>
        <a:xfrm>
          <a:off x="6496050" y="10928536"/>
          <a:ext cx="3313315" cy="406214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9525</xdr:colOff>
      <xdr:row>2</xdr:row>
      <xdr:rowOff>171450</xdr:rowOff>
    </xdr:from>
    <xdr:to>
      <xdr:col>10</xdr:col>
      <xdr:colOff>561975</xdr:colOff>
      <xdr:row>7</xdr:row>
      <xdr:rowOff>57150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7D30FC29-643C-DB2A-D4A3-15E69A2653E7}"/>
            </a:ext>
          </a:extLst>
        </xdr:cNvPr>
        <xdr:cNvCxnSpPr/>
      </xdr:nvCxnSpPr>
      <xdr:spPr>
        <a:xfrm flipH="1" flipV="1">
          <a:off x="9810750" y="704850"/>
          <a:ext cx="1600200" cy="942975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2</xdr:col>
      <xdr:colOff>19050</xdr:colOff>
      <xdr:row>14</xdr:row>
      <xdr:rowOff>0</xdr:rowOff>
    </xdr:from>
    <xdr:to>
      <xdr:col>7</xdr:col>
      <xdr:colOff>0</xdr:colOff>
      <xdr:row>64</xdr:row>
      <xdr:rowOff>165100</xdr:rowOff>
    </xdr:to>
    <xdr:sp macro="" textlink="">
      <xdr:nvSpPr>
        <xdr:cNvPr id="5" name="&quot;Not Allowed&quot; Symbol 4">
          <a:extLst>
            <a:ext uri="{FF2B5EF4-FFF2-40B4-BE49-F238E27FC236}">
              <a16:creationId xmlns:a16="http://schemas.microsoft.com/office/drawing/2014/main" id="{EF094A0C-037F-9ED0-46F3-37E0EB6F3830}"/>
            </a:ext>
          </a:extLst>
        </xdr:cNvPr>
        <xdr:cNvSpPr/>
      </xdr:nvSpPr>
      <xdr:spPr>
        <a:xfrm>
          <a:off x="457200" y="2924175"/>
          <a:ext cx="9344025" cy="9690100"/>
        </a:xfrm>
        <a:prstGeom prst="noSmoking">
          <a:avLst/>
        </a:prstGeom>
        <a:gradFill flip="none" rotWithShape="1">
          <a:gsLst>
            <a:gs pos="0">
              <a:schemeClr val="accent1">
                <a:lumMod val="75000"/>
                <a:alpha val="50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effectLst>
          <a:glow rad="127000">
            <a:schemeClr val="accent1">
              <a:satMod val="175000"/>
              <a:alpha val="22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0" dist="50800" dir="5400000" sy="-100000" algn="bl" rotWithShape="0"/>
          <a:softEdge rad="1143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cs-CZ" sz="3200">
            <a:solidFill>
              <a:schemeClr val="lt1"/>
            </a:solidFill>
            <a:effectLst>
              <a:outerShdw blurRad="50800" dist="38100" dir="2700000" algn="tl" rotWithShape="0">
                <a:srgbClr val="000000">
                  <a:alpha val="40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>
    <xdr:from>
      <xdr:col>7</xdr:col>
      <xdr:colOff>19050</xdr:colOff>
      <xdr:row>1</xdr:row>
      <xdr:rowOff>209550</xdr:rowOff>
    </xdr:from>
    <xdr:to>
      <xdr:col>10</xdr:col>
      <xdr:colOff>533400</xdr:colOff>
      <xdr:row>5</xdr:row>
      <xdr:rowOff>66675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5014B5A-0F5A-4CCC-8F45-2A399D6EC970}"/>
            </a:ext>
          </a:extLst>
        </xdr:cNvPr>
        <xdr:cNvCxnSpPr/>
      </xdr:nvCxnSpPr>
      <xdr:spPr>
        <a:xfrm flipH="1" flipV="1">
          <a:off x="9820275" y="476250"/>
          <a:ext cx="1562100" cy="800100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oneCell">
    <xdr:from>
      <xdr:col>4</xdr:col>
      <xdr:colOff>952500</xdr:colOff>
      <xdr:row>62</xdr:row>
      <xdr:rowOff>0</xdr:rowOff>
    </xdr:from>
    <xdr:to>
      <xdr:col>7</xdr:col>
      <xdr:colOff>28575</xdr:colOff>
      <xdr:row>75</xdr:row>
      <xdr:rowOff>142875</xdr:rowOff>
    </xdr:to>
    <xdr:pic>
      <xdr:nvPicPr>
        <xdr:cNvPr id="24" name="PaymentQR">
          <a:extLst>
            <a:ext uri="{FF2B5EF4-FFF2-40B4-BE49-F238E27FC236}">
              <a16:creationId xmlns:a16="http://schemas.microsoft.com/office/drawing/2014/main" id="{5CAA6210-FFCE-B2D5-C8DF-ACB3BA09B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12068175"/>
          <a:ext cx="2381250" cy="26193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66674</xdr:colOff>
      <xdr:row>1</xdr:row>
      <xdr:rowOff>52799</xdr:rowOff>
    </xdr:from>
    <xdr:to>
      <xdr:col>2</xdr:col>
      <xdr:colOff>804582</xdr:colOff>
      <xdr:row>3</xdr:row>
      <xdr:rowOff>156599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52E8FF52-38FA-4704-977A-038A4C4720C8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04824" y="319499"/>
          <a:ext cx="737908" cy="637200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67235</xdr:colOff>
      <xdr:row>81</xdr:row>
      <xdr:rowOff>78441</xdr:rowOff>
    </xdr:from>
    <xdr:to>
      <xdr:col>10</xdr:col>
      <xdr:colOff>560295</xdr:colOff>
      <xdr:row>83</xdr:row>
      <xdr:rowOff>145678</xdr:rowOff>
    </xdr:to>
    <xdr:cxnSp macro="">
      <xdr:nvCxnSpPr>
        <xdr:cNvPr id="3" name="Přímá spojnice se šipkou 2">
          <a:extLst>
            <a:ext uri="{FF2B5EF4-FFF2-40B4-BE49-F238E27FC236}">
              <a16:creationId xmlns:a16="http://schemas.microsoft.com/office/drawing/2014/main" id="{1411F2CC-585F-408E-B00D-60E8657F13B6}"/>
            </a:ext>
          </a:extLst>
        </xdr:cNvPr>
        <xdr:cNvCxnSpPr/>
      </xdr:nvCxnSpPr>
      <xdr:spPr>
        <a:xfrm flipH="1" flipV="1">
          <a:off x="10306610" y="15728016"/>
          <a:ext cx="1102660" cy="43871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549088</xdr:colOff>
      <xdr:row>25</xdr:row>
      <xdr:rowOff>0</xdr:rowOff>
    </xdr:from>
    <xdr:to>
      <xdr:col>12</xdr:col>
      <xdr:colOff>1461313</xdr:colOff>
      <xdr:row>28</xdr:row>
      <xdr:rowOff>148500</xdr:rowOff>
    </xdr:to>
    <xdr:sp macro="[0]!QRPlatbaZalohy" textlink="">
      <xdr:nvSpPr>
        <xdr:cNvPr id="4" name="Rectangle 3">
          <a:extLst>
            <a:ext uri="{FF2B5EF4-FFF2-40B4-BE49-F238E27FC236}">
              <a16:creationId xmlns:a16="http://schemas.microsoft.com/office/drawing/2014/main" id="{D3C3B830-2FFF-43E1-ABAB-D259204B8B62}"/>
            </a:ext>
          </a:extLst>
        </xdr:cNvPr>
        <xdr:cNvSpPr/>
      </xdr:nvSpPr>
      <xdr:spPr>
        <a:xfrm>
          <a:off x="11398063" y="5019675"/>
          <a:ext cx="2160000" cy="720000"/>
        </a:xfrm>
        <a:prstGeom prst="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effectLst>
          <a:glow rad="127000">
            <a:schemeClr val="accent1">
              <a:satMod val="175000"/>
              <a:alpha val="22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0" dist="50800" dir="5400000" sy="-100000" algn="bl" rotWithShape="0"/>
          <a:softEdge rad="1143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3200">
              <a:solidFill>
                <a:schemeClr val="lt1"/>
              </a:solidFill>
              <a:effectLst>
                <a:outerShdw blurRad="50800" dist="38100" dir="27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Tisk PDF</a:t>
          </a:r>
          <a:endParaRPr lang="en-US" sz="3200">
            <a:effectLst/>
          </a:endParaRPr>
        </a:p>
      </xdr:txBody>
    </xdr:sp>
    <xdr:clientData/>
  </xdr:twoCellAnchor>
  <xdr:twoCellAnchor editAs="oneCell">
    <xdr:from>
      <xdr:col>4</xdr:col>
      <xdr:colOff>522750</xdr:colOff>
      <xdr:row>59</xdr:row>
      <xdr:rowOff>190061</xdr:rowOff>
    </xdr:from>
    <xdr:to>
      <xdr:col>6</xdr:col>
      <xdr:colOff>541799</xdr:colOff>
      <xdr:row>66</xdr:row>
      <xdr:rowOff>163361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600EB3C-3879-4C8A-9EF0-57F76A9B7F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83014">
          <a:off x="7018800" y="11686736"/>
          <a:ext cx="2276474" cy="1306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263625</xdr:rowOff>
    </xdr:from>
    <xdr:to>
      <xdr:col>2</xdr:col>
      <xdr:colOff>640800</xdr:colOff>
      <xdr:row>3</xdr:row>
      <xdr:rowOff>161925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EA7B6B2D-C5E2-4462-BEDD-909EE426C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38150" y="263625"/>
          <a:ext cx="640800" cy="6984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0</xdr:colOff>
      <xdr:row>7</xdr:row>
      <xdr:rowOff>0</xdr:rowOff>
    </xdr:from>
    <xdr:to>
      <xdr:col>13</xdr:col>
      <xdr:colOff>26400</xdr:colOff>
      <xdr:row>10</xdr:row>
      <xdr:rowOff>148500</xdr:rowOff>
    </xdr:to>
    <xdr:sp macro="[0]!ResetVystaven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0F35AE-8BD1-AE78-C9F2-DC555ABC7B54}"/>
            </a:ext>
          </a:extLst>
        </xdr:cNvPr>
        <xdr:cNvSpPr/>
      </xdr:nvSpPr>
      <xdr:spPr>
        <a:xfrm>
          <a:off x="12153900" y="1571625"/>
          <a:ext cx="2160000" cy="720000"/>
        </a:xfrm>
        <a:prstGeom prst="round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effectLst>
          <a:glow rad="127000">
            <a:schemeClr val="accent1">
              <a:satMod val="175000"/>
              <a:alpha val="22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0" dist="50800" dir="5400000" sy="-100000" algn="bl" rotWithShape="0"/>
          <a:softEdge rad="1143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3200">
              <a:solidFill>
                <a:schemeClr val="lt1"/>
              </a:solidFill>
              <a:effectLst>
                <a:outerShdw blurRad="50800" dist="38100" dir="27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  <a:endParaRPr lang="en-US" sz="3200">
            <a:solidFill>
              <a:schemeClr val="lt1"/>
            </a:solidFill>
            <a:effectLst>
              <a:outerShdw blurRad="50800" dist="38100" dir="2700000" algn="tl" rotWithShape="0">
                <a:srgbClr val="000000">
                  <a:alpha val="40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0</xdr:colOff>
      <xdr:row>7</xdr:row>
      <xdr:rowOff>0</xdr:rowOff>
    </xdr:from>
    <xdr:to>
      <xdr:col>16</xdr:col>
      <xdr:colOff>26400</xdr:colOff>
      <xdr:row>10</xdr:row>
      <xdr:rowOff>148500</xdr:rowOff>
    </xdr:to>
    <xdr:sp macro="[0]!ResetVystavene_Keep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D23C8B4-1F02-4276-9C50-BED90C8CD5A1}"/>
            </a:ext>
          </a:extLst>
        </xdr:cNvPr>
        <xdr:cNvSpPr/>
      </xdr:nvSpPr>
      <xdr:spPr>
        <a:xfrm>
          <a:off x="15354300" y="1571625"/>
          <a:ext cx="2160000" cy="720000"/>
        </a:xfrm>
        <a:prstGeom prst="roundRect">
          <a:avLst/>
        </a:prstGeom>
        <a:gradFill flip="none" rotWithShape="1">
          <a:gsLst>
            <a:gs pos="0">
              <a:schemeClr val="accent1">
                <a:lumMod val="7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effectLst>
          <a:glow rad="127000">
            <a:schemeClr val="accent1">
              <a:satMod val="175000"/>
              <a:alpha val="22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0" dist="50800" dir="5400000" sy="-100000" algn="bl" rotWithShape="0"/>
          <a:softEdge rad="1143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3200">
              <a:solidFill>
                <a:schemeClr val="lt1"/>
              </a:solidFill>
              <a:effectLst>
                <a:outerShdw blurRad="50800" dist="38100" dir="2700000" algn="tl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Reset 2</a:t>
          </a:r>
          <a:endParaRPr lang="en-US" sz="3200">
            <a:solidFill>
              <a:schemeClr val="lt1"/>
            </a:solidFill>
            <a:effectLst>
              <a:outerShdw blurRad="50800" dist="38100" dir="2700000" algn="tl" rotWithShape="0">
                <a:srgbClr val="000000">
                  <a:alpha val="40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13</xdr:row>
          <xdr:rowOff>1588</xdr:rowOff>
        </xdr:from>
        <xdr:to>
          <xdr:col>7</xdr:col>
          <xdr:colOff>555625</xdr:colOff>
          <xdr:row>13</xdr:row>
          <xdr:rowOff>166688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78A3F1FF-B31F-4BF4-0D58-E8920DF455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14</xdr:row>
          <xdr:rowOff>1588</xdr:rowOff>
        </xdr:from>
        <xdr:to>
          <xdr:col>7</xdr:col>
          <xdr:colOff>555625</xdr:colOff>
          <xdr:row>14</xdr:row>
          <xdr:rowOff>166688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5325C8E3-16F6-7116-563E-908C8286C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15</xdr:row>
          <xdr:rowOff>1588</xdr:rowOff>
        </xdr:from>
        <xdr:to>
          <xdr:col>7</xdr:col>
          <xdr:colOff>555625</xdr:colOff>
          <xdr:row>15</xdr:row>
          <xdr:rowOff>166688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BF5AB879-F425-34B3-9AC2-2611EAA65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2</xdr:row>
      <xdr:rowOff>0</xdr:rowOff>
    </xdr:from>
    <xdr:to>
      <xdr:col>19</xdr:col>
      <xdr:colOff>486183</xdr:colOff>
      <xdr:row>17</xdr:row>
      <xdr:rowOff>76609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8C9585B-AADA-42D4-D3EE-4DCAB149A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3175" y="381000"/>
          <a:ext cx="2924583" cy="2934109"/>
        </a:xfrm>
        <a:prstGeom prst="rect">
          <a:avLst/>
        </a:prstGeom>
      </xdr:spPr>
    </xdr:pic>
    <xdr:clientData/>
  </xdr:twoCellAnchor>
  <xdr:twoCellAnchor editAs="oneCell">
    <xdr:from>
      <xdr:col>3</xdr:col>
      <xdr:colOff>140551</xdr:colOff>
      <xdr:row>4</xdr:row>
      <xdr:rowOff>9526</xdr:rowOff>
    </xdr:from>
    <xdr:to>
      <xdr:col>13</xdr:col>
      <xdr:colOff>340109</xdr:colOff>
      <xdr:row>39</xdr:row>
      <xdr:rowOff>28576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D84BBD-3462-0310-70C0-40C204828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826976" y="771526"/>
          <a:ext cx="7267108" cy="8782050"/>
        </a:xfrm>
        <a:prstGeom prst="rect">
          <a:avLst/>
        </a:prstGeom>
        <a:ln w="12700">
          <a:solidFill>
            <a:srgbClr val="FF6699"/>
          </a:solidFill>
        </a:ln>
      </xdr:spPr>
    </xdr:pic>
    <xdr:clientData/>
  </xdr:twoCellAnchor>
  <xdr:twoCellAnchor>
    <xdr:from>
      <xdr:col>1</xdr:col>
      <xdr:colOff>609600</xdr:colOff>
      <xdr:row>6</xdr:row>
      <xdr:rowOff>95250</xdr:rowOff>
    </xdr:from>
    <xdr:to>
      <xdr:col>3</xdr:col>
      <xdr:colOff>209550</xdr:colOff>
      <xdr:row>7</xdr:row>
      <xdr:rowOff>28575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C75AD99F-7CF8-C2E3-C835-A3FD2693E6E1}"/>
            </a:ext>
          </a:extLst>
        </xdr:cNvPr>
        <xdr:cNvCxnSpPr/>
      </xdr:nvCxnSpPr>
      <xdr:spPr>
        <a:xfrm flipH="1" flipV="1">
          <a:off x="1876425" y="1238250"/>
          <a:ext cx="4019550" cy="123825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619125</xdr:colOff>
      <xdr:row>7</xdr:row>
      <xdr:rowOff>114300</xdr:rowOff>
    </xdr:from>
    <xdr:to>
      <xdr:col>3</xdr:col>
      <xdr:colOff>219075</xdr:colOff>
      <xdr:row>23</xdr:row>
      <xdr:rowOff>180975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56BB5F61-FCFA-E75E-20D8-2E255574E091}"/>
            </a:ext>
          </a:extLst>
        </xdr:cNvPr>
        <xdr:cNvCxnSpPr/>
      </xdr:nvCxnSpPr>
      <xdr:spPr>
        <a:xfrm flipH="1" flipV="1">
          <a:off x="1885950" y="1447800"/>
          <a:ext cx="4019550" cy="3114675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>
    <xdr:from>
      <xdr:col>1</xdr:col>
      <xdr:colOff>457200</xdr:colOff>
      <xdr:row>8</xdr:row>
      <xdr:rowOff>123825</xdr:rowOff>
    </xdr:from>
    <xdr:to>
      <xdr:col>3</xdr:col>
      <xdr:colOff>333375</xdr:colOff>
      <xdr:row>25</xdr:row>
      <xdr:rowOff>2152650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DC62676-BC59-2C97-61C3-FC7411726BC3}"/>
            </a:ext>
          </a:extLst>
        </xdr:cNvPr>
        <xdr:cNvCxnSpPr/>
      </xdr:nvCxnSpPr>
      <xdr:spPr>
        <a:xfrm flipH="1" flipV="1">
          <a:off x="1724025" y="1647825"/>
          <a:ext cx="4295775" cy="5267325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 fPrintsWithSheet="0"/>
  </xdr:twoCellAnchor>
  <xdr:twoCellAnchor editAs="oneCell">
    <xdr:from>
      <xdr:col>18</xdr:col>
      <xdr:colOff>0</xdr:colOff>
      <xdr:row>9</xdr:row>
      <xdr:rowOff>0</xdr:rowOff>
    </xdr:from>
    <xdr:to>
      <xdr:col>18</xdr:col>
      <xdr:colOff>304800</xdr:colOff>
      <xdr:row>10</xdr:row>
      <xdr:rowOff>114300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1F5D913A-11F3-0B75-604E-0BE38DCE0BA8}"/>
            </a:ext>
          </a:extLst>
        </xdr:cNvPr>
        <xdr:cNvSpPr>
          <a:spLocks noChangeAspect="1" noChangeArrowheads="1"/>
        </xdr:cNvSpPr>
      </xdr:nvSpPr>
      <xdr:spPr bwMode="auto">
        <a:xfrm>
          <a:off x="15801975" y="171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514350</xdr:colOff>
      <xdr:row>15</xdr:row>
      <xdr:rowOff>38100</xdr:rowOff>
    </xdr:from>
    <xdr:to>
      <xdr:col>15</xdr:col>
      <xdr:colOff>123825</xdr:colOff>
      <xdr:row>25</xdr:row>
      <xdr:rowOff>1685925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2D0277B6-7EB1-A777-B67A-6E7CE58DC602}"/>
            </a:ext>
          </a:extLst>
        </xdr:cNvPr>
        <xdr:cNvCxnSpPr/>
      </xdr:nvCxnSpPr>
      <xdr:spPr>
        <a:xfrm flipV="1">
          <a:off x="10829925" y="2895600"/>
          <a:ext cx="3267075" cy="3552825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323850</xdr:colOff>
      <xdr:row>11</xdr:row>
      <xdr:rowOff>28575</xdr:rowOff>
    </xdr:from>
    <xdr:to>
      <xdr:col>15</xdr:col>
      <xdr:colOff>57150</xdr:colOff>
      <xdr:row>19</xdr:row>
      <xdr:rowOff>123825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C0CDED8-761F-A7BD-1600-10E339436E28}"/>
            </a:ext>
          </a:extLst>
        </xdr:cNvPr>
        <xdr:cNvCxnSpPr/>
      </xdr:nvCxnSpPr>
      <xdr:spPr>
        <a:xfrm flipV="1">
          <a:off x="11249025" y="2124075"/>
          <a:ext cx="2781300" cy="1619250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85725</xdr:colOff>
      <xdr:row>15</xdr:row>
      <xdr:rowOff>95250</xdr:rowOff>
    </xdr:from>
    <xdr:to>
      <xdr:col>15</xdr:col>
      <xdr:colOff>400050</xdr:colOff>
      <xdr:row>35</xdr:row>
      <xdr:rowOff>9525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F1C7EDC8-3E1F-B9D5-9BB7-2F5BEDA1F87F}"/>
            </a:ext>
          </a:extLst>
        </xdr:cNvPr>
        <xdr:cNvCxnSpPr/>
      </xdr:nvCxnSpPr>
      <xdr:spPr>
        <a:xfrm flipV="1">
          <a:off x="12230100" y="2952750"/>
          <a:ext cx="2143125" cy="5819775"/>
        </a:xfrm>
        <a:prstGeom prst="straightConnector1">
          <a:avLst/>
        </a:prstGeom>
        <a:ln w="28575">
          <a:solidFill>
            <a:srgbClr val="FF669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12D80B-6CC2-4610-8514-A5046DA118AD}" name="VynalozeneNaklady" displayName="VynalozeneNaklady" ref="C46:G52" totalsRowShown="0" headerRowDxfId="111" dataDxfId="110" tableBorderDxfId="109">
  <autoFilter ref="C46:G52" xr:uid="{942EB7BC-32C6-4C0C-8DD3-76FB2AF3F5E8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47:G52">
    <sortCondition ref="C50:C52"/>
  </sortState>
  <tableColumns count="5">
    <tableColumn id="1" xr3:uid="{D7E1FFBC-879E-48BD-A8BC-DA51461E704E}" name="Účelně vynaložené náklady k proplacení" dataDxfId="108"/>
    <tableColumn id="2" xr3:uid="{93567A42-5913-4103-983D-48C699FAC688}" name="MJ" dataDxfId="107"/>
    <tableColumn id="3" xr3:uid="{1AABAF5E-0D13-4C00-8BA0-49463A2D73B4}" name="Jednotek" dataDxfId="106"/>
    <tableColumn id="4" xr3:uid="{42867D44-8522-43D3-9B0D-8D3AC8071CB9}" name="Cena/MJ" dataDxfId="105"/>
    <tableColumn id="5" xr3:uid="{3AC411AF-7B22-4EA4-8AB4-B21871632F0F}" name="Cena" dataDxfId="104">
      <calculatedColumnFormula>IF(AND((C47&lt;&gt;""),(D47&lt;&gt;""),(E47&lt;&gt;""),(F47&lt;&gt;"")),(E47*F47),"")</calculatedColumnFormula>
    </tableColumn>
  </tableColumns>
  <tableStyleInfo name="20250823 cerveny styl tabulky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FEAAEB-77CD-4A64-9CCB-31A0C1805AE2}" name="Cinnosti" displayName="Cinnosti" ref="C19:G42" totalsRowShown="0" headerRowDxfId="103" dataDxfId="102" tableBorderDxfId="101">
  <autoFilter ref="C19:G42" xr:uid="{BB94902E-12DA-41EA-8E46-1BBB5E6AD451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20:G42">
    <sortCondition ref="C20:C42"/>
  </sortState>
  <tableColumns count="5">
    <tableColumn id="1" xr3:uid="{08490F59-1BCB-40C9-B9F0-4248D616CFAE}" name="Činnost" dataDxfId="100"/>
    <tableColumn id="2" xr3:uid="{5B89D857-C2A2-4F65-B3F8-9F2D1DE39090}" name="MJ" dataDxfId="99"/>
    <tableColumn id="3" xr3:uid="{9AAF7FCD-C560-4CA0-A8D9-E1A061F3C118}" name="Jednotek" dataDxfId="98"/>
    <tableColumn id="4" xr3:uid="{58B1B8AA-2FB9-4700-8B5D-EECBFBB10503}" name="Cena/MJ" dataDxfId="97"/>
    <tableColumn id="5" xr3:uid="{08F1BEEC-B0B3-41CD-8370-B04B2EDAEDBF}" name="Cena" dataDxfId="96">
      <calculatedColumnFormula>IF(AND((C20&lt;&gt;""),(D20&lt;&gt;""),(E20&lt;&gt;""),(F20&lt;&gt;"")),(E20*F20),"")</calculatedColumnFormula>
    </tableColumn>
  </tableColumns>
  <tableStyleInfo name="20250823 cerveny styl tabulky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D60C757-CCA9-438E-9153-269AD4120F5B}" name="Lokalita" displayName="Lokalita" ref="C15:G16" totalsRowShown="0" headerRowDxfId="95" dataDxfId="94" tableBorderDxfId="93">
  <autoFilter ref="C15:G16" xr:uid="{7AFF13DE-B7FF-4CD5-BE86-88D32D65645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3CF8650-9145-40E9-B5E9-B1CC1EE8B470}" name="Místo" dataDxfId="92">
      <calculatedColumnFormula>_xlfn.XLOOKUP(Nabídka!$Q$5,Klienti!$A$2:$A$100,Klienti!$K$2:$K$100,"",0,1)</calculatedColumnFormula>
    </tableColumn>
    <tableColumn id="2" xr3:uid="{054364DC-E0C5-4BDA-85C8-7185396FFC20}" name="Column1" dataDxfId="91"/>
    <tableColumn id="3" xr3:uid="{D84BF79B-09A1-414D-9498-4DC33518A947}" name="Období plnění" dataDxfId="90">
      <calculatedColumnFormula>IF(Nabídka!$L$15="Tento měsíc",TEXT(EDATE(TODAY(),0),"[$-cs-CZ]mmmm rrrr"),TEXT(EDATE(TODAY(),-1),"[$-cs-CZ]mmmm rrrr"))</calculatedColumnFormula>
    </tableColumn>
    <tableColumn id="4" xr3:uid="{24217FB8-72E8-4378-82FF-F38F29E778F3}" name="Column2" dataDxfId="89"/>
    <tableColumn id="5" xr3:uid="{17EDAA86-B6F8-4A02-9168-F04070C9A431}" name="Počet hodin" dataDxfId="88">
      <calculatedColumnFormula>IF(Nabídka!L16=1,Nabídka!L16&amp;" hodina",IF(AND(Nabídka!L16&gt;1,Nabídka!L16&lt;5),Nabídka!L16&amp;" hodiny",Nabídka!L16&amp;" hodin"))</calculatedColumnFormula>
    </tableColumn>
  </tableColumns>
  <tableStyleInfo name="20250823 cerveny styl bez vnitrniho oramovani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04651C-CC52-44CA-AA99-03BD1D98CCBB}" name="CelkovaCena" displayName="CelkovaCena" ref="F56:G59" headerRowCount="0" totalsRowShown="0" headerRowDxfId="87" dataDxfId="86">
  <tableColumns count="2">
    <tableColumn id="1" xr3:uid="{CDC31601-BE8F-43F5-BF50-EC126EFA5C28}" name="Sloupec1" headerRowDxfId="85" dataDxfId="84"/>
    <tableColumn id="2" xr3:uid="{29B377D8-EB1D-47CF-9F2D-6290F1B57160}" name="Sloupec2" headerRowDxfId="83" dataDxfId="8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3807A5-E4F5-40A8-95C7-C6AFA40CFE34}" name="ZalohovaFakturaNaklady" displayName="ZalohovaFakturaNaklady" ref="C46:G52" totalsRowShown="0" headerRowDxfId="81" dataDxfId="80" tableBorderDxfId="79">
  <autoFilter ref="C46:G52" xr:uid="{942EB7BC-32C6-4C0C-8DD3-76FB2AF3F5E8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47:G52">
    <sortCondition ref="C50:C52"/>
  </sortState>
  <tableColumns count="5">
    <tableColumn id="1" xr3:uid="{68BD3E4C-C4B7-4C1C-A8FE-F27A42FBDA95}" name="Účelně vynaložené náklady k proplacení" dataDxfId="78">
      <calculatedColumnFormula>IF(Nabídka!C47&lt;&gt;"",Nabídka!C47,"")</calculatedColumnFormula>
    </tableColumn>
    <tableColumn id="2" xr3:uid="{EA7D269E-060C-4009-B91A-9544425DD986}" name="MJ" dataDxfId="77">
      <calculatedColumnFormula>IF(Nabídka!D47&lt;&gt;"",Nabídka!D47,"")</calculatedColumnFormula>
    </tableColumn>
    <tableColumn id="3" xr3:uid="{F0DC9367-F29A-456A-AC48-5233D63F2C89}" name="Jednotek" dataDxfId="76">
      <calculatedColumnFormula>IF(Nabídka!E47&lt;&gt;"",Nabídka!E47,"")</calculatedColumnFormula>
    </tableColumn>
    <tableColumn id="4" xr3:uid="{DE38E32D-8C2B-4F06-A4BF-28C12F659566}" name="Cena/MJ" dataDxfId="75">
      <calculatedColumnFormula>IF(Nabídka!F47&lt;&gt;"",Nabídka!F47,"")</calculatedColumnFormula>
    </tableColumn>
    <tableColumn id="5" xr3:uid="{3DF307D2-0F63-4331-AEBD-4DBF49CC880A}" name="Cena" dataDxfId="74">
      <calculatedColumnFormula>IF(AND((Nabídka!C47&lt;&gt;""),(Nabídka!D47&lt;&gt;""),(Nabídka!E47&lt;&gt;""),(Nabídka!F47&lt;&gt;"")),(Nabídka!E47*Nabídka!F47),"")</calculatedColumnFormula>
    </tableColumn>
  </tableColumns>
  <tableStyleInfo name="20250823 cerveny styl tabulky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235D5AB-E2AF-4FA3-B582-2AA304169A4E}" name="ZalohovaFakturaCinnosti" displayName="ZalohovaFakturaCinnosti" ref="C19:G42" totalsRowShown="0" headerRowDxfId="73" dataDxfId="72" tableBorderDxfId="71">
  <autoFilter ref="C19:G42" xr:uid="{BB94902E-12DA-41EA-8E46-1BBB5E6AD451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20:G39">
    <sortCondition ref="C37:C39"/>
  </sortState>
  <tableColumns count="5">
    <tableColumn id="1" xr3:uid="{26C0E584-ECDF-4E24-96E3-BD834F82221F}" name="Činnost" dataDxfId="70">
      <calculatedColumnFormula>IF(Nabídka!C20&lt;&gt;"",Nabídka!C20,"")</calculatedColumnFormula>
    </tableColumn>
    <tableColumn id="2" xr3:uid="{947C0A13-FFB1-456E-89ED-704A9523BD37}" name="MJ" dataDxfId="69">
      <calculatedColumnFormula>IF(Nabídka!D20&lt;&gt;"",Nabídka!D20,"")</calculatedColumnFormula>
    </tableColumn>
    <tableColumn id="3" xr3:uid="{8D6C3B25-0E95-4F35-A79A-DE73A2973AE1}" name="Jednotek" dataDxfId="68">
      <calculatedColumnFormula>IF(Nabídka!E20&lt;&gt;"",Nabídka!E20,"")</calculatedColumnFormula>
    </tableColumn>
    <tableColumn id="4" xr3:uid="{DD1802B0-7DA8-4BB3-BC1B-8E62F80A0C80}" name="Cena/MJ" dataDxfId="67">
      <calculatedColumnFormula>IF(Nabídka!F20&lt;&gt;"",Nabídka!F20,"")</calculatedColumnFormula>
    </tableColumn>
    <tableColumn id="5" xr3:uid="{61863281-1946-481D-875D-09A5A0C3741F}" name="Cena" dataDxfId="66">
      <calculatedColumnFormula>IF(AND((Nabídka!C20&lt;&gt;""),(Nabídka!D20&lt;&gt;""),(Nabídka!E20&lt;&gt;""),(Nabídka!F20&lt;&gt;"")),(Nabídka!E20*Nabídka!F20),"")</calculatedColumnFormula>
    </tableColumn>
  </tableColumns>
  <tableStyleInfo name="20250823 cerveny styl tabulky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731D0D2-88FA-4D3D-87FF-1714C3A4A50A}" name="ZalohovaFakturaLokalita" displayName="ZalohovaFakturaLokalita" ref="C15:G16" totalsRowShown="0" headerRowDxfId="65" dataDxfId="64" tableBorderDxfId="63">
  <autoFilter ref="C15:G16" xr:uid="{7AFF13DE-B7FF-4CD5-BE86-88D32D65645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B13F574-B63A-4007-8693-860E95588EAC}" name="Místo" dataDxfId="62">
      <calculatedColumnFormula>Nabídka!C16</calculatedColumnFormula>
    </tableColumn>
    <tableColumn id="2" xr3:uid="{E1E5383A-D348-4373-AAB6-F2A6C7B7DD8F}" name="Column2" dataDxfId="61"/>
    <tableColumn id="3" xr3:uid="{A2F0259E-67B2-4CDB-B110-A4512FDA65CF}" name="Období plnění" dataDxfId="60">
      <calculatedColumnFormula>Lokalita[[#This Row],[Období plnění]]</calculatedColumnFormula>
    </tableColumn>
    <tableColumn id="4" xr3:uid="{D8934716-F7DA-4A8B-8237-DE0A68B84DE9}" name="Column1" dataDxfId="59"/>
    <tableColumn id="5" xr3:uid="{E4D92F59-895A-4DEA-9F97-628D9BE19304}" name="Počet hodin" dataDxfId="58">
      <calculatedColumnFormula>IF(Nabídka!L16=1,Nabídka!L16&amp;" hodina",IF(AND(Nabídka!L16&gt;1,Nabídka!L16&lt;5),Nabídka!L16&amp;" hodiny",Nabídka!L16&amp;" hodin"))</calculatedColumnFormula>
    </tableColumn>
  </tableColumns>
  <tableStyleInfo name="20250823 cerveny styl bez vnitrniho oramovani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ACAD99E-0585-48EB-B46B-CDE1E2A7F479}" name="ZalohovaFakturaCelkovaCena" displayName="ZalohovaFakturaCelkovaCena" ref="F56:G57" headerRowCount="0" totalsRowShown="0" headerRowDxfId="57" dataDxfId="56">
  <tableColumns count="2">
    <tableColumn id="1" xr3:uid="{C710DF63-5200-4A17-87C2-E3466BCCC5B0}" name="Sloupec1" headerRowDxfId="55" dataDxfId="54">
      <calculatedColumnFormula>Nabídka!F55</calculatedColumnFormula>
    </tableColumn>
    <tableColumn id="2" xr3:uid="{9C583366-B17E-48A5-A9A3-52C3EFE2085F}" name="Sloupec2" headerRowDxfId="53" dataDxfId="52">
      <calculatedColumnFormula>Nabídka!G55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B06838-D093-45E4-BA18-7029F136E307}" name="FakturaNaklady" displayName="FakturaNaklady" ref="C46:G52" totalsRowShown="0" headerRowDxfId="51" dataDxfId="50" tableBorderDxfId="49">
  <autoFilter ref="C46:G52" xr:uid="{942EB7BC-32C6-4C0C-8DD3-76FB2AF3F5E8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47:G52">
    <sortCondition ref="C50:C52"/>
  </sortState>
  <tableColumns count="5">
    <tableColumn id="1" xr3:uid="{96DBDA59-3FA1-41B6-8A99-CF9EF1EB9975}" name="Účelně vynaložené náklady k proplacení" dataDxfId="48">
      <calculatedColumnFormula>IF(Nabídka!C47&lt;&gt;"",Nabídka!C47,"")</calculatedColumnFormula>
    </tableColumn>
    <tableColumn id="2" xr3:uid="{91028760-9E63-4723-A7FD-99E049E9A7C7}" name="MJ" dataDxfId="47">
      <calculatedColumnFormula>Nabídka!D47</calculatedColumnFormula>
    </tableColumn>
    <tableColumn id="3" xr3:uid="{8F1EA90C-EB6E-48FE-BCA8-0E467828D362}" name="Jednotek" dataDxfId="46">
      <calculatedColumnFormula>IF(Nabídka!E47&lt;&gt;"",Nabídka!E47,"")</calculatedColumnFormula>
    </tableColumn>
    <tableColumn id="4" xr3:uid="{9D26A95B-C0E8-48AF-93BF-3699723F1C2B}" name="Cena/MJ" dataDxfId="45">
      <calculatedColumnFormula>IF(Nabídka!F47&lt;&gt;"",Nabídka!F47,"")</calculatedColumnFormula>
    </tableColumn>
    <tableColumn id="5" xr3:uid="{41197C6D-E92E-4D61-9BCB-5516FB0CD86D}" name="Cena" dataDxfId="44">
      <calculatedColumnFormula>IF(AND((Nabídka!C47&lt;&gt;""),(Nabídka!D47&lt;&gt;""),(Nabídka!E47&lt;&gt;""),(Nabídka!F47&lt;&gt;"")),(Nabídka!E47*Nabídka!F47),"")</calculatedColumnFormula>
    </tableColumn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C170B63-44F4-4A92-8CB6-FADC7BF9E64F}" name="FakturaCinnosti" displayName="FakturaCinnosti" ref="C19:G42" totalsRowShown="0" headerRowDxfId="43" dataDxfId="42" tableBorderDxfId="41">
  <autoFilter ref="C19:G42" xr:uid="{BB94902E-12DA-41EA-8E46-1BBB5E6AD451}">
    <filterColumn colId="0" hiddenButton="1"/>
    <filterColumn colId="1" hiddenButton="1"/>
    <filterColumn colId="2" hiddenButton="1"/>
    <filterColumn colId="3" hiddenButton="1"/>
    <filterColumn colId="4" hiddenButton="1"/>
  </autoFilter>
  <sortState xmlns:xlrd2="http://schemas.microsoft.com/office/spreadsheetml/2017/richdata2" ref="C20:G39">
    <sortCondition ref="C37:C39"/>
  </sortState>
  <tableColumns count="5">
    <tableColumn id="1" xr3:uid="{99D46102-1CEE-46C7-A593-B9298A846FE7}" name="Činnost" dataDxfId="40">
      <calculatedColumnFormula>IF(Nabídka!C20&lt;&gt;"",Nabídka!C20,"")</calculatedColumnFormula>
    </tableColumn>
    <tableColumn id="2" xr3:uid="{8B7F672E-8579-496D-930E-876F9D0EF741}" name="MJ" dataDxfId="39">
      <calculatedColumnFormula>IF(Nabídka!D20&lt;&gt;"",Nabídka!D20,"")</calculatedColumnFormula>
    </tableColumn>
    <tableColumn id="3" xr3:uid="{AD9764FA-B317-441F-BCA5-D95CEA276E09}" name="Jednotek" dataDxfId="38">
      <calculatedColumnFormula>IF(Nabídka!E20&lt;&gt;"",Nabídka!E20,"")</calculatedColumnFormula>
    </tableColumn>
    <tableColumn id="4" xr3:uid="{732CB041-B89C-493C-9950-48702770C8D7}" name="Cena/MJ" dataDxfId="37">
      <calculatedColumnFormula>IF(Nabídka!F20&lt;&gt;"",Nabídka!F20,"")</calculatedColumnFormula>
    </tableColumn>
    <tableColumn id="5" xr3:uid="{6567BF52-42A7-45A7-A1CB-A9ED2561DCFE}" name="Cena" dataDxfId="36">
      <calculatedColumnFormula>IF(AND((Nabídka!C20&lt;&gt;""),(Nabídka!D20&lt;&gt;""),(Nabídka!E20&lt;&gt;""),(Nabídka!F20&lt;&gt;"")),(Nabídka!E20*Nabídka!F20),"")</calculatedColumnFormula>
    </tableColumn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CD2AD5-174B-4490-844C-7930FC50A4AF}" name="FakturaLokalita" displayName="FakturaLokalita" ref="C15:E16" totalsRowShown="0" headerRowDxfId="35" dataDxfId="34" tableBorderDxfId="33">
  <autoFilter ref="C15:E16" xr:uid="{7AFF13DE-B7FF-4CD5-BE86-88D32D656455}">
    <filterColumn colId="0" hiddenButton="1"/>
    <filterColumn colId="1" hiddenButton="1"/>
    <filterColumn colId="2" hiddenButton="1"/>
  </autoFilter>
  <tableColumns count="3">
    <tableColumn id="1" xr3:uid="{3C370905-273D-492F-A404-232FEC4A5ED7}" name="Místo" dataDxfId="32">
      <calculatedColumnFormula>Nabídka!C16</calculatedColumnFormula>
    </tableColumn>
    <tableColumn id="2" xr3:uid="{3001C2C5-D289-44CD-8F38-2C4DEFEC243F}" name="Datum" dataDxfId="31">
      <calculatedColumnFormula>Nabídka!G3</calculatedColumnFormula>
    </tableColumn>
    <tableColumn id="3" xr3:uid="{C2944152-FD76-40F7-8E88-0F4D38138988}" name="Časový fond" dataDxfId="30">
      <calculatedColumnFormula>IF(Nabídka!L16=1,Nabídka!L16&amp;" hodina",IF(AND(Nabídka!L16&gt;1,Nabídka!L16&lt;5),Nabídka!L16&amp;" hodiny",Nabídka!L16&amp;" hodin"))</calculatedColumnFormula>
    </tableColumn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68BDA6-AC54-4CE2-85D3-B00A11A896A7}" name="FakturaCelkovaCena" displayName="FakturaCelkovaCena" ref="F56:G57" headerRowCount="0" totalsRowShown="0" headerRowDxfId="29" dataDxfId="28">
  <tableColumns count="2">
    <tableColumn id="1" xr3:uid="{CDBF97CB-2714-4019-B3A3-68AA93B61809}" name="Sloupec1" headerRowDxfId="27" dataDxfId="26"/>
    <tableColumn id="2" xr3:uid="{B63C8BF0-DEE0-4120-9B6D-7B3F85C336BD}" name="Sloupec2" headerRowDxfId="25" dataDxfId="24">
      <calculatedColumnFormula>Nabídka!G55</calculatedColumnFormula>
    </tableColumn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0FD23C5-FA2C-4158-8334-F86508C8D5E5}" name="Vystavene" displayName="Vystavene" ref="C13:H16" insertRowShift="1" totalsRowShown="0" dataDxfId="6">
  <autoFilter ref="C13:H16" xr:uid="{D0FD23C5-FA2C-4158-8334-F86508C8D5E5}"/>
  <tableColumns count="6">
    <tableColumn id="1" xr3:uid="{B8EA31E8-B166-483B-9E06-834B1CCF4DF7}" name="Odběratel" dataDxfId="3"/>
    <tableColumn id="2" xr3:uid="{492DE319-4D3B-421A-B5A4-BF867E1BBC02}" name="Číslo faktury" dataDxfId="4"/>
    <tableColumn id="3" xr3:uid="{E2BC5E98-54FF-47EF-A090-2E3E63C26F3E}" name="Celkem s DPH" dataDxfId="5"/>
    <tableColumn id="4" xr3:uid="{5ACC64C0-D26C-41F3-84D8-8C34332FA388}" name="Celkem bez DPH" dataDxfId="2"/>
    <tableColumn id="5" xr3:uid="{286D6E92-47DB-4DCA-B97A-7190DADCA235}" name="Datum faktury" dataDxfId="0"/>
    <tableColumn id="6" xr3:uid="{16ACCE18-DC9E-4353-B676-7FDAE3B1DA95}" name="Uhrazeno" dataDxfId="1"/>
  </tableColumns>
  <tableStyleInfo name="20250823 cerveny styl tabulky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075546-134C-4880-9019-11647A27A0E5}" name="Klienti" displayName="Klienti" ref="A1:K5" totalsRowShown="0" headerRowDxfId="23" dataDxfId="22">
  <sortState xmlns:xlrd2="http://schemas.microsoft.com/office/spreadsheetml/2017/richdata2" ref="A2:K5">
    <sortCondition ref="A2:A5"/>
  </sortState>
  <tableColumns count="11">
    <tableColumn id="1" xr3:uid="{917961AC-110A-47B2-BADA-7AD955CDEF0D}" name="Firma" dataDxfId="21"/>
    <tableColumn id="2" xr3:uid="{CDD84698-6097-4A28-B5DE-F1BE5685741D}" name="Jednající" dataDxfId="20"/>
    <tableColumn id="3" xr3:uid="{EC1107AC-B6C8-4DBF-BEC4-9E5EA6398977}" name="Adresa" dataDxfId="19"/>
    <tableColumn id="4" xr3:uid="{25720DE7-F5E5-4092-BC97-BBA404F59747}" name="PSČ" dataDxfId="18">
      <calculatedColumnFormula>"140 00"</calculatedColumnFormula>
    </tableColumn>
    <tableColumn id="5" xr3:uid="{E85B0AE6-1210-4F98-8AEE-D27A56B79A63}" name="Země" dataDxfId="17"/>
    <tableColumn id="6" xr3:uid="{D4D2720E-F930-409B-9833-4C0D701FDFEB}" name="Telefon" dataDxfId="16">
      <calculatedColumnFormula>"+420 725 960 560"</calculatedColumnFormula>
    </tableColumn>
    <tableColumn id="7" xr3:uid="{539D8B19-5C94-4375-A447-195092746FE6}" name="e-mail" dataDxfId="15"/>
    <tableColumn id="8" xr3:uid="{DFF937CC-FF92-44C1-A47A-ED655DDE2AF5}" name="web" dataDxfId="14"/>
    <tableColumn id="9" xr3:uid="{F80862DD-929C-411D-9DD3-F8CEC9E413BE}" name="IČO" dataDxfId="13"/>
    <tableColumn id="10" xr3:uid="{555FDD17-9C32-4324-9E3D-85F2C507E86C}" name="Projekt" dataDxfId="12"/>
    <tableColumn id="11" xr3:uid="{3AFBA21C-1C75-431E-8F78-05083B3F5A37}" name="Lokalita" dataDxfId="11"/>
  </tableColumns>
  <tableStyleInfo name="20250823 cerveny styl tabulky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D88DF2F-A831-49C5-9813-4215E92AE542}" name="QRKonfigurace" displayName="QRKonfigurace" comment="Definice proměnných pro vytvoření QR kódu pro platby" ref="A1:C33" totalsRowShown="0" dataDxfId="10">
  <autoFilter ref="A1:C33" xr:uid="{6D88DF2F-A831-49C5-9813-4215E92AE542}">
    <filterColumn colId="0" hiddenButton="1"/>
    <filterColumn colId="1" hiddenButton="1"/>
    <filterColumn colId="2" hiddenButton="1"/>
  </autoFilter>
  <tableColumns count="3">
    <tableColumn id="1" xr3:uid="{6D61AC97-75B4-4DC0-A41B-382F7008EAB7}" name="Key" dataDxfId="9"/>
    <tableColumn id="2" xr3:uid="{C21C5860-A50F-4B1E-AB2C-2AF09DAC67BF}" name="Value" dataDxfId="8"/>
    <tableColumn id="3" xr3:uid="{D4E03366-32E0-4895-871A-0EFD84E1B450}" name="OfferVS" dataDxfId="7"/>
  </tableColumns>
  <tableStyleInfo name="20250823 cerveny styl tabulky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C7FADE7-FD43-4325-B021-411DBA63C26C}" name="QRBunky" displayName="QRBunky" comment="Seznam buněk pro jednotlivé listy" ref="D1:E3" totalsRowShown="0">
  <autoFilter ref="D1:E3" xr:uid="{4C7FADE7-FD43-4325-B021-411DBA63C26C}">
    <filterColumn colId="0" hiddenButton="1"/>
    <filterColumn colId="1" hiddenButton="1"/>
  </autoFilter>
  <tableColumns count="2">
    <tableColumn id="1" xr3:uid="{4C03EA90-FB12-40C7-85E0-679B7FE1BFF9}" name="List"/>
    <tableColumn id="2" xr3:uid="{5255494D-1E60-4196-BE0A-436149DE0DAC}" name="Buňka pro Qrko"/>
  </tableColumns>
  <tableStyleInfo name="20250823 cerveny styl tabulky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gradFill flip="none" rotWithShape="1">
          <a:gsLst>
            <a:gs pos="0">
              <a:schemeClr val="accent1">
                <a:lumMod val="7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path path="circle">
            <a:fillToRect l="100000" t="100000"/>
          </a:path>
          <a:tileRect r="-100000" b="-100000"/>
        </a:gradFill>
        <a:effectLst>
          <a:glow rad="127000">
            <a:schemeClr val="accent1">
              <a:satMod val="175000"/>
              <a:alpha val="22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reflection endPos="0" dist="50800" dir="5400000" sy="-100000" algn="bl" rotWithShape="0"/>
          <a:softEdge rad="114300"/>
        </a:effectLst>
      </a:spPr>
      <a:bodyPr vertOverflow="clip" horzOverflow="clip" rtlCol="0" anchor="ctr"/>
      <a:lstStyle>
        <a:defPPr algn="ctr">
          <a:defRPr sz="3200">
            <a:solidFill>
              <a:schemeClr val="lt1"/>
            </a:solidFill>
            <a:effectLst>
              <a:outerShdw blurRad="50800" dist="38100" dir="2700000" algn="tl" rotWithShape="0">
                <a:srgbClr val="000000">
                  <a:alpha val="40000"/>
                </a:srgbClr>
              </a:outerShdw>
            </a:effectLst>
            <a:latin typeface="+mn-lt"/>
            <a:ea typeface="+mn-ea"/>
            <a:cs typeface="+mn-cs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https://www.cnb.cz/en/payments/iban/iban-calculator-czech-republic/" TargetMode="External"/><Relationship Id="rId7" Type="http://schemas.openxmlformats.org/officeDocument/2006/relationships/table" Target="../tables/table1.xml"/><Relationship Id="rId2" Type="http://schemas.openxmlformats.org/officeDocument/2006/relationships/hyperlink" Target="https://www.kopl.pro/" TargetMode="External"/><Relationship Id="rId1" Type="http://schemas.openxmlformats.org/officeDocument/2006/relationships/hyperlink" Target="mailto:michal@kopl.pro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table" Target="../tables/table4.xml"/><Relationship Id="rId4" Type="http://schemas.openxmlformats.org/officeDocument/2006/relationships/printerSettings" Target="../printerSettings/printerSettings1.bin"/><Relationship Id="rId9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table" Target="../tables/table1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ichal@kopl.pro" TargetMode="Externa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5.xml"/><Relationship Id="rId1" Type="http://schemas.openxmlformats.org/officeDocument/2006/relationships/hyperlink" Target="https://www.qrcode-monkey.com/qr-code-api-with-logo/" TargetMode="External"/><Relationship Id="rId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CFF"/>
    <pageSetUpPr fitToPage="1"/>
  </sheetPr>
  <dimension ref="A1:CC119"/>
  <sheetViews>
    <sheetView topLeftCell="A31" zoomScaleNormal="100" zoomScalePageLayoutView="25" workbookViewId="0">
      <selection activeCell="E24" sqref="E24"/>
    </sheetView>
  </sheetViews>
  <sheetFormatPr defaultColWidth="9.140625" defaultRowHeight="14.25" x14ac:dyDescent="0.25"/>
  <cols>
    <col min="1" max="2" width="3.28515625" style="109" customWidth="1"/>
    <col min="3" max="3" width="77.5703125" style="109" bestFit="1" customWidth="1"/>
    <col min="4" max="4" width="13.28515625" style="109" customWidth="1"/>
    <col min="5" max="5" width="20.42578125" style="109" customWidth="1"/>
    <col min="6" max="6" width="13.42578125" style="109" bestFit="1" customWidth="1"/>
    <col min="7" max="7" width="15.7109375" style="109" customWidth="1"/>
    <col min="8" max="9" width="3.28515625" style="109" customWidth="1"/>
    <col min="10" max="11" width="9.140625" style="109"/>
    <col min="12" max="12" width="9.5703125" style="109" customWidth="1"/>
    <col min="13" max="13" width="32.7109375" style="109" bestFit="1" customWidth="1"/>
    <col min="14" max="14" width="2.140625" style="109" customWidth="1"/>
    <col min="15" max="15" width="24.28515625" style="109" customWidth="1"/>
    <col min="16" max="16" width="2.28515625" style="109" customWidth="1"/>
    <col min="17" max="17" width="9.140625" style="109"/>
    <col min="18" max="18" width="12.140625" style="109" bestFit="1" customWidth="1"/>
    <col min="19" max="19" width="9.140625" style="109"/>
    <col min="20" max="20" width="41.140625" style="109" customWidth="1"/>
    <col min="21" max="25" width="9.140625" style="109"/>
    <col min="26" max="26" width="14.42578125" style="109" bestFit="1" customWidth="1"/>
    <col min="27" max="16384" width="9.140625" style="109"/>
  </cols>
  <sheetData>
    <row r="1" spans="1:27" ht="21" customHeight="1" thickBot="1" x14ac:dyDescent="0.3">
      <c r="A1" s="19"/>
      <c r="B1" s="19"/>
      <c r="C1" s="19"/>
      <c r="D1" s="19"/>
      <c r="E1" s="19"/>
      <c r="F1" s="19"/>
      <c r="G1" s="19"/>
      <c r="H1" s="19"/>
      <c r="I1" s="19"/>
      <c r="K1" s="110" t="s">
        <v>210</v>
      </c>
      <c r="L1" s="221"/>
      <c r="M1" s="285" t="str">
        <f>"Měnit jen položky v zelených buňkách, činnosti či náklady a logo. Jinde jsou vzorce či texty. Konfigurace vzhledu QR kódu je v listu QR_Config, volající externí API qrcode-monkey.com (https://www.qrcode-monkey.com/qr-code-api-with-logo/)"</f>
        <v>Měnit jen položky v zelených buňkách, činnosti či náklady a logo. Jinde jsou vzorce či texty. Konfigurace vzhledu QR kódu je v listu QR_Config, volající externí API qrcode-monkey.com (https://www.qrcode-monkey.com/qr-code-api-with-logo/)</v>
      </c>
      <c r="N1" s="285"/>
      <c r="O1" s="285"/>
      <c r="P1" s="285"/>
      <c r="Q1" s="285"/>
      <c r="R1" s="285"/>
      <c r="S1" s="285"/>
      <c r="T1" s="285"/>
      <c r="U1" s="285"/>
      <c r="V1" s="285"/>
      <c r="W1" s="285"/>
      <c r="X1" s="285"/>
      <c r="Y1" s="285"/>
      <c r="Z1" s="221"/>
      <c r="AA1" s="221"/>
    </row>
    <row r="2" spans="1:27" ht="21" customHeight="1" thickTop="1" thickBot="1" x14ac:dyDescent="0.3">
      <c r="A2" s="19"/>
      <c r="B2" s="295" t="str" cm="1">
        <f t="array" aca="1" ref="B2" ca="1">"CENOVÁ NABÍDKA "&amp;_xlfn.LET(_xlpm.rng,INDIRECT("'Vystavené'!$D$14:$D$80"),_xlpm.last,IFERROR(TEXT(MAX(VALUE(_xlpm.rng)),"#0000000"),"0000000"),_xlpm.currYr,TEXT(YEAR(TODAY()),"0000"),_xlpm.lastYr,RIGHT(_xlpm.last,4),_xlpm.baseSeq,LEFT(_xlpm.last,3)*1,_xlpm.nextSeq,IF(_xlpm.lastYr=_xlpm.currYr,_xlpm.baseSeq+1,1),TEXT(_xlpm.nextSeq,"000"))</f>
        <v>CENOVÁ NABÍDKA 007</v>
      </c>
      <c r="C2" s="295"/>
      <c r="D2" s="296"/>
      <c r="E2" s="273" t="s">
        <v>1</v>
      </c>
      <c r="F2" s="274"/>
      <c r="G2" s="187" t="str" cm="1">
        <f t="array" aca="1" ref="G2" ca="1">TEXT(TODAY()+_xlfn.SWITCH($K$2,"Předevčírem",-2,"Včera",-1,"Dnes",0,"Zítra",1,"Pozítří",2,0),"d. mmmm rrrr")</f>
        <v>1. září 2025</v>
      </c>
      <c r="H2" s="21"/>
      <c r="I2" s="19"/>
      <c r="K2" s="257" t="s">
        <v>215</v>
      </c>
      <c r="L2" s="259"/>
      <c r="M2" s="285"/>
      <c r="N2" s="285"/>
      <c r="O2" s="285"/>
      <c r="P2" s="285"/>
      <c r="Q2" s="285"/>
      <c r="R2" s="285"/>
      <c r="S2" s="285"/>
      <c r="T2" s="285"/>
      <c r="U2" s="285"/>
      <c r="V2" s="285"/>
      <c r="W2" s="285"/>
      <c r="X2" s="285"/>
      <c r="Y2" s="285"/>
      <c r="Z2" s="221"/>
      <c r="AA2" s="221"/>
    </row>
    <row r="3" spans="1:27" ht="21" customHeight="1" thickTop="1" x14ac:dyDescent="0.25">
      <c r="A3" s="19"/>
      <c r="B3" s="295"/>
      <c r="C3" s="295"/>
      <c r="D3" s="296"/>
      <c r="E3" s="271" t="s">
        <v>2</v>
      </c>
      <c r="F3" s="272"/>
      <c r="G3" s="188" t="str">
        <f ca="1">TEXT((Nabídka!$G$2+30),"d. mmmm rrrr")</f>
        <v>1. říjen 2025</v>
      </c>
      <c r="H3" s="24"/>
      <c r="I3" s="19"/>
      <c r="L3" s="110" t="s">
        <v>14</v>
      </c>
      <c r="T3" s="111"/>
    </row>
    <row r="4" spans="1:27" ht="15.75" customHeight="1" thickBot="1" x14ac:dyDescent="0.3">
      <c r="A4" s="19"/>
      <c r="B4" s="295"/>
      <c r="C4" s="295"/>
      <c r="D4" s="296"/>
      <c r="E4" s="248" t="str">
        <f ca="1">"Poptávka: "&amp;_xlfn.XLOOKUP(Nabídka!$Q$5,Klienti!$A$2:$A$100,Klienti!$J$2:$J$100,"",0,1)</f>
        <v>Poptávka: SVJ-2025-08 (SVJ web)</v>
      </c>
      <c r="F4" s="249"/>
      <c r="G4" s="249"/>
      <c r="H4" s="25"/>
      <c r="I4" s="19"/>
      <c r="L4" s="290" t="s">
        <v>209</v>
      </c>
      <c r="M4" s="290"/>
      <c r="N4" s="290"/>
      <c r="O4" s="290"/>
      <c r="Q4" s="260" t="s">
        <v>43</v>
      </c>
      <c r="R4" s="260"/>
      <c r="S4" s="260"/>
      <c r="T4" s="260"/>
    </row>
    <row r="5" spans="1:27" s="112" customFormat="1" ht="16.5" customHeight="1" thickTop="1" thickBot="1" x14ac:dyDescent="0.3">
      <c r="A5" s="93"/>
      <c r="B5" s="291" t="str">
        <f>"Dodavatel:"</f>
        <v>Dodavatel:</v>
      </c>
      <c r="C5" s="297"/>
      <c r="D5" s="291" t="str">
        <f>"Odběratel:"</f>
        <v>Odběratel:</v>
      </c>
      <c r="E5" s="292"/>
      <c r="F5" s="292"/>
      <c r="G5" s="292"/>
      <c r="H5" s="94"/>
      <c r="I5" s="93"/>
      <c r="K5" s="113"/>
      <c r="L5" s="243" t="str">
        <f ca="1">_xlfn.XLOOKUP(Nabídka!$Q$5,Klienti!$A$2:$A$100,Klienti!$J$2:$J$100,"",0,1)</f>
        <v>SVJ-2025-08 (SVJ web)</v>
      </c>
      <c r="M5" s="243"/>
      <c r="N5" s="243"/>
      <c r="O5" s="243"/>
      <c r="Q5" s="257" t="s">
        <v>58</v>
      </c>
      <c r="R5" s="258"/>
      <c r="S5" s="258"/>
      <c r="T5" s="259"/>
    </row>
    <row r="6" spans="1:27" ht="15" customHeight="1" thickTop="1" thickBot="1" x14ac:dyDescent="0.3">
      <c r="A6" s="19"/>
      <c r="B6" s="239" t="str">
        <f>Q7</f>
        <v>Michal Kopl</v>
      </c>
      <c r="C6" s="240"/>
      <c r="D6" s="278" t="str">
        <f>L7</f>
        <v>Ing. Vendula Mikolášová, SVJ Krškova 783-784</v>
      </c>
      <c r="E6" s="279"/>
      <c r="F6" s="279"/>
      <c r="G6" s="279"/>
      <c r="H6" s="24"/>
      <c r="I6" s="19"/>
      <c r="K6" s="113"/>
      <c r="L6" s="290" t="s">
        <v>76</v>
      </c>
      <c r="M6" s="290"/>
      <c r="N6" s="290"/>
      <c r="O6" s="290"/>
      <c r="Q6" s="280" t="s">
        <v>64</v>
      </c>
      <c r="R6" s="280"/>
      <c r="S6" s="280"/>
      <c r="T6" s="280"/>
    </row>
    <row r="7" spans="1:27" ht="15" customHeight="1" thickTop="1" x14ac:dyDescent="0.25">
      <c r="A7" s="19"/>
      <c r="B7" s="239" t="str">
        <f>Q8&amp;", "&amp;Q9</f>
        <v>Dlouhá 715/38, Praha 1-Staré Město, Česká Republika, 110 00</v>
      </c>
      <c r="C7" s="240"/>
      <c r="D7" s="278" t="str">
        <f>L8&amp;", "&amp;L9</f>
        <v>Krškova 783, Praha 5-Hlubočepy, Česká Republika, 152 00</v>
      </c>
      <c r="E7" s="279"/>
      <c r="F7" s="279"/>
      <c r="G7" s="279"/>
      <c r="H7" s="24"/>
      <c r="I7" s="19"/>
      <c r="K7" s="113"/>
      <c r="L7" s="243" t="str">
        <f>_xlfn.XLOOKUP(Nabídka!$Q$5,Klienti!$A$2:$A$100,Klienti!$B$2:$B$100,"",0,1)&amp;", "&amp;Nabídka!$Q$5</f>
        <v>Ing. Vendula Mikolášová, SVJ Krškova 783-784</v>
      </c>
      <c r="M7" s="243"/>
      <c r="N7" s="243"/>
      <c r="O7" s="243"/>
      <c r="Q7" s="281" t="s">
        <v>142</v>
      </c>
      <c r="R7" s="282"/>
      <c r="S7" s="282"/>
      <c r="T7" s="283"/>
    </row>
    <row r="8" spans="1:27" ht="15" customHeight="1" x14ac:dyDescent="0.25">
      <c r="A8" s="19"/>
      <c r="B8" s="239" t="str">
        <f>Q10&amp;" , "&amp;Q11&amp;" , "&amp;Q14</f>
        <v>+420 777 062 425 , michal@kopl.pro , https://www.kopl.pro</v>
      </c>
      <c r="C8" s="240"/>
      <c r="D8" s="278" t="str">
        <f>L11</f>
        <v>mikolasova@svjkrskova783-784.cz, www.svjkrskova783-784.cz</v>
      </c>
      <c r="E8" s="279"/>
      <c r="F8" s="279"/>
      <c r="G8" s="279"/>
      <c r="H8" s="24"/>
      <c r="I8" s="19"/>
      <c r="K8" s="113"/>
      <c r="L8" s="243" t="str">
        <f>_xlfn.XLOOKUP(Nabídka!$Q$5,Klienti!$A$2:$A$100,Klienti!$C$2:$C$100,"",0,1)</f>
        <v>Krškova 783, Praha 5-Hlubočepy</v>
      </c>
      <c r="M8" s="243"/>
      <c r="N8" s="243"/>
      <c r="O8" s="243"/>
      <c r="Q8" s="252" t="s">
        <v>144</v>
      </c>
      <c r="R8" s="253"/>
      <c r="S8" s="253"/>
      <c r="T8" s="254"/>
    </row>
    <row r="9" spans="1:27" ht="15" customHeight="1" x14ac:dyDescent="0.25">
      <c r="A9" s="19"/>
      <c r="B9" s="239" t="str" cm="1">
        <f t="array" aca="1" ref="B9" ca="1">"BÚ:"&amp;Nabídka!Q12&amp;", VS:"&amp;_xlfn.LET(_xlpm.rng,INDIRECT("'Vystavené'!$D$14:$D$80"),_xlpm.last,IFERROR(TEXT(MAX(VALUE(_xlpm.rng)),"0000000"),"0000000"),_xlpm.currYr,TEXT(YEAR(TODAY()),"0000"),_xlpm.lastYr,RIGHT(_xlpm.last,4),_xlpm.baseSeq,VALUE(LEFT(_xlpm.last,3)),_xlpm.nextSeq,IF(_xlpm.lastYr=_xlpm.currYr,_xlpm.baseSeq+1,1),TEXT(_xlpm.nextSeq,"000"))&amp;", IBAN:"&amp;Nabídka!Q13</f>
        <v>BÚ:000000-4213366004/5500, VS:007, IBAN:CZ2355000000004213366004</v>
      </c>
      <c r="C9" s="240"/>
      <c r="D9" s="278" t="str">
        <f>L10</f>
        <v>+420 775 111 997</v>
      </c>
      <c r="E9" s="279"/>
      <c r="F9" s="279"/>
      <c r="G9" s="279"/>
      <c r="H9" s="24"/>
      <c r="I9" s="19"/>
      <c r="K9" s="113"/>
      <c r="L9" s="243" t="str">
        <f>_xlfn.XLOOKUP(Nabídka!$Q$5,Klienti!$A$2:$A$100,Klienti!$E$2:$E$100,"",0,1)&amp;", "&amp;_xlfn.XLOOKUP(Nabídka!$Q$5,Klienti!$A$2:$A$100,Klienti!$D$2:$D$100,"",0,1)</f>
        <v>Česká Republika, 152 00</v>
      </c>
      <c r="M9" s="243"/>
      <c r="N9" s="243"/>
      <c r="O9" s="243"/>
      <c r="P9" s="115"/>
      <c r="Q9" s="252" t="s">
        <v>138</v>
      </c>
      <c r="R9" s="253"/>
      <c r="S9" s="253"/>
      <c r="T9" s="254"/>
    </row>
    <row r="10" spans="1:27" ht="15" customHeight="1" x14ac:dyDescent="0.25">
      <c r="A10" s="19"/>
      <c r="B10" s="239" t="str">
        <f>Q15</f>
        <v>BIC/SWIFT:RZBCCZPP, IČO: 03217213, Dodavatel není plátcem DPH.</v>
      </c>
      <c r="C10" s="240"/>
      <c r="D10" s="244" t="str">
        <f>L12</f>
        <v>IČO: 71198407</v>
      </c>
      <c r="E10" s="245"/>
      <c r="F10" s="245"/>
      <c r="G10" s="245"/>
      <c r="H10" s="24"/>
      <c r="I10" s="19"/>
      <c r="K10" s="113"/>
      <c r="L10" s="243" t="str">
        <f>_xlfn.XLOOKUP(Nabídka!$Q$5,Klienti!$A$2:$A$100,Klienti!$F$2:$F$100,"",0,1)</f>
        <v>+420 775 111 997</v>
      </c>
      <c r="M10" s="243"/>
      <c r="N10" s="243"/>
      <c r="O10" s="243"/>
      <c r="Q10" s="252" t="str">
        <f>"+420 777 062 425"</f>
        <v>+420 777 062 425</v>
      </c>
      <c r="R10" s="253"/>
      <c r="S10" s="253"/>
      <c r="T10" s="254"/>
    </row>
    <row r="11" spans="1:27" ht="15" customHeight="1" thickBot="1" x14ac:dyDescent="0.3">
      <c r="A11" s="19"/>
      <c r="B11" s="246"/>
      <c r="C11" s="247"/>
      <c r="D11" s="246"/>
      <c r="E11" s="284"/>
      <c r="F11" s="284"/>
      <c r="G11" s="284"/>
      <c r="H11" s="24"/>
      <c r="I11" s="19"/>
      <c r="K11" s="113"/>
      <c r="L11" s="243" t="str">
        <f>_xlfn.XLOOKUP(Nabídka!$Q$5,Klienti!$A$2:$A$100,Klienti!$G$2:$G$100,"",0,1)&amp;", "&amp;_xlfn.XLOOKUP(Nabídka!$Q$5,Klienti!$A$2:$A$100,Klienti!$H$2:$H$100,"",0,1)</f>
        <v>mikolasova@svjkrskova783-784.cz, www.svjkrskova783-784.cz</v>
      </c>
      <c r="M11" s="243"/>
      <c r="N11" s="243"/>
      <c r="O11" s="243"/>
      <c r="Q11" s="252" t="s">
        <v>40</v>
      </c>
      <c r="R11" s="253"/>
      <c r="S11" s="253"/>
      <c r="T11" s="254"/>
    </row>
    <row r="12" spans="1:27" ht="15" customHeight="1" thickTop="1" x14ac:dyDescent="0.25">
      <c r="A12" s="19"/>
      <c r="B12" s="31"/>
      <c r="C12" s="32"/>
      <c r="D12" s="33"/>
      <c r="E12" s="33"/>
      <c r="F12" s="34"/>
      <c r="G12" s="34"/>
      <c r="H12" s="21"/>
      <c r="I12" s="19"/>
      <c r="K12" s="113"/>
      <c r="L12" s="243" t="str">
        <f>Klienti!$I$1&amp;": "&amp;_xlfn.XLOOKUP(Nabídka!$Q$5,Klienti!$A$2:$A$100,Klienti!$I$2:$I$100,"",0,1)</f>
        <v>IČO: 71198407</v>
      </c>
      <c r="M12" s="243"/>
      <c r="N12" s="243"/>
      <c r="O12" s="243"/>
      <c r="Q12" s="252" t="s">
        <v>151</v>
      </c>
      <c r="R12" s="253"/>
      <c r="S12" s="253"/>
      <c r="T12" s="254"/>
    </row>
    <row r="13" spans="1:27" ht="15" customHeight="1" x14ac:dyDescent="0.25">
      <c r="A13" s="19"/>
      <c r="B13" s="26"/>
      <c r="C13" s="22"/>
      <c r="D13" s="28"/>
      <c r="E13" s="28"/>
      <c r="F13" s="30"/>
      <c r="G13" s="30"/>
      <c r="H13" s="24"/>
      <c r="I13" s="19"/>
      <c r="L13" s="242"/>
      <c r="M13" s="242"/>
      <c r="N13" s="242"/>
      <c r="O13" s="242"/>
      <c r="Q13" s="252" t="s">
        <v>152</v>
      </c>
      <c r="R13" s="253"/>
      <c r="S13" s="253"/>
      <c r="T13" s="254"/>
      <c r="U13" s="184" t="str">
        <f>"Kalkulátor IBAN pro QR kód"</f>
        <v>Kalkulátor IBAN pro QR kód</v>
      </c>
    </row>
    <row r="14" spans="1:27" ht="15" customHeight="1" thickBot="1" x14ac:dyDescent="0.35">
      <c r="A14" s="19"/>
      <c r="B14" s="26"/>
      <c r="C14" s="19"/>
      <c r="D14" s="35"/>
      <c r="E14" s="27"/>
      <c r="F14" s="30"/>
      <c r="G14" s="30"/>
      <c r="H14" s="24"/>
      <c r="I14" s="19"/>
      <c r="L14" s="241" t="s">
        <v>175</v>
      </c>
      <c r="M14" s="241"/>
      <c r="N14" s="241"/>
      <c r="O14" s="241"/>
      <c r="Q14" s="252" t="s">
        <v>41</v>
      </c>
      <c r="R14" s="253"/>
      <c r="S14" s="253"/>
      <c r="T14" s="254"/>
      <c r="U14" s="119"/>
    </row>
    <row r="15" spans="1:27" ht="15" customHeight="1" thickTop="1" thickBot="1" x14ac:dyDescent="0.3">
      <c r="A15" s="19"/>
      <c r="B15" s="26"/>
      <c r="C15" s="138" t="s">
        <v>3</v>
      </c>
      <c r="D15" s="98" t="s">
        <v>149</v>
      </c>
      <c r="E15" s="139" t="s">
        <v>148</v>
      </c>
      <c r="F15" s="107" t="s">
        <v>150</v>
      </c>
      <c r="G15" s="108" t="s">
        <v>75</v>
      </c>
      <c r="H15" s="24"/>
      <c r="I15" s="19"/>
      <c r="L15" s="257" t="s">
        <v>163</v>
      </c>
      <c r="M15" s="259"/>
      <c r="Q15" s="275" t="s">
        <v>147</v>
      </c>
      <c r="R15" s="276"/>
      <c r="S15" s="276"/>
      <c r="T15" s="277"/>
    </row>
    <row r="16" spans="1:27" ht="15" customHeight="1" thickTop="1" thickBot="1" x14ac:dyDescent="0.3">
      <c r="A16" s="19"/>
      <c r="B16" s="26"/>
      <c r="C16" s="155" t="str">
        <f>_xlfn.XLOOKUP(Nabídka!$Q$5,Klienti!$A$2:$A$100,Klienti!$K$2:$K$100,"",0,1)</f>
        <v>Full-remote</v>
      </c>
      <c r="D16" s="180"/>
      <c r="E16" s="181" t="str">
        <f ca="1">IF(Nabídka!$L$15="Tento měsíc",TEXT(EDATE(TODAY(),0),"[$-cs-CZ]mmmm rrrr"),TEXT(EDATE(TODAY(),-1),"[$-cs-CZ]mmmm rrrr"))</f>
        <v>srpen 2025</v>
      </c>
      <c r="F16" s="182"/>
      <c r="G16" s="181" t="str">
        <f>IF(Nabídka!L16=1,Nabídka!L16&amp;" hodina",IF(AND(Nabídka!L16&gt;1,Nabídka!L16&lt;5),Nabídka!L16&amp;" hodiny",Nabídka!L16&amp;" hodin"))</f>
        <v>5,6 hodin</v>
      </c>
      <c r="H16" s="24"/>
      <c r="I16" s="19"/>
      <c r="L16" s="200">
        <f>SUM(Nabídka!$E$20:$E$42)</f>
        <v>5.6</v>
      </c>
      <c r="M16" s="110" t="s">
        <v>164</v>
      </c>
      <c r="T16" s="183" t="str">
        <f>Nabídka!$Q$10&amp;CHAR(10)&amp;Nabídka!$Q$11</f>
        <v>+420 777 062 425
michal@kopl.pro</v>
      </c>
    </row>
    <row r="17" spans="1:24" ht="15" customHeight="1" thickTop="1" x14ac:dyDescent="0.25">
      <c r="A17" s="19"/>
      <c r="B17" s="26"/>
      <c r="C17" s="19"/>
      <c r="D17" s="41"/>
      <c r="E17" s="27"/>
      <c r="F17" s="30"/>
      <c r="G17" s="30"/>
      <c r="H17" s="24"/>
      <c r="I17" s="19"/>
      <c r="L17" s="109" t="s">
        <v>156</v>
      </c>
      <c r="T17" s="117"/>
    </row>
    <row r="18" spans="1:24" ht="15" customHeight="1" x14ac:dyDescent="0.25">
      <c r="A18" s="19"/>
      <c r="B18" s="26"/>
      <c r="C18" s="36"/>
      <c r="D18" s="36"/>
      <c r="E18" s="42"/>
      <c r="F18" s="30"/>
      <c r="G18" s="30"/>
      <c r="H18" s="24"/>
      <c r="I18" s="19"/>
    </row>
    <row r="19" spans="1:24" ht="15" customHeight="1" x14ac:dyDescent="0.25">
      <c r="A19" s="19"/>
      <c r="B19" s="26"/>
      <c r="C19" s="140" t="s">
        <v>5</v>
      </c>
      <c r="D19" s="43" t="s">
        <v>6</v>
      </c>
      <c r="E19" s="39" t="s">
        <v>7</v>
      </c>
      <c r="F19" s="44" t="s">
        <v>9</v>
      </c>
      <c r="G19" s="44" t="s">
        <v>8</v>
      </c>
      <c r="H19" s="45"/>
      <c r="I19" s="19"/>
      <c r="L19" s="110" t="s">
        <v>165</v>
      </c>
    </row>
    <row r="20" spans="1:24" ht="15" customHeight="1" x14ac:dyDescent="0.25">
      <c r="A20" s="19"/>
      <c r="B20" s="26"/>
      <c r="C20" s="176" t="s">
        <v>222</v>
      </c>
      <c r="D20" s="177" t="s">
        <v>31</v>
      </c>
      <c r="E20" s="177">
        <v>2.25</v>
      </c>
      <c r="F20" s="178">
        <v>750</v>
      </c>
      <c r="G20" s="157">
        <f t="shared" ref="G20:G42" si="0">IF(AND((C20&lt;&gt;""),(D20&lt;&gt;""),(E20&lt;&gt;""),(F20&lt;&gt;"")),(E20*F20),"")</f>
        <v>1687.5</v>
      </c>
      <c r="H20" s="45"/>
      <c r="I20" s="19"/>
      <c r="L20" s="109" t="s">
        <v>42</v>
      </c>
      <c r="W20" s="120"/>
    </row>
    <row r="21" spans="1:24" ht="15" customHeight="1" x14ac:dyDescent="0.25">
      <c r="A21" s="19"/>
      <c r="B21" s="26"/>
      <c r="C21" s="176" t="s">
        <v>221</v>
      </c>
      <c r="D21" s="177" t="s">
        <v>31</v>
      </c>
      <c r="E21" s="177">
        <v>2.2000000000000002</v>
      </c>
      <c r="F21" s="178">
        <v>750</v>
      </c>
      <c r="G21" s="157">
        <f t="shared" si="0"/>
        <v>1650.0000000000002</v>
      </c>
      <c r="H21" s="45"/>
      <c r="I21" s="19"/>
      <c r="L21" s="109" t="s">
        <v>34</v>
      </c>
      <c r="M21" s="121"/>
      <c r="W21" s="120"/>
    </row>
    <row r="22" spans="1:24" ht="15" customHeight="1" x14ac:dyDescent="0.25">
      <c r="A22" s="19"/>
      <c r="B22" s="26"/>
      <c r="C22" s="176" t="s">
        <v>220</v>
      </c>
      <c r="D22" s="177" t="s">
        <v>31</v>
      </c>
      <c r="E22" s="177">
        <v>0.25</v>
      </c>
      <c r="F22" s="178">
        <v>750</v>
      </c>
      <c r="G22" s="157">
        <f t="shared" si="0"/>
        <v>187.5</v>
      </c>
      <c r="H22" s="45"/>
      <c r="I22" s="19"/>
      <c r="L22" s="110" t="s">
        <v>166</v>
      </c>
      <c r="M22" s="121"/>
      <c r="W22" s="120"/>
    </row>
    <row r="23" spans="1:24" ht="15" customHeight="1" x14ac:dyDescent="0.25">
      <c r="A23" s="19"/>
      <c r="B23" s="26"/>
      <c r="C23" s="176" t="s">
        <v>227</v>
      </c>
      <c r="D23" s="177" t="s">
        <v>31</v>
      </c>
      <c r="E23" s="177">
        <v>0.13</v>
      </c>
      <c r="F23" s="178">
        <v>750</v>
      </c>
      <c r="G23" s="157">
        <f t="shared" si="0"/>
        <v>97.5</v>
      </c>
      <c r="H23" s="45"/>
      <c r="I23" s="19"/>
      <c r="L23" s="110"/>
      <c r="M23" s="121"/>
      <c r="W23" s="120"/>
    </row>
    <row r="24" spans="1:24" ht="15" customHeight="1" x14ac:dyDescent="0.25">
      <c r="A24" s="19"/>
      <c r="B24" s="26"/>
      <c r="C24" s="176" t="s">
        <v>226</v>
      </c>
      <c r="D24" s="177" t="s">
        <v>31</v>
      </c>
      <c r="E24" s="177">
        <v>0.09</v>
      </c>
      <c r="F24" s="178">
        <v>750</v>
      </c>
      <c r="G24" s="157">
        <f t="shared" si="0"/>
        <v>67.5</v>
      </c>
      <c r="H24" s="45"/>
      <c r="I24" s="19"/>
      <c r="M24" s="121"/>
      <c r="W24" s="120"/>
    </row>
    <row r="25" spans="1:24" ht="15" customHeight="1" x14ac:dyDescent="0.25">
      <c r="A25" s="19"/>
      <c r="B25" s="26"/>
      <c r="C25" s="176" t="s">
        <v>223</v>
      </c>
      <c r="D25" s="177" t="s">
        <v>31</v>
      </c>
      <c r="E25" s="177">
        <v>0.09</v>
      </c>
      <c r="F25" s="178">
        <v>750</v>
      </c>
      <c r="G25" s="157">
        <f t="shared" si="0"/>
        <v>67.5</v>
      </c>
      <c r="H25" s="45"/>
      <c r="I25" s="19"/>
      <c r="L25" s="110" t="s">
        <v>167</v>
      </c>
      <c r="M25" s="121"/>
      <c r="W25" s="120"/>
    </row>
    <row r="26" spans="1:24" ht="15" customHeight="1" x14ac:dyDescent="0.25">
      <c r="A26" s="19"/>
      <c r="B26" s="26"/>
      <c r="C26" s="176" t="s">
        <v>224</v>
      </c>
      <c r="D26" s="177" t="s">
        <v>31</v>
      </c>
      <c r="E26" s="177">
        <v>0.5</v>
      </c>
      <c r="F26" s="178">
        <v>750</v>
      </c>
      <c r="G26" s="157">
        <f t="shared" si="0"/>
        <v>375</v>
      </c>
      <c r="H26" s="45"/>
      <c r="I26" s="19"/>
      <c r="M26" s="121"/>
      <c r="O26" s="122"/>
      <c r="P26" s="122"/>
      <c r="Q26" s="122"/>
      <c r="R26" s="122"/>
      <c r="S26" s="122"/>
      <c r="T26" s="122"/>
      <c r="U26" s="122"/>
      <c r="V26" s="122"/>
      <c r="W26" s="122"/>
      <c r="X26" s="122"/>
    </row>
    <row r="27" spans="1:24" ht="15" customHeight="1" x14ac:dyDescent="0.25">
      <c r="A27" s="19"/>
      <c r="B27" s="26"/>
      <c r="C27" s="176" t="s">
        <v>225</v>
      </c>
      <c r="D27" s="177" t="s">
        <v>31</v>
      </c>
      <c r="E27" s="177">
        <v>0.09</v>
      </c>
      <c r="F27" s="178">
        <v>750</v>
      </c>
      <c r="G27" s="157">
        <f t="shared" si="0"/>
        <v>67.5</v>
      </c>
      <c r="H27" s="45"/>
      <c r="I27" s="19"/>
      <c r="M27" s="121"/>
      <c r="O27" s="122"/>
      <c r="P27" s="122"/>
      <c r="Q27" s="122"/>
      <c r="R27" s="122"/>
      <c r="S27" s="122"/>
      <c r="T27" s="122"/>
      <c r="U27" s="122"/>
      <c r="V27" s="122"/>
      <c r="W27" s="122"/>
      <c r="X27" s="122"/>
    </row>
    <row r="28" spans="1:24" ht="15" customHeight="1" x14ac:dyDescent="0.25">
      <c r="A28" s="19"/>
      <c r="B28" s="26"/>
      <c r="C28" s="176"/>
      <c r="D28" s="177"/>
      <c r="E28" s="177"/>
      <c r="F28" s="178"/>
      <c r="G28" s="157" t="str">
        <f t="shared" si="0"/>
        <v/>
      </c>
      <c r="H28" s="45"/>
      <c r="I28" s="19"/>
      <c r="M28" s="121"/>
      <c r="O28" s="122"/>
      <c r="P28" s="122"/>
      <c r="Q28" s="122"/>
      <c r="R28" s="122"/>
      <c r="S28" s="122"/>
      <c r="T28" s="122"/>
      <c r="U28" s="122"/>
      <c r="V28" s="122"/>
      <c r="W28" s="122"/>
      <c r="X28" s="122"/>
    </row>
    <row r="29" spans="1:24" ht="15" customHeight="1" x14ac:dyDescent="0.25">
      <c r="A29" s="19"/>
      <c r="B29" s="26"/>
      <c r="C29" s="179"/>
      <c r="D29" s="177"/>
      <c r="E29" s="177"/>
      <c r="F29" s="178"/>
      <c r="G29" s="157" t="str">
        <f t="shared" si="0"/>
        <v/>
      </c>
      <c r="H29" s="45"/>
      <c r="I29" s="19"/>
      <c r="M29" s="121"/>
      <c r="O29" s="234"/>
      <c r="P29" s="122"/>
      <c r="Q29" s="122"/>
      <c r="R29" s="122"/>
      <c r="S29" s="122"/>
      <c r="T29" s="122"/>
      <c r="U29" s="122"/>
      <c r="V29" s="122"/>
      <c r="W29" s="122"/>
      <c r="X29" s="122"/>
    </row>
    <row r="30" spans="1:24" ht="15" customHeight="1" x14ac:dyDescent="0.25">
      <c r="A30" s="19"/>
      <c r="B30" s="26"/>
      <c r="C30" s="176"/>
      <c r="D30" s="177"/>
      <c r="E30" s="177"/>
      <c r="F30" s="178"/>
      <c r="G30" s="157" t="str">
        <f t="shared" si="0"/>
        <v/>
      </c>
      <c r="H30" s="45"/>
      <c r="I30" s="19"/>
      <c r="M30" s="121"/>
      <c r="O30" s="122"/>
      <c r="P30" s="122"/>
      <c r="Q30" s="122"/>
      <c r="R30" s="122"/>
      <c r="S30" s="122"/>
      <c r="T30" s="122"/>
      <c r="U30" s="122"/>
      <c r="V30" s="122"/>
      <c r="W30" s="122"/>
      <c r="X30" s="122"/>
    </row>
    <row r="31" spans="1:24" ht="15" customHeight="1" x14ac:dyDescent="0.25">
      <c r="A31" s="19"/>
      <c r="B31" s="26"/>
      <c r="C31" s="176"/>
      <c r="D31" s="177"/>
      <c r="E31" s="177"/>
      <c r="F31" s="178"/>
      <c r="G31" s="157" t="str">
        <f t="shared" si="0"/>
        <v/>
      </c>
      <c r="H31" s="45"/>
      <c r="I31" s="19"/>
      <c r="M31" s="121"/>
      <c r="O31" s="122"/>
      <c r="P31" s="122"/>
      <c r="Q31" s="122"/>
      <c r="R31" s="122"/>
      <c r="S31" s="122"/>
      <c r="T31" s="122"/>
      <c r="U31" s="122"/>
      <c r="V31" s="122"/>
      <c r="W31" s="122"/>
      <c r="X31" s="122"/>
    </row>
    <row r="32" spans="1:24" ht="15" customHeight="1" thickBot="1" x14ac:dyDescent="0.3">
      <c r="A32" s="19"/>
      <c r="B32" s="26"/>
      <c r="C32" s="176"/>
      <c r="D32" s="177"/>
      <c r="E32" s="177"/>
      <c r="F32" s="178"/>
      <c r="G32" s="157" t="str">
        <f t="shared" si="0"/>
        <v/>
      </c>
      <c r="H32" s="45"/>
      <c r="I32" s="19"/>
      <c r="L32" s="123"/>
      <c r="M32" s="123"/>
      <c r="N32" s="123"/>
      <c r="O32" s="122"/>
      <c r="P32" s="122"/>
      <c r="Q32" s="122"/>
      <c r="R32" s="122"/>
      <c r="S32" s="122"/>
      <c r="T32" s="122"/>
      <c r="U32" s="122"/>
      <c r="V32" s="122"/>
      <c r="W32" s="122"/>
      <c r="X32" s="122"/>
    </row>
    <row r="33" spans="1:24" ht="15" customHeight="1" thickTop="1" thickBot="1" x14ac:dyDescent="0.3">
      <c r="A33" s="19"/>
      <c r="B33" s="26"/>
      <c r="C33" s="176"/>
      <c r="D33" s="177"/>
      <c r="E33" s="177"/>
      <c r="F33" s="178"/>
      <c r="G33" s="157" t="str">
        <f t="shared" si="0"/>
        <v/>
      </c>
      <c r="H33" s="45"/>
      <c r="I33" s="19"/>
      <c r="L33" s="293" t="s">
        <v>32</v>
      </c>
      <c r="M33" s="294"/>
      <c r="N33" s="123"/>
      <c r="O33" s="122"/>
      <c r="P33" s="122"/>
      <c r="Q33" s="122"/>
      <c r="R33" s="122"/>
      <c r="S33" s="122"/>
      <c r="T33" s="122"/>
      <c r="U33" s="122"/>
      <c r="V33" s="122"/>
      <c r="W33" s="122"/>
      <c r="X33" s="122"/>
    </row>
    <row r="34" spans="1:24" ht="15" customHeight="1" thickTop="1" x14ac:dyDescent="0.25">
      <c r="A34" s="19"/>
      <c r="B34" s="26"/>
      <c r="C34" s="176"/>
      <c r="D34" s="177"/>
      <c r="E34" s="177"/>
      <c r="F34" s="178"/>
      <c r="G34" s="157" t="str">
        <f t="shared" si="0"/>
        <v/>
      </c>
      <c r="H34" s="45"/>
      <c r="I34" s="19"/>
      <c r="L34" s="267" t="s">
        <v>143</v>
      </c>
      <c r="M34" s="268"/>
      <c r="N34" s="268"/>
      <c r="O34" s="268"/>
      <c r="P34" s="268"/>
      <c r="Q34" s="268"/>
      <c r="R34" s="268"/>
      <c r="S34" s="268"/>
      <c r="T34" s="268"/>
      <c r="U34" s="268"/>
      <c r="W34" s="120"/>
    </row>
    <row r="35" spans="1:24" ht="15" customHeight="1" x14ac:dyDescent="0.25">
      <c r="A35" s="19"/>
      <c r="B35" s="26"/>
      <c r="C35" s="176"/>
      <c r="D35" s="177"/>
      <c r="E35" s="177"/>
      <c r="F35" s="178"/>
      <c r="G35" s="157" t="str">
        <f t="shared" si="0"/>
        <v/>
      </c>
      <c r="H35" s="45"/>
      <c r="I35" s="19"/>
      <c r="L35" s="268"/>
      <c r="M35" s="268"/>
      <c r="N35" s="268"/>
      <c r="O35" s="268"/>
      <c r="P35" s="268"/>
      <c r="Q35" s="268"/>
      <c r="R35" s="268"/>
      <c r="S35" s="268"/>
      <c r="T35" s="268"/>
      <c r="U35" s="268"/>
      <c r="W35" s="120"/>
    </row>
    <row r="36" spans="1:24" ht="15" customHeight="1" x14ac:dyDescent="0.25">
      <c r="A36" s="19"/>
      <c r="B36" s="26"/>
      <c r="C36" s="176"/>
      <c r="D36" s="177"/>
      <c r="E36" s="177"/>
      <c r="F36" s="178"/>
      <c r="G36" s="157" t="str">
        <f t="shared" si="0"/>
        <v/>
      </c>
      <c r="H36" s="45"/>
      <c r="I36" s="19"/>
      <c r="L36" s="268"/>
      <c r="M36" s="268"/>
      <c r="N36" s="268"/>
      <c r="O36" s="268"/>
      <c r="P36" s="268"/>
      <c r="Q36" s="268"/>
      <c r="R36" s="268"/>
      <c r="S36" s="268"/>
      <c r="T36" s="268"/>
      <c r="U36" s="268"/>
      <c r="W36" s="120"/>
    </row>
    <row r="37" spans="1:24" ht="15" customHeight="1" x14ac:dyDescent="0.25">
      <c r="A37" s="19"/>
      <c r="B37" s="26"/>
      <c r="C37" s="176"/>
      <c r="D37" s="177"/>
      <c r="E37" s="177"/>
      <c r="F37" s="178"/>
      <c r="G37" s="157" t="str">
        <f t="shared" si="0"/>
        <v/>
      </c>
      <c r="H37" s="45"/>
      <c r="I37" s="19"/>
      <c r="L37" s="268"/>
      <c r="M37" s="268"/>
      <c r="N37" s="268"/>
      <c r="O37" s="268"/>
      <c r="P37" s="268"/>
      <c r="Q37" s="268"/>
      <c r="R37" s="268"/>
      <c r="S37" s="268"/>
      <c r="T37" s="268"/>
      <c r="U37" s="268"/>
      <c r="W37" s="120"/>
    </row>
    <row r="38" spans="1:24" ht="15" customHeight="1" x14ac:dyDescent="0.25">
      <c r="A38" s="19"/>
      <c r="B38" s="26"/>
      <c r="C38" s="176"/>
      <c r="D38" s="177"/>
      <c r="E38" s="177"/>
      <c r="F38" s="178"/>
      <c r="G38" s="157" t="str">
        <f t="shared" si="0"/>
        <v/>
      </c>
      <c r="H38" s="45"/>
      <c r="I38" s="19"/>
      <c r="L38" s="268"/>
      <c r="M38" s="268"/>
      <c r="N38" s="268"/>
      <c r="O38" s="268"/>
      <c r="P38" s="268"/>
      <c r="Q38" s="268"/>
      <c r="R38" s="268"/>
      <c r="S38" s="268"/>
      <c r="T38" s="268"/>
      <c r="U38" s="268"/>
      <c r="W38" s="120"/>
    </row>
    <row r="39" spans="1:24" ht="15" customHeight="1" thickBot="1" x14ac:dyDescent="0.3">
      <c r="A39" s="19"/>
      <c r="B39" s="26"/>
      <c r="C39" s="176"/>
      <c r="D39" s="177"/>
      <c r="E39" s="177"/>
      <c r="F39" s="178"/>
      <c r="G39" s="157" t="str">
        <f t="shared" si="0"/>
        <v/>
      </c>
      <c r="H39" s="45"/>
      <c r="I39" s="19"/>
      <c r="L39" s="124" t="s">
        <v>168</v>
      </c>
      <c r="M39" s="124"/>
      <c r="N39" s="124"/>
      <c r="O39" s="124"/>
      <c r="W39" s="120"/>
    </row>
    <row r="40" spans="1:24" ht="15" customHeight="1" thickTop="1" x14ac:dyDescent="0.25">
      <c r="A40" s="19"/>
      <c r="B40" s="26"/>
      <c r="C40" s="176"/>
      <c r="D40" s="177"/>
      <c r="E40" s="177"/>
      <c r="F40" s="178"/>
      <c r="G40" s="157" t="str">
        <f t="shared" si="0"/>
        <v/>
      </c>
      <c r="H40" s="45"/>
      <c r="I40" s="19"/>
      <c r="L40" s="261" t="s">
        <v>18</v>
      </c>
      <c r="M40" s="262"/>
      <c r="N40" s="262"/>
      <c r="O40" s="263"/>
      <c r="W40" s="120"/>
    </row>
    <row r="41" spans="1:24" ht="15" customHeight="1" thickBot="1" x14ac:dyDescent="0.3">
      <c r="A41" s="19"/>
      <c r="B41" s="26"/>
      <c r="C41" s="176"/>
      <c r="D41" s="177"/>
      <c r="E41" s="177"/>
      <c r="F41" s="178"/>
      <c r="G41" s="157" t="str">
        <f t="shared" si="0"/>
        <v/>
      </c>
      <c r="H41" s="45"/>
      <c r="I41" s="19"/>
      <c r="L41" s="264" t="s">
        <v>19</v>
      </c>
      <c r="M41" s="265"/>
      <c r="N41" s="265"/>
      <c r="O41" s="266"/>
      <c r="R41" s="121"/>
      <c r="W41" s="120"/>
    </row>
    <row r="42" spans="1:24" ht="15" customHeight="1" thickTop="1" x14ac:dyDescent="0.25">
      <c r="A42" s="19"/>
      <c r="B42" s="26"/>
      <c r="C42" s="176"/>
      <c r="D42" s="177"/>
      <c r="E42" s="177"/>
      <c r="F42" s="178"/>
      <c r="G42" s="157" t="str">
        <f t="shared" si="0"/>
        <v/>
      </c>
      <c r="H42" s="46"/>
      <c r="I42" s="19"/>
      <c r="W42" s="120"/>
    </row>
    <row r="43" spans="1:24" ht="15" customHeight="1" thickBot="1" x14ac:dyDescent="0.3">
      <c r="A43" s="19"/>
      <c r="B43" s="26"/>
      <c r="C43" s="19"/>
      <c r="D43" s="19"/>
      <c r="E43" s="250" t="s">
        <v>10</v>
      </c>
      <c r="F43" s="251"/>
      <c r="G43" s="141">
        <f>SUM(Nabídka!$G$20:$G$42)</f>
        <v>4200</v>
      </c>
      <c r="H43" s="45"/>
      <c r="I43" s="19"/>
      <c r="L43" s="124" t="s">
        <v>15</v>
      </c>
      <c r="W43" s="120"/>
    </row>
    <row r="44" spans="1:24" ht="15" customHeight="1" x14ac:dyDescent="0.25">
      <c r="A44" s="19"/>
      <c r="B44" s="26"/>
      <c r="C44" s="19"/>
      <c r="D44" s="19"/>
      <c r="E44" s="47"/>
      <c r="F44" s="47"/>
      <c r="G44" s="48"/>
      <c r="H44" s="45"/>
      <c r="I44" s="19"/>
      <c r="L44" s="124"/>
      <c r="W44" s="120"/>
    </row>
    <row r="45" spans="1:24" ht="15" customHeight="1" x14ac:dyDescent="0.25">
      <c r="A45" s="19"/>
      <c r="B45" s="26"/>
      <c r="C45" s="19"/>
      <c r="D45" s="19"/>
      <c r="E45" s="42"/>
      <c r="F45" s="49"/>
      <c r="G45" s="49"/>
      <c r="H45" s="45"/>
      <c r="I45" s="19"/>
      <c r="M45" s="121"/>
      <c r="W45" s="120"/>
    </row>
    <row r="46" spans="1:24" ht="15" customHeight="1" x14ac:dyDescent="0.25">
      <c r="A46" s="19"/>
      <c r="B46" s="26"/>
      <c r="C46" s="140" t="s">
        <v>11</v>
      </c>
      <c r="D46" s="43" t="s">
        <v>6</v>
      </c>
      <c r="E46" s="37" t="s">
        <v>7</v>
      </c>
      <c r="F46" s="44" t="s">
        <v>9</v>
      </c>
      <c r="G46" s="44" t="s">
        <v>8</v>
      </c>
      <c r="H46" s="45"/>
      <c r="I46" s="19"/>
      <c r="L46" s="110" t="s">
        <v>169</v>
      </c>
      <c r="M46" s="121"/>
      <c r="W46" s="120"/>
    </row>
    <row r="47" spans="1:24" ht="15" customHeight="1" x14ac:dyDescent="0.25">
      <c r="A47" s="19"/>
      <c r="B47" s="26"/>
      <c r="C47" s="179"/>
      <c r="D47" s="177"/>
      <c r="E47" s="177"/>
      <c r="F47" s="178"/>
      <c r="G47" s="157" t="str">
        <f t="shared" ref="G47:G52" si="1">IF(AND((C47&lt;&gt;""),(D47&lt;&gt;""),(E47&lt;&gt;""),(F47&lt;&gt;"")),(E47*F47),"")</f>
        <v/>
      </c>
      <c r="H47" s="45"/>
      <c r="I47" s="19"/>
      <c r="L47" s="109" t="s">
        <v>42</v>
      </c>
      <c r="M47" s="121"/>
      <c r="W47" s="120"/>
    </row>
    <row r="48" spans="1:24" ht="15" customHeight="1" x14ac:dyDescent="0.25">
      <c r="A48" s="19"/>
      <c r="B48" s="26"/>
      <c r="C48" s="179"/>
      <c r="D48" s="177"/>
      <c r="E48" s="177"/>
      <c r="F48" s="178"/>
      <c r="G48" s="157" t="str">
        <f t="shared" si="1"/>
        <v/>
      </c>
      <c r="H48" s="45"/>
      <c r="I48" s="19"/>
      <c r="L48" s="109" t="s">
        <v>34</v>
      </c>
      <c r="M48" s="121"/>
      <c r="W48" s="120"/>
    </row>
    <row r="49" spans="1:81" ht="15" customHeight="1" x14ac:dyDescent="0.25">
      <c r="A49" s="19"/>
      <c r="B49" s="26"/>
      <c r="C49" s="179"/>
      <c r="D49" s="177"/>
      <c r="E49" s="177"/>
      <c r="F49" s="178"/>
      <c r="G49" s="157" t="str">
        <f t="shared" si="1"/>
        <v/>
      </c>
      <c r="H49" s="45"/>
      <c r="I49" s="19"/>
      <c r="L49" s="125" t="s">
        <v>170</v>
      </c>
      <c r="W49" s="120"/>
    </row>
    <row r="50" spans="1:81" ht="15" customHeight="1" x14ac:dyDescent="0.25">
      <c r="A50" s="19"/>
      <c r="B50" s="26"/>
      <c r="C50" s="179"/>
      <c r="D50" s="177"/>
      <c r="E50" s="177"/>
      <c r="F50" s="178"/>
      <c r="G50" s="157" t="str">
        <f t="shared" si="1"/>
        <v/>
      </c>
      <c r="H50" s="45"/>
      <c r="I50" s="19"/>
      <c r="L50" s="110" t="s">
        <v>171</v>
      </c>
      <c r="W50" s="120"/>
    </row>
    <row r="51" spans="1:81" ht="15" customHeight="1" x14ac:dyDescent="0.25">
      <c r="A51" s="19"/>
      <c r="B51" s="26"/>
      <c r="C51" s="179"/>
      <c r="D51" s="177"/>
      <c r="E51" s="177"/>
      <c r="F51" s="178"/>
      <c r="G51" s="157" t="str">
        <f t="shared" si="1"/>
        <v/>
      </c>
      <c r="H51" s="45"/>
      <c r="I51" s="19"/>
      <c r="L51" s="110"/>
    </row>
    <row r="52" spans="1:81" ht="15" customHeight="1" x14ac:dyDescent="0.25">
      <c r="A52" s="19"/>
      <c r="B52" s="26"/>
      <c r="C52" s="179"/>
      <c r="D52" s="177"/>
      <c r="E52" s="177"/>
      <c r="F52" s="178"/>
      <c r="G52" s="157" t="str">
        <f t="shared" si="1"/>
        <v/>
      </c>
      <c r="H52" s="46"/>
      <c r="I52" s="19"/>
    </row>
    <row r="53" spans="1:81" ht="15" customHeight="1" thickBot="1" x14ac:dyDescent="0.3">
      <c r="A53" s="19"/>
      <c r="B53" s="26"/>
      <c r="C53" s="19"/>
      <c r="D53" s="19"/>
      <c r="E53" s="255" t="s">
        <v>12</v>
      </c>
      <c r="F53" s="256"/>
      <c r="G53" s="142">
        <f>SUM(Nabídka!$G$47:$G$52)</f>
        <v>0</v>
      </c>
      <c r="H53" s="46"/>
      <c r="I53" s="19"/>
      <c r="L53" s="124" t="s">
        <v>16</v>
      </c>
    </row>
    <row r="54" spans="1:81" ht="15" customHeight="1" x14ac:dyDescent="0.25">
      <c r="A54" s="19"/>
      <c r="B54" s="26"/>
      <c r="C54" s="19"/>
      <c r="D54" s="36"/>
      <c r="E54" s="42"/>
      <c r="F54" s="50"/>
      <c r="G54" s="51"/>
      <c r="H54" s="46"/>
      <c r="I54" s="19"/>
      <c r="L54" s="124"/>
    </row>
    <row r="55" spans="1:81" ht="15" customHeight="1" x14ac:dyDescent="0.25">
      <c r="A55" s="19"/>
      <c r="B55" s="26"/>
      <c r="C55" s="19"/>
      <c r="D55" s="19"/>
      <c r="E55" s="19"/>
      <c r="F55" s="19"/>
      <c r="G55" s="19"/>
      <c r="H55" s="46"/>
      <c r="I55" s="19"/>
      <c r="M55" s="126"/>
    </row>
    <row r="56" spans="1:81" ht="15" customHeight="1" thickBot="1" x14ac:dyDescent="0.3">
      <c r="A56" s="19"/>
      <c r="B56" s="26"/>
      <c r="C56" s="143" t="s">
        <v>36</v>
      </c>
      <c r="D56" s="19"/>
      <c r="E56" s="22"/>
      <c r="F56" s="144" t="s">
        <v>145</v>
      </c>
      <c r="G56" s="145">
        <f>(Nabídka!$G$43+Nabídka!$G$53)</f>
        <v>4200</v>
      </c>
      <c r="H56" s="46"/>
      <c r="I56" s="19"/>
      <c r="J56" s="126"/>
      <c r="K56" s="126"/>
      <c r="L56" s="109" t="s">
        <v>17</v>
      </c>
      <c r="M56" s="110"/>
      <c r="P56" s="126"/>
      <c r="Q56" s="126"/>
      <c r="R56" s="126"/>
      <c r="S56" s="126"/>
    </row>
    <row r="57" spans="1:81" ht="15" customHeight="1" thickTop="1" thickBot="1" x14ac:dyDescent="0.3">
      <c r="A57" s="19"/>
      <c r="B57" s="26"/>
      <c r="C57" s="158" t="str">
        <f>L40</f>
        <v>Obsah článků, obrázky ke zveřejnění, dokumenty ke zveřejnění.</v>
      </c>
      <c r="D57" s="19"/>
      <c r="E57" s="22"/>
      <c r="F57" s="144" t="str">
        <f>IF(Nabídka!$L$57&gt;0,"Celkem s DPH "&amp;(Nabídka!L57*100)&amp;"% ("&amp;TEXT(ROUNDUP((Nabídka!G57-Nabídka!G56),0),"# ###")&amp;" Kč):","K úhradě (+"&amp;ROUND((Nabídka!G57-Nabídka!G56),2)&amp;" Kč):")</f>
        <v>K úhradě (+0 Kč):</v>
      </c>
      <c r="G57" s="146">
        <f>ROUNDUP((Nabídka!$G$43+((Nabídka!$G$43*Nabídka!$L$57)+Nabídka!$G$53)),0)</f>
        <v>4200</v>
      </c>
      <c r="H57" s="46"/>
      <c r="I57" s="19"/>
      <c r="J57" s="126"/>
      <c r="K57" s="126"/>
      <c r="L57" s="90">
        <v>0</v>
      </c>
      <c r="M57" s="110" t="s">
        <v>172</v>
      </c>
      <c r="N57" s="126"/>
      <c r="O57" s="126"/>
      <c r="P57" s="127"/>
      <c r="Q57" s="127"/>
      <c r="R57" s="127"/>
      <c r="S57" s="127"/>
    </row>
    <row r="58" spans="1:81" ht="15" customHeight="1" thickTop="1" thickBot="1" x14ac:dyDescent="0.3">
      <c r="A58" s="19"/>
      <c r="B58" s="26"/>
      <c r="C58" s="158" t="str">
        <f>L41</f>
        <v>Fakturační údaje, Kontaktní údaje.</v>
      </c>
      <c r="D58" s="19"/>
      <c r="E58"/>
      <c r="F58" s="144" t="str">
        <f>"Záloha "&amp; (L58*100) &amp;"%:"</f>
        <v>Záloha 50%:</v>
      </c>
      <c r="G58" s="146">
        <f>ROUNDUP((Nabídka!$G$57*Nabídka!$L$58),0)</f>
        <v>2100</v>
      </c>
      <c r="H58" s="76"/>
      <c r="I58" s="77"/>
      <c r="J58" s="129"/>
      <c r="K58" s="129"/>
      <c r="L58" s="91">
        <v>0.5</v>
      </c>
      <c r="M58" s="110" t="s">
        <v>173</v>
      </c>
      <c r="N58" s="127"/>
      <c r="O58" s="127"/>
      <c r="P58" s="127"/>
      <c r="Q58" s="127"/>
      <c r="R58" s="127"/>
      <c r="S58" s="127"/>
      <c r="T58" s="128"/>
      <c r="U58" s="128"/>
      <c r="V58" s="128"/>
      <c r="W58" s="128"/>
      <c r="X58" s="128"/>
      <c r="Y58" s="128"/>
      <c r="Z58" s="128"/>
      <c r="AA58" s="128"/>
      <c r="AB58" s="128"/>
      <c r="AC58" s="128"/>
      <c r="AD58" s="128"/>
      <c r="AE58" s="128"/>
      <c r="AF58" s="128"/>
      <c r="AG58" s="128"/>
      <c r="AH58" s="128"/>
      <c r="AI58" s="128"/>
      <c r="AJ58" s="128"/>
      <c r="AK58" s="128"/>
      <c r="AL58" s="128"/>
      <c r="AM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  <c r="AZ58" s="128"/>
      <c r="BA58" s="128"/>
      <c r="BB58" s="128"/>
      <c r="BC58" s="128"/>
      <c r="BD58" s="128"/>
      <c r="BE58" s="128"/>
      <c r="BF58" s="128"/>
      <c r="BG58" s="128"/>
      <c r="BH58" s="128"/>
      <c r="BI58" s="128"/>
      <c r="BJ58" s="128"/>
      <c r="BK58" s="128"/>
      <c r="BL58" s="128"/>
      <c r="BM58" s="128"/>
      <c r="BN58" s="128"/>
      <c r="BO58" s="128"/>
      <c r="BP58" s="128"/>
      <c r="BQ58" s="128"/>
      <c r="BR58" s="128"/>
      <c r="BS58" s="128"/>
      <c r="BT58" s="128"/>
      <c r="BU58" s="128"/>
      <c r="BV58" s="128"/>
      <c r="BW58" s="128"/>
      <c r="BX58" s="128"/>
      <c r="BY58" s="128"/>
      <c r="BZ58" s="128"/>
      <c r="CA58" s="128"/>
      <c r="CB58" s="128"/>
      <c r="CC58" s="128"/>
    </row>
    <row r="59" spans="1:81" ht="15" customHeight="1" thickTop="1" x14ac:dyDescent="0.2">
      <c r="A59" s="19"/>
      <c r="B59" s="26"/>
      <c r="C59" s="19"/>
      <c r="D59" s="19"/>
      <c r="E59" s="42"/>
      <c r="F59" s="66"/>
      <c r="G59" s="162" t="s">
        <v>37</v>
      </c>
      <c r="H59" s="76"/>
      <c r="I59" s="77"/>
      <c r="J59" s="129"/>
      <c r="K59" s="129"/>
      <c r="L59" s="127"/>
      <c r="M59" s="110"/>
      <c r="N59" s="127"/>
      <c r="O59" s="127"/>
      <c r="P59" s="127"/>
      <c r="Q59" s="127"/>
      <c r="R59" s="127"/>
      <c r="S59" s="127"/>
      <c r="T59" s="128"/>
      <c r="U59" s="128"/>
      <c r="V59" s="128"/>
      <c r="W59" s="128"/>
      <c r="X59" s="128"/>
      <c r="Y59" s="128"/>
      <c r="Z59" s="128"/>
      <c r="AA59" s="128"/>
      <c r="AB59" s="128"/>
      <c r="AC59" s="128"/>
      <c r="AD59" s="128"/>
      <c r="AE59" s="128"/>
      <c r="AF59" s="128"/>
      <c r="AG59" s="128"/>
      <c r="AH59" s="128"/>
      <c r="AI59" s="128"/>
      <c r="AJ59" s="128"/>
      <c r="AK59" s="128"/>
      <c r="AL59" s="128"/>
      <c r="AM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  <c r="AZ59" s="128"/>
      <c r="BA59" s="128"/>
      <c r="BB59" s="128"/>
      <c r="BC59" s="128"/>
      <c r="BD59" s="128"/>
      <c r="BE59" s="128"/>
      <c r="BF59" s="128"/>
      <c r="BG59" s="128"/>
      <c r="BH59" s="128"/>
      <c r="BI59" s="128"/>
      <c r="BJ59" s="128"/>
      <c r="BK59" s="128"/>
      <c r="BL59" s="128"/>
      <c r="BM59" s="128"/>
      <c r="BN59" s="128"/>
      <c r="BO59" s="128"/>
      <c r="BP59" s="128"/>
      <c r="BQ59" s="128"/>
      <c r="BR59" s="128"/>
      <c r="BS59" s="128"/>
      <c r="BT59" s="128"/>
      <c r="BU59" s="128"/>
      <c r="BV59" s="128"/>
      <c r="BW59" s="128"/>
      <c r="BX59" s="128"/>
      <c r="BY59" s="128"/>
      <c r="BZ59" s="128"/>
      <c r="CA59" s="128"/>
      <c r="CB59" s="128"/>
      <c r="CC59" s="128"/>
    </row>
    <row r="60" spans="1:81" ht="15" customHeight="1" x14ac:dyDescent="0.25">
      <c r="A60" s="19"/>
      <c r="B60" s="26"/>
      <c r="C60" s="19"/>
      <c r="D60" s="19"/>
      <c r="E60" s="42"/>
      <c r="F60" s="49"/>
      <c r="G60" s="19"/>
      <c r="H60" s="76"/>
      <c r="I60" s="77"/>
      <c r="J60" s="129"/>
      <c r="K60" s="129"/>
      <c r="L60" s="127"/>
      <c r="M60" s="127"/>
      <c r="N60" s="127"/>
      <c r="O60" s="127"/>
      <c r="P60" s="127"/>
      <c r="Q60" s="127"/>
      <c r="R60" s="127"/>
      <c r="S60" s="127"/>
      <c r="T60" s="128"/>
      <c r="U60" s="128"/>
      <c r="V60" s="128"/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8"/>
      <c r="AH60" s="128"/>
      <c r="AI60" s="128"/>
      <c r="AJ60" s="128"/>
      <c r="AK60" s="128"/>
      <c r="AL60" s="128"/>
      <c r="AM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  <c r="AZ60" s="128"/>
      <c r="BA60" s="128"/>
      <c r="BB60" s="128"/>
      <c r="BC60" s="128"/>
      <c r="BD60" s="128"/>
      <c r="BE60" s="128"/>
      <c r="BF60" s="128"/>
      <c r="BG60" s="128"/>
      <c r="BH60" s="128"/>
      <c r="BI60" s="128"/>
      <c r="BJ60" s="128"/>
      <c r="BK60" s="128"/>
      <c r="BL60" s="128"/>
      <c r="BM60" s="128"/>
      <c r="BN60" s="128"/>
      <c r="BO60" s="128"/>
      <c r="BP60" s="128"/>
      <c r="BQ60" s="128"/>
      <c r="BR60" s="128"/>
      <c r="BS60" s="128"/>
      <c r="BT60" s="128"/>
      <c r="BU60" s="128"/>
      <c r="BV60" s="128"/>
      <c r="BW60" s="128"/>
      <c r="BX60" s="128"/>
      <c r="BY60" s="128"/>
      <c r="BZ60" s="128"/>
      <c r="CA60" s="128"/>
      <c r="CB60" s="128"/>
      <c r="CC60" s="128"/>
    </row>
    <row r="61" spans="1:81" ht="15" customHeight="1" x14ac:dyDescent="0.25">
      <c r="A61" s="19"/>
      <c r="B61" s="26"/>
      <c r="C61" s="43"/>
      <c r="D61" s="80"/>
      <c r="E61" s="77"/>
      <c r="F61" s="77"/>
      <c r="G61" s="77"/>
      <c r="H61" s="76"/>
      <c r="I61" s="77"/>
      <c r="J61" s="129"/>
      <c r="K61" s="129"/>
      <c r="L61" s="130" t="s">
        <v>174</v>
      </c>
      <c r="M61" s="127"/>
      <c r="N61" s="127"/>
      <c r="O61" s="127"/>
      <c r="P61" s="127"/>
      <c r="Q61" s="127"/>
      <c r="R61" s="127"/>
      <c r="S61" s="127"/>
      <c r="T61" s="128"/>
      <c r="U61" s="128"/>
      <c r="V61" s="128"/>
      <c r="W61" s="128"/>
      <c r="X61" s="128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  <c r="AZ61" s="128"/>
      <c r="BA61" s="128"/>
      <c r="BB61" s="128"/>
      <c r="BC61" s="128"/>
      <c r="BD61" s="128"/>
      <c r="BE61" s="128"/>
      <c r="BF61" s="128"/>
      <c r="BG61" s="128"/>
      <c r="BH61" s="128"/>
      <c r="BI61" s="128"/>
      <c r="BJ61" s="128"/>
      <c r="BK61" s="128"/>
      <c r="BL61" s="128"/>
      <c r="BM61" s="128"/>
      <c r="BN61" s="128"/>
      <c r="BO61" s="128"/>
      <c r="BP61" s="128"/>
      <c r="BQ61" s="128"/>
      <c r="BR61" s="128"/>
      <c r="BS61" s="128"/>
      <c r="BT61" s="128"/>
      <c r="BU61" s="128"/>
      <c r="BV61" s="128"/>
      <c r="BW61" s="128"/>
      <c r="BX61" s="128"/>
      <c r="BY61" s="128"/>
      <c r="BZ61" s="128"/>
      <c r="CA61" s="128"/>
      <c r="CB61" s="128"/>
      <c r="CC61" s="128"/>
    </row>
    <row r="62" spans="1:81" ht="15" customHeight="1" x14ac:dyDescent="0.25">
      <c r="A62" s="19"/>
      <c r="B62" s="26"/>
      <c r="C62" s="43"/>
      <c r="D62" s="77"/>
      <c r="E62" s="77"/>
      <c r="F62" s="77"/>
      <c r="G62" s="77"/>
      <c r="H62" s="76"/>
      <c r="I62" s="77"/>
      <c r="J62" s="129"/>
      <c r="K62" s="129"/>
      <c r="L62" s="127" t="s">
        <v>140</v>
      </c>
      <c r="M62" s="127"/>
      <c r="N62" s="127"/>
      <c r="O62" s="127"/>
      <c r="P62" s="127"/>
      <c r="Q62" s="127"/>
      <c r="R62" s="127"/>
      <c r="S62" s="127"/>
      <c r="T62" s="128"/>
      <c r="U62" s="128"/>
      <c r="V62" s="128"/>
      <c r="W62" s="128"/>
      <c r="X62" s="128"/>
      <c r="Y62" s="128"/>
      <c r="Z62" s="128"/>
      <c r="AA62" s="128"/>
      <c r="AB62" s="128"/>
      <c r="AC62" s="128"/>
      <c r="AD62" s="128"/>
      <c r="AE62" s="128"/>
      <c r="AF62" s="128"/>
      <c r="AG62" s="128"/>
      <c r="AH62" s="128"/>
      <c r="AI62" s="128"/>
      <c r="AJ62" s="128"/>
      <c r="AK62" s="128"/>
      <c r="AL62" s="128"/>
      <c r="AM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  <c r="AZ62" s="128"/>
      <c r="BA62" s="128"/>
      <c r="BB62" s="128"/>
      <c r="BC62" s="128"/>
      <c r="BD62" s="128"/>
      <c r="BE62" s="128"/>
      <c r="BF62" s="128"/>
      <c r="BG62" s="128"/>
      <c r="BH62" s="128"/>
      <c r="BI62" s="128"/>
      <c r="BJ62" s="128"/>
      <c r="BK62" s="128"/>
      <c r="BL62" s="128"/>
      <c r="BM62" s="128"/>
      <c r="BN62" s="128"/>
      <c r="BO62" s="128"/>
      <c r="BP62" s="128"/>
      <c r="BQ62" s="128"/>
      <c r="BR62" s="128"/>
      <c r="BS62" s="128"/>
      <c r="BT62" s="128"/>
      <c r="BU62" s="128"/>
      <c r="BV62" s="128"/>
      <c r="BW62" s="128"/>
      <c r="BX62" s="128"/>
      <c r="BY62" s="128"/>
      <c r="BZ62" s="128"/>
      <c r="CA62" s="128"/>
      <c r="CB62" s="128"/>
      <c r="CC62" s="128"/>
    </row>
    <row r="63" spans="1:81" ht="15" customHeight="1" x14ac:dyDescent="0.25">
      <c r="A63" s="19"/>
      <c r="B63" s="26"/>
      <c r="C63" s="57"/>
      <c r="D63" s="77"/>
      <c r="E63" s="77"/>
      <c r="F63" s="77"/>
      <c r="G63" s="77"/>
      <c r="H63" s="76"/>
      <c r="I63" s="77"/>
      <c r="J63" s="129"/>
      <c r="K63" s="129"/>
      <c r="L63" s="127" t="s">
        <v>141</v>
      </c>
      <c r="M63" s="127"/>
      <c r="N63" s="127"/>
      <c r="O63" s="127"/>
      <c r="P63" s="127"/>
      <c r="Q63" s="127"/>
      <c r="R63" s="127"/>
      <c r="S63" s="127"/>
      <c r="T63" s="128"/>
      <c r="U63" s="128"/>
      <c r="V63" s="128"/>
      <c r="W63" s="128"/>
      <c r="X63" s="128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  <c r="AZ63" s="128"/>
      <c r="BA63" s="128"/>
      <c r="BB63" s="128"/>
      <c r="BC63" s="128"/>
      <c r="BD63" s="128"/>
      <c r="BE63" s="128"/>
      <c r="BF63" s="128"/>
      <c r="BG63" s="128"/>
      <c r="BH63" s="128"/>
      <c r="BI63" s="128"/>
      <c r="BJ63" s="128"/>
      <c r="BK63" s="128"/>
      <c r="BL63" s="128"/>
      <c r="BM63" s="128"/>
      <c r="BN63" s="128"/>
      <c r="BO63" s="128"/>
      <c r="BP63" s="128"/>
      <c r="BQ63" s="128"/>
      <c r="BR63" s="128"/>
      <c r="BS63" s="128"/>
      <c r="BT63" s="128"/>
      <c r="BU63" s="128"/>
      <c r="BV63" s="128"/>
      <c r="BW63" s="128"/>
      <c r="BX63" s="128"/>
      <c r="BY63" s="128"/>
      <c r="BZ63" s="128"/>
      <c r="CA63" s="128"/>
      <c r="CB63" s="128"/>
      <c r="CC63" s="128"/>
    </row>
    <row r="64" spans="1:81" ht="15" customHeight="1" x14ac:dyDescent="0.25">
      <c r="A64" s="19"/>
      <c r="B64" s="26"/>
      <c r="C64" s="8"/>
      <c r="D64" s="77"/>
      <c r="E64" s="77"/>
      <c r="F64" s="77"/>
      <c r="G64" s="77"/>
      <c r="H64" s="76"/>
      <c r="I64" s="77"/>
      <c r="J64" s="129"/>
      <c r="K64" s="129"/>
      <c r="L64" s="127"/>
      <c r="M64" s="127"/>
      <c r="N64" s="127"/>
      <c r="O64" s="127"/>
      <c r="P64" s="127"/>
      <c r="Q64" s="127"/>
      <c r="R64" s="127"/>
      <c r="S64" s="127"/>
      <c r="T64" s="128"/>
      <c r="U64" s="128"/>
      <c r="V64" s="128"/>
      <c r="W64" s="128"/>
      <c r="X64" s="128"/>
      <c r="Y64" s="128"/>
      <c r="Z64" s="128"/>
      <c r="AA64" s="128"/>
      <c r="AB64" s="128"/>
      <c r="AC64" s="128"/>
      <c r="AD64" s="128"/>
      <c r="AE64" s="128"/>
      <c r="AF64" s="128"/>
      <c r="AG64" s="128"/>
      <c r="AH64" s="128"/>
      <c r="AI64" s="128"/>
      <c r="AJ64" s="128"/>
      <c r="AK64" s="128"/>
      <c r="AL64" s="128"/>
      <c r="AM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8"/>
      <c r="BA64" s="128"/>
      <c r="BB64" s="128"/>
      <c r="BC64" s="128"/>
      <c r="BD64" s="128"/>
      <c r="BE64" s="128"/>
      <c r="BF64" s="128"/>
      <c r="BG64" s="128"/>
      <c r="BH64" s="128"/>
      <c r="BI64" s="128"/>
      <c r="BJ64" s="128"/>
      <c r="BK64" s="128"/>
      <c r="BL64" s="128"/>
      <c r="BM64" s="128"/>
      <c r="BN64" s="128"/>
      <c r="BO64" s="128"/>
      <c r="BP64" s="128"/>
      <c r="BQ64" s="128"/>
      <c r="BR64" s="128"/>
      <c r="BS64" s="128"/>
      <c r="BT64" s="128"/>
      <c r="BU64" s="128"/>
      <c r="BV64" s="128"/>
      <c r="BW64" s="128"/>
      <c r="BX64" s="128"/>
      <c r="BY64" s="128"/>
      <c r="BZ64" s="128"/>
      <c r="CA64" s="128"/>
      <c r="CB64" s="128"/>
      <c r="CC64" s="128"/>
    </row>
    <row r="65" spans="1:81" ht="15" customHeight="1" x14ac:dyDescent="0.25">
      <c r="A65" s="19"/>
      <c r="B65" s="26"/>
      <c r="C65" s="8"/>
      <c r="D65" s="77"/>
      <c r="E65" s="77"/>
      <c r="F65" s="77"/>
      <c r="G65" s="77"/>
      <c r="H65" s="76"/>
      <c r="I65" s="77"/>
      <c r="J65" s="129"/>
      <c r="K65" s="129"/>
      <c r="L65" s="131"/>
      <c r="M65" s="132"/>
      <c r="N65" s="127"/>
      <c r="O65" s="127"/>
      <c r="P65" s="127"/>
      <c r="Q65" s="127"/>
      <c r="R65" s="127"/>
      <c r="S65" s="127"/>
      <c r="T65" s="128"/>
      <c r="U65" s="128"/>
      <c r="V65" s="128"/>
      <c r="W65" s="128"/>
      <c r="X65" s="128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  <c r="AZ65" s="128"/>
      <c r="BA65" s="128"/>
      <c r="BB65" s="128"/>
      <c r="BC65" s="128"/>
      <c r="BD65" s="128"/>
      <c r="BE65" s="128"/>
      <c r="BF65" s="128"/>
      <c r="BG65" s="128"/>
      <c r="BH65" s="128"/>
      <c r="BI65" s="128"/>
      <c r="BJ65" s="128"/>
      <c r="BK65" s="128"/>
      <c r="BL65" s="128"/>
      <c r="BM65" s="128"/>
      <c r="BN65" s="128"/>
      <c r="BO65" s="128"/>
      <c r="BP65" s="128"/>
      <c r="BQ65" s="128"/>
      <c r="BR65" s="128"/>
      <c r="BS65" s="128"/>
      <c r="BT65" s="128"/>
      <c r="BU65" s="128"/>
      <c r="BV65" s="128"/>
      <c r="BW65" s="128"/>
      <c r="BX65" s="128"/>
      <c r="BY65" s="128"/>
      <c r="BZ65" s="128"/>
      <c r="CA65" s="128"/>
      <c r="CB65" s="128"/>
      <c r="CC65" s="128"/>
    </row>
    <row r="66" spans="1:81" ht="15" customHeight="1" x14ac:dyDescent="0.25">
      <c r="A66" s="19"/>
      <c r="B66" s="26"/>
      <c r="C66" s="77"/>
      <c r="D66" s="77"/>
      <c r="E66" s="77"/>
      <c r="F66" s="77"/>
      <c r="G66" s="77"/>
      <c r="H66" s="46"/>
      <c r="I66" s="19"/>
      <c r="J66" s="126"/>
      <c r="K66" s="126"/>
      <c r="L66" s="121"/>
      <c r="N66" s="127"/>
      <c r="O66" s="127"/>
      <c r="P66" s="127"/>
      <c r="Q66" s="127"/>
      <c r="R66" s="127"/>
      <c r="S66" s="127"/>
    </row>
    <row r="67" spans="1:81" ht="15" customHeight="1" x14ac:dyDescent="0.25">
      <c r="A67" s="19"/>
      <c r="B67" s="26"/>
      <c r="C67" s="77"/>
      <c r="D67" s="77"/>
      <c r="E67" s="77"/>
      <c r="F67" s="77"/>
      <c r="G67" s="77"/>
      <c r="H67" s="46"/>
      <c r="I67" s="19"/>
      <c r="J67" s="126"/>
      <c r="K67" s="126"/>
      <c r="L67" s="133"/>
      <c r="M67" s="134"/>
      <c r="N67" s="127"/>
      <c r="O67" s="127"/>
      <c r="P67" s="127"/>
      <c r="Q67" s="127"/>
      <c r="R67" s="127"/>
      <c r="S67" s="127"/>
    </row>
    <row r="68" spans="1:81" ht="15" customHeight="1" x14ac:dyDescent="0.25">
      <c r="A68" s="19"/>
      <c r="B68" s="26"/>
      <c r="C68" s="77"/>
      <c r="D68" s="77"/>
      <c r="E68" s="77"/>
      <c r="F68" s="77"/>
      <c r="G68" s="77"/>
      <c r="H68" s="46"/>
      <c r="I68" s="19"/>
      <c r="J68" s="126"/>
      <c r="K68" s="126"/>
      <c r="L68" s="127"/>
      <c r="M68" s="134"/>
      <c r="N68" s="127"/>
      <c r="O68" s="127"/>
      <c r="P68" s="127"/>
      <c r="Q68" s="127"/>
      <c r="R68" s="127"/>
      <c r="S68" s="127"/>
    </row>
    <row r="69" spans="1:81" ht="15" customHeight="1" x14ac:dyDescent="0.25">
      <c r="A69" s="19"/>
      <c r="B69" s="26"/>
      <c r="C69" s="52"/>
      <c r="D69" s="53"/>
      <c r="E69" s="27"/>
      <c r="F69" s="50"/>
      <c r="G69" s="54"/>
      <c r="H69" s="46"/>
      <c r="I69" s="19"/>
      <c r="J69" s="126"/>
      <c r="K69" s="126"/>
      <c r="L69" s="127"/>
      <c r="M69" s="127" t="s">
        <v>157</v>
      </c>
      <c r="N69" s="127"/>
      <c r="O69" s="127"/>
      <c r="P69" s="136"/>
      <c r="Q69" s="127"/>
      <c r="R69" s="127"/>
      <c r="S69" s="127"/>
    </row>
    <row r="70" spans="1:81" ht="15" customHeight="1" x14ac:dyDescent="0.25">
      <c r="A70" s="19"/>
      <c r="B70" s="26"/>
      <c r="C70" s="52"/>
      <c r="D70" s="53"/>
      <c r="E70" s="27"/>
      <c r="F70" s="50"/>
      <c r="G70" s="54"/>
      <c r="H70" s="46"/>
      <c r="I70" s="19"/>
      <c r="J70" s="126"/>
      <c r="K70" s="126"/>
      <c r="L70" s="136"/>
      <c r="M70" s="136"/>
      <c r="N70" s="136"/>
      <c r="O70" s="136"/>
      <c r="P70" s="136"/>
      <c r="Q70" s="127"/>
      <c r="R70" s="127"/>
      <c r="S70" s="127"/>
    </row>
    <row r="71" spans="1:81" ht="15" customHeight="1" x14ac:dyDescent="0.25">
      <c r="A71" s="19"/>
      <c r="B71" s="26"/>
      <c r="C71" s="81"/>
      <c r="D71" s="53"/>
      <c r="E71" s="27"/>
      <c r="F71" s="50"/>
      <c r="G71" s="54"/>
      <c r="H71" s="55"/>
      <c r="I71" s="19"/>
      <c r="J71" s="126"/>
      <c r="K71" s="126"/>
      <c r="L71" s="136"/>
      <c r="M71" s="136"/>
      <c r="N71" s="136"/>
      <c r="O71" s="136"/>
      <c r="P71" s="136"/>
      <c r="Q71" s="127"/>
      <c r="R71" s="127"/>
      <c r="S71" s="127"/>
    </row>
    <row r="72" spans="1:81" ht="15" customHeight="1" x14ac:dyDescent="0.25">
      <c r="A72" s="19"/>
      <c r="B72" s="26"/>
      <c r="C72" s="19"/>
      <c r="D72" s="19"/>
      <c r="E72" s="42"/>
      <c r="F72" s="50"/>
      <c r="G72" s="54"/>
      <c r="H72" s="55"/>
      <c r="I72" s="19"/>
      <c r="J72" s="126"/>
      <c r="K72" s="126"/>
      <c r="L72" s="136"/>
      <c r="M72" s="136"/>
      <c r="N72" s="136"/>
      <c r="O72" s="136"/>
      <c r="P72" s="136"/>
      <c r="Q72" s="127"/>
      <c r="R72" s="127"/>
      <c r="S72" s="127"/>
    </row>
    <row r="73" spans="1:81" ht="15" customHeight="1" x14ac:dyDescent="0.25">
      <c r="A73" s="19"/>
      <c r="B73" s="26"/>
      <c r="C73" s="19"/>
      <c r="D73" s="19"/>
      <c r="E73" s="56"/>
      <c r="F73" s="36"/>
      <c r="G73" s="54"/>
      <c r="H73" s="55"/>
      <c r="I73" s="19"/>
      <c r="J73" s="126"/>
      <c r="K73" s="126"/>
      <c r="L73" s="136"/>
      <c r="M73" s="136"/>
      <c r="N73" s="136"/>
      <c r="O73" s="136"/>
      <c r="P73" s="136"/>
      <c r="Q73" s="127"/>
      <c r="R73" s="127"/>
      <c r="S73" s="127"/>
    </row>
    <row r="74" spans="1:81" ht="15" customHeight="1" x14ac:dyDescent="0.25">
      <c r="A74" s="19"/>
      <c r="B74" s="26"/>
      <c r="C74" s="43"/>
      <c r="D74" s="19"/>
      <c r="E74" s="27"/>
      <c r="F74" s="19"/>
      <c r="G74" s="19"/>
      <c r="H74" s="46"/>
      <c r="I74" s="19"/>
      <c r="J74" s="126"/>
      <c r="K74" s="126"/>
      <c r="L74" s="136"/>
      <c r="M74" s="136"/>
      <c r="N74" s="136"/>
      <c r="O74" s="136"/>
      <c r="P74" s="136"/>
      <c r="Q74" s="127"/>
      <c r="R74" s="127"/>
      <c r="S74" s="127"/>
    </row>
    <row r="75" spans="1:81" ht="15" customHeight="1" x14ac:dyDescent="0.25">
      <c r="A75" s="19"/>
      <c r="B75" s="26"/>
      <c r="C75" s="43"/>
      <c r="D75" s="19"/>
      <c r="E75" s="50"/>
      <c r="F75" s="50"/>
      <c r="G75" s="50"/>
      <c r="H75" s="46"/>
      <c r="I75" s="19"/>
      <c r="J75" s="126"/>
      <c r="K75" s="126"/>
      <c r="L75" s="136"/>
      <c r="M75" s="136"/>
      <c r="N75" s="136"/>
      <c r="O75" s="136"/>
      <c r="P75" s="127"/>
      <c r="Q75" s="127"/>
      <c r="R75" s="127"/>
      <c r="S75" s="127"/>
    </row>
    <row r="76" spans="1:81" ht="15" customHeight="1" x14ac:dyDescent="0.2">
      <c r="A76" s="19"/>
      <c r="B76" s="26"/>
      <c r="C76" s="43"/>
      <c r="D76" s="19"/>
      <c r="E76" s="269"/>
      <c r="F76" s="269"/>
      <c r="G76" s="269"/>
      <c r="H76" s="24"/>
      <c r="I76" s="19"/>
      <c r="J76" s="126"/>
      <c r="K76" s="126"/>
      <c r="L76" s="127"/>
      <c r="M76" s="127"/>
      <c r="N76" s="127"/>
      <c r="O76" s="127"/>
      <c r="P76" s="127"/>
      <c r="Q76" s="127"/>
      <c r="R76" s="127"/>
      <c r="S76" s="127"/>
    </row>
    <row r="77" spans="1:81" ht="15" customHeight="1" x14ac:dyDescent="0.25">
      <c r="A77" s="19"/>
      <c r="B77" s="26"/>
      <c r="C77" s="57"/>
      <c r="D77" s="147"/>
      <c r="E77" s="270" t="str">
        <f>"Záloha "&amp;TEXT(Nabídka!G58,"### ##0 Kč")&amp;" - QR platba"</f>
        <v>Záloha 2 100 Kč - QR platba</v>
      </c>
      <c r="F77" s="270"/>
      <c r="G77" s="270"/>
      <c r="H77" s="24"/>
      <c r="I77" s="19"/>
      <c r="J77" s="126"/>
      <c r="K77" s="126"/>
      <c r="L77" s="127"/>
      <c r="M77" s="133"/>
      <c r="N77" s="127"/>
      <c r="O77" s="127"/>
      <c r="P77" s="127"/>
      <c r="Q77" s="127"/>
      <c r="R77" s="127"/>
      <c r="S77" s="127"/>
    </row>
    <row r="78" spans="1:81" ht="15" customHeight="1" x14ac:dyDescent="0.25">
      <c r="A78" s="19"/>
      <c r="B78" s="26"/>
      <c r="C78" s="8"/>
      <c r="D78" s="148"/>
      <c r="E78" s="286" t="str">
        <f>"Platbou zálohy potvrzujete nabídku."</f>
        <v>Platbou zálohy potvrzujete nabídku.</v>
      </c>
      <c r="F78" s="286"/>
      <c r="G78" s="286"/>
      <c r="H78" s="24"/>
      <c r="I78" s="19"/>
      <c r="J78" s="126"/>
      <c r="K78" s="126"/>
      <c r="L78" s="130"/>
      <c r="M78" s="127"/>
      <c r="N78" s="127"/>
      <c r="O78" s="127"/>
      <c r="P78" s="127"/>
      <c r="Q78" s="127"/>
      <c r="R78" s="127"/>
      <c r="S78" s="127"/>
    </row>
    <row r="79" spans="1:81" ht="15" customHeight="1" x14ac:dyDescent="0.25">
      <c r="A79" s="19"/>
      <c r="B79" s="26"/>
      <c r="C79" s="8"/>
      <c r="D79" s="19"/>
      <c r="E79" s="27"/>
      <c r="F79" s="30"/>
      <c r="G79" s="19"/>
      <c r="H79" s="24"/>
      <c r="I79" s="19"/>
      <c r="J79" s="126"/>
      <c r="K79" s="126"/>
      <c r="L79" s="127"/>
      <c r="M79" s="127"/>
      <c r="N79" s="127"/>
      <c r="O79" s="127"/>
      <c r="P79" s="127"/>
      <c r="Q79" s="127"/>
      <c r="R79" s="127"/>
      <c r="S79" s="127"/>
    </row>
    <row r="80" spans="1:81" ht="15" customHeight="1" thickBot="1" x14ac:dyDescent="0.3">
      <c r="A80" s="19"/>
      <c r="B80" s="287" t="str">
        <f>IF(LEFT(Nabídka!Q13,2)="CZ","","Instrukce k platbě: Prosím, při zadání zahraniční platby zvolte způsob úhrady bankovních poplatků OUR (veškeré poplatky hradí plátce). Jen tak bude na náš účet připsána plná fakturovaná částka.")</f>
        <v/>
      </c>
      <c r="C80" s="288"/>
      <c r="D80" s="288"/>
      <c r="E80" s="288"/>
      <c r="F80" s="288"/>
      <c r="G80" s="288"/>
      <c r="H80" s="289"/>
      <c r="I80" s="19"/>
      <c r="J80" s="126"/>
      <c r="K80" s="126"/>
      <c r="L80" s="127"/>
      <c r="M80" s="127"/>
      <c r="N80" s="127"/>
      <c r="O80" s="127"/>
      <c r="P80" s="127"/>
      <c r="Q80" s="127"/>
      <c r="R80" s="127"/>
      <c r="S80" s="127"/>
    </row>
    <row r="81" spans="1:19" ht="15" customHeight="1" thickTop="1" x14ac:dyDescent="0.25">
      <c r="A81" s="19"/>
      <c r="B81" s="19"/>
      <c r="C81" s="19"/>
      <c r="D81" s="19"/>
      <c r="E81" s="27"/>
      <c r="F81" s="30"/>
      <c r="G81" s="30"/>
      <c r="H81" s="19"/>
      <c r="I81" s="19"/>
      <c r="J81" s="126"/>
      <c r="K81" s="126"/>
      <c r="L81" s="127"/>
      <c r="M81" s="127"/>
      <c r="N81" s="127"/>
      <c r="O81" s="127"/>
      <c r="P81" s="127"/>
      <c r="Q81" s="127"/>
      <c r="R81" s="127"/>
      <c r="S81" s="127"/>
    </row>
    <row r="82" spans="1:19" x14ac:dyDescent="0.25">
      <c r="J82" s="126"/>
      <c r="K82" s="126"/>
      <c r="L82" s="127"/>
      <c r="M82" s="127"/>
      <c r="N82" s="127"/>
      <c r="O82" s="127"/>
      <c r="P82" s="127"/>
      <c r="Q82" s="127"/>
      <c r="R82" s="127"/>
      <c r="S82" s="127"/>
    </row>
    <row r="83" spans="1:19" x14ac:dyDescent="0.25">
      <c r="F83" s="116"/>
      <c r="G83" s="116"/>
      <c r="J83" s="126"/>
      <c r="K83" s="126"/>
      <c r="L83" s="127"/>
      <c r="M83" s="127"/>
      <c r="N83" s="127"/>
      <c r="O83" s="127"/>
      <c r="P83" s="127"/>
      <c r="Q83" s="127"/>
      <c r="R83" s="127"/>
      <c r="S83" s="127"/>
    </row>
    <row r="84" spans="1:19" x14ac:dyDescent="0.25">
      <c r="C84" s="127" t="str">
        <f>" Pokud IBAN nezačíná CZ, na dokladu, (buňka B80) je info o OUR platbě - poplatky hradí platící."</f>
        <v xml:space="preserve"> Pokud IBAN nezačíná CZ, na dokladu, (buňka B80) je info o OUR platbě - poplatky hradí platící.</v>
      </c>
      <c r="J84" s="126"/>
      <c r="K84" s="126"/>
      <c r="L84" s="127"/>
      <c r="M84" s="127"/>
      <c r="N84" s="127"/>
      <c r="O84" s="127"/>
      <c r="P84" s="126"/>
      <c r="Q84" s="126"/>
      <c r="R84" s="126"/>
      <c r="S84" s="126"/>
    </row>
    <row r="85" spans="1:19" x14ac:dyDescent="0.25">
      <c r="J85" s="126"/>
      <c r="K85" s="126"/>
      <c r="L85" s="126" t="s">
        <v>160</v>
      </c>
      <c r="M85" s="126"/>
      <c r="N85" s="126"/>
      <c r="O85" s="126"/>
      <c r="P85" s="126"/>
      <c r="Q85" s="126"/>
      <c r="R85" s="126"/>
      <c r="S85" s="126"/>
    </row>
    <row r="86" spans="1:19" x14ac:dyDescent="0.25">
      <c r="J86" s="126"/>
      <c r="K86" s="126"/>
      <c r="L86" s="126" t="s">
        <v>35</v>
      </c>
      <c r="M86" s="126"/>
      <c r="N86" s="126"/>
      <c r="O86" s="126"/>
      <c r="P86" s="126"/>
      <c r="Q86" s="126"/>
      <c r="R86" s="126"/>
      <c r="S86" s="126"/>
    </row>
    <row r="87" spans="1:19" x14ac:dyDescent="0.25">
      <c r="J87" s="126"/>
      <c r="K87" s="126"/>
      <c r="L87" s="126"/>
      <c r="M87" s="126"/>
      <c r="N87" s="126"/>
      <c r="O87" s="126"/>
      <c r="P87" s="126"/>
      <c r="Q87" s="126"/>
      <c r="R87" s="126"/>
      <c r="S87" s="126"/>
    </row>
    <row r="88" spans="1:19" ht="15" x14ac:dyDescent="0.25">
      <c r="C88" s="137"/>
      <c r="J88" s="126"/>
      <c r="K88" s="126"/>
      <c r="L88" s="126"/>
      <c r="M88" s="126"/>
      <c r="N88" s="126"/>
      <c r="O88" s="126"/>
      <c r="P88" s="126"/>
      <c r="Q88" s="126"/>
      <c r="R88" s="126"/>
      <c r="S88" s="126"/>
    </row>
    <row r="89" spans="1:19" x14ac:dyDescent="0.25">
      <c r="J89" s="126"/>
      <c r="K89" s="126"/>
      <c r="L89" s="126"/>
      <c r="M89" s="126"/>
      <c r="N89" s="126"/>
      <c r="O89" s="126"/>
      <c r="P89" s="126"/>
      <c r="Q89" s="126"/>
      <c r="R89" s="126"/>
      <c r="S89" s="126"/>
    </row>
    <row r="90" spans="1:19" x14ac:dyDescent="0.25">
      <c r="J90" s="126"/>
      <c r="K90" s="126"/>
      <c r="L90" s="126"/>
      <c r="M90" s="126"/>
      <c r="N90" s="126"/>
      <c r="O90" s="126"/>
      <c r="P90" s="126"/>
      <c r="Q90" s="126"/>
      <c r="R90" s="126"/>
      <c r="S90" s="126"/>
    </row>
    <row r="91" spans="1:19" x14ac:dyDescent="0.25">
      <c r="J91" s="126"/>
      <c r="K91" s="126"/>
      <c r="L91" s="126"/>
      <c r="M91" s="126"/>
      <c r="N91" s="126"/>
      <c r="O91" s="126"/>
      <c r="P91" s="126"/>
      <c r="Q91" s="126"/>
      <c r="R91" s="126"/>
      <c r="S91" s="126"/>
    </row>
    <row r="92" spans="1:19" x14ac:dyDescent="0.25">
      <c r="J92" s="126"/>
      <c r="K92" s="126"/>
      <c r="L92" s="126"/>
      <c r="M92" s="126"/>
      <c r="N92" s="126"/>
      <c r="O92" s="126"/>
      <c r="P92" s="126"/>
      <c r="Q92" s="126"/>
      <c r="R92" s="126"/>
      <c r="S92" s="126"/>
    </row>
    <row r="93" spans="1:19" x14ac:dyDescent="0.25">
      <c r="J93" s="126"/>
      <c r="K93" s="126"/>
      <c r="L93" s="126"/>
      <c r="M93" s="126"/>
      <c r="N93" s="126"/>
      <c r="O93" s="126"/>
      <c r="P93" s="126"/>
      <c r="Q93" s="126"/>
      <c r="R93" s="126"/>
      <c r="S93" s="126"/>
    </row>
    <row r="94" spans="1:19" x14ac:dyDescent="0.25">
      <c r="J94" s="126"/>
      <c r="K94" s="126"/>
      <c r="L94" s="126"/>
      <c r="M94" s="126"/>
      <c r="N94" s="126"/>
      <c r="O94" s="126"/>
      <c r="P94" s="126"/>
      <c r="Q94" s="126"/>
      <c r="R94" s="126"/>
      <c r="S94" s="126"/>
    </row>
    <row r="95" spans="1:19" ht="15" x14ac:dyDescent="0.25">
      <c r="D95" s="113"/>
      <c r="J95" s="126"/>
      <c r="K95" s="126"/>
      <c r="L95" s="126"/>
      <c r="M95" s="126"/>
      <c r="N95" s="126"/>
      <c r="O95" s="126"/>
      <c r="P95" s="126"/>
      <c r="Q95" s="126"/>
      <c r="R95" s="126"/>
      <c r="S95" s="126"/>
    </row>
    <row r="96" spans="1:19" x14ac:dyDescent="0.25">
      <c r="J96" s="126"/>
      <c r="K96" s="126"/>
      <c r="L96" s="126"/>
      <c r="M96" s="126"/>
      <c r="N96" s="126"/>
      <c r="O96" s="126"/>
      <c r="P96" s="126"/>
      <c r="Q96" s="126"/>
      <c r="R96" s="126"/>
      <c r="S96" s="126"/>
    </row>
    <row r="97" spans="10:19" x14ac:dyDescent="0.25">
      <c r="J97" s="126"/>
      <c r="K97" s="126"/>
      <c r="L97" s="126"/>
      <c r="M97" s="126"/>
      <c r="N97" s="126"/>
      <c r="O97" s="126"/>
      <c r="P97" s="126"/>
      <c r="Q97" s="126"/>
      <c r="R97" s="126"/>
      <c r="S97" s="126"/>
    </row>
    <row r="98" spans="10:19" x14ac:dyDescent="0.25">
      <c r="J98" s="126"/>
      <c r="K98" s="126"/>
      <c r="L98" s="126"/>
      <c r="M98" s="126"/>
      <c r="N98" s="126"/>
      <c r="O98" s="126"/>
      <c r="P98" s="126"/>
      <c r="Q98" s="126"/>
      <c r="R98" s="126"/>
      <c r="S98" s="126"/>
    </row>
    <row r="99" spans="10:19" x14ac:dyDescent="0.25">
      <c r="J99" s="126"/>
      <c r="K99" s="126"/>
      <c r="L99" s="126"/>
      <c r="M99" s="126"/>
      <c r="N99" s="126"/>
      <c r="O99" s="126"/>
      <c r="P99" s="126"/>
      <c r="Q99" s="126"/>
      <c r="R99" s="126"/>
      <c r="S99" s="126"/>
    </row>
    <row r="100" spans="10:19" x14ac:dyDescent="0.25"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</row>
    <row r="101" spans="10:19" x14ac:dyDescent="0.25">
      <c r="J101" s="126"/>
      <c r="K101" s="126"/>
      <c r="L101" s="126"/>
      <c r="M101" s="126"/>
      <c r="N101" s="126"/>
      <c r="O101" s="126"/>
      <c r="P101" s="126"/>
      <c r="Q101" s="126"/>
      <c r="R101" s="126"/>
      <c r="S101" s="126"/>
    </row>
    <row r="102" spans="10:19" x14ac:dyDescent="0.25">
      <c r="J102" s="126"/>
      <c r="K102" s="126"/>
      <c r="L102" s="126"/>
      <c r="M102" s="126"/>
      <c r="N102" s="126"/>
      <c r="O102" s="126"/>
      <c r="P102" s="126"/>
      <c r="Q102" s="126"/>
      <c r="R102" s="126"/>
      <c r="S102" s="126"/>
    </row>
    <row r="103" spans="10:19" x14ac:dyDescent="0.25"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</row>
    <row r="104" spans="10:19" x14ac:dyDescent="0.25"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</row>
    <row r="105" spans="10:19" x14ac:dyDescent="0.25"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</row>
    <row r="106" spans="10:19" x14ac:dyDescent="0.25"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</row>
    <row r="107" spans="10:19" x14ac:dyDescent="0.25"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</row>
    <row r="108" spans="10:19" x14ac:dyDescent="0.25"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</row>
    <row r="109" spans="10:19" x14ac:dyDescent="0.25"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</row>
    <row r="110" spans="10:19" x14ac:dyDescent="0.25"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</row>
    <row r="111" spans="10:19" x14ac:dyDescent="0.25"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</row>
    <row r="112" spans="10:19" x14ac:dyDescent="0.25"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</row>
    <row r="113" spans="10:19" x14ac:dyDescent="0.25"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</row>
    <row r="114" spans="10:19" x14ac:dyDescent="0.25"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</row>
    <row r="115" spans="10:19" x14ac:dyDescent="0.25"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</row>
    <row r="116" spans="10:19" x14ac:dyDescent="0.25"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</row>
    <row r="117" spans="10:19" x14ac:dyDescent="0.25"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</row>
    <row r="118" spans="10:19" x14ac:dyDescent="0.25"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</row>
    <row r="119" spans="10:19" x14ac:dyDescent="0.25">
      <c r="L119" s="126"/>
      <c r="M119" s="126"/>
      <c r="N119" s="126"/>
      <c r="O119" s="126"/>
    </row>
  </sheetData>
  <sheetProtection formatCells="0" formatColumns="0" formatRows="0" insertColumns="0" insertRows="0" insertHyperlinks="0" deleteColumns="0" deleteRows="0" sort="0" autoFilter="0" pivotTables="0"/>
  <protectedRanges>
    <protectedRange sqref="C62:C65 C76:C79" name="PodpisVzorce"/>
    <protectedRange sqref="F56:G58" name="CelkemVzorce"/>
    <protectedRange sqref="G47:G53" name="NakladyKProplaceniVzorce"/>
    <protectedRange sqref="C47:F52" name="NakladyKProplaceni"/>
    <protectedRange sqref="C20:F42" name="CinnostiKEditaci"/>
    <protectedRange sqref="G20:G43" name="CinnostiVzorce"/>
    <protectedRange sqref="B6:C11" name="DodavatelVListuVzorce"/>
    <protectedRange sqref="D6:G11" name="ZakaznikVListuVzorce"/>
  </protectedRanges>
  <mergeCells count="54">
    <mergeCell ref="M1:Y2"/>
    <mergeCell ref="K2:L2"/>
    <mergeCell ref="E78:G78"/>
    <mergeCell ref="B80:H80"/>
    <mergeCell ref="L4:O4"/>
    <mergeCell ref="L6:O6"/>
    <mergeCell ref="L12:O12"/>
    <mergeCell ref="D5:G5"/>
    <mergeCell ref="L33:M33"/>
    <mergeCell ref="L5:O5"/>
    <mergeCell ref="B2:D4"/>
    <mergeCell ref="B5:C5"/>
    <mergeCell ref="B6:C6"/>
    <mergeCell ref="B7:C7"/>
    <mergeCell ref="B8:C8"/>
    <mergeCell ref="B9:C9"/>
    <mergeCell ref="E76:G76"/>
    <mergeCell ref="E77:G77"/>
    <mergeCell ref="Q10:T10"/>
    <mergeCell ref="E3:F3"/>
    <mergeCell ref="E2:F2"/>
    <mergeCell ref="Q15:T15"/>
    <mergeCell ref="Q12:T12"/>
    <mergeCell ref="D6:G6"/>
    <mergeCell ref="L9:O9"/>
    <mergeCell ref="L10:O10"/>
    <mergeCell ref="Q6:T6"/>
    <mergeCell ref="Q7:T7"/>
    <mergeCell ref="Q8:T8"/>
    <mergeCell ref="Q9:T9"/>
    <mergeCell ref="D7:G7"/>
    <mergeCell ref="D8:G8"/>
    <mergeCell ref="E4:G4"/>
    <mergeCell ref="E43:F43"/>
    <mergeCell ref="Q14:T14"/>
    <mergeCell ref="Q11:T11"/>
    <mergeCell ref="E53:F53"/>
    <mergeCell ref="Q5:T5"/>
    <mergeCell ref="Q4:T4"/>
    <mergeCell ref="L40:O40"/>
    <mergeCell ref="L41:O41"/>
    <mergeCell ref="L34:U38"/>
    <mergeCell ref="L8:O8"/>
    <mergeCell ref="L15:M15"/>
    <mergeCell ref="Q13:T13"/>
    <mergeCell ref="D9:G9"/>
    <mergeCell ref="L7:O7"/>
    <mergeCell ref="D11:G11"/>
    <mergeCell ref="B10:C10"/>
    <mergeCell ref="L14:O14"/>
    <mergeCell ref="L13:O13"/>
    <mergeCell ref="L11:O11"/>
    <mergeCell ref="D10:G10"/>
    <mergeCell ref="B11:C11"/>
  </mergeCells>
  <dataValidations count="3">
    <dataValidation type="list" allowBlank="1" showInputMessage="1" showErrorMessage="1" sqref="Q5:T5" xr:uid="{197AC94D-C10E-45E3-97B0-A9888220E7EB}">
      <formula1>Firmy</formula1>
    </dataValidation>
    <dataValidation type="list" allowBlank="1" showInputMessage="1" showErrorMessage="1" sqref="L15:M15" xr:uid="{CE21A4E2-AFD4-4953-B5D8-DDF6218CDECB}">
      <formula1>"Tento měsíc,Předchozí měsíc"</formula1>
    </dataValidation>
    <dataValidation type="list" allowBlank="1" showInputMessage="1" showErrorMessage="1" sqref="K2:L2" xr:uid="{04B3DA13-E574-473B-BEEC-E43EF2EE97ED}">
      <formula1>"Předevčírem,Včera,Dnes,Zítra,Pozítří"</formula1>
    </dataValidation>
  </dataValidations>
  <hyperlinks>
    <hyperlink ref="Q11" r:id="rId1" xr:uid="{D87CFEA0-0FCD-4BF4-B76D-0384A5DAEBAE}"/>
    <hyperlink ref="Q14" r:id="rId2" xr:uid="{CC41383F-F481-4FBF-8FF4-8E8BF0573C19}"/>
    <hyperlink ref="U13" r:id="rId3" display="IBAN Kalkulátor" xr:uid="{1B51A204-7CDC-4155-AD6E-8D8A9A16A74F}"/>
  </hyperlinks>
  <printOptions horizontalCentered="1" verticalCentered="1"/>
  <pageMargins left="3.937007874015748E-2" right="3.937007874015748E-2" top="0.11811023622047245" bottom="0.19685039370078741" header="0.11811023622047245" footer="0.27559055118110237"/>
  <pageSetup paperSize="9" scale="65" orientation="portrait" r:id="rId4"/>
  <headerFooter alignWithMargins="0">
    <oddFooter>&amp;C
&amp;G &amp;10Tato nabídka je vystavena elektronicky, aby šetřila přírodu. Je podepsána kvalifikovaným certifikátem CA PostSignum a má stejnou právní váhu jako listinný dokument.</oddFooter>
  </headerFooter>
  <ignoredErrors>
    <ignoredError sqref="Q10 L8:O12 M7:O7" unlockedFormula="1"/>
  </ignoredErrors>
  <drawing r:id="rId5"/>
  <legacyDrawingHF r:id="rId6"/>
  <tableParts count="4"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822AF-FE19-414F-A432-C52BECB7CC08}">
  <sheetPr codeName="Sheet6">
    <tabColor rgb="FFFF6699"/>
    <pageSetUpPr fitToPage="1"/>
  </sheetPr>
  <dimension ref="A1:CC118"/>
  <sheetViews>
    <sheetView topLeftCell="A48" zoomScaleNormal="100" zoomScalePageLayoutView="25" workbookViewId="0"/>
  </sheetViews>
  <sheetFormatPr defaultColWidth="9.140625" defaultRowHeight="14.25" x14ac:dyDescent="0.25"/>
  <cols>
    <col min="1" max="2" width="3.28515625" style="109" customWidth="1"/>
    <col min="3" max="3" width="77.5703125" style="109" bestFit="1" customWidth="1"/>
    <col min="4" max="4" width="13.28515625" style="109" customWidth="1"/>
    <col min="5" max="5" width="20.42578125" style="109" customWidth="1"/>
    <col min="6" max="6" width="13.42578125" style="109" bestFit="1" customWidth="1"/>
    <col min="7" max="7" width="15.7109375" style="109" customWidth="1"/>
    <col min="8" max="9" width="3.28515625" style="109" customWidth="1"/>
    <col min="10" max="11" width="9.140625" style="109"/>
    <col min="12" max="12" width="4.5703125" style="109" customWidth="1"/>
    <col min="13" max="13" width="16" style="109" customWidth="1"/>
    <col min="14" max="14" width="2.140625" style="109" customWidth="1"/>
    <col min="15" max="15" width="24.28515625" style="109" customWidth="1"/>
    <col min="16" max="16" width="2.28515625" style="109" customWidth="1"/>
    <col min="17" max="19" width="9.140625" style="109"/>
    <col min="20" max="20" width="21.28515625" style="109" customWidth="1"/>
    <col min="21" max="25" width="9.140625" style="109"/>
    <col min="26" max="26" width="14.42578125" style="109" bestFit="1" customWidth="1"/>
    <col min="27" max="16384" width="9.140625" style="109"/>
  </cols>
  <sheetData>
    <row r="1" spans="1:26" ht="21" customHeight="1" thickBot="1" x14ac:dyDescent="0.3">
      <c r="A1" s="19"/>
      <c r="B1" s="19"/>
      <c r="C1" s="19"/>
      <c r="D1" s="19"/>
      <c r="E1" s="19"/>
      <c r="F1" s="19"/>
      <c r="G1" s="19"/>
      <c r="H1" s="19"/>
      <c r="I1" s="19"/>
      <c r="L1" s="299" t="str">
        <f>"Na tomto listě nic s výjimkou Doby splatnosti a Data dokladu neměnit - vše se načítá z listu Nabídka a QR_Config. V tomto listu jsou vzorce a kalkulace pro výtisk."</f>
        <v>Na tomto listě nic s výjimkou Doby splatnosti a Data dokladu neměnit - vše se načítá z listu Nabídka a QR_Config. V tomto listu jsou vzorce a kalkulace pro výtisk.</v>
      </c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  <c r="Y1" s="299"/>
      <c r="Z1" s="299"/>
    </row>
    <row r="2" spans="1:26" ht="21" customHeight="1" thickTop="1" x14ac:dyDescent="0.25">
      <c r="A2" s="19"/>
      <c r="B2" s="295" t="str" cm="1">
        <f t="array" aca="1" ref="B2" ca="1">"FAKTURA "&amp;_xlfn.LET(
  _xlpm.rng, INDIRECT("'Vystavené'!$D$14:$D$80"),
  _xlpm.nums, IFERROR(VALUE(_xlpm.rng),0),
  _xlpm.lastNum, MAX(_xlpm.nums),
  _xlpm.last, TEXT(_xlpm.lastNum,"0000000"),
  _xlpm.currYr, TEXT(IF(MONTH(TODAY())=1, YEAR(TODAY())-1, YEAR(TODAY())), "0000"),
  _xlpm.lastYr, RIGHT(_xlpm.last,4),
  _xlpm.hasData, _xlpm.lastNum&gt;0,
  _xlpm.seq, IF(NOT(_xlpm.hasData), 1, IF(_xlpm.lastYr=_xlpm.currYr, VALUE(LEFT(_xlpm.last,3))+1, 1)),
  TEXT(_xlpm.seq,"000") &amp; _xlpm.currYr
)</f>
        <v>FAKTURA 0072025</v>
      </c>
      <c r="C2" s="295"/>
      <c r="D2" s="296"/>
      <c r="E2" s="273" t="s">
        <v>22</v>
      </c>
      <c r="F2" s="274"/>
      <c r="G2" s="187" t="str" cm="1">
        <f t="array" aca="1" ref="G2" ca="1">TEXT(TODAY()+_xlfn.SWITCH('Zálohová Faktura'!$L$6,"Předevčírem",-2,"Včera",-1,"Dnes",0,"Zítra",1,"Pozítří",2,0),"d. mmmm rrrr")</f>
        <v>1. září 2025</v>
      </c>
      <c r="H2" s="21"/>
      <c r="I2" s="19"/>
      <c r="L2" s="299"/>
      <c r="M2" s="299"/>
      <c r="N2" s="299"/>
      <c r="O2" s="299"/>
      <c r="P2" s="299"/>
      <c r="Q2" s="299"/>
      <c r="R2" s="299"/>
      <c r="S2" s="299"/>
      <c r="T2" s="299"/>
      <c r="U2" s="299"/>
      <c r="V2" s="299"/>
      <c r="W2" s="299"/>
      <c r="X2" s="299"/>
      <c r="Y2" s="299"/>
      <c r="Z2" s="299"/>
    </row>
    <row r="3" spans="1:26" ht="21" customHeight="1" x14ac:dyDescent="0.25">
      <c r="A3" s="19"/>
      <c r="B3" s="295"/>
      <c r="C3" s="295"/>
      <c r="D3" s="296"/>
      <c r="E3" s="271" t="s">
        <v>23</v>
      </c>
      <c r="F3" s="272"/>
      <c r="G3" s="188" t="str">
        <f ca="1">TEXT(('Zálohová Faktura'!G2+'Zálohová Faktura'!$L$8),"d. mmmm rrrr")</f>
        <v>15. září 2025</v>
      </c>
      <c r="H3" s="24"/>
      <c r="I3" s="19"/>
      <c r="L3" s="152"/>
      <c r="M3" s="110"/>
      <c r="T3" s="111"/>
    </row>
    <row r="4" spans="1:26" ht="15.75" customHeight="1" thickBot="1" x14ac:dyDescent="0.3">
      <c r="A4" s="19"/>
      <c r="B4" s="295"/>
      <c r="C4" s="295"/>
      <c r="D4" s="296"/>
      <c r="E4" s="248" t="str">
        <f ca="1">"Objednávka: "&amp;Nabídka!L5</f>
        <v>Objednávka: SVJ-2025-08 (SVJ web)</v>
      </c>
      <c r="F4" s="249"/>
      <c r="G4" s="249"/>
      <c r="H4" s="25"/>
      <c r="I4" s="19"/>
      <c r="L4" s="149"/>
      <c r="M4" s="150"/>
      <c r="N4" s="150"/>
      <c r="O4" s="150"/>
    </row>
    <row r="5" spans="1:26" s="112" customFormat="1" ht="16.5" customHeight="1" thickTop="1" thickBot="1" x14ac:dyDescent="0.3">
      <c r="A5" s="93"/>
      <c r="B5" s="291" t="str">
        <f>"Dodavatel:"</f>
        <v>Dodavatel:</v>
      </c>
      <c r="C5" s="297"/>
      <c r="D5" s="291" t="str">
        <f>"Odběratel:"</f>
        <v>Odběratel:</v>
      </c>
      <c r="E5" s="292"/>
      <c r="F5" s="292"/>
      <c r="G5" s="292"/>
      <c r="H5" s="94"/>
      <c r="I5" s="93"/>
      <c r="L5" s="110" t="s">
        <v>211</v>
      </c>
      <c r="M5" s="221"/>
      <c r="N5" s="235"/>
      <c r="O5" s="235"/>
      <c r="Z5" s="151"/>
    </row>
    <row r="6" spans="1:26" ht="15" customHeight="1" thickTop="1" thickBot="1" x14ac:dyDescent="0.3">
      <c r="A6" s="19"/>
      <c r="B6" s="239" t="str">
        <f>Nabídka!Q7</f>
        <v>Michal Kopl</v>
      </c>
      <c r="C6" s="240"/>
      <c r="D6" s="278" t="str">
        <f>Nabídka!D6</f>
        <v>Ing. Vendula Mikolášová, SVJ Krškova 783-784</v>
      </c>
      <c r="E6" s="279"/>
      <c r="F6" s="279"/>
      <c r="G6" s="279"/>
      <c r="H6" s="24"/>
      <c r="I6" s="19"/>
      <c r="L6" s="257" t="s">
        <v>215</v>
      </c>
      <c r="M6" s="259"/>
      <c r="N6" s="110"/>
      <c r="O6" s="110"/>
      <c r="Q6" s="280"/>
      <c r="R6" s="280"/>
      <c r="S6" s="280"/>
      <c r="T6" s="280"/>
    </row>
    <row r="7" spans="1:26" ht="15" customHeight="1" thickTop="1" thickBot="1" x14ac:dyDescent="0.3">
      <c r="A7" s="19"/>
      <c r="B7" s="239" t="str">
        <f>Nabídka!Q8&amp;", "&amp;Nabídka!Q9</f>
        <v>Dlouhá 715/38, Praha 1-Staré Město, Česká Republika, 110 00</v>
      </c>
      <c r="C7" s="240"/>
      <c r="D7" s="278" t="str">
        <f>Nabídka!D7</f>
        <v>Krškova 783, Praha 5-Hlubočepy, Česká Republika, 152 00</v>
      </c>
      <c r="E7" s="279"/>
      <c r="F7" s="279"/>
      <c r="G7" s="279"/>
      <c r="H7" s="24"/>
      <c r="I7" s="19"/>
      <c r="L7" s="236"/>
      <c r="M7" s="236"/>
      <c r="N7" s="236"/>
      <c r="O7" s="236"/>
      <c r="Q7" s="298"/>
      <c r="R7" s="298"/>
      <c r="S7" s="298"/>
      <c r="T7" s="298"/>
    </row>
    <row r="8" spans="1:26" ht="15" customHeight="1" thickTop="1" thickBot="1" x14ac:dyDescent="0.3">
      <c r="A8" s="19"/>
      <c r="B8" s="239" t="str">
        <f>Nabídka!Q10&amp;" , "&amp;Nabídka!Q11&amp;" , "&amp;Nabídka!Q14</f>
        <v>+420 777 062 425 , michal@kopl.pro , https://www.kopl.pro</v>
      </c>
      <c r="C8" s="240"/>
      <c r="D8" s="278" t="str">
        <f>Nabídka!D8</f>
        <v>mikolasova@svjkrskova783-784.cz, www.svjkrskova783-784.cz</v>
      </c>
      <c r="E8" s="279"/>
      <c r="F8" s="279"/>
      <c r="G8" s="279"/>
      <c r="H8" s="24"/>
      <c r="I8" s="19"/>
      <c r="L8" s="92">
        <v>14</v>
      </c>
      <c r="M8" s="110" t="str">
        <f>" "&amp;"Doba splatnosti v kalendářních dnech"</f>
        <v xml:space="preserve"> Doba splatnosti v kalendářních dnech</v>
      </c>
      <c r="N8" s="236"/>
      <c r="O8" s="236"/>
      <c r="Q8" s="298"/>
      <c r="R8" s="298"/>
      <c r="S8" s="298"/>
      <c r="T8" s="298"/>
    </row>
    <row r="9" spans="1:26" ht="15" customHeight="1" thickTop="1" x14ac:dyDescent="0.25">
      <c r="A9" s="19"/>
      <c r="B9" s="239" t="str" cm="1">
        <f t="array" aca="1" ref="B9" ca="1">"BÚ:"&amp;Nabídka!$Q$12&amp;", VS:"&amp;
_xlfn.LET(
  _xlpm.rng, INDIRECT("'Vystavené'!$D$14:$D$80"),
  _xlpm.nums, IFERROR(VALUE(_xlpm.rng),0),
  _xlpm.lastNum, MAX(_xlpm.nums),
  _xlpm.last, TEXT(_xlpm.lastNum,"0000000"),
  _xlpm.currYr, TEXT(IF(MONTH(TODAY())=1, YEAR(TODAY())-1, YEAR(TODAY())), "0000"),
  _xlpm.lastYr, RIGHT(_xlpm.last,4),
  _xlpm.hasData, _xlpm.lastNum&gt;0,
  _xlpm.seq, IF(NOT(_xlpm.hasData), 1, IF(_xlpm.lastYr=_xlpm.currYr, VALUE(LEFT(_xlpm.last,3))+1, 1)),
  TEXT(_xlpm.seq,"000") &amp; _xlpm.currYr
)
&amp;", IBAN:"&amp;Nabídka!$Q$13</f>
        <v>BÚ:000000-4213366004/5500, VS:0072025, IBAN:CZ2355000000004213366004</v>
      </c>
      <c r="C9" s="240"/>
      <c r="D9" s="278" t="str">
        <f>Nabídka!D9</f>
        <v>+420 775 111 997</v>
      </c>
      <c r="E9" s="279"/>
      <c r="F9" s="279"/>
      <c r="G9" s="279"/>
      <c r="H9" s="24"/>
      <c r="I9" s="19"/>
      <c r="L9" s="237"/>
      <c r="M9" s="237"/>
      <c r="N9" s="237"/>
      <c r="O9" s="237"/>
      <c r="P9" s="115"/>
      <c r="Q9" s="298"/>
      <c r="R9" s="298"/>
      <c r="S9" s="298"/>
      <c r="T9" s="298"/>
    </row>
    <row r="10" spans="1:26" ht="15" customHeight="1" x14ac:dyDescent="0.25">
      <c r="A10" s="19"/>
      <c r="B10" s="239" t="str">
        <f>Nabídka!Q15</f>
        <v>BIC/SWIFT:RZBCCZPP, IČO: 03217213, Dodavatel není plátcem DPH.</v>
      </c>
      <c r="C10" s="240"/>
      <c r="D10" s="278" t="str">
        <f>Nabídka!D10</f>
        <v>IČO: 71198407</v>
      </c>
      <c r="E10" s="279"/>
      <c r="F10" s="279"/>
      <c r="G10" s="279"/>
      <c r="H10" s="24"/>
      <c r="I10" s="19"/>
      <c r="L10" s="236"/>
      <c r="M10" s="236"/>
      <c r="N10" s="236"/>
      <c r="O10" s="236"/>
      <c r="Q10" s="298"/>
      <c r="R10" s="298"/>
      <c r="S10" s="298"/>
      <c r="T10" s="298"/>
    </row>
    <row r="11" spans="1:26" ht="15" customHeight="1" thickBot="1" x14ac:dyDescent="0.3">
      <c r="A11" s="19"/>
      <c r="B11" s="246"/>
      <c r="C11" s="247"/>
      <c r="D11" s="246"/>
      <c r="E11" s="284"/>
      <c r="F11" s="284"/>
      <c r="G11" s="284"/>
      <c r="H11" s="24"/>
      <c r="I11" s="19"/>
      <c r="L11" s="118"/>
      <c r="M11" s="236"/>
      <c r="N11" s="236"/>
      <c r="O11" s="236"/>
      <c r="Q11" s="300"/>
      <c r="R11" s="298"/>
      <c r="S11" s="298"/>
      <c r="T11" s="298"/>
    </row>
    <row r="12" spans="1:26" ht="15" customHeight="1" thickTop="1" x14ac:dyDescent="0.25">
      <c r="A12" s="19"/>
      <c r="B12" s="31"/>
      <c r="C12" s="32"/>
      <c r="D12" s="33"/>
      <c r="E12" s="33"/>
      <c r="F12" s="34"/>
      <c r="G12" s="34"/>
      <c r="H12" s="21"/>
      <c r="I12" s="19"/>
      <c r="Q12" s="298"/>
      <c r="R12" s="298"/>
      <c r="S12" s="298"/>
      <c r="T12" s="298"/>
    </row>
    <row r="13" spans="1:26" ht="15" customHeight="1" x14ac:dyDescent="0.25">
      <c r="A13" s="19"/>
      <c r="B13" s="26"/>
      <c r="C13" s="22"/>
      <c r="D13" s="28"/>
      <c r="E13" s="28"/>
      <c r="F13" s="30"/>
      <c r="G13" s="30"/>
      <c r="H13" s="24"/>
      <c r="I13" s="19"/>
      <c r="Q13" s="298"/>
      <c r="R13" s="298"/>
      <c r="S13" s="298"/>
      <c r="T13" s="298"/>
      <c r="U13" s="118"/>
    </row>
    <row r="14" spans="1:26" ht="15" customHeight="1" x14ac:dyDescent="0.25">
      <c r="A14" s="19"/>
      <c r="B14" s="26"/>
      <c r="C14" s="19"/>
      <c r="D14" s="35"/>
      <c r="E14" s="27"/>
      <c r="F14" s="30"/>
      <c r="G14" s="30"/>
      <c r="H14" s="24"/>
      <c r="I14" s="19"/>
      <c r="Q14" s="300"/>
      <c r="R14" s="298"/>
      <c r="S14" s="298"/>
      <c r="T14" s="298"/>
    </row>
    <row r="15" spans="1:26" ht="15" customHeight="1" x14ac:dyDescent="0.25">
      <c r="A15" s="19"/>
      <c r="B15" s="26"/>
      <c r="C15" s="138" t="s">
        <v>3</v>
      </c>
      <c r="D15" s="98" t="s">
        <v>150</v>
      </c>
      <c r="E15" s="139" t="s">
        <v>148</v>
      </c>
      <c r="F15" s="107" t="s">
        <v>149</v>
      </c>
      <c r="G15" s="108" t="s">
        <v>75</v>
      </c>
      <c r="H15" s="24"/>
      <c r="I15" s="19"/>
      <c r="L15" s="110"/>
      <c r="M15" s="109" t="s">
        <v>161</v>
      </c>
      <c r="T15" s="135"/>
    </row>
    <row r="16" spans="1:26" ht="15" customHeight="1" x14ac:dyDescent="0.25">
      <c r="A16" s="19"/>
      <c r="B16" s="26"/>
      <c r="C16" s="155" t="str">
        <f>Nabídka!C16</f>
        <v>Full-remote</v>
      </c>
      <c r="D16" s="190"/>
      <c r="E16" s="181" t="str">
        <f ca="1">Lokalita[[#This Row],[Období plnění]]</f>
        <v>srpen 2025</v>
      </c>
      <c r="F16" s="191"/>
      <c r="G16" s="192" t="str">
        <f>IF(Nabídka!L16=1,Nabídka!L16&amp;" hodina",IF(AND(Nabídka!L16&gt;1,Nabídka!L16&lt;5),Nabídka!L16&amp;" hodiny",Nabídka!L16&amp;" hodin"))</f>
        <v>5,6 hodin</v>
      </c>
      <c r="H16" s="24"/>
      <c r="I16" s="19"/>
      <c r="L16" s="152"/>
      <c r="M16" s="110"/>
      <c r="T16" s="135"/>
    </row>
    <row r="17" spans="1:23" ht="15" customHeight="1" x14ac:dyDescent="0.25">
      <c r="A17" s="19"/>
      <c r="B17" s="26"/>
      <c r="C17" s="19"/>
      <c r="D17" s="41"/>
      <c r="E17" s="27"/>
      <c r="F17" s="30"/>
      <c r="G17" s="30"/>
      <c r="H17" s="24"/>
      <c r="I17" s="19"/>
      <c r="T17" s="117"/>
    </row>
    <row r="18" spans="1:23" ht="15" customHeight="1" x14ac:dyDescent="0.25">
      <c r="A18" s="19"/>
      <c r="B18" s="26"/>
      <c r="C18" s="36"/>
      <c r="D18" s="36"/>
      <c r="E18" s="42"/>
      <c r="F18" s="30"/>
      <c r="G18" s="30"/>
      <c r="H18" s="24"/>
      <c r="I18" s="19"/>
    </row>
    <row r="19" spans="1:23" ht="15" customHeight="1" x14ac:dyDescent="0.25">
      <c r="A19" s="19"/>
      <c r="B19" s="26"/>
      <c r="C19" s="140" t="s">
        <v>5</v>
      </c>
      <c r="D19" s="43" t="s">
        <v>6</v>
      </c>
      <c r="E19" s="39" t="s">
        <v>7</v>
      </c>
      <c r="F19" s="44" t="s">
        <v>9</v>
      </c>
      <c r="G19" s="44" t="s">
        <v>8</v>
      </c>
      <c r="H19" s="45"/>
      <c r="I19" s="19"/>
      <c r="L19" s="110"/>
    </row>
    <row r="20" spans="1:23" ht="15" customHeight="1" x14ac:dyDescent="0.25">
      <c r="A20" s="19"/>
      <c r="B20" s="26"/>
      <c r="C20" s="155" t="str">
        <f>IF(Nabídka!C20&lt;&gt;"",Nabídka!C20,"")</f>
        <v>Tvorba článků 142, 143, 144, 145, 146, 147, 148, 149</v>
      </c>
      <c r="D20" s="156" t="str">
        <f>IF(Nabídka!D20&lt;&gt;"",Nabídka!D20,"")</f>
        <v>hodina</v>
      </c>
      <c r="E20" s="156">
        <f>IF(Nabídka!E20&lt;&gt;"",Nabídka!E20,"")</f>
        <v>2.25</v>
      </c>
      <c r="F20" s="157">
        <f>IF(Nabídka!F20&lt;&gt;"",Nabídka!F20,"")</f>
        <v>750</v>
      </c>
      <c r="G20" s="157">
        <f>IF(AND((Nabídka!C20&lt;&gt;""),(Nabídka!D20&lt;&gt;""),(Nabídka!E20&lt;&gt;""),(Nabídka!F20&lt;&gt;"")),(Nabídka!E20*Nabídka!F20),"")</f>
        <v>1687.5</v>
      </c>
      <c r="H20" s="45"/>
      <c r="I20" s="19"/>
      <c r="M20" s="121"/>
      <c r="P20" s="335"/>
      <c r="T20" s="336"/>
      <c r="W20" s="120"/>
    </row>
    <row r="21" spans="1:23" ht="15" customHeight="1" x14ac:dyDescent="0.25">
      <c r="A21" s="19"/>
      <c r="B21" s="26"/>
      <c r="C21" s="155" t="str">
        <f>IF(Nabídka!C21&lt;&gt;"",Nabídka!C21,"")</f>
        <v>Digitalizace obsahu dokumentů z nástěnky, skenování, přepis 145,146</v>
      </c>
      <c r="D21" s="156" t="str">
        <f>IF(Nabídka!D21&lt;&gt;"",Nabídka!D21,"")</f>
        <v>hodina</v>
      </c>
      <c r="E21" s="156">
        <f>IF(Nabídka!E21&lt;&gt;"",Nabídka!E21,"")</f>
        <v>2.2000000000000002</v>
      </c>
      <c r="F21" s="157">
        <f>IF(Nabídka!F21&lt;&gt;"",Nabídka!F21,"")</f>
        <v>750</v>
      </c>
      <c r="G21" s="157">
        <f>IF(AND((Nabídka!C21&lt;&gt;""),(Nabídka!D21&lt;&gt;""),(Nabídka!E21&lt;&gt;""),(Nabídka!F21&lt;&gt;"")),(Nabídka!E21*Nabídka!F21),"")</f>
        <v>1650.0000000000002</v>
      </c>
      <c r="H21" s="45"/>
      <c r="I21" s="19"/>
      <c r="M21" s="121"/>
      <c r="W21" s="120"/>
    </row>
    <row r="22" spans="1:23" ht="15" customHeight="1" x14ac:dyDescent="0.25">
      <c r="A22" s="19"/>
      <c r="B22" s="26"/>
      <c r="C22" s="155" t="str">
        <f>IF(Nabídka!C22&lt;&gt;"",Nabídka!C22,"")</f>
        <v>Správa Modal Pop-Up 147, 148, 149</v>
      </c>
      <c r="D22" s="156" t="str">
        <f>IF(Nabídka!D22&lt;&gt;"",Nabídka!D22,"")</f>
        <v>hodina</v>
      </c>
      <c r="E22" s="156">
        <f>IF(Nabídka!E22&lt;&gt;"",Nabídka!E22,"")</f>
        <v>0.25</v>
      </c>
      <c r="F22" s="157">
        <f>IF(Nabídka!F22&lt;&gt;"",Nabídka!F22,"")</f>
        <v>750</v>
      </c>
      <c r="G22" s="157">
        <f>IF(AND((Nabídka!C22&lt;&gt;""),(Nabídka!D22&lt;&gt;""),(Nabídka!E22&lt;&gt;""),(Nabídka!F22&lt;&gt;"")),(Nabídka!E22*Nabídka!F22),"")</f>
        <v>187.5</v>
      </c>
      <c r="H22" s="45"/>
      <c r="I22" s="19"/>
      <c r="L22" s="110"/>
      <c r="M22" s="121"/>
      <c r="W22" s="120"/>
    </row>
    <row r="23" spans="1:23" ht="15" customHeight="1" x14ac:dyDescent="0.25">
      <c r="A23" s="19"/>
      <c r="B23" s="26"/>
      <c r="C23" s="155" t="str">
        <f>IF(Nabídka!C23&lt;&gt;"",Nabídka!C23,"")</f>
        <v>Aktualizace CMS Joomla! 5.3.1 -&gt; 5.3.2,  5.3.2 -&gt; 5.3.3</v>
      </c>
      <c r="D23" s="156" t="str">
        <f>IF(Nabídka!D23&lt;&gt;"",Nabídka!D23,"")</f>
        <v>hodina</v>
      </c>
      <c r="E23" s="156">
        <f>IF(Nabídka!E23&lt;&gt;"",Nabídka!E23,"")</f>
        <v>0.13</v>
      </c>
      <c r="F23" s="157">
        <f>IF(Nabídka!F23&lt;&gt;"",Nabídka!F23,"")</f>
        <v>750</v>
      </c>
      <c r="G23" s="157">
        <f>IF(AND((Nabídka!C23&lt;&gt;""),(Nabídka!D23&lt;&gt;""),(Nabídka!E23&lt;&gt;""),(Nabídka!F23&lt;&gt;"")),(Nabídka!E23*Nabídka!F23),"")</f>
        <v>97.5</v>
      </c>
      <c r="H23" s="45"/>
      <c r="I23" s="19"/>
      <c r="M23" s="121"/>
      <c r="W23" s="120"/>
    </row>
    <row r="24" spans="1:23" ht="15" customHeight="1" x14ac:dyDescent="0.25">
      <c r="A24" s="19"/>
      <c r="B24" s="26"/>
      <c r="C24" s="155" t="str">
        <f>IF(Nabídka!C24&lt;&gt;"",Nabídka!C24,"")</f>
        <v>Aktualizace komponenty Nicepage 7.9.4 -&gt; 7.10.10, 7.10.10 -&gt; 7.11.4,  7.11.4 -&gt; 7.12.8</v>
      </c>
      <c r="D24" s="156" t="str">
        <f>IF(Nabídka!D24&lt;&gt;"",Nabídka!D24,"")</f>
        <v>hodina</v>
      </c>
      <c r="E24" s="156">
        <f>IF(Nabídka!E24&lt;&gt;"",Nabídka!E24,"")</f>
        <v>0.09</v>
      </c>
      <c r="F24" s="157">
        <f>IF(Nabídka!F24&lt;&gt;"",Nabídka!F24,"")</f>
        <v>750</v>
      </c>
      <c r="G24" s="157">
        <f>IF(AND((Nabídka!C24&lt;&gt;""),(Nabídka!D24&lt;&gt;""),(Nabídka!E24&lt;&gt;""),(Nabídka!F24&lt;&gt;"")),(Nabídka!E24*Nabídka!F24),"")</f>
        <v>67.5</v>
      </c>
      <c r="H24" s="45"/>
      <c r="I24" s="19"/>
      <c r="L24" s="110" t="s">
        <v>177</v>
      </c>
      <c r="M24" s="121"/>
      <c r="W24" s="120"/>
    </row>
    <row r="25" spans="1:23" ht="15" customHeight="1" x14ac:dyDescent="0.25">
      <c r="A25" s="19"/>
      <c r="B25" s="26"/>
      <c r="C25" s="155" t="str">
        <f>IF(Nabídka!C25&lt;&gt;"",Nabídka!C25,"")</f>
        <v>Připnutí článků 145, 146 - změna pořadí</v>
      </c>
      <c r="D25" s="156" t="str">
        <f>IF(Nabídka!D25&lt;&gt;"",Nabídka!D25,"")</f>
        <v>hodina</v>
      </c>
      <c r="E25" s="156">
        <f>IF(Nabídka!E25&lt;&gt;"",Nabídka!E25,"")</f>
        <v>0.09</v>
      </c>
      <c r="F25" s="157">
        <f>IF(Nabídka!F25&lt;&gt;"",Nabídka!F25,"")</f>
        <v>750</v>
      </c>
      <c r="G25" s="157">
        <f>IF(AND((Nabídka!C25&lt;&gt;""),(Nabídka!D25&lt;&gt;""),(Nabídka!E25&lt;&gt;""),(Nabídka!F25&lt;&gt;"")),(Nabídka!E25*Nabídka!F25),"")</f>
        <v>67.5</v>
      </c>
      <c r="H25" s="45"/>
      <c r="I25" s="19"/>
      <c r="M25" s="121"/>
      <c r="W25" s="120"/>
    </row>
    <row r="26" spans="1:23" ht="15" customHeight="1" x14ac:dyDescent="0.25">
      <c r="A26" s="19"/>
      <c r="B26" s="26"/>
      <c r="C26" s="155" t="str">
        <f>IF(Nabídka!C26&lt;&gt;"",Nabídka!C26,"")</f>
        <v>Dokument s aktuálními kontakty SVJ pro nástěnky vchodů</v>
      </c>
      <c r="D26" s="156" t="str">
        <f>IF(Nabídka!D26&lt;&gt;"",Nabídka!D26,"")</f>
        <v>hodina</v>
      </c>
      <c r="E26" s="156">
        <f>IF(Nabídka!E26&lt;&gt;"",Nabídka!E26,"")</f>
        <v>0.5</v>
      </c>
      <c r="F26" s="157">
        <f>IF(Nabídka!F26&lt;&gt;"",Nabídka!F26,"")</f>
        <v>750</v>
      </c>
      <c r="G26" s="157">
        <f>IF(AND((Nabídka!C26&lt;&gt;""),(Nabídka!D26&lt;&gt;""),(Nabídka!E26&lt;&gt;""),(Nabídka!F26&lt;&gt;"")),(Nabídka!E26*Nabídka!F26),"")</f>
        <v>375</v>
      </c>
      <c r="H26" s="45"/>
      <c r="I26" s="19"/>
      <c r="M26" s="121"/>
      <c r="O26" s="153"/>
      <c r="P26" s="153"/>
      <c r="Q26" s="153"/>
      <c r="R26" s="153"/>
      <c r="S26" s="153"/>
      <c r="T26" s="153"/>
      <c r="W26" s="120"/>
    </row>
    <row r="27" spans="1:23" ht="15" customHeight="1" x14ac:dyDescent="0.25">
      <c r="A27" s="19"/>
      <c r="B27" s="26"/>
      <c r="C27" s="155" t="str">
        <f>IF(Nabídka!C27&lt;&gt;"",Nabídka!C27,"")</f>
        <v>Aktualizace komponenty AIMY Sitemap 38.0 -&gt; 38.1</v>
      </c>
      <c r="D27" s="156" t="str">
        <f>IF(Nabídka!D27&lt;&gt;"",Nabídka!D27,"")</f>
        <v>hodina</v>
      </c>
      <c r="E27" s="156">
        <f>IF(Nabídka!E27&lt;&gt;"",Nabídka!E27,"")</f>
        <v>0.09</v>
      </c>
      <c r="F27" s="157">
        <f>IF(Nabídka!F27&lt;&gt;"",Nabídka!F27,"")</f>
        <v>750</v>
      </c>
      <c r="G27" s="157">
        <f>IF(AND((Nabídka!C27&lt;&gt;""),(Nabídka!D27&lt;&gt;""),(Nabídka!E27&lt;&gt;""),(Nabídka!F27&lt;&gt;"")),(Nabídka!E27*Nabídka!F27),"")</f>
        <v>67.5</v>
      </c>
      <c r="H27" s="45"/>
      <c r="I27" s="19"/>
      <c r="M27" s="121"/>
      <c r="O27" s="153"/>
      <c r="P27" s="153"/>
      <c r="Q27" s="153"/>
      <c r="R27" s="153"/>
      <c r="S27" s="153"/>
      <c r="T27" s="153"/>
      <c r="W27" s="120"/>
    </row>
    <row r="28" spans="1:23" ht="15" customHeight="1" x14ac:dyDescent="0.25">
      <c r="A28" s="19"/>
      <c r="B28" s="26"/>
      <c r="C28" s="155" t="str">
        <f>IF(Nabídka!C28&lt;&gt;"",Nabídka!C28,"")</f>
        <v/>
      </c>
      <c r="D28" s="156" t="str">
        <f>IF(Nabídka!D28&lt;&gt;"",Nabídka!D28,"")</f>
        <v/>
      </c>
      <c r="E28" s="156" t="str">
        <f>IF(Nabídka!E28&lt;&gt;"",Nabídka!E28,"")</f>
        <v/>
      </c>
      <c r="F28" s="157" t="str">
        <f>IF(Nabídka!F28&lt;&gt;"",Nabídka!F28,"")</f>
        <v/>
      </c>
      <c r="G28" s="157" t="str">
        <f>IF(AND((Nabídka!C28&lt;&gt;""),(Nabídka!D28&lt;&gt;""),(Nabídka!E28&lt;&gt;""),(Nabídka!F28&lt;&gt;"")),(Nabídka!E28*Nabídka!F28),"")</f>
        <v/>
      </c>
      <c r="H28" s="45"/>
      <c r="I28" s="19"/>
      <c r="M28" s="121"/>
      <c r="O28" s="153"/>
      <c r="P28" s="153"/>
      <c r="Q28" s="153"/>
      <c r="R28" s="153"/>
      <c r="S28" s="153"/>
      <c r="T28" s="153"/>
      <c r="W28" s="120"/>
    </row>
    <row r="29" spans="1:23" ht="15" customHeight="1" x14ac:dyDescent="0.25">
      <c r="A29" s="19"/>
      <c r="B29" s="26"/>
      <c r="C29" s="155" t="str">
        <f>IF(Nabídka!C29&lt;&gt;"",Nabídka!C29,"")</f>
        <v/>
      </c>
      <c r="D29" s="156" t="str">
        <f>IF(Nabídka!D29&lt;&gt;"",Nabídka!D29,"")</f>
        <v/>
      </c>
      <c r="E29" s="156" t="str">
        <f>IF(Nabídka!E29&lt;&gt;"",Nabídka!E29,"")</f>
        <v/>
      </c>
      <c r="F29" s="157" t="str">
        <f>IF(Nabídka!F29&lt;&gt;"",Nabídka!F29,"")</f>
        <v/>
      </c>
      <c r="G29" s="157" t="str">
        <f>IF(AND((Nabídka!C29&lt;&gt;""),(Nabídka!D29&lt;&gt;""),(Nabídka!E29&lt;&gt;""),(Nabídka!F29&lt;&gt;"")),(Nabídka!E29*Nabídka!F29),"")</f>
        <v/>
      </c>
      <c r="H29" s="45"/>
      <c r="I29" s="19"/>
      <c r="M29" s="121"/>
      <c r="O29" s="153"/>
      <c r="P29" s="153"/>
      <c r="Q29" s="153"/>
      <c r="R29" s="153"/>
      <c r="S29" s="153"/>
      <c r="T29" s="153"/>
      <c r="W29" s="120"/>
    </row>
    <row r="30" spans="1:23" ht="15" customHeight="1" x14ac:dyDescent="0.25">
      <c r="A30" s="19"/>
      <c r="B30" s="26"/>
      <c r="C30" s="155" t="str">
        <f>IF(Nabídka!C30&lt;&gt;"",Nabídka!C30,"")</f>
        <v/>
      </c>
      <c r="D30" s="156" t="str">
        <f>IF(Nabídka!D30&lt;&gt;"",Nabídka!D30,"")</f>
        <v/>
      </c>
      <c r="E30" s="156" t="str">
        <f>IF(Nabídka!E30&lt;&gt;"",Nabídka!E30,"")</f>
        <v/>
      </c>
      <c r="F30" s="157" t="str">
        <f>IF(Nabídka!F30&lt;&gt;"",Nabídka!F30,"")</f>
        <v/>
      </c>
      <c r="G30" s="157" t="str">
        <f>IF(AND((Nabídka!C30&lt;&gt;""),(Nabídka!D30&lt;&gt;""),(Nabídka!E30&lt;&gt;""),(Nabídka!F30&lt;&gt;"")),(Nabídka!E30*Nabídka!F30),"")</f>
        <v/>
      </c>
      <c r="H30" s="45"/>
      <c r="I30" s="19"/>
      <c r="M30" s="121"/>
      <c r="O30" s="153"/>
      <c r="P30" s="153"/>
      <c r="Q30" s="153"/>
      <c r="R30" s="153"/>
      <c r="S30" s="153"/>
      <c r="T30" s="153"/>
      <c r="W30" s="120"/>
    </row>
    <row r="31" spans="1:23" ht="15" customHeight="1" x14ac:dyDescent="0.25">
      <c r="A31" s="19"/>
      <c r="B31" s="26"/>
      <c r="C31" s="155" t="str">
        <f>IF(Nabídka!C31&lt;&gt;"",Nabídka!C31,"")</f>
        <v/>
      </c>
      <c r="D31" s="156" t="str">
        <f>IF(Nabídka!D31&lt;&gt;"",Nabídka!D31,"")</f>
        <v/>
      </c>
      <c r="E31" s="156" t="str">
        <f>IF(Nabídka!E31&lt;&gt;"",Nabídka!E31,"")</f>
        <v/>
      </c>
      <c r="F31" s="157" t="str">
        <f>IF(Nabídka!F31&lt;&gt;"",Nabídka!F31,"")</f>
        <v/>
      </c>
      <c r="G31" s="157" t="str">
        <f>IF(AND((Nabídka!C31&lt;&gt;""),(Nabídka!D31&lt;&gt;""),(Nabídka!E31&lt;&gt;""),(Nabídka!F31&lt;&gt;"")),(Nabídka!E31*Nabídka!F31),"")</f>
        <v/>
      </c>
      <c r="H31" s="45"/>
      <c r="I31" s="19"/>
      <c r="L31" s="123"/>
      <c r="M31" s="123"/>
      <c r="N31" s="123"/>
      <c r="O31" s="153"/>
      <c r="P31" s="153"/>
      <c r="Q31" s="153"/>
      <c r="R31" s="153"/>
      <c r="S31" s="153"/>
      <c r="T31" s="153"/>
      <c r="W31" s="120"/>
    </row>
    <row r="32" spans="1:23" ht="15" customHeight="1" x14ac:dyDescent="0.25">
      <c r="A32" s="19"/>
      <c r="B32" s="26"/>
      <c r="C32" s="155" t="str">
        <f>IF(Nabídka!C32&lt;&gt;"",Nabídka!C32,"")</f>
        <v/>
      </c>
      <c r="D32" s="156" t="str">
        <f>IF(Nabídka!D32&lt;&gt;"",Nabídka!D32,"")</f>
        <v/>
      </c>
      <c r="E32" s="156" t="str">
        <f>IF(Nabídka!E32&lt;&gt;"",Nabídka!E32,"")</f>
        <v/>
      </c>
      <c r="F32" s="157" t="str">
        <f>IF(Nabídka!F32&lt;&gt;"",Nabídka!F32,"")</f>
        <v/>
      </c>
      <c r="G32" s="157" t="str">
        <f>IF(AND((Nabídka!C32&lt;&gt;""),(Nabídka!D32&lt;&gt;""),(Nabídka!E32&lt;&gt;""),(Nabídka!F32&lt;&gt;"")),(Nabídka!E32*Nabídka!F32),"")</f>
        <v/>
      </c>
      <c r="H32" s="45"/>
      <c r="I32" s="19"/>
      <c r="L32" s="123"/>
      <c r="M32" s="123"/>
      <c r="N32" s="123"/>
      <c r="O32" s="153"/>
      <c r="P32" s="153"/>
      <c r="Q32" s="153"/>
      <c r="R32" s="153"/>
      <c r="S32" s="153"/>
      <c r="T32" s="153"/>
      <c r="W32" s="120"/>
    </row>
    <row r="33" spans="1:23" ht="15" customHeight="1" x14ac:dyDescent="0.25">
      <c r="A33" s="19"/>
      <c r="B33" s="26"/>
      <c r="C33" s="155" t="str">
        <f>IF(Nabídka!C33&lt;&gt;"",Nabídka!C33,"")</f>
        <v/>
      </c>
      <c r="D33" s="156" t="str">
        <f>IF(Nabídka!D33&lt;&gt;"",Nabídka!D33,"")</f>
        <v/>
      </c>
      <c r="E33" s="156" t="str">
        <f>IF(Nabídka!E33&lt;&gt;"",Nabídka!E33,"")</f>
        <v/>
      </c>
      <c r="F33" s="157" t="str">
        <f>IF(Nabídka!F33&lt;&gt;"",Nabídka!F33,"")</f>
        <v/>
      </c>
      <c r="G33" s="157" t="str">
        <f>IF(AND((Nabídka!C33&lt;&gt;""),(Nabídka!D33&lt;&gt;""),(Nabídka!E33&lt;&gt;""),(Nabídka!F33&lt;&gt;"")),(Nabídka!E33*Nabídka!F33),"")</f>
        <v/>
      </c>
      <c r="H33" s="45"/>
      <c r="I33" s="19"/>
      <c r="L33" s="123"/>
      <c r="M33" s="123"/>
      <c r="N33" s="123"/>
      <c r="O33" s="153"/>
      <c r="P33" s="153"/>
      <c r="Q33" s="153"/>
      <c r="R33" s="153"/>
      <c r="S33" s="153"/>
      <c r="T33" s="153"/>
      <c r="W33" s="120"/>
    </row>
    <row r="34" spans="1:23" ht="15" customHeight="1" x14ac:dyDescent="0.25">
      <c r="A34" s="19"/>
      <c r="B34" s="26"/>
      <c r="C34" s="155" t="str">
        <f>IF(Nabídka!C34&lt;&gt;"",Nabídka!C34,"")</f>
        <v/>
      </c>
      <c r="D34" s="156" t="str">
        <f>IF(Nabídka!D34&lt;&gt;"",Nabídka!D34,"")</f>
        <v/>
      </c>
      <c r="E34" s="156" t="str">
        <f>IF(Nabídka!E34&lt;&gt;"",Nabídka!E34,"")</f>
        <v/>
      </c>
      <c r="F34" s="157" t="str">
        <f>IF(Nabídka!F34&lt;&gt;"",Nabídka!F34,"")</f>
        <v/>
      </c>
      <c r="G34" s="157" t="str">
        <f>IF(AND((Nabídka!C34&lt;&gt;""),(Nabídka!D34&lt;&gt;""),(Nabídka!E34&lt;&gt;""),(Nabídka!F34&lt;&gt;"")),(Nabídka!E34*Nabídka!F34),"")</f>
        <v/>
      </c>
      <c r="H34" s="45"/>
      <c r="I34" s="19"/>
      <c r="L34" s="123"/>
      <c r="M34" s="123"/>
      <c r="N34" s="123"/>
      <c r="O34" s="123"/>
      <c r="P34" s="123"/>
      <c r="Q34" s="123"/>
      <c r="R34" s="123"/>
      <c r="S34" s="123"/>
      <c r="T34" s="123"/>
      <c r="W34" s="120"/>
    </row>
    <row r="35" spans="1:23" ht="15" customHeight="1" x14ac:dyDescent="0.25">
      <c r="A35" s="19"/>
      <c r="B35" s="26"/>
      <c r="C35" s="155" t="str">
        <f>IF(Nabídka!C35&lt;&gt;"",Nabídka!C35,"")</f>
        <v/>
      </c>
      <c r="D35" s="156" t="str">
        <f>IF(Nabídka!D35&lt;&gt;"",Nabídka!D35,"")</f>
        <v/>
      </c>
      <c r="E35" s="156" t="str">
        <f>IF(Nabídka!E35&lt;&gt;"",Nabídka!E35,"")</f>
        <v/>
      </c>
      <c r="F35" s="157" t="str">
        <f>IF(Nabídka!F35&lt;&gt;"",Nabídka!F35,"")</f>
        <v/>
      </c>
      <c r="G35" s="157" t="str">
        <f>IF(AND((Nabídka!C35&lt;&gt;""),(Nabídka!D35&lt;&gt;""),(Nabídka!E35&lt;&gt;""),(Nabídka!F35&lt;&gt;"")),(Nabídka!E35*Nabídka!F35),"")</f>
        <v/>
      </c>
      <c r="H35" s="45"/>
      <c r="I35" s="19"/>
      <c r="L35" s="123"/>
      <c r="M35" s="123"/>
      <c r="N35" s="123"/>
      <c r="O35" s="123"/>
      <c r="P35" s="123"/>
      <c r="Q35" s="123"/>
      <c r="R35" s="123"/>
      <c r="S35" s="123"/>
      <c r="T35" s="123"/>
      <c r="W35" s="120"/>
    </row>
    <row r="36" spans="1:23" ht="15" customHeight="1" x14ac:dyDescent="0.25">
      <c r="A36" s="19"/>
      <c r="B36" s="26"/>
      <c r="C36" s="155" t="str">
        <f>IF(Nabídka!C36&lt;&gt;"",Nabídka!C36,"")</f>
        <v/>
      </c>
      <c r="D36" s="156" t="str">
        <f>IF(Nabídka!D36&lt;&gt;"",Nabídka!D36,"")</f>
        <v/>
      </c>
      <c r="E36" s="156" t="str">
        <f>IF(Nabídka!E36&lt;&gt;"",Nabídka!E36,"")</f>
        <v/>
      </c>
      <c r="F36" s="157" t="str">
        <f>IF(Nabídka!F36&lt;&gt;"",Nabídka!F36,"")</f>
        <v/>
      </c>
      <c r="G36" s="157" t="str">
        <f>IF(AND((Nabídka!C36&lt;&gt;""),(Nabídka!D36&lt;&gt;""),(Nabídka!E36&lt;&gt;""),(Nabídka!F36&lt;&gt;"")),(Nabídka!E36*Nabídka!F36),"")</f>
        <v/>
      </c>
      <c r="H36" s="45"/>
      <c r="I36" s="19"/>
      <c r="L36" s="123"/>
      <c r="M36" s="123"/>
      <c r="N36" s="123"/>
      <c r="O36" s="123"/>
      <c r="P36" s="123"/>
      <c r="Q36" s="123"/>
      <c r="R36" s="123"/>
      <c r="S36" s="123"/>
      <c r="T36" s="123"/>
      <c r="W36" s="120"/>
    </row>
    <row r="37" spans="1:23" ht="15" customHeight="1" x14ac:dyDescent="0.25">
      <c r="A37" s="19"/>
      <c r="B37" s="26"/>
      <c r="C37" s="155" t="str">
        <f>IF(Nabídka!C37&lt;&gt;"",Nabídka!C37,"")</f>
        <v/>
      </c>
      <c r="D37" s="156" t="str">
        <f>IF(Nabídka!D37&lt;&gt;"",Nabídka!D37,"")</f>
        <v/>
      </c>
      <c r="E37" s="156" t="str">
        <f>IF(Nabídka!E37&lt;&gt;"",Nabídka!E37,"")</f>
        <v/>
      </c>
      <c r="F37" s="157" t="str">
        <f>IF(Nabídka!F37&lt;&gt;"",Nabídka!F37,"")</f>
        <v/>
      </c>
      <c r="G37" s="157" t="str">
        <f>IF(AND((Nabídka!C37&lt;&gt;""),(Nabídka!D37&lt;&gt;""),(Nabídka!E37&lt;&gt;""),(Nabídka!F37&lt;&gt;"")),(Nabídka!E37*Nabídka!F37),"")</f>
        <v/>
      </c>
      <c r="H37" s="45"/>
      <c r="I37" s="19"/>
      <c r="L37" s="123"/>
      <c r="M37" s="123"/>
      <c r="N37" s="123"/>
      <c r="O37" s="123"/>
      <c r="P37" s="123"/>
      <c r="Q37" s="123"/>
      <c r="R37" s="123"/>
      <c r="S37" s="123"/>
      <c r="T37" s="123"/>
      <c r="W37" s="120"/>
    </row>
    <row r="38" spans="1:23" ht="15" customHeight="1" x14ac:dyDescent="0.25">
      <c r="A38" s="19"/>
      <c r="B38" s="26"/>
      <c r="C38" s="155" t="str">
        <f>IF(Nabídka!C38&lt;&gt;"",Nabídka!C38,"")</f>
        <v/>
      </c>
      <c r="D38" s="156" t="str">
        <f>IF(Nabídka!D38&lt;&gt;"",Nabídka!D38,"")</f>
        <v/>
      </c>
      <c r="E38" s="156" t="str">
        <f>IF(Nabídka!E38&lt;&gt;"",Nabídka!E38,"")</f>
        <v/>
      </c>
      <c r="F38" s="157" t="str">
        <f>IF(Nabídka!F38&lt;&gt;"",Nabídka!F38,"")</f>
        <v/>
      </c>
      <c r="G38" s="157" t="str">
        <f>IF(AND((Nabídka!C38&lt;&gt;""),(Nabídka!D38&lt;&gt;""),(Nabídka!E38&lt;&gt;""),(Nabídka!F38&lt;&gt;"")),(Nabídka!E38*Nabídka!F38),"")</f>
        <v/>
      </c>
      <c r="H38" s="45"/>
      <c r="I38" s="19"/>
      <c r="L38" s="123"/>
      <c r="M38" s="123"/>
      <c r="N38" s="123"/>
      <c r="O38" s="123"/>
      <c r="P38" s="123"/>
      <c r="Q38" s="123"/>
      <c r="R38" s="123"/>
      <c r="S38" s="123"/>
      <c r="T38" s="123"/>
      <c r="W38" s="120"/>
    </row>
    <row r="39" spans="1:23" ht="15" customHeight="1" x14ac:dyDescent="0.25">
      <c r="A39" s="19"/>
      <c r="B39" s="26"/>
      <c r="C39" s="155" t="str">
        <f>IF(Nabídka!C39&lt;&gt;"",Nabídka!C39,"")</f>
        <v/>
      </c>
      <c r="D39" s="156" t="str">
        <f>IF(Nabídka!D39&lt;&gt;"",Nabídka!D39,"")</f>
        <v/>
      </c>
      <c r="E39" s="156" t="str">
        <f>IF(Nabídka!E39&lt;&gt;"",Nabídka!E39,"")</f>
        <v/>
      </c>
      <c r="F39" s="157" t="str">
        <f>IF(Nabídka!F39&lt;&gt;"",Nabídka!F39,"")</f>
        <v/>
      </c>
      <c r="G39" s="157" t="str">
        <f>IF(AND((Nabídka!C39&lt;&gt;""),(Nabídka!D39&lt;&gt;""),(Nabídka!E39&lt;&gt;""),(Nabídka!F39&lt;&gt;"")),(Nabídka!E39*Nabídka!F39),"")</f>
        <v/>
      </c>
      <c r="H39" s="45"/>
      <c r="I39" s="19"/>
      <c r="K39" s="109" t="str" cm="1">
        <f t="array" aca="1" ref="K39" ca="1">_xlfn.LET(_xlpm.sel,$B$2,
  IF(_xlpm.sel="Nabídka",
     IFERROR(
       _xlfn.LET(_xlpm.r,INDIRECT("'Nabídka'!F57:F58"),
           _xlfn.XLOOKUP(1,(ISNUMBER(SEARCH("Záloha",_xlpm.r)))*(ISNUMBER(SEARCH("%",_xlpm.r))),
                   INDIRECT("'Nabídka'!G57:G58"),"")
       ),
     ""),
  IF(_xlpm.sel="Zálohová Faktura",
     IFERROR(
       _xlfn.LET(
         _xlpm.r,INDIRECT("'Zálohová Faktura'!A1:Z200"),
         _xlpm.m,(ISNUMBER(SEARCH("Celkem s DPH",_xlpm.r)))*(ISNUMBER(SEARCH(" Kč)",_xlpm.r))),
         _xlpm.s,MMULT(--_xlpm.m,TRANSPOSE(COLUMN(_xlpm.r)*0+1)),
         _xlpm.ri,MATCH(TRUE,_xlpm.s&gt;0,0),
         _xlpm.ci,MATCH(TRUE,INDEX(_xlpm.m,_xlpm.ri,0),0),
         INDEX(_xlpm.r,_xlpm.ri,_xlpm.ci+1)
       ),
     ""),
  ""))
)</f>
        <v/>
      </c>
      <c r="M39" s="121"/>
      <c r="W39" s="120"/>
    </row>
    <row r="40" spans="1:23" ht="15" customHeight="1" x14ac:dyDescent="0.25">
      <c r="A40" s="19"/>
      <c r="B40" s="26"/>
      <c r="C40" s="155" t="str">
        <f>IF(Nabídka!C40&lt;&gt;"",Nabídka!C40,"")</f>
        <v/>
      </c>
      <c r="D40" s="156" t="str">
        <f>IF(Nabídka!D40&lt;&gt;"",Nabídka!D40,"")</f>
        <v/>
      </c>
      <c r="E40" s="156" t="str">
        <f>IF(Nabídka!E40&lt;&gt;"",Nabídka!E40,"")</f>
        <v/>
      </c>
      <c r="F40" s="157" t="str">
        <f>IF(Nabídka!F40&lt;&gt;"",Nabídka!F40,"")</f>
        <v/>
      </c>
      <c r="G40" s="157" t="str">
        <f>IF(AND((Nabídka!C40&lt;&gt;""),(Nabídka!D40&lt;&gt;""),(Nabídka!E40&lt;&gt;""),(Nabídka!F40&lt;&gt;"")),(Nabídka!E40*Nabídka!F40),"")</f>
        <v/>
      </c>
      <c r="H40" s="45"/>
      <c r="I40" s="19"/>
      <c r="L40" s="124"/>
      <c r="W40" s="120"/>
    </row>
    <row r="41" spans="1:23" ht="15" customHeight="1" x14ac:dyDescent="0.25">
      <c r="A41" s="19"/>
      <c r="B41" s="26"/>
      <c r="C41" s="155" t="str">
        <f>IF(Nabídka!C41&lt;&gt;"",Nabídka!C41,"")</f>
        <v/>
      </c>
      <c r="D41" s="156" t="str">
        <f>IF(Nabídka!D41&lt;&gt;"",Nabídka!D41,"")</f>
        <v/>
      </c>
      <c r="E41" s="156" t="str">
        <f>IF(Nabídka!E41&lt;&gt;"",Nabídka!E41,"")</f>
        <v/>
      </c>
      <c r="F41" s="157" t="str">
        <f>IF(Nabídka!F41&lt;&gt;"",Nabídka!F41,"")</f>
        <v/>
      </c>
      <c r="G41" s="157" t="str">
        <f>IF(AND((Nabídka!C41&lt;&gt;""),(Nabídka!D41&lt;&gt;""),(Nabídka!E41&lt;&gt;""),(Nabídka!F41&lt;&gt;"")),(Nabídka!E41*Nabídka!F41),"")</f>
        <v/>
      </c>
      <c r="H41" s="45"/>
      <c r="I41" s="19"/>
      <c r="W41" s="120"/>
    </row>
    <row r="42" spans="1:23" ht="15" customHeight="1" x14ac:dyDescent="0.25">
      <c r="A42" s="19"/>
      <c r="B42" s="26"/>
      <c r="C42" s="155" t="str">
        <f>IF(Nabídka!C42&lt;&gt;"",Nabídka!C42,"")</f>
        <v/>
      </c>
      <c r="D42" s="156" t="str">
        <f>IF(Nabídka!D42&lt;&gt;"",Nabídka!D42,"")</f>
        <v/>
      </c>
      <c r="E42" s="156" t="str">
        <f>IF(Nabídka!E42&lt;&gt;"",Nabídka!E42,"")</f>
        <v/>
      </c>
      <c r="F42" s="157" t="str">
        <f>IF(Nabídka!F42&lt;&gt;"",Nabídka!F42,"")</f>
        <v/>
      </c>
      <c r="G42" s="157" t="str">
        <f>IF(AND((Nabídka!C42&lt;&gt;""),(Nabídka!D42&lt;&gt;""),(Nabídka!E42&lt;&gt;""),(Nabídka!F42&lt;&gt;"")),(Nabídka!E42*Nabídka!F42),"")</f>
        <v/>
      </c>
      <c r="H42" s="46"/>
      <c r="I42" s="19"/>
      <c r="W42" s="120"/>
    </row>
    <row r="43" spans="1:23" ht="15" customHeight="1" thickBot="1" x14ac:dyDescent="0.3">
      <c r="A43" s="19"/>
      <c r="B43" s="26"/>
      <c r="C43" s="158"/>
      <c r="D43" s="158"/>
      <c r="E43" s="302" t="s">
        <v>10</v>
      </c>
      <c r="F43" s="303"/>
      <c r="G43" s="159">
        <f>SUM(Nabídka!G20:'Nabídka'!G42)</f>
        <v>4200</v>
      </c>
      <c r="H43" s="45"/>
      <c r="I43" s="19"/>
      <c r="L43" s="110"/>
      <c r="W43" s="120"/>
    </row>
    <row r="44" spans="1:23" ht="15" customHeight="1" x14ac:dyDescent="0.25">
      <c r="A44" s="19"/>
      <c r="B44" s="26"/>
      <c r="C44" s="19"/>
      <c r="D44" s="19"/>
      <c r="E44" s="47"/>
      <c r="F44" s="47"/>
      <c r="G44" s="48"/>
      <c r="H44" s="45"/>
      <c r="I44" s="19"/>
      <c r="M44" s="121"/>
      <c r="W44" s="120"/>
    </row>
    <row r="45" spans="1:23" ht="15" customHeight="1" x14ac:dyDescent="0.25">
      <c r="A45" s="19"/>
      <c r="B45" s="26"/>
      <c r="C45" s="19"/>
      <c r="D45" s="19"/>
      <c r="E45" s="42"/>
      <c r="F45" s="49"/>
      <c r="G45" s="49"/>
      <c r="H45" s="45"/>
      <c r="I45" s="19"/>
      <c r="M45" s="121"/>
      <c r="W45" s="120"/>
    </row>
    <row r="46" spans="1:23" ht="15" customHeight="1" x14ac:dyDescent="0.25">
      <c r="A46" s="19"/>
      <c r="B46" s="26"/>
      <c r="C46" s="140" t="s">
        <v>11</v>
      </c>
      <c r="D46" s="43" t="s">
        <v>6</v>
      </c>
      <c r="E46" s="37" t="s">
        <v>7</v>
      </c>
      <c r="F46" s="44" t="s">
        <v>9</v>
      </c>
      <c r="G46" s="44" t="s">
        <v>8</v>
      </c>
      <c r="H46" s="45"/>
      <c r="I46" s="19"/>
      <c r="L46" s="125"/>
      <c r="M46" s="121"/>
      <c r="W46" s="120"/>
    </row>
    <row r="47" spans="1:23" ht="15" customHeight="1" x14ac:dyDescent="0.25">
      <c r="A47" s="19"/>
      <c r="B47" s="26"/>
      <c r="C47" s="155" t="str">
        <f>IF(Nabídka!C47&lt;&gt;"",Nabídka!C47,"")</f>
        <v/>
      </c>
      <c r="D47" s="156" t="str">
        <f>IF(Nabídka!D47&lt;&gt;"",Nabídka!D47,"")</f>
        <v/>
      </c>
      <c r="E47" s="156" t="str">
        <f>IF(Nabídka!E47&lt;&gt;"",Nabídka!E47,"")</f>
        <v/>
      </c>
      <c r="F47" s="157" t="str">
        <f>IF(Nabídka!F47&lt;&gt;"",Nabídka!F47,"")</f>
        <v/>
      </c>
      <c r="G47" s="157" t="str">
        <f>IF(AND((Nabídka!C47&lt;&gt;""),(Nabídka!D47&lt;&gt;""),(Nabídka!E47&lt;&gt;""),(Nabídka!F47&lt;&gt;"")),(Nabídka!E47*Nabídka!F47),"")</f>
        <v/>
      </c>
      <c r="H47" s="45"/>
      <c r="I47" s="19"/>
      <c r="L47" s="110"/>
      <c r="M47" s="121"/>
      <c r="W47" s="120"/>
    </row>
    <row r="48" spans="1:23" ht="15" customHeight="1" x14ac:dyDescent="0.25">
      <c r="A48" s="19"/>
      <c r="B48" s="26"/>
      <c r="C48" s="155" t="str">
        <f>IF(Nabídka!C48&lt;&gt;"",Nabídka!C48,"")</f>
        <v/>
      </c>
      <c r="D48" s="156" t="str">
        <f>IF(Nabídka!D48&lt;&gt;"",Nabídka!D48,"")</f>
        <v/>
      </c>
      <c r="E48" s="156" t="str">
        <f>IF(Nabídka!E48&lt;&gt;"",Nabídka!E48,"")</f>
        <v/>
      </c>
      <c r="F48" s="157" t="str">
        <f>IF(Nabídka!F48&lt;&gt;"",Nabídka!F48,"")</f>
        <v/>
      </c>
      <c r="G48" s="157" t="str">
        <f>IF(AND((Nabídka!C48&lt;&gt;""),(Nabídka!D48&lt;&gt;""),(Nabídka!E48&lt;&gt;""),(Nabídka!F48&lt;&gt;"")),(Nabídka!E48*Nabídka!F48),"")</f>
        <v/>
      </c>
      <c r="H48" s="45"/>
      <c r="I48" s="19"/>
      <c r="W48" s="120"/>
    </row>
    <row r="49" spans="1:81" ht="15" customHeight="1" x14ac:dyDescent="0.25">
      <c r="A49" s="19"/>
      <c r="B49" s="26"/>
      <c r="C49" s="155" t="str">
        <f>IF(Nabídka!C49&lt;&gt;"",Nabídka!C49,"")</f>
        <v/>
      </c>
      <c r="D49" s="156" t="str">
        <f>IF(Nabídka!D49&lt;&gt;"",Nabídka!D49,"")</f>
        <v/>
      </c>
      <c r="E49" s="156" t="str">
        <f>IF(Nabídka!E49&lt;&gt;"",Nabídka!E49,"")</f>
        <v/>
      </c>
      <c r="F49" s="157" t="str">
        <f>IF(Nabídka!F49&lt;&gt;"",Nabídka!F49,"")</f>
        <v/>
      </c>
      <c r="G49" s="157" t="str">
        <f>IF(AND((Nabídka!C49&lt;&gt;""),(Nabídka!D49&lt;&gt;""),(Nabídka!E49&lt;&gt;""),(Nabídka!F49&lt;&gt;"")),(Nabídka!E49*Nabídka!F49),"")</f>
        <v/>
      </c>
      <c r="H49" s="45"/>
      <c r="I49" s="19"/>
      <c r="W49" s="120"/>
    </row>
    <row r="50" spans="1:81" ht="15" customHeight="1" x14ac:dyDescent="0.25">
      <c r="A50" s="19"/>
      <c r="B50" s="26"/>
      <c r="C50" s="155" t="str">
        <f>IF(Nabídka!C50&lt;&gt;"",Nabídka!C50,"")</f>
        <v/>
      </c>
      <c r="D50" s="156" t="str">
        <f>IF(Nabídka!D50&lt;&gt;"",Nabídka!D50,"")</f>
        <v/>
      </c>
      <c r="E50" s="156" t="str">
        <f>IF(Nabídka!E50&lt;&gt;"",Nabídka!E50,"")</f>
        <v/>
      </c>
      <c r="F50" s="157" t="str">
        <f>IF(Nabídka!F50&lt;&gt;"",Nabídka!F50,"")</f>
        <v/>
      </c>
      <c r="G50" s="157" t="str">
        <f>IF(AND((Nabídka!C50&lt;&gt;""),(Nabídka!D50&lt;&gt;""),(Nabídka!E50&lt;&gt;""),(Nabídka!F50&lt;&gt;"")),(Nabídka!E50*Nabídka!F50),"")</f>
        <v/>
      </c>
      <c r="H50" s="45"/>
      <c r="I50" s="19"/>
      <c r="L50" s="124"/>
      <c r="W50" s="120"/>
    </row>
    <row r="51" spans="1:81" ht="15" customHeight="1" x14ac:dyDescent="0.25">
      <c r="A51" s="19"/>
      <c r="B51" s="26"/>
      <c r="C51" s="155" t="str">
        <f>IF(Nabídka!C51&lt;&gt;"",Nabídka!C51,"")</f>
        <v/>
      </c>
      <c r="D51" s="156" t="str">
        <f>IF(Nabídka!D51&lt;&gt;"",Nabídka!D51,"")</f>
        <v/>
      </c>
      <c r="E51" s="156" t="str">
        <f>IF(Nabídka!E51&lt;&gt;"",Nabídka!E51,"")</f>
        <v/>
      </c>
      <c r="F51" s="157" t="str">
        <f>IF(Nabídka!F51&lt;&gt;"",Nabídka!F51,"")</f>
        <v/>
      </c>
      <c r="G51" s="157" t="str">
        <f>IF(AND((Nabídka!C51&lt;&gt;""),(Nabídka!D51&lt;&gt;""),(Nabídka!E51&lt;&gt;""),(Nabídka!F51&lt;&gt;"")),(Nabídka!E51*Nabídka!F51),"")</f>
        <v/>
      </c>
      <c r="H51" s="45"/>
      <c r="I51" s="19"/>
    </row>
    <row r="52" spans="1:81" ht="15" customHeight="1" x14ac:dyDescent="0.25">
      <c r="A52" s="19"/>
      <c r="B52" s="26"/>
      <c r="C52" s="155" t="str">
        <f>IF(Nabídka!C52&lt;&gt;"",Nabídka!C52,"")</f>
        <v/>
      </c>
      <c r="D52" s="156" t="str">
        <f>IF(Nabídka!D52&lt;&gt;"",Nabídka!D52,"")</f>
        <v/>
      </c>
      <c r="E52" s="156" t="str">
        <f>IF(Nabídka!E52&lt;&gt;"",Nabídka!E52,"")</f>
        <v/>
      </c>
      <c r="F52" s="157" t="str">
        <f>IF(Nabídka!F52&lt;&gt;"",Nabídka!F52,"")</f>
        <v/>
      </c>
      <c r="G52" s="157" t="str">
        <f>IF(AND((Nabídka!C52&lt;&gt;""),(Nabídka!D52&lt;&gt;""),(Nabídka!E52&lt;&gt;""),(Nabídka!F52&lt;&gt;"")),(Nabídka!E52*Nabídka!F52),"")</f>
        <v/>
      </c>
      <c r="H52" s="46"/>
      <c r="I52" s="19"/>
    </row>
    <row r="53" spans="1:81" ht="15" customHeight="1" thickBot="1" x14ac:dyDescent="0.3">
      <c r="A53" s="19"/>
      <c r="B53" s="26"/>
      <c r="C53" s="19"/>
      <c r="D53" s="19"/>
      <c r="E53" s="255" t="s">
        <v>24</v>
      </c>
      <c r="F53" s="256"/>
      <c r="G53" s="159">
        <f>SUM(Nabídka!G47:'Nabídka'!G52)</f>
        <v>0</v>
      </c>
      <c r="H53" s="46"/>
      <c r="I53" s="19"/>
      <c r="M53" s="109" t="str" cm="1">
        <f t="array" aca="1" ref="M53" ca="1">IFERROR(
  _xlfn.LET(
    _xlpm.r,INDIRECT("'Zálohová Faktura'!F57:F58"),
    _xlpm.m,(ISNUMBER(SEARCH("Celkem s DPH",_xlpm.r)))*(ISNUMBER(SEARCH(" Kč)",_xlpm.r))),
    _xlpm.s,MMULT(--_xlpm.m,TRANSPOSE(COLUMN(_xlpm.r)*0+1)),
    _xlpm.ri,MATCH(TRUE,_xlpm.s&gt;0,0),
    _xlpm.ci,MATCH(TRUE,INDEX(_xlpm.m,_xlpm.ri,0),0),
    INDEX(_xlpm.r,_xlpm.ri,_xlpm.ci+1)
  ),
"")</f>
        <v/>
      </c>
    </row>
    <row r="54" spans="1:81" ht="15" customHeight="1" x14ac:dyDescent="0.25">
      <c r="A54" s="19"/>
      <c r="B54" s="26"/>
      <c r="C54" s="19"/>
      <c r="D54" s="36"/>
      <c r="E54" s="42"/>
      <c r="F54" s="50"/>
      <c r="G54" s="51"/>
      <c r="H54" s="46"/>
      <c r="I54" s="19"/>
      <c r="L54" s="154"/>
      <c r="M54" s="110"/>
    </row>
    <row r="55" spans="1:81" ht="15" customHeight="1" x14ac:dyDescent="0.25">
      <c r="A55" s="19"/>
      <c r="B55" s="26"/>
      <c r="C55" s="19"/>
      <c r="D55" s="19"/>
      <c r="E55" s="19"/>
      <c r="F55" s="19"/>
      <c r="G55" s="19"/>
      <c r="H55" s="46"/>
      <c r="I55" s="19"/>
      <c r="L55" s="154"/>
      <c r="M55" s="110"/>
    </row>
    <row r="56" spans="1:81" ht="15" customHeight="1" x14ac:dyDescent="0.25">
      <c r="A56" s="19"/>
      <c r="B56" s="26"/>
      <c r="C56" s="36"/>
      <c r="D56" s="19"/>
      <c r="E56" s="22"/>
      <c r="F56" s="66"/>
      <c r="G56" s="70"/>
      <c r="H56" s="46"/>
      <c r="I56" s="19"/>
      <c r="J56" s="126"/>
      <c r="K56" s="126"/>
      <c r="L56" s="126"/>
      <c r="M56" s="126"/>
      <c r="N56" s="126"/>
      <c r="O56" s="126"/>
      <c r="P56" s="126"/>
      <c r="Q56" s="126"/>
      <c r="R56" s="126"/>
      <c r="S56" s="126"/>
    </row>
    <row r="57" spans="1:81" ht="15" customHeight="1" x14ac:dyDescent="0.25">
      <c r="A57" s="19"/>
      <c r="B57" s="26"/>
      <c r="C57" s="19"/>
      <c r="D57" s="19"/>
      <c r="E57" s="22"/>
      <c r="F57" s="144" t="str">
        <f>Nabídka!F56</f>
        <v>Celkem:</v>
      </c>
      <c r="G57" s="145">
        <f>Nabídka!G56</f>
        <v>4200</v>
      </c>
      <c r="H57" s="46"/>
      <c r="I57" s="19"/>
      <c r="J57" s="126"/>
      <c r="K57" s="126"/>
      <c r="L57" s="127"/>
      <c r="M57" s="127"/>
      <c r="N57" s="127"/>
      <c r="O57" s="127"/>
      <c r="P57" s="127"/>
      <c r="Q57" s="127"/>
      <c r="R57" s="127"/>
      <c r="S57" s="127"/>
    </row>
    <row r="58" spans="1:81" ht="15" customHeight="1" x14ac:dyDescent="0.25">
      <c r="A58" s="19"/>
      <c r="B58" s="26"/>
      <c r="C58" s="19"/>
      <c r="D58" s="19"/>
      <c r="E58" s="22"/>
      <c r="F58" s="144" t="str">
        <f>Nabídka!F57</f>
        <v>K úhradě (+0 Kč):</v>
      </c>
      <c r="G58" s="146">
        <f>Nabídka!G57</f>
        <v>4200</v>
      </c>
      <c r="H58" s="76"/>
      <c r="I58" s="77"/>
      <c r="J58" s="129"/>
      <c r="K58" s="129"/>
      <c r="L58" s="127"/>
      <c r="M58" s="127"/>
      <c r="N58" s="127"/>
      <c r="O58" s="127"/>
      <c r="P58" s="127"/>
      <c r="Q58" s="127"/>
      <c r="R58" s="127"/>
      <c r="S58" s="127"/>
      <c r="T58" s="128"/>
      <c r="U58" s="128"/>
      <c r="V58" s="128"/>
      <c r="W58" s="128"/>
      <c r="X58" s="128"/>
      <c r="Y58" s="128"/>
      <c r="Z58" s="128"/>
      <c r="AA58" s="128"/>
      <c r="AB58" s="128"/>
      <c r="AC58" s="128"/>
      <c r="AD58" s="128"/>
      <c r="AE58" s="128"/>
      <c r="AF58" s="128"/>
      <c r="AG58" s="128"/>
      <c r="AH58" s="128"/>
      <c r="AI58" s="128"/>
      <c r="AJ58" s="128"/>
      <c r="AK58" s="128"/>
      <c r="AL58" s="128"/>
      <c r="AM58" s="128"/>
      <c r="AN58" s="128"/>
      <c r="AO58" s="128"/>
      <c r="AP58" s="128"/>
      <c r="AQ58" s="128"/>
      <c r="AR58" s="128"/>
      <c r="AS58" s="128"/>
      <c r="AT58" s="128"/>
      <c r="AU58" s="128"/>
      <c r="AV58" s="128"/>
      <c r="AW58" s="128"/>
      <c r="AX58" s="128"/>
      <c r="AY58" s="128"/>
      <c r="AZ58" s="128"/>
      <c r="BA58" s="128"/>
      <c r="BB58" s="128"/>
      <c r="BC58" s="128"/>
      <c r="BD58" s="128"/>
      <c r="BE58" s="128"/>
      <c r="BF58" s="128"/>
      <c r="BG58" s="128"/>
      <c r="BH58" s="128"/>
      <c r="BI58" s="128"/>
      <c r="BJ58" s="128"/>
      <c r="BK58" s="128"/>
      <c r="BL58" s="128"/>
      <c r="BM58" s="128"/>
      <c r="BN58" s="128"/>
      <c r="BO58" s="128"/>
      <c r="BP58" s="128"/>
      <c r="BQ58" s="128"/>
      <c r="BR58" s="128"/>
      <c r="BS58" s="128"/>
      <c r="BT58" s="128"/>
      <c r="BU58" s="128"/>
      <c r="BV58" s="128"/>
      <c r="BW58" s="128"/>
      <c r="BX58" s="128"/>
      <c r="BY58" s="128"/>
      <c r="BZ58" s="128"/>
      <c r="CA58" s="128"/>
      <c r="CB58" s="128"/>
      <c r="CC58" s="128"/>
    </row>
    <row r="59" spans="1:81" ht="15" customHeight="1" x14ac:dyDescent="0.2">
      <c r="A59" s="19"/>
      <c r="B59" s="26"/>
      <c r="C59" s="19"/>
      <c r="D59" s="19"/>
      <c r="E59" s="22"/>
      <c r="F59" s="66"/>
      <c r="G59" s="162" t="s">
        <v>146</v>
      </c>
      <c r="H59" s="76"/>
      <c r="I59" s="77"/>
      <c r="J59" s="129"/>
      <c r="K59" s="129"/>
      <c r="L59" s="127"/>
      <c r="M59" s="127"/>
      <c r="N59" s="127"/>
      <c r="O59" s="127"/>
      <c r="P59" s="127"/>
      <c r="Q59" s="127"/>
      <c r="R59" s="127"/>
      <c r="S59" s="127"/>
      <c r="T59" s="128"/>
      <c r="U59" s="128"/>
      <c r="V59" s="128"/>
      <c r="W59" s="128"/>
      <c r="X59" s="128"/>
      <c r="Y59" s="128"/>
      <c r="Z59" s="128"/>
      <c r="AA59" s="128"/>
      <c r="AB59" s="128"/>
      <c r="AC59" s="128"/>
      <c r="AD59" s="128"/>
      <c r="AE59" s="128"/>
      <c r="AF59" s="128"/>
      <c r="AG59" s="128"/>
      <c r="AH59" s="128"/>
      <c r="AI59" s="128"/>
      <c r="AJ59" s="128"/>
      <c r="AK59" s="128"/>
      <c r="AL59" s="128"/>
      <c r="AM59" s="128"/>
      <c r="AN59" s="128"/>
      <c r="AO59" s="128"/>
      <c r="AP59" s="128"/>
      <c r="AQ59" s="128"/>
      <c r="AR59" s="128"/>
      <c r="AS59" s="128"/>
      <c r="AT59" s="128"/>
      <c r="AU59" s="128"/>
      <c r="AV59" s="128"/>
      <c r="AW59" s="128"/>
      <c r="AX59" s="128"/>
      <c r="AY59" s="128"/>
      <c r="AZ59" s="128"/>
      <c r="BA59" s="128"/>
      <c r="BB59" s="128"/>
      <c r="BC59" s="128"/>
      <c r="BD59" s="128"/>
      <c r="BE59" s="128"/>
      <c r="BF59" s="128"/>
      <c r="BG59" s="128"/>
      <c r="BH59" s="128"/>
      <c r="BI59" s="128"/>
      <c r="BJ59" s="128"/>
      <c r="BK59" s="128"/>
      <c r="BL59" s="128"/>
      <c r="BM59" s="128"/>
      <c r="BN59" s="128"/>
      <c r="BO59" s="128"/>
      <c r="BP59" s="128"/>
      <c r="BQ59" s="128"/>
      <c r="BR59" s="128"/>
      <c r="BS59" s="128"/>
      <c r="BT59" s="128"/>
      <c r="BU59" s="128"/>
      <c r="BV59" s="128"/>
      <c r="BW59" s="128"/>
      <c r="BX59" s="128"/>
      <c r="BY59" s="128"/>
      <c r="BZ59" s="128"/>
      <c r="CA59" s="128"/>
      <c r="CB59" s="128"/>
      <c r="CC59" s="128"/>
    </row>
    <row r="60" spans="1:81" ht="15" customHeight="1" x14ac:dyDescent="0.25">
      <c r="A60" s="19"/>
      <c r="B60" s="26"/>
      <c r="C60" s="19"/>
      <c r="D60" s="160"/>
      <c r="E60" s="160"/>
      <c r="F60" s="160"/>
      <c r="G60" s="160"/>
      <c r="H60" s="76"/>
      <c r="I60" s="77"/>
      <c r="J60" s="129"/>
      <c r="K60" s="129"/>
      <c r="L60" s="127"/>
      <c r="M60" s="127"/>
      <c r="N60" s="127"/>
      <c r="O60" s="127"/>
      <c r="P60" s="127"/>
      <c r="Q60" s="127"/>
      <c r="R60" s="127"/>
      <c r="S60" s="127"/>
      <c r="T60" s="128"/>
      <c r="U60" s="128"/>
      <c r="V60" s="128"/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8"/>
      <c r="AH60" s="128"/>
      <c r="AI60" s="128"/>
      <c r="AJ60" s="128"/>
      <c r="AK60" s="128"/>
      <c r="AL60" s="128"/>
      <c r="AM60" s="128"/>
      <c r="AN60" s="128"/>
      <c r="AO60" s="128"/>
      <c r="AP60" s="128"/>
      <c r="AQ60" s="128"/>
      <c r="AR60" s="128"/>
      <c r="AS60" s="128"/>
      <c r="AT60" s="128"/>
      <c r="AU60" s="128"/>
      <c r="AV60" s="128"/>
      <c r="AW60" s="128"/>
      <c r="AX60" s="128"/>
      <c r="AY60" s="128"/>
      <c r="AZ60" s="128"/>
      <c r="BA60" s="128"/>
      <c r="BB60" s="128"/>
      <c r="BC60" s="128"/>
      <c r="BD60" s="128"/>
      <c r="BE60" s="128"/>
      <c r="BF60" s="128"/>
      <c r="BG60" s="128"/>
      <c r="BH60" s="128"/>
      <c r="BI60" s="128"/>
      <c r="BJ60" s="128"/>
      <c r="BK60" s="128"/>
      <c r="BL60" s="128"/>
      <c r="BM60" s="128"/>
      <c r="BN60" s="128"/>
      <c r="BO60" s="128"/>
      <c r="BP60" s="128"/>
      <c r="BQ60" s="128"/>
      <c r="BR60" s="128"/>
      <c r="BS60" s="128"/>
      <c r="BT60" s="128"/>
      <c r="BU60" s="128"/>
      <c r="BV60" s="128"/>
      <c r="BW60" s="128"/>
      <c r="BX60" s="128"/>
      <c r="BY60" s="128"/>
      <c r="BZ60" s="128"/>
      <c r="CA60" s="128"/>
      <c r="CB60" s="128"/>
      <c r="CC60" s="128"/>
    </row>
    <row r="61" spans="1:81" ht="15" customHeight="1" x14ac:dyDescent="0.25">
      <c r="A61" s="19"/>
      <c r="B61" s="26"/>
      <c r="C61" s="77"/>
      <c r="D61" s="160"/>
      <c r="E61" s="160"/>
      <c r="F61" s="160"/>
      <c r="G61" s="160"/>
      <c r="H61" s="76"/>
      <c r="I61" s="77"/>
      <c r="J61" s="129"/>
      <c r="K61" s="129"/>
      <c r="L61" s="127"/>
      <c r="M61" s="127"/>
      <c r="N61" s="127"/>
      <c r="O61" s="127"/>
      <c r="P61" s="127"/>
      <c r="Q61" s="127"/>
      <c r="R61" s="127"/>
      <c r="S61" s="127"/>
      <c r="T61" s="128"/>
      <c r="U61" s="128"/>
      <c r="V61" s="128"/>
      <c r="W61" s="128"/>
      <c r="X61" s="128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128"/>
      <c r="AO61" s="128"/>
      <c r="AP61" s="128"/>
      <c r="AQ61" s="128"/>
      <c r="AR61" s="128"/>
      <c r="AS61" s="128"/>
      <c r="AT61" s="128"/>
      <c r="AU61" s="128"/>
      <c r="AV61" s="128"/>
      <c r="AW61" s="128"/>
      <c r="AX61" s="128"/>
      <c r="AY61" s="128"/>
      <c r="AZ61" s="128"/>
      <c r="BA61" s="128"/>
      <c r="BB61" s="128"/>
      <c r="BC61" s="128"/>
      <c r="BD61" s="128"/>
      <c r="BE61" s="128"/>
      <c r="BF61" s="128"/>
      <c r="BG61" s="128"/>
      <c r="BH61" s="128"/>
      <c r="BI61" s="128"/>
      <c r="BJ61" s="128"/>
      <c r="BK61" s="128"/>
      <c r="BL61" s="128"/>
      <c r="BM61" s="128"/>
      <c r="BN61" s="128"/>
      <c r="BO61" s="128"/>
      <c r="BP61" s="128"/>
      <c r="BQ61" s="128"/>
      <c r="BR61" s="128"/>
      <c r="BS61" s="128"/>
      <c r="BT61" s="128"/>
      <c r="BU61" s="128"/>
      <c r="BV61" s="128"/>
      <c r="BW61" s="128"/>
      <c r="BX61" s="128"/>
      <c r="BY61" s="128"/>
      <c r="BZ61" s="128"/>
      <c r="CA61" s="128"/>
      <c r="CB61" s="128"/>
      <c r="CC61" s="128"/>
    </row>
    <row r="62" spans="1:81" ht="15" customHeight="1" x14ac:dyDescent="0.25">
      <c r="A62" s="19"/>
      <c r="B62" s="26"/>
      <c r="C62" s="77"/>
      <c r="D62" s="160"/>
      <c r="E62" s="160"/>
      <c r="F62" s="160"/>
      <c r="G62" s="160"/>
      <c r="H62" s="76"/>
      <c r="I62" s="77"/>
      <c r="J62" s="129"/>
      <c r="K62" s="129"/>
      <c r="L62" s="127"/>
      <c r="M62" s="127"/>
      <c r="N62" s="127"/>
      <c r="O62" s="127"/>
      <c r="P62" s="127"/>
      <c r="Q62" s="127"/>
      <c r="R62" s="127"/>
      <c r="S62" s="127"/>
      <c r="T62" s="128"/>
      <c r="U62" s="128"/>
      <c r="V62" s="128"/>
      <c r="W62" s="128"/>
      <c r="X62" s="128"/>
      <c r="Y62" s="128"/>
      <c r="Z62" s="128"/>
      <c r="AA62" s="128"/>
      <c r="AB62" s="128"/>
      <c r="AC62" s="128"/>
      <c r="AD62" s="128"/>
      <c r="AE62" s="128"/>
      <c r="AF62" s="128"/>
      <c r="AG62" s="128"/>
      <c r="AH62" s="128"/>
      <c r="AI62" s="128"/>
      <c r="AJ62" s="128"/>
      <c r="AK62" s="128"/>
      <c r="AL62" s="128"/>
      <c r="AM62" s="128"/>
      <c r="AN62" s="128"/>
      <c r="AO62" s="128"/>
      <c r="AP62" s="128"/>
      <c r="AQ62" s="128"/>
      <c r="AR62" s="128"/>
      <c r="AS62" s="128"/>
      <c r="AT62" s="128"/>
      <c r="AU62" s="128"/>
      <c r="AV62" s="128"/>
      <c r="AW62" s="128"/>
      <c r="AX62" s="128"/>
      <c r="AY62" s="128"/>
      <c r="AZ62" s="128"/>
      <c r="BA62" s="128"/>
      <c r="BB62" s="128"/>
      <c r="BC62" s="128"/>
      <c r="BD62" s="128"/>
      <c r="BE62" s="128"/>
      <c r="BF62" s="128"/>
      <c r="BG62" s="128"/>
      <c r="BH62" s="128"/>
      <c r="BI62" s="128"/>
      <c r="BJ62" s="128"/>
      <c r="BK62" s="128"/>
      <c r="BL62" s="128"/>
      <c r="BM62" s="128"/>
      <c r="BN62" s="128"/>
      <c r="BO62" s="128"/>
      <c r="BP62" s="128"/>
      <c r="BQ62" s="128"/>
      <c r="BR62" s="128"/>
      <c r="BS62" s="128"/>
      <c r="BT62" s="128"/>
      <c r="BU62" s="128"/>
      <c r="BV62" s="128"/>
      <c r="BW62" s="128"/>
      <c r="BX62" s="128"/>
      <c r="BY62" s="128"/>
      <c r="BZ62" s="128"/>
      <c r="CA62" s="128"/>
      <c r="CB62" s="128"/>
      <c r="CC62" s="128"/>
    </row>
    <row r="63" spans="1:81" ht="15" customHeight="1" x14ac:dyDescent="0.25">
      <c r="A63" s="19"/>
      <c r="B63" s="26"/>
      <c r="C63" s="82"/>
      <c r="D63" s="77"/>
      <c r="E63" s="77"/>
      <c r="F63" s="77"/>
      <c r="G63" s="77"/>
      <c r="H63" s="76"/>
      <c r="I63" s="77"/>
      <c r="J63" s="129"/>
      <c r="K63" s="129"/>
      <c r="L63" s="127"/>
      <c r="M63" s="127"/>
      <c r="N63" s="127"/>
      <c r="O63" s="127"/>
      <c r="P63" s="127"/>
      <c r="Q63" s="127"/>
      <c r="R63" s="127"/>
      <c r="S63" s="127"/>
      <c r="T63" s="128"/>
      <c r="U63" s="128"/>
      <c r="V63" s="128"/>
      <c r="W63" s="128"/>
      <c r="X63" s="128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  <c r="AZ63" s="128"/>
      <c r="BA63" s="128"/>
      <c r="BB63" s="128"/>
      <c r="BC63" s="128"/>
      <c r="BD63" s="128"/>
      <c r="BE63" s="128"/>
      <c r="BF63" s="128"/>
      <c r="BG63" s="128"/>
      <c r="BH63" s="128"/>
      <c r="BI63" s="128"/>
      <c r="BJ63" s="128"/>
      <c r="BK63" s="128"/>
      <c r="BL63" s="128"/>
      <c r="BM63" s="128"/>
      <c r="BN63" s="128"/>
      <c r="BO63" s="128"/>
      <c r="BP63" s="128"/>
      <c r="BQ63" s="128"/>
      <c r="BR63" s="128"/>
      <c r="BS63" s="128"/>
      <c r="BT63" s="128"/>
      <c r="BU63" s="128"/>
      <c r="BV63" s="128"/>
      <c r="BW63" s="128"/>
      <c r="BX63" s="128"/>
      <c r="BY63" s="128"/>
      <c r="BZ63" s="128"/>
      <c r="CA63" s="128"/>
      <c r="CB63" s="128"/>
      <c r="CC63" s="128"/>
    </row>
    <row r="64" spans="1:81" ht="15" customHeight="1" x14ac:dyDescent="0.25">
      <c r="A64" s="19"/>
      <c r="B64" s="26"/>
      <c r="C64" s="82"/>
      <c r="D64" s="77"/>
      <c r="E64" s="77"/>
      <c r="F64" s="77"/>
      <c r="G64" s="77"/>
      <c r="H64" s="76"/>
      <c r="I64" s="77"/>
      <c r="J64" s="129"/>
      <c r="K64" s="129"/>
      <c r="L64" s="127"/>
      <c r="M64" s="127"/>
      <c r="N64" s="127"/>
      <c r="O64" s="127"/>
      <c r="P64" s="127"/>
      <c r="Q64" s="127"/>
      <c r="R64" s="127"/>
      <c r="S64" s="127"/>
      <c r="T64" s="128"/>
      <c r="U64" s="128"/>
      <c r="V64" s="128"/>
      <c r="W64" s="128"/>
      <c r="X64" s="128"/>
      <c r="Y64" s="128"/>
      <c r="Z64" s="128"/>
      <c r="AA64" s="128"/>
      <c r="AB64" s="128"/>
      <c r="AC64" s="128"/>
      <c r="AD64" s="128"/>
      <c r="AE64" s="128"/>
      <c r="AF64" s="128"/>
      <c r="AG64" s="128"/>
      <c r="AH64" s="128"/>
      <c r="AI64" s="128"/>
      <c r="AJ64" s="128"/>
      <c r="AK64" s="128"/>
      <c r="AL64" s="128"/>
      <c r="AM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8"/>
      <c r="BA64" s="128"/>
      <c r="BB64" s="128"/>
      <c r="BC64" s="128"/>
      <c r="BD64" s="128"/>
      <c r="BE64" s="128"/>
      <c r="BF64" s="128"/>
      <c r="BG64" s="128"/>
      <c r="BH64" s="128"/>
      <c r="BI64" s="128"/>
      <c r="BJ64" s="128"/>
      <c r="BK64" s="128"/>
      <c r="BL64" s="128"/>
      <c r="BM64" s="128"/>
      <c r="BN64" s="128"/>
      <c r="BO64" s="128"/>
      <c r="BP64" s="128"/>
      <c r="BQ64" s="128"/>
      <c r="BR64" s="128"/>
      <c r="BS64" s="128"/>
      <c r="BT64" s="128"/>
      <c r="BU64" s="128"/>
      <c r="BV64" s="128"/>
      <c r="BW64" s="128"/>
      <c r="BX64" s="128"/>
      <c r="BY64" s="128"/>
      <c r="BZ64" s="128"/>
      <c r="CA64" s="128"/>
      <c r="CB64" s="128"/>
      <c r="CC64" s="128"/>
    </row>
    <row r="65" spans="1:81" ht="15" customHeight="1" x14ac:dyDescent="0.25">
      <c r="A65" s="19"/>
      <c r="B65" s="26"/>
      <c r="C65" s="77"/>
      <c r="D65" s="77"/>
      <c r="E65" s="77"/>
      <c r="F65" s="77"/>
      <c r="G65" s="77"/>
      <c r="H65" s="76"/>
      <c r="I65" s="77"/>
      <c r="J65" s="129"/>
      <c r="K65" s="129"/>
      <c r="L65" s="127"/>
      <c r="M65" s="127"/>
      <c r="N65" s="127"/>
      <c r="O65" s="127"/>
      <c r="P65" s="127"/>
      <c r="Q65" s="127"/>
      <c r="R65" s="127"/>
      <c r="S65" s="127"/>
      <c r="T65" s="128"/>
      <c r="U65" s="128"/>
      <c r="V65" s="128"/>
      <c r="W65" s="128"/>
      <c r="X65" s="128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  <c r="AZ65" s="128"/>
      <c r="BA65" s="128"/>
      <c r="BB65" s="128"/>
      <c r="BC65" s="128"/>
      <c r="BD65" s="128"/>
      <c r="BE65" s="128"/>
      <c r="BF65" s="128"/>
      <c r="BG65" s="128"/>
      <c r="BH65" s="128"/>
      <c r="BI65" s="128"/>
      <c r="BJ65" s="128"/>
      <c r="BK65" s="128"/>
      <c r="BL65" s="128"/>
      <c r="BM65" s="128"/>
      <c r="BN65" s="128"/>
      <c r="BO65" s="128"/>
      <c r="BP65" s="128"/>
      <c r="BQ65" s="128"/>
      <c r="BR65" s="128"/>
      <c r="BS65" s="128"/>
      <c r="BT65" s="128"/>
      <c r="BU65" s="128"/>
      <c r="BV65" s="128"/>
      <c r="BW65" s="128"/>
      <c r="BX65" s="128"/>
      <c r="BY65" s="128"/>
      <c r="BZ65" s="128"/>
      <c r="CA65" s="128"/>
      <c r="CB65" s="128"/>
      <c r="CC65" s="128"/>
    </row>
    <row r="66" spans="1:81" ht="15" customHeight="1" x14ac:dyDescent="0.25">
      <c r="A66" s="19"/>
      <c r="B66" s="26"/>
      <c r="C66" s="77"/>
      <c r="D66" s="77"/>
      <c r="E66" s="77"/>
      <c r="F66" s="77"/>
      <c r="G66" s="77"/>
      <c r="H66" s="46"/>
      <c r="I66" s="19"/>
      <c r="J66" s="126"/>
      <c r="K66" s="126"/>
      <c r="L66" s="127"/>
      <c r="M66" s="127"/>
      <c r="N66" s="127"/>
      <c r="O66" s="127"/>
      <c r="P66" s="127"/>
      <c r="Q66" s="127"/>
      <c r="R66" s="127"/>
      <c r="S66" s="127"/>
    </row>
    <row r="67" spans="1:81" ht="15" customHeight="1" x14ac:dyDescent="0.25">
      <c r="A67" s="19"/>
      <c r="B67" s="26"/>
      <c r="C67" s="77"/>
      <c r="D67" s="77"/>
      <c r="E67" s="77"/>
      <c r="F67" s="77"/>
      <c r="G67" s="77"/>
      <c r="H67" s="46"/>
      <c r="I67" s="19"/>
      <c r="J67" s="126"/>
      <c r="K67" s="126"/>
      <c r="L67" s="127"/>
      <c r="M67" s="127"/>
      <c r="N67" s="127"/>
      <c r="O67" s="127"/>
      <c r="P67" s="127"/>
      <c r="Q67" s="127"/>
      <c r="R67" s="127"/>
      <c r="S67" s="127"/>
    </row>
    <row r="68" spans="1:81" ht="15" customHeight="1" x14ac:dyDescent="0.25">
      <c r="A68" s="19"/>
      <c r="B68" s="26"/>
      <c r="C68" s="77"/>
      <c r="D68" s="77"/>
      <c r="E68" s="77"/>
      <c r="F68" s="77"/>
      <c r="G68" s="77"/>
      <c r="H68" s="46"/>
      <c r="I68" s="19"/>
      <c r="J68" s="126"/>
      <c r="K68" s="126"/>
      <c r="L68" s="127"/>
      <c r="M68" s="127"/>
      <c r="N68" s="127"/>
      <c r="O68" s="127"/>
      <c r="P68" s="127"/>
      <c r="Q68" s="127"/>
      <c r="R68" s="127"/>
      <c r="S68" s="127"/>
    </row>
    <row r="69" spans="1:81" ht="15" customHeight="1" x14ac:dyDescent="0.25">
      <c r="A69" s="19"/>
      <c r="B69" s="26"/>
      <c r="C69" s="52"/>
      <c r="D69" s="53"/>
      <c r="E69" s="27"/>
      <c r="F69" s="50"/>
      <c r="G69" s="54"/>
      <c r="H69" s="46"/>
      <c r="I69" s="19"/>
      <c r="J69" s="126"/>
      <c r="K69" s="126"/>
      <c r="L69" s="136"/>
      <c r="M69" s="136"/>
      <c r="N69" s="136"/>
      <c r="O69" s="136"/>
      <c r="P69" s="136"/>
      <c r="Q69" s="127"/>
      <c r="R69" s="127"/>
      <c r="S69" s="127"/>
    </row>
    <row r="70" spans="1:81" ht="15" customHeight="1" x14ac:dyDescent="0.25">
      <c r="A70" s="19"/>
      <c r="B70" s="26"/>
      <c r="C70" s="52"/>
      <c r="D70" s="53"/>
      <c r="E70" s="27"/>
      <c r="F70" s="50"/>
      <c r="G70" s="54"/>
      <c r="H70" s="46"/>
      <c r="I70" s="19"/>
      <c r="J70" s="126"/>
      <c r="K70" s="126"/>
      <c r="L70" s="136"/>
      <c r="M70" s="136"/>
      <c r="N70" s="136"/>
      <c r="O70" s="136"/>
      <c r="P70" s="136"/>
      <c r="Q70" s="127"/>
      <c r="R70" s="127"/>
      <c r="S70" s="127"/>
    </row>
    <row r="71" spans="1:81" ht="15" customHeight="1" x14ac:dyDescent="0.25">
      <c r="A71" s="19"/>
      <c r="B71" s="26"/>
      <c r="C71" s="81"/>
      <c r="D71" s="53"/>
      <c r="E71" s="27"/>
      <c r="F71" s="50"/>
      <c r="G71" s="54"/>
      <c r="H71" s="55"/>
      <c r="I71" s="19"/>
      <c r="J71" s="126"/>
      <c r="K71" s="126"/>
      <c r="L71" s="136"/>
      <c r="M71" s="136"/>
      <c r="N71" s="136"/>
      <c r="O71" s="136"/>
      <c r="P71" s="136"/>
      <c r="Q71" s="127"/>
      <c r="R71" s="127"/>
      <c r="S71" s="127"/>
    </row>
    <row r="72" spans="1:81" ht="15" customHeight="1" x14ac:dyDescent="0.25">
      <c r="A72" s="19"/>
      <c r="B72" s="26"/>
      <c r="C72" s="19"/>
      <c r="D72" s="19"/>
      <c r="E72" s="42"/>
      <c r="F72" s="50"/>
      <c r="G72" s="54"/>
      <c r="H72" s="55"/>
      <c r="I72" s="19"/>
      <c r="J72" s="126"/>
      <c r="K72" s="126"/>
      <c r="L72" s="136"/>
      <c r="M72" s="136"/>
      <c r="N72" s="136"/>
      <c r="O72" s="136"/>
      <c r="P72" s="136"/>
      <c r="Q72" s="127"/>
      <c r="R72" s="127"/>
      <c r="S72" s="127"/>
    </row>
    <row r="73" spans="1:81" ht="15" customHeight="1" x14ac:dyDescent="0.25">
      <c r="A73" s="19"/>
      <c r="B73" s="26"/>
      <c r="C73" s="19"/>
      <c r="D73" s="19"/>
      <c r="E73" s="56"/>
      <c r="F73" s="36"/>
      <c r="G73" s="54"/>
      <c r="H73" s="55"/>
      <c r="I73" s="19"/>
      <c r="J73" s="126"/>
      <c r="K73" s="126"/>
      <c r="L73" s="136"/>
      <c r="M73" s="136"/>
      <c r="N73" s="136"/>
      <c r="O73" s="136"/>
      <c r="P73" s="136"/>
      <c r="Q73" s="127"/>
      <c r="R73" s="127"/>
      <c r="S73" s="127"/>
    </row>
    <row r="74" spans="1:81" ht="15" customHeight="1" x14ac:dyDescent="0.25">
      <c r="A74" s="19"/>
      <c r="B74" s="26"/>
      <c r="C74" s="19"/>
      <c r="D74" s="19"/>
      <c r="E74" s="27"/>
      <c r="F74" s="19"/>
      <c r="G74" s="19"/>
      <c r="H74" s="46"/>
      <c r="I74" s="19"/>
      <c r="J74" s="126"/>
      <c r="K74" s="126"/>
      <c r="L74" s="136"/>
      <c r="M74" s="136"/>
      <c r="N74" s="136"/>
      <c r="O74" s="136"/>
      <c r="P74" s="136"/>
      <c r="Q74" s="127"/>
      <c r="R74" s="127"/>
      <c r="S74" s="127"/>
    </row>
    <row r="75" spans="1:81" ht="15" customHeight="1" x14ac:dyDescent="0.25">
      <c r="A75" s="19"/>
      <c r="B75" s="26"/>
      <c r="C75" s="43"/>
      <c r="D75" s="19"/>
      <c r="E75" s="50"/>
      <c r="F75" s="50"/>
      <c r="G75" s="50"/>
      <c r="H75" s="46"/>
      <c r="I75" s="19"/>
      <c r="J75" s="126"/>
      <c r="K75" s="126"/>
      <c r="L75" s="127"/>
      <c r="M75" s="127"/>
      <c r="N75" s="127"/>
      <c r="O75" s="127"/>
      <c r="P75" s="127"/>
      <c r="Q75" s="127"/>
      <c r="R75" s="127"/>
      <c r="S75" s="127"/>
    </row>
    <row r="76" spans="1:81" ht="15" customHeight="1" x14ac:dyDescent="0.25">
      <c r="A76" s="19"/>
      <c r="B76" s="26"/>
      <c r="C76" s="43"/>
      <c r="D76" s="19"/>
      <c r="E76" s="304"/>
      <c r="F76" s="304"/>
      <c r="G76" s="304"/>
      <c r="H76" s="24"/>
      <c r="I76" s="19"/>
      <c r="J76" s="126"/>
      <c r="K76" s="126"/>
      <c r="L76" s="127"/>
      <c r="M76" s="133"/>
      <c r="N76" s="127"/>
      <c r="O76" s="127"/>
      <c r="P76" s="127"/>
      <c r="Q76" s="127"/>
      <c r="R76" s="127"/>
      <c r="S76" s="127"/>
    </row>
    <row r="77" spans="1:81" ht="15" customHeight="1" x14ac:dyDescent="0.25">
      <c r="A77" s="19"/>
      <c r="B77" s="26"/>
      <c r="C77" s="57"/>
      <c r="D77" s="19"/>
      <c r="E77" s="301" t="str">
        <f>"Zaplatit fakturu "&amp;TEXT('Zálohová Faktura'!G58,"### ##0 Kč")&amp;" - QR platba"</f>
        <v>Zaplatit fakturu 4 200 Kč - QR platba</v>
      </c>
      <c r="F77" s="301"/>
      <c r="G77" s="301"/>
      <c r="H77" s="24"/>
      <c r="I77" s="19"/>
      <c r="J77" s="126"/>
      <c r="K77" s="126"/>
      <c r="L77" s="130"/>
      <c r="M77" s="127"/>
      <c r="N77" s="127"/>
      <c r="O77" s="127"/>
      <c r="P77" s="127"/>
      <c r="Q77" s="127"/>
      <c r="R77" s="127"/>
      <c r="S77" s="127"/>
    </row>
    <row r="78" spans="1:81" ht="15" customHeight="1" x14ac:dyDescent="0.25">
      <c r="A78" s="19"/>
      <c r="B78" s="26"/>
      <c r="C78" s="8"/>
      <c r="D78" s="19"/>
      <c r="E78" s="161"/>
      <c r="F78" s="161"/>
      <c r="G78" s="161"/>
      <c r="H78" s="24"/>
      <c r="I78" s="19"/>
      <c r="J78" s="126"/>
      <c r="K78" s="126"/>
      <c r="L78" s="127"/>
      <c r="M78" s="127"/>
      <c r="N78" s="127"/>
      <c r="O78" s="127"/>
      <c r="P78" s="127"/>
      <c r="Q78" s="127"/>
      <c r="R78" s="127"/>
      <c r="S78" s="127"/>
    </row>
    <row r="79" spans="1:81" ht="15" customHeight="1" x14ac:dyDescent="0.25">
      <c r="A79" s="19"/>
      <c r="B79" s="26"/>
      <c r="C79" s="8"/>
      <c r="D79" s="19"/>
      <c r="E79" s="27"/>
      <c r="F79" s="30"/>
      <c r="G79" s="19"/>
      <c r="H79" s="24"/>
      <c r="I79" s="19"/>
      <c r="J79" s="126"/>
      <c r="K79" s="126"/>
      <c r="L79" s="127"/>
      <c r="M79" s="127"/>
      <c r="N79" s="127"/>
      <c r="O79" s="127"/>
      <c r="P79" s="127"/>
      <c r="Q79" s="127"/>
      <c r="R79" s="127"/>
      <c r="S79" s="127"/>
    </row>
    <row r="80" spans="1:81" ht="15" customHeight="1" thickBot="1" x14ac:dyDescent="0.3">
      <c r="A80" s="19"/>
      <c r="B80" s="287" t="str">
        <f>IF(LEFT(Nabídka!Q13,2)="CZ","","Instrukce k platbě: Prosím, při zadání zahraniční platby zvolte způsob úhrady bankovních poplatků OUR (veškeré poplatky hradí plátce). Jen tak bude na náš účet připsána plná fakturovaná částka.")</f>
        <v/>
      </c>
      <c r="C80" s="288"/>
      <c r="D80" s="288"/>
      <c r="E80" s="288"/>
      <c r="F80" s="288"/>
      <c r="G80" s="288"/>
      <c r="H80" s="289"/>
      <c r="I80" s="19"/>
      <c r="J80" s="126"/>
      <c r="K80" s="126"/>
      <c r="L80" s="127"/>
      <c r="M80" s="127"/>
      <c r="N80" s="127"/>
      <c r="O80" s="127"/>
      <c r="P80" s="127"/>
      <c r="Q80" s="127"/>
      <c r="R80" s="127"/>
      <c r="S80" s="127"/>
    </row>
    <row r="81" spans="1:19" ht="15" customHeight="1" thickTop="1" x14ac:dyDescent="0.25">
      <c r="A81" s="19"/>
      <c r="B81" s="19"/>
      <c r="C81" s="19"/>
      <c r="D81" s="19"/>
      <c r="E81" s="27"/>
      <c r="F81" s="30"/>
      <c r="G81" s="30"/>
      <c r="H81" s="19"/>
      <c r="I81" s="19"/>
      <c r="J81" s="126"/>
      <c r="K81" s="126"/>
      <c r="L81" s="127"/>
      <c r="M81" s="127"/>
      <c r="N81" s="127"/>
      <c r="O81" s="127"/>
      <c r="P81" s="127"/>
      <c r="Q81" s="127"/>
      <c r="R81" s="127"/>
      <c r="S81" s="127"/>
    </row>
    <row r="82" spans="1:19" x14ac:dyDescent="0.25">
      <c r="J82" s="126"/>
      <c r="K82" s="126"/>
      <c r="L82" s="127"/>
      <c r="M82" s="127"/>
      <c r="N82" s="127"/>
      <c r="O82" s="127"/>
      <c r="P82" s="127"/>
      <c r="Q82" s="127"/>
      <c r="R82" s="127"/>
      <c r="S82" s="127"/>
    </row>
    <row r="83" spans="1:19" x14ac:dyDescent="0.25">
      <c r="F83" s="116"/>
      <c r="G83" s="116"/>
      <c r="J83" s="126"/>
      <c r="K83" s="126"/>
      <c r="L83" s="127"/>
      <c r="M83" s="127"/>
      <c r="N83" s="127"/>
      <c r="O83" s="127"/>
      <c r="P83" s="127"/>
      <c r="Q83" s="127"/>
      <c r="R83" s="127"/>
      <c r="S83" s="127"/>
    </row>
    <row r="84" spans="1:19" x14ac:dyDescent="0.25">
      <c r="C84" s="127" t="str">
        <f>" Pokud IBAN nezačíná CZ, na dokladu, (buňka B80) je info o OUR platbě - poplatky hradí platící."</f>
        <v xml:space="preserve"> Pokud IBAN nezačíná CZ, na dokladu, (buňka B80) je info o OUR platbě - poplatky hradí platící.</v>
      </c>
      <c r="J84" s="126"/>
      <c r="K84" s="126"/>
      <c r="L84" s="126" t="s">
        <v>160</v>
      </c>
      <c r="M84" s="126"/>
      <c r="N84" s="126"/>
      <c r="O84" s="126"/>
      <c r="P84" s="126"/>
      <c r="Q84" s="126"/>
      <c r="R84" s="126"/>
      <c r="S84" s="126"/>
    </row>
    <row r="85" spans="1:19" x14ac:dyDescent="0.25">
      <c r="J85" s="126"/>
      <c r="K85" s="126"/>
      <c r="L85" s="126" t="s">
        <v>21</v>
      </c>
      <c r="M85" s="126"/>
      <c r="N85" s="126"/>
      <c r="O85" s="126"/>
      <c r="P85" s="126"/>
      <c r="Q85" s="126"/>
      <c r="R85" s="126"/>
      <c r="S85" s="126"/>
    </row>
    <row r="86" spans="1:19" x14ac:dyDescent="0.25">
      <c r="J86" s="126"/>
      <c r="K86" s="126"/>
      <c r="L86" s="126"/>
      <c r="M86" s="126"/>
      <c r="N86" s="126"/>
      <c r="O86" s="126"/>
      <c r="P86" s="126"/>
      <c r="Q86" s="126"/>
      <c r="R86" s="126"/>
      <c r="S86" s="126"/>
    </row>
    <row r="87" spans="1:19" x14ac:dyDescent="0.25">
      <c r="J87" s="126"/>
      <c r="K87" s="126"/>
      <c r="L87" s="126"/>
      <c r="M87" s="126"/>
      <c r="N87" s="126"/>
      <c r="O87" s="126"/>
      <c r="P87" s="126"/>
      <c r="Q87" s="126"/>
      <c r="R87" s="126"/>
      <c r="S87" s="126"/>
    </row>
    <row r="88" spans="1:19" ht="15" x14ac:dyDescent="0.25">
      <c r="C88" s="137"/>
      <c r="J88" s="126"/>
      <c r="K88" s="126"/>
      <c r="L88" s="126"/>
      <c r="M88" s="126"/>
      <c r="N88" s="126"/>
      <c r="O88" s="126"/>
      <c r="P88" s="126"/>
      <c r="Q88" s="126"/>
      <c r="R88" s="126"/>
      <c r="S88" s="126"/>
    </row>
    <row r="89" spans="1:19" x14ac:dyDescent="0.25">
      <c r="J89" s="126"/>
      <c r="K89" s="126"/>
      <c r="L89" s="126"/>
      <c r="M89" s="126"/>
      <c r="N89" s="126"/>
      <c r="O89" s="126"/>
      <c r="P89" s="126"/>
      <c r="Q89" s="126"/>
      <c r="R89" s="126"/>
      <c r="S89" s="126"/>
    </row>
    <row r="90" spans="1:19" x14ac:dyDescent="0.25">
      <c r="J90" s="126"/>
      <c r="K90" s="126"/>
      <c r="L90" s="126"/>
      <c r="M90" s="126"/>
      <c r="N90" s="126"/>
      <c r="O90" s="126"/>
      <c r="P90" s="126"/>
      <c r="Q90" s="126"/>
      <c r="R90" s="126"/>
      <c r="S90" s="126"/>
    </row>
    <row r="91" spans="1:19" x14ac:dyDescent="0.25">
      <c r="J91" s="126"/>
      <c r="K91" s="126"/>
      <c r="L91" s="126"/>
      <c r="M91" s="126"/>
      <c r="N91" s="126"/>
      <c r="O91" s="126"/>
      <c r="P91" s="126"/>
      <c r="Q91" s="126"/>
      <c r="R91" s="126"/>
      <c r="S91" s="126"/>
    </row>
    <row r="92" spans="1:19" x14ac:dyDescent="0.25">
      <c r="J92" s="126"/>
      <c r="K92" s="126"/>
      <c r="L92" s="126"/>
      <c r="M92" s="126"/>
      <c r="N92" s="126"/>
      <c r="O92" s="126"/>
      <c r="P92" s="126"/>
      <c r="Q92" s="126"/>
      <c r="R92" s="126"/>
      <c r="S92" s="126"/>
    </row>
    <row r="93" spans="1:19" x14ac:dyDescent="0.25">
      <c r="J93" s="126"/>
      <c r="K93" s="126"/>
      <c r="L93" s="126"/>
      <c r="M93" s="126"/>
      <c r="N93" s="126"/>
      <c r="O93" s="126"/>
      <c r="P93" s="126"/>
      <c r="Q93" s="126"/>
      <c r="R93" s="126"/>
      <c r="S93" s="126"/>
    </row>
    <row r="94" spans="1:19" x14ac:dyDescent="0.25">
      <c r="J94" s="126"/>
      <c r="K94" s="126"/>
      <c r="L94" s="126"/>
      <c r="M94" s="126"/>
      <c r="N94" s="126"/>
      <c r="O94" s="126"/>
      <c r="P94" s="126"/>
      <c r="Q94" s="126"/>
      <c r="R94" s="126"/>
      <c r="S94" s="126"/>
    </row>
    <row r="95" spans="1:19" ht="15" x14ac:dyDescent="0.25">
      <c r="D95" s="113"/>
      <c r="J95" s="126"/>
      <c r="K95" s="126"/>
      <c r="L95" s="126"/>
      <c r="M95" s="126"/>
      <c r="N95" s="126"/>
      <c r="O95" s="126"/>
      <c r="P95" s="126"/>
      <c r="Q95" s="126"/>
      <c r="R95" s="126"/>
      <c r="S95" s="126"/>
    </row>
    <row r="96" spans="1:19" x14ac:dyDescent="0.25">
      <c r="J96" s="126"/>
      <c r="K96" s="126"/>
      <c r="L96" s="126"/>
      <c r="M96" s="126"/>
      <c r="N96" s="126"/>
      <c r="O96" s="126"/>
      <c r="P96" s="126"/>
      <c r="Q96" s="126"/>
      <c r="R96" s="126"/>
      <c r="S96" s="126"/>
    </row>
    <row r="97" spans="10:19" x14ac:dyDescent="0.25">
      <c r="J97" s="126"/>
      <c r="K97" s="126"/>
      <c r="L97" s="126"/>
      <c r="M97" s="126"/>
      <c r="N97" s="126"/>
      <c r="O97" s="126"/>
      <c r="P97" s="126"/>
      <c r="Q97" s="126"/>
      <c r="R97" s="126"/>
      <c r="S97" s="126"/>
    </row>
    <row r="98" spans="10:19" x14ac:dyDescent="0.25">
      <c r="J98" s="126"/>
      <c r="K98" s="126"/>
      <c r="L98" s="126"/>
      <c r="M98" s="126"/>
      <c r="N98" s="126"/>
      <c r="O98" s="126"/>
      <c r="P98" s="126"/>
      <c r="Q98" s="126"/>
      <c r="R98" s="126"/>
      <c r="S98" s="126"/>
    </row>
    <row r="99" spans="10:19" x14ac:dyDescent="0.25">
      <c r="J99" s="126"/>
      <c r="K99" s="126"/>
      <c r="L99" s="126"/>
      <c r="M99" s="126"/>
      <c r="N99" s="126"/>
      <c r="O99" s="126"/>
      <c r="P99" s="126"/>
      <c r="Q99" s="126"/>
      <c r="R99" s="126"/>
      <c r="S99" s="126"/>
    </row>
    <row r="100" spans="10:19" x14ac:dyDescent="0.25"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</row>
    <row r="101" spans="10:19" x14ac:dyDescent="0.25">
      <c r="J101" s="126"/>
      <c r="K101" s="126"/>
      <c r="L101" s="126"/>
      <c r="M101" s="126"/>
      <c r="N101" s="126"/>
      <c r="O101" s="126"/>
      <c r="P101" s="126"/>
      <c r="Q101" s="126"/>
      <c r="R101" s="126"/>
      <c r="S101" s="126"/>
    </row>
    <row r="102" spans="10:19" x14ac:dyDescent="0.25">
      <c r="J102" s="126"/>
      <c r="K102" s="126"/>
      <c r="L102" s="126"/>
      <c r="M102" s="126"/>
      <c r="N102" s="126"/>
      <c r="O102" s="126"/>
      <c r="P102" s="126"/>
      <c r="Q102" s="126"/>
      <c r="R102" s="126"/>
      <c r="S102" s="126"/>
    </row>
    <row r="103" spans="10:19" x14ac:dyDescent="0.25"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</row>
    <row r="104" spans="10:19" x14ac:dyDescent="0.25"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</row>
    <row r="105" spans="10:19" x14ac:dyDescent="0.25"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</row>
    <row r="106" spans="10:19" x14ac:dyDescent="0.25"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</row>
    <row r="107" spans="10:19" x14ac:dyDescent="0.25"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</row>
    <row r="108" spans="10:19" x14ac:dyDescent="0.25"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</row>
    <row r="109" spans="10:19" x14ac:dyDescent="0.25"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</row>
    <row r="110" spans="10:19" x14ac:dyDescent="0.25"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</row>
    <row r="111" spans="10:19" x14ac:dyDescent="0.25"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</row>
    <row r="112" spans="10:19" x14ac:dyDescent="0.25"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</row>
    <row r="113" spans="10:19" x14ac:dyDescent="0.25"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</row>
    <row r="114" spans="10:19" x14ac:dyDescent="0.25"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</row>
    <row r="115" spans="10:19" x14ac:dyDescent="0.25"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</row>
    <row r="116" spans="10:19" x14ac:dyDescent="0.25"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</row>
    <row r="117" spans="10:19" x14ac:dyDescent="0.25"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</row>
    <row r="118" spans="10:19" x14ac:dyDescent="0.25"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</row>
  </sheetData>
  <sheetProtection selectLockedCells="1"/>
  <protectedRanges>
    <protectedRange sqref="L3 L8" name="Splatnost"/>
  </protectedRanges>
  <mergeCells count="34">
    <mergeCell ref="B80:H80"/>
    <mergeCell ref="B10:C10"/>
    <mergeCell ref="B5:C5"/>
    <mergeCell ref="D5:G5"/>
    <mergeCell ref="B11:C11"/>
    <mergeCell ref="D11:G11"/>
    <mergeCell ref="D10:G10"/>
    <mergeCell ref="B7:C7"/>
    <mergeCell ref="D7:G7"/>
    <mergeCell ref="B9:C9"/>
    <mergeCell ref="D9:G9"/>
    <mergeCell ref="B8:C8"/>
    <mergeCell ref="D8:G8"/>
    <mergeCell ref="B2:D4"/>
    <mergeCell ref="E2:F2"/>
    <mergeCell ref="E3:F3"/>
    <mergeCell ref="E4:G4"/>
    <mergeCell ref="B6:C6"/>
    <mergeCell ref="D6:G6"/>
    <mergeCell ref="Q10:T10"/>
    <mergeCell ref="Q11:T11"/>
    <mergeCell ref="E77:G77"/>
    <mergeCell ref="Q12:T12"/>
    <mergeCell ref="Q13:T13"/>
    <mergeCell ref="Q14:T14"/>
    <mergeCell ref="E43:F43"/>
    <mergeCell ref="E76:G76"/>
    <mergeCell ref="E53:F53"/>
    <mergeCell ref="Q8:T8"/>
    <mergeCell ref="Q6:T6"/>
    <mergeCell ref="Q7:T7"/>
    <mergeCell ref="Q9:T9"/>
    <mergeCell ref="L1:Z2"/>
    <mergeCell ref="L6:M6"/>
  </mergeCells>
  <phoneticPr fontId="35" type="noConversion"/>
  <dataValidations count="1">
    <dataValidation type="list" allowBlank="1" showInputMessage="1" showErrorMessage="1" sqref="L6:M6" xr:uid="{1AD87DCF-2221-44F7-9AB6-3101D384112C}">
      <formula1>"Předevčírem,Včera,Dnes,Zítra,Pozítří"</formula1>
    </dataValidation>
  </dataValidations>
  <printOptions horizontalCentered="1" verticalCentered="1"/>
  <pageMargins left="3.937007874015748E-2" right="3.937007874015748E-2" top="0.19685039370078741" bottom="0.19685039370078741" header="0.11811023622047245" footer="7.874015748031496E-2"/>
  <pageSetup paperSize="9" scale="65" orientation="portrait" r:id="rId1"/>
  <headerFooter>
    <oddFooter>&amp;C
&amp;G &amp;10Tento doklad je vystaven elektronicky, aby šetřil přírodu. Je podepsán kvalifikovaným certifikátem CA PostSignum a má stejnou právní váhu jako listinný dokument.</oddFooter>
  </headerFooter>
  <drawing r:id="rId2"/>
  <legacyDrawingHF r:id="rId3"/>
  <tableParts count="4"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A81DE-9ED3-4942-B5A4-EEE9DE9CAAFF}">
  <sheetPr codeName="Sheet2">
    <pageSetUpPr fitToPage="1"/>
  </sheetPr>
  <dimension ref="A1:CC118"/>
  <sheetViews>
    <sheetView topLeftCell="A11" zoomScaleNormal="100" zoomScalePageLayoutView="25" workbookViewId="0">
      <selection activeCell="C65" sqref="C65"/>
    </sheetView>
  </sheetViews>
  <sheetFormatPr defaultColWidth="9.140625" defaultRowHeight="14.25" x14ac:dyDescent="0.25"/>
  <cols>
    <col min="1" max="2" width="3.28515625" style="1" customWidth="1"/>
    <col min="3" max="3" width="77.5703125" style="1" bestFit="1" customWidth="1"/>
    <col min="4" max="4" width="13.28515625" style="1" customWidth="1"/>
    <col min="5" max="5" width="20.42578125" style="1" customWidth="1"/>
    <col min="6" max="6" width="13.42578125" style="1" bestFit="1" customWidth="1"/>
    <col min="7" max="7" width="15.7109375" style="1" customWidth="1"/>
    <col min="8" max="9" width="3.28515625" style="1" customWidth="1"/>
    <col min="10" max="11" width="9.140625" style="1"/>
    <col min="12" max="12" width="9.5703125" style="1" customWidth="1"/>
    <col min="13" max="13" width="32.7109375" style="1" bestFit="1" customWidth="1"/>
    <col min="14" max="14" width="2.140625" style="1" customWidth="1"/>
    <col min="15" max="15" width="24.28515625" style="1" customWidth="1"/>
    <col min="16" max="16" width="2.28515625" style="1" customWidth="1"/>
    <col min="17" max="19" width="9.140625" style="1"/>
    <col min="20" max="20" width="21.28515625" style="1" customWidth="1"/>
    <col min="21" max="25" width="9.140625" style="1"/>
    <col min="26" max="26" width="14.42578125" style="1" bestFit="1" customWidth="1"/>
    <col min="27" max="16384" width="9.140625" style="1"/>
  </cols>
  <sheetData>
    <row r="1" spans="1:26" ht="21" thickBot="1" x14ac:dyDescent="0.3">
      <c r="A1" s="19"/>
      <c r="B1" s="19"/>
      <c r="C1" s="19"/>
      <c r="D1" s="19"/>
      <c r="E1" s="19"/>
      <c r="F1" s="19"/>
      <c r="G1" s="19"/>
      <c r="H1" s="19"/>
      <c r="I1" s="19"/>
      <c r="L1" s="12"/>
      <c r="M1" s="12"/>
      <c r="N1" s="12"/>
      <c r="O1" s="12"/>
      <c r="P1" s="12"/>
    </row>
    <row r="2" spans="1:26" ht="21" customHeight="1" thickTop="1" x14ac:dyDescent="0.25">
      <c r="A2" s="19"/>
      <c r="B2" s="321" t="str" cm="1">
        <f t="array" ref="B2">REPT(" ",20) &amp; "FAKTURA " &amp; TEXT(((LEFT(TEXT((MAX(VALUE(Vystavené!D16:D17))),"#0000000"),3)*1))&amp;RIGHT(TEXT((MAX(VALUE(Vystavené!D16:D17))),"#0000000"),4),"#0000000")</f>
        <v xml:space="preserve">                    FAKTURA 0062025</v>
      </c>
      <c r="C2" s="321"/>
      <c r="D2" s="321"/>
      <c r="E2" s="324" t="s">
        <v>22</v>
      </c>
      <c r="F2" s="325"/>
      <c r="G2" s="20" t="str">
        <f ca="1">Nabídka!G2</f>
        <v>1. září 2025</v>
      </c>
      <c r="H2" s="21"/>
      <c r="I2" s="19"/>
      <c r="T2" s="15"/>
    </row>
    <row r="3" spans="1:26" ht="21" customHeight="1" x14ac:dyDescent="0.2">
      <c r="A3" s="19"/>
      <c r="B3" s="321"/>
      <c r="C3" s="321"/>
      <c r="D3" s="321"/>
      <c r="E3" s="271" t="s">
        <v>23</v>
      </c>
      <c r="F3" s="272"/>
      <c r="G3" s="23">
        <f ca="1">G2+14</f>
        <v>45915</v>
      </c>
      <c r="H3" s="24"/>
      <c r="I3" s="19"/>
      <c r="L3" s="97"/>
      <c r="T3" s="15"/>
    </row>
    <row r="4" spans="1:26" ht="15.75" customHeight="1" thickBot="1" x14ac:dyDescent="0.25">
      <c r="A4" s="19"/>
      <c r="B4" s="321"/>
      <c r="C4" s="321"/>
      <c r="D4" s="321"/>
      <c r="E4" s="322" t="str">
        <f ca="1">"Název projektu: "&amp;Nabídka!L5</f>
        <v>Název projektu: SVJ-2025-08 (SVJ web)</v>
      </c>
      <c r="F4" s="323"/>
      <c r="G4" s="323"/>
      <c r="H4" s="25"/>
      <c r="I4" s="19"/>
      <c r="L4" s="97"/>
      <c r="M4" s="97"/>
      <c r="N4" s="97"/>
      <c r="O4" s="97"/>
    </row>
    <row r="5" spans="1:26" s="95" customFormat="1" ht="16.5" customHeight="1" thickTop="1" x14ac:dyDescent="0.25">
      <c r="A5" s="93"/>
      <c r="B5" s="317" t="str">
        <f>REPT(" ",6)&amp;"Dodavatel:"</f>
        <v xml:space="preserve">      Dodavatel:</v>
      </c>
      <c r="C5" s="318"/>
      <c r="D5" s="317" t="str">
        <f>REPT(" ",6)&amp;"Odběratel:"</f>
        <v xml:space="preserve">      Odběratel:</v>
      </c>
      <c r="E5" s="319"/>
      <c r="F5" s="319"/>
      <c r="G5" s="319"/>
      <c r="H5" s="94"/>
      <c r="I5" s="93"/>
      <c r="L5" s="320"/>
      <c r="M5" s="320"/>
      <c r="N5" s="320"/>
      <c r="O5" s="320"/>
      <c r="Z5" s="96"/>
    </row>
    <row r="6" spans="1:26" ht="15" customHeight="1" x14ac:dyDescent="0.25">
      <c r="A6" s="19"/>
      <c r="B6" s="305" t="str">
        <f>REPT(" ",6)&amp;Nabídka!Q7</f>
        <v xml:space="preserve">      Michal Kopl</v>
      </c>
      <c r="C6" s="306"/>
      <c r="D6" s="307" t="str">
        <f>Nabídka!D6</f>
        <v>Ing. Vendula Mikolášová, SVJ Krškova 783-784</v>
      </c>
      <c r="E6" s="308"/>
      <c r="F6" s="308"/>
      <c r="G6" s="308"/>
      <c r="H6" s="24"/>
      <c r="I6" s="19"/>
      <c r="L6" s="315"/>
      <c r="M6" s="315"/>
      <c r="N6" s="315"/>
      <c r="O6" s="315"/>
      <c r="Q6" s="316"/>
      <c r="R6" s="316"/>
      <c r="S6" s="316"/>
      <c r="T6" s="316"/>
    </row>
    <row r="7" spans="1:26" ht="15" customHeight="1" x14ac:dyDescent="0.25">
      <c r="A7" s="19"/>
      <c r="B7" s="305" t="str">
        <f>REPT(" ",6)&amp;Nabídka!Q8&amp;", "&amp;Nabídka!Q9</f>
        <v xml:space="preserve">      Dlouhá 715/38, Praha 1-Staré Město, Česká Republika, 110 00</v>
      </c>
      <c r="C7" s="306"/>
      <c r="D7" s="307" t="str">
        <f>Nabídka!D7</f>
        <v>Krškova 783, Praha 5-Hlubočepy, Česká Republika, 152 00</v>
      </c>
      <c r="E7" s="308"/>
      <c r="F7" s="308"/>
      <c r="G7" s="308"/>
      <c r="H7" s="24"/>
      <c r="I7" s="19"/>
      <c r="L7" s="309"/>
      <c r="M7" s="309"/>
      <c r="N7" s="309"/>
      <c r="O7" s="309"/>
      <c r="Q7" s="309"/>
      <c r="R7" s="309"/>
      <c r="S7" s="309"/>
      <c r="T7" s="309"/>
    </row>
    <row r="8" spans="1:26" ht="15" customHeight="1" x14ac:dyDescent="0.25">
      <c r="A8" s="19"/>
      <c r="B8" s="305" t="str">
        <f>REPT(" ",6)&amp;Nabídka!Q10&amp;" , "&amp;Nabídka!Q11&amp;" , "&amp;Nabídka!Q14</f>
        <v xml:space="preserve">      +420 777 062 425 , michal@kopl.pro , https://www.kopl.pro</v>
      </c>
      <c r="C8" s="306"/>
      <c r="D8" s="307" t="str">
        <f>Nabídka!D8</f>
        <v>mikolasova@svjkrskova783-784.cz, www.svjkrskova783-784.cz</v>
      </c>
      <c r="E8" s="308"/>
      <c r="F8" s="308"/>
      <c r="G8" s="308"/>
      <c r="H8" s="24"/>
      <c r="I8" s="19"/>
      <c r="L8" s="309"/>
      <c r="M8" s="309"/>
      <c r="N8" s="309"/>
      <c r="O8" s="309"/>
      <c r="Q8" s="309"/>
      <c r="R8" s="309"/>
      <c r="S8" s="309"/>
      <c r="T8" s="309"/>
    </row>
    <row r="9" spans="1:26" ht="15" customHeight="1" x14ac:dyDescent="0.25">
      <c r="A9" s="19"/>
      <c r="B9" s="305" t="str" cm="1">
        <f t="array" ref="B9">REPT(" ",6)&amp;"BÚ:"&amp;Nabídka!Q12&amp;", VS:"&amp;TEXT(((LEFT(TEXT((MAX(VALUE(Vystavené!D16:D17))),"#0000000"),3)*1))&amp;RIGHT(TEXT((MAX(VALUE(Vystavené!D16:D17))),"#0000000"),4),"#0000000")&amp;", IBAN:"&amp;Nabídka!Q13</f>
        <v xml:space="preserve">      BÚ:000000-4213366004/5500, VS:0062025, IBAN:CZ2355000000004213366004</v>
      </c>
      <c r="C9" s="306"/>
      <c r="D9" s="307" t="str">
        <f>Nabídka!D9</f>
        <v>+420 775 111 997</v>
      </c>
      <c r="E9" s="308"/>
      <c r="F9" s="308"/>
      <c r="G9" s="308"/>
      <c r="H9" s="24"/>
      <c r="I9" s="19"/>
      <c r="L9" s="314"/>
      <c r="M9" s="314"/>
      <c r="N9" s="314"/>
      <c r="O9" s="314"/>
      <c r="P9" s="9"/>
      <c r="Q9" s="309"/>
      <c r="R9" s="309"/>
      <c r="S9" s="309"/>
      <c r="T9" s="309"/>
    </row>
    <row r="10" spans="1:26" ht="15" customHeight="1" x14ac:dyDescent="0.25">
      <c r="A10" s="19"/>
      <c r="B10" s="305" t="str">
        <f>REPT(" ",6)&amp;Nabídka!Q15</f>
        <v xml:space="preserve">      BIC/SWIFT:RZBCCZPP, IČO: 03217213, Dodavatel není plátcem DPH.</v>
      </c>
      <c r="C10" s="306"/>
      <c r="D10" s="307" t="str">
        <f>Nabídka!D10</f>
        <v>IČO: 71198407</v>
      </c>
      <c r="E10" s="308"/>
      <c r="F10" s="308"/>
      <c r="G10" s="308"/>
      <c r="H10" s="24"/>
      <c r="I10" s="19"/>
      <c r="L10" s="309"/>
      <c r="M10" s="309"/>
      <c r="N10" s="309"/>
      <c r="O10" s="309"/>
      <c r="Q10" s="309"/>
      <c r="R10" s="309"/>
      <c r="S10" s="309"/>
      <c r="T10" s="309"/>
    </row>
    <row r="11" spans="1:26" ht="15" customHeight="1" thickBot="1" x14ac:dyDescent="0.3">
      <c r="A11" s="19"/>
      <c r="B11" s="29"/>
      <c r="C11" s="18"/>
      <c r="D11" s="26"/>
      <c r="E11" s="19"/>
      <c r="F11" s="30"/>
      <c r="G11" s="30"/>
      <c r="H11" s="24"/>
      <c r="I11" s="19"/>
      <c r="L11" s="310"/>
      <c r="M11" s="309"/>
      <c r="N11" s="309"/>
      <c r="O11" s="309"/>
      <c r="Q11" s="310"/>
      <c r="R11" s="309"/>
      <c r="S11" s="309"/>
      <c r="T11" s="309"/>
    </row>
    <row r="12" spans="1:26" ht="15" customHeight="1" thickTop="1" x14ac:dyDescent="0.25">
      <c r="A12" s="19"/>
      <c r="B12" s="31"/>
      <c r="C12" s="32"/>
      <c r="D12" s="33"/>
      <c r="E12" s="33"/>
      <c r="F12" s="34"/>
      <c r="G12" s="34"/>
      <c r="H12" s="21"/>
      <c r="I12" s="19"/>
      <c r="Q12" s="309"/>
      <c r="R12" s="309"/>
      <c r="S12" s="309"/>
      <c r="T12" s="309"/>
    </row>
    <row r="13" spans="1:26" ht="15" customHeight="1" x14ac:dyDescent="0.25">
      <c r="A13" s="19"/>
      <c r="B13" s="26"/>
      <c r="C13" s="22"/>
      <c r="D13" s="28"/>
      <c r="E13" s="28"/>
      <c r="F13" s="30"/>
      <c r="G13" s="30"/>
      <c r="H13" s="24"/>
      <c r="I13" s="19"/>
      <c r="Q13" s="309"/>
      <c r="R13" s="309"/>
      <c r="S13" s="309"/>
      <c r="T13" s="309"/>
      <c r="U13" s="17"/>
    </row>
    <row r="14" spans="1:26" ht="15" customHeight="1" x14ac:dyDescent="0.25">
      <c r="A14" s="19"/>
      <c r="B14" s="26"/>
      <c r="C14" s="19"/>
      <c r="D14" s="35"/>
      <c r="E14" s="27"/>
      <c r="F14" s="30"/>
      <c r="G14" s="30"/>
      <c r="H14" s="24"/>
      <c r="I14" s="19"/>
      <c r="Q14" s="310"/>
      <c r="R14" s="309"/>
      <c r="S14" s="309"/>
      <c r="T14" s="309"/>
    </row>
    <row r="15" spans="1:26" ht="15" customHeight="1" x14ac:dyDescent="0.25">
      <c r="A15" s="19"/>
      <c r="B15" s="26"/>
      <c r="C15" s="36" t="s">
        <v>3</v>
      </c>
      <c r="D15" s="98" t="s">
        <v>4</v>
      </c>
      <c r="E15" s="37" t="s">
        <v>45</v>
      </c>
      <c r="F15" s="38"/>
      <c r="G15" s="30"/>
      <c r="H15" s="24"/>
      <c r="I15" s="19"/>
      <c r="L15" s="10"/>
      <c r="T15" s="5"/>
    </row>
    <row r="16" spans="1:26" ht="15" customHeight="1" x14ac:dyDescent="0.25">
      <c r="A16" s="19"/>
      <c r="B16" s="26"/>
      <c r="C16" s="19" t="str">
        <f>Nabídka!C16</f>
        <v>Full-remote</v>
      </c>
      <c r="D16" s="99" t="str">
        <f ca="1">Nabídka!G3</f>
        <v>1. říjen 2025</v>
      </c>
      <c r="E16" s="39" t="str">
        <f>IF(Nabídka!L16=1,Nabídka!L16&amp;" hodina",IF(AND(Nabídka!L16&gt;1,Nabídka!L16&lt;5),Nabídka!L16&amp;" hodiny",Nabídka!L16&amp;" hodin"))</f>
        <v>5,6 hodin</v>
      </c>
      <c r="F16" s="40"/>
      <c r="G16" s="30"/>
      <c r="H16" s="24"/>
      <c r="I16" s="19"/>
      <c r="L16" s="71"/>
      <c r="M16" s="10"/>
      <c r="T16" s="5"/>
    </row>
    <row r="17" spans="1:23" ht="15" customHeight="1" x14ac:dyDescent="0.25">
      <c r="A17" s="19"/>
      <c r="B17" s="26"/>
      <c r="C17" s="19"/>
      <c r="D17" s="41"/>
      <c r="E17" s="27"/>
      <c r="F17" s="30"/>
      <c r="G17" s="30"/>
      <c r="H17" s="24"/>
      <c r="I17" s="19"/>
      <c r="T17" s="6"/>
    </row>
    <row r="18" spans="1:23" ht="15" customHeight="1" x14ac:dyDescent="0.25">
      <c r="A18" s="19"/>
      <c r="B18" s="26"/>
      <c r="C18" s="36"/>
      <c r="D18" s="36"/>
      <c r="E18" s="42"/>
      <c r="F18" s="30"/>
      <c r="G18" s="30"/>
      <c r="H18" s="24"/>
      <c r="I18" s="19"/>
    </row>
    <row r="19" spans="1:23" ht="15" customHeight="1" x14ac:dyDescent="0.25">
      <c r="A19" s="19"/>
      <c r="B19" s="26"/>
      <c r="C19" s="19" t="s">
        <v>5</v>
      </c>
      <c r="D19" s="43" t="s">
        <v>6</v>
      </c>
      <c r="E19" s="39" t="s">
        <v>7</v>
      </c>
      <c r="F19" s="44" t="s">
        <v>9</v>
      </c>
      <c r="G19" s="44" t="s">
        <v>8</v>
      </c>
      <c r="H19" s="45"/>
      <c r="I19" s="19"/>
      <c r="L19" s="10"/>
    </row>
    <row r="20" spans="1:23" ht="15" customHeight="1" x14ac:dyDescent="0.25">
      <c r="A20" s="19"/>
      <c r="B20" s="26"/>
      <c r="C20" s="69" t="str">
        <f>IF(Nabídka!C20&lt;&gt;"",Nabídka!C20,"")</f>
        <v>Tvorba článků 142, 143, 144, 145, 146, 147, 148, 149</v>
      </c>
      <c r="D20" s="43" t="str">
        <f>IF(Nabídka!D20&lt;&gt;"",Nabídka!D20,"")</f>
        <v>hodina</v>
      </c>
      <c r="E20" s="43">
        <f>IF(Nabídka!E20&lt;&gt;"",Nabídka!E20,"")</f>
        <v>2.25</v>
      </c>
      <c r="F20" s="83">
        <f>IF(Nabídka!F20&lt;&gt;"",Nabídka!F20,"")</f>
        <v>750</v>
      </c>
      <c r="G20" s="83">
        <f>IF(AND((Nabídka!C20&lt;&gt;""),(Nabídka!D20&lt;&gt;""),(Nabídka!E20&lt;&gt;""),(Nabídka!F20&lt;&gt;"")),(Nabídka!E20*Nabídka!F20),"")</f>
        <v>1687.5</v>
      </c>
      <c r="H20" s="45"/>
      <c r="I20" s="19"/>
      <c r="M20" s="7"/>
      <c r="W20" s="68"/>
    </row>
    <row r="21" spans="1:23" ht="15" customHeight="1" x14ac:dyDescent="0.25">
      <c r="A21" s="19"/>
      <c r="B21" s="26"/>
      <c r="C21" s="69" t="str">
        <f>IF(Nabídka!C21&lt;&gt;"",Nabídka!C21,"")</f>
        <v>Digitalizace obsahu dokumentů z nástěnky, skenování, přepis 145,146</v>
      </c>
      <c r="D21" s="43" t="str">
        <f>IF(Nabídka!D21&lt;&gt;"",Nabídka!D21,"")</f>
        <v>hodina</v>
      </c>
      <c r="E21" s="43">
        <f>IF(Nabídka!E21&lt;&gt;"",Nabídka!E21,"")</f>
        <v>2.2000000000000002</v>
      </c>
      <c r="F21" s="83">
        <f>IF(Nabídka!F21&lt;&gt;"",Nabídka!F21,"")</f>
        <v>750</v>
      </c>
      <c r="G21" s="83">
        <f>IF(AND((Nabídka!C21&lt;&gt;""),(Nabídka!D21&lt;&gt;""),(Nabídka!E21&lt;&gt;""),(Nabídka!F21&lt;&gt;"")),(Nabídka!E21*Nabídka!F21),"")</f>
        <v>1650.0000000000002</v>
      </c>
      <c r="H21" s="45"/>
      <c r="I21" s="19"/>
      <c r="M21" s="7"/>
      <c r="W21" s="68"/>
    </row>
    <row r="22" spans="1:23" ht="15" customHeight="1" x14ac:dyDescent="0.25">
      <c r="A22" s="19"/>
      <c r="B22" s="26"/>
      <c r="C22" s="69" t="str">
        <f>IF(Nabídka!C22&lt;&gt;"",Nabídka!C22,"")</f>
        <v>Správa Modal Pop-Up 147, 148, 149</v>
      </c>
      <c r="D22" s="43" t="str">
        <f>IF(Nabídka!D22&lt;&gt;"",Nabídka!D22,"")</f>
        <v>hodina</v>
      </c>
      <c r="E22" s="43">
        <f>IF(Nabídka!E22&lt;&gt;"",Nabídka!E22,"")</f>
        <v>0.25</v>
      </c>
      <c r="F22" s="83">
        <f>IF(Nabídka!F22&lt;&gt;"",Nabídka!F22,"")</f>
        <v>750</v>
      </c>
      <c r="G22" s="83">
        <f>IF(AND((Nabídka!C22&lt;&gt;""),(Nabídka!D22&lt;&gt;""),(Nabídka!E22&lt;&gt;""),(Nabídka!F22&lt;&gt;"")),(Nabídka!E22*Nabídka!F22),"")</f>
        <v>187.5</v>
      </c>
      <c r="H22" s="45"/>
      <c r="I22" s="19"/>
      <c r="L22" s="10"/>
      <c r="M22" s="7"/>
      <c r="W22" s="68"/>
    </row>
    <row r="23" spans="1:23" ht="15" customHeight="1" x14ac:dyDescent="0.25">
      <c r="A23" s="19"/>
      <c r="B23" s="26"/>
      <c r="C23" s="69" t="str">
        <f>IF(Nabídka!C23&lt;&gt;"",Nabídka!C23,"")</f>
        <v>Aktualizace CMS Joomla! 5.3.1 -&gt; 5.3.2,  5.3.2 -&gt; 5.3.3</v>
      </c>
      <c r="D23" s="43" t="str">
        <f>IF(Nabídka!D23&lt;&gt;"",Nabídka!D23,"")</f>
        <v>hodina</v>
      </c>
      <c r="E23" s="43">
        <f>IF(Nabídka!E23&lt;&gt;"",Nabídka!E23,"")</f>
        <v>0.13</v>
      </c>
      <c r="F23" s="83">
        <f>IF(Nabídka!F23&lt;&gt;"",Nabídka!F23,"")</f>
        <v>750</v>
      </c>
      <c r="G23" s="83">
        <f>IF(AND((Nabídka!C23&lt;&gt;""),(Nabídka!D23&lt;&gt;""),(Nabídka!E23&lt;&gt;""),(Nabídka!F23&lt;&gt;"")),(Nabídka!E23*Nabídka!F23),"")</f>
        <v>97.5</v>
      </c>
      <c r="H23" s="45"/>
      <c r="I23" s="19"/>
      <c r="M23" s="7"/>
      <c r="W23" s="68"/>
    </row>
    <row r="24" spans="1:23" ht="15" customHeight="1" x14ac:dyDescent="0.25">
      <c r="A24" s="19"/>
      <c r="B24" s="26"/>
      <c r="C24" s="69" t="str">
        <f>IF(Nabídka!C24&lt;&gt;"",Nabídka!C24,"")</f>
        <v>Aktualizace komponenty Nicepage 7.9.4 -&gt; 7.10.10, 7.10.10 -&gt; 7.11.4,  7.11.4 -&gt; 7.12.8</v>
      </c>
      <c r="D24" s="43" t="str">
        <f>IF(Nabídka!D24&lt;&gt;"",Nabídka!D24,"")</f>
        <v>hodina</v>
      </c>
      <c r="E24" s="43">
        <f>IF(Nabídka!E24&lt;&gt;"",Nabídka!E24,"")</f>
        <v>0.09</v>
      </c>
      <c r="F24" s="83">
        <f>IF(Nabídka!F24&lt;&gt;"",Nabídka!F24,"")</f>
        <v>750</v>
      </c>
      <c r="G24" s="83">
        <f>IF(AND((Nabídka!C24&lt;&gt;""),(Nabídka!D24&lt;&gt;""),(Nabídka!E24&lt;&gt;""),(Nabídka!F24&lt;&gt;"")),(Nabídka!E24*Nabídka!F24),"")</f>
        <v>67.5</v>
      </c>
      <c r="H24" s="45"/>
      <c r="I24" s="19"/>
      <c r="L24" s="10"/>
      <c r="M24" s="7"/>
      <c r="W24" s="68"/>
    </row>
    <row r="25" spans="1:23" ht="15" customHeight="1" x14ac:dyDescent="0.25">
      <c r="A25" s="19"/>
      <c r="B25" s="26"/>
      <c r="C25" s="69" t="str">
        <f>IF(Nabídka!C25&lt;&gt;"",Nabídka!C25,"")</f>
        <v>Připnutí článků 145, 146 - změna pořadí</v>
      </c>
      <c r="D25" s="43" t="str">
        <f>IF(Nabídka!D25&lt;&gt;"",Nabídka!D25,"")</f>
        <v>hodina</v>
      </c>
      <c r="E25" s="43">
        <f>IF(Nabídka!E25&lt;&gt;"",Nabídka!E25,"")</f>
        <v>0.09</v>
      </c>
      <c r="F25" s="83">
        <f>IF(Nabídka!F25&lt;&gt;"",Nabídka!F25,"")</f>
        <v>750</v>
      </c>
      <c r="G25" s="83">
        <f>IF(AND((Nabídka!C25&lt;&gt;""),(Nabídka!D25&lt;&gt;""),(Nabídka!E25&lt;&gt;""),(Nabídka!F25&lt;&gt;"")),(Nabídka!E25*Nabídka!F25),"")</f>
        <v>67.5</v>
      </c>
      <c r="H25" s="45"/>
      <c r="I25" s="19"/>
      <c r="M25" s="7"/>
      <c r="W25" s="68"/>
    </row>
    <row r="26" spans="1:23" ht="15" customHeight="1" x14ac:dyDescent="0.25">
      <c r="A26" s="19"/>
      <c r="B26" s="26"/>
      <c r="C26" s="69" t="str">
        <f>IF(Nabídka!C26&lt;&gt;"",Nabídka!C26,"")</f>
        <v>Dokument s aktuálními kontakty SVJ pro nástěnky vchodů</v>
      </c>
      <c r="D26" s="43" t="str">
        <f>IF(Nabídka!D26&lt;&gt;"",Nabídka!D26,"")</f>
        <v>hodina</v>
      </c>
      <c r="E26" s="43">
        <f>IF(Nabídka!E26&lt;&gt;"",Nabídka!E26,"")</f>
        <v>0.5</v>
      </c>
      <c r="F26" s="83">
        <f>IF(Nabídka!F26&lt;&gt;"",Nabídka!F26,"")</f>
        <v>750</v>
      </c>
      <c r="G26" s="83">
        <f>IF(AND((Nabídka!C26&lt;&gt;""),(Nabídka!D26&lt;&gt;""),(Nabídka!E26&lt;&gt;""),(Nabídka!F26&lt;&gt;"")),(Nabídka!E26*Nabídka!F26),"")</f>
        <v>375</v>
      </c>
      <c r="H26" s="45"/>
      <c r="I26" s="19"/>
      <c r="M26" s="7"/>
      <c r="O26" s="311"/>
      <c r="P26" s="311"/>
      <c r="Q26" s="311"/>
      <c r="R26" s="311"/>
      <c r="S26" s="311"/>
      <c r="T26" s="311"/>
      <c r="W26" s="68"/>
    </row>
    <row r="27" spans="1:23" ht="15" customHeight="1" x14ac:dyDescent="0.25">
      <c r="A27" s="19"/>
      <c r="B27" s="26"/>
      <c r="C27" s="69" t="str">
        <f>IF(Nabídka!C27&lt;&gt;"",Nabídka!C27,"")</f>
        <v>Aktualizace komponenty AIMY Sitemap 38.0 -&gt; 38.1</v>
      </c>
      <c r="D27" s="43" t="str">
        <f>IF(Nabídka!D27&lt;&gt;"",Nabídka!D27,"")</f>
        <v>hodina</v>
      </c>
      <c r="E27" s="43">
        <f>IF(Nabídka!E27&lt;&gt;"",Nabídka!E27,"")</f>
        <v>0.09</v>
      </c>
      <c r="F27" s="83">
        <f>IF(Nabídka!F27&lt;&gt;"",Nabídka!F27,"")</f>
        <v>750</v>
      </c>
      <c r="G27" s="83">
        <f>IF(AND((Nabídka!C27&lt;&gt;""),(Nabídka!D27&lt;&gt;""),(Nabídka!E27&lt;&gt;""),(Nabídka!F27&lt;&gt;"")),(Nabídka!E27*Nabídka!F27),"")</f>
        <v>67.5</v>
      </c>
      <c r="H27" s="45"/>
      <c r="I27" s="19"/>
      <c r="M27" s="7"/>
      <c r="O27" s="311"/>
      <c r="P27" s="311"/>
      <c r="Q27" s="311"/>
      <c r="R27" s="311"/>
      <c r="S27" s="311"/>
      <c r="T27" s="311"/>
      <c r="W27" s="68"/>
    </row>
    <row r="28" spans="1:23" ht="15" customHeight="1" x14ac:dyDescent="0.25">
      <c r="A28" s="19"/>
      <c r="B28" s="26"/>
      <c r="C28" s="69" t="str">
        <f>IF(Nabídka!C28&lt;&gt;"",Nabídka!C28,"")</f>
        <v/>
      </c>
      <c r="D28" s="43" t="str">
        <f>IF(Nabídka!D28&lt;&gt;"",Nabídka!D28,"")</f>
        <v/>
      </c>
      <c r="E28" s="43" t="str">
        <f>IF(Nabídka!E28&lt;&gt;"",Nabídka!E28,"")</f>
        <v/>
      </c>
      <c r="F28" s="83" t="str">
        <f>IF(Nabídka!F28&lt;&gt;"",Nabídka!F28,"")</f>
        <v/>
      </c>
      <c r="G28" s="83" t="str">
        <f>IF(AND((Nabídka!C28&lt;&gt;""),(Nabídka!D28&lt;&gt;""),(Nabídka!E28&lt;&gt;""),(Nabídka!F28&lt;&gt;"")),(Nabídka!E28*Nabídka!F28),"")</f>
        <v/>
      </c>
      <c r="H28" s="45"/>
      <c r="I28" s="19"/>
      <c r="M28" s="7"/>
      <c r="O28" s="311"/>
      <c r="P28" s="311"/>
      <c r="Q28" s="311"/>
      <c r="R28" s="311"/>
      <c r="S28" s="311"/>
      <c r="T28" s="311"/>
      <c r="W28" s="68"/>
    </row>
    <row r="29" spans="1:23" ht="15" customHeight="1" x14ac:dyDescent="0.25">
      <c r="A29" s="19"/>
      <c r="B29" s="26"/>
      <c r="C29" s="69" t="str">
        <f>IF(Nabídka!C29&lt;&gt;"",Nabídka!C29,"")</f>
        <v/>
      </c>
      <c r="D29" s="43" t="str">
        <f>IF(Nabídka!D29&lt;&gt;"",Nabídka!D29,"")</f>
        <v/>
      </c>
      <c r="E29" s="43" t="str">
        <f>IF(Nabídka!E29&lt;&gt;"",Nabídka!E29,"")</f>
        <v/>
      </c>
      <c r="F29" s="83" t="str">
        <f>IF(Nabídka!F29&lt;&gt;"",Nabídka!F29,"")</f>
        <v/>
      </c>
      <c r="G29" s="83" t="str">
        <f>IF(AND((Nabídka!C29&lt;&gt;""),(Nabídka!D29&lt;&gt;""),(Nabídka!E29&lt;&gt;""),(Nabídka!F29&lt;&gt;"")),(Nabídka!E29*Nabídka!F29),"")</f>
        <v/>
      </c>
      <c r="H29" s="45"/>
      <c r="I29" s="19"/>
      <c r="M29" s="7"/>
      <c r="O29" s="311"/>
      <c r="P29" s="311"/>
      <c r="Q29" s="311"/>
      <c r="R29" s="311"/>
      <c r="S29" s="311"/>
      <c r="T29" s="311"/>
      <c r="W29" s="68"/>
    </row>
    <row r="30" spans="1:23" ht="15" customHeight="1" x14ac:dyDescent="0.25">
      <c r="A30" s="19"/>
      <c r="B30" s="26"/>
      <c r="C30" s="69" t="str">
        <f>IF(Nabídka!C30&lt;&gt;"",Nabídka!C30,"")</f>
        <v/>
      </c>
      <c r="D30" s="43" t="str">
        <f>IF(Nabídka!D30&lt;&gt;"",Nabídka!D30,"")</f>
        <v/>
      </c>
      <c r="E30" s="43" t="str">
        <f>IF(Nabídka!E30&lt;&gt;"",Nabídka!E30,"")</f>
        <v/>
      </c>
      <c r="F30" s="83" t="str">
        <f>IF(Nabídka!F30&lt;&gt;"",Nabídka!F30,"")</f>
        <v/>
      </c>
      <c r="G30" s="83" t="str">
        <f>IF(AND((Nabídka!C30&lt;&gt;""),(Nabídka!D30&lt;&gt;""),(Nabídka!E30&lt;&gt;""),(Nabídka!F30&lt;&gt;"")),(Nabídka!E30*Nabídka!F30),"")</f>
        <v/>
      </c>
      <c r="H30" s="45"/>
      <c r="I30" s="19"/>
      <c r="M30" s="7"/>
      <c r="O30" s="311"/>
      <c r="P30" s="311"/>
      <c r="Q30" s="311"/>
      <c r="R30" s="311"/>
      <c r="S30" s="311"/>
      <c r="T30" s="311"/>
      <c r="W30" s="68"/>
    </row>
    <row r="31" spans="1:23" ht="15" customHeight="1" x14ac:dyDescent="0.25">
      <c r="A31" s="19"/>
      <c r="B31" s="26"/>
      <c r="C31" s="69" t="str">
        <f>IF(Nabídka!C31&lt;&gt;"",Nabídka!C31,"")</f>
        <v/>
      </c>
      <c r="D31" s="43" t="str">
        <f>IF(Nabídka!D31&lt;&gt;"",Nabídka!D31,"")</f>
        <v/>
      </c>
      <c r="E31" s="43" t="str">
        <f>IF(Nabídka!E31&lt;&gt;"",Nabídka!E31,"")</f>
        <v/>
      </c>
      <c r="F31" s="83" t="str">
        <f>IF(Nabídka!F31&lt;&gt;"",Nabídka!F31,"")</f>
        <v/>
      </c>
      <c r="G31" s="83" t="str">
        <f>IF(AND((Nabídka!C31&lt;&gt;""),(Nabídka!D31&lt;&gt;""),(Nabídka!E31&lt;&gt;""),(Nabídka!F31&lt;&gt;"")),(Nabídka!E31*Nabídka!F31),"")</f>
        <v/>
      </c>
      <c r="H31" s="45"/>
      <c r="I31" s="19"/>
      <c r="L31" s="73"/>
      <c r="M31" s="73"/>
      <c r="N31" s="73"/>
      <c r="O31" s="311"/>
      <c r="P31" s="311"/>
      <c r="Q31" s="311"/>
      <c r="R31" s="311"/>
      <c r="S31" s="311"/>
      <c r="T31" s="311"/>
      <c r="W31" s="68"/>
    </row>
    <row r="32" spans="1:23" ht="15" customHeight="1" x14ac:dyDescent="0.25">
      <c r="A32" s="19"/>
      <c r="B32" s="26"/>
      <c r="C32" s="69" t="str">
        <f>IF(Nabídka!C32&lt;&gt;"",Nabídka!C32,"")</f>
        <v/>
      </c>
      <c r="D32" s="43" t="str">
        <f>IF(Nabídka!D32&lt;&gt;"",Nabídka!D32,"")</f>
        <v/>
      </c>
      <c r="E32" s="43" t="str">
        <f>IF(Nabídka!E32&lt;&gt;"",Nabídka!E32,"")</f>
        <v/>
      </c>
      <c r="F32" s="83" t="str">
        <f>IF(Nabídka!F32&lt;&gt;"",Nabídka!F32,"")</f>
        <v/>
      </c>
      <c r="G32" s="83" t="str">
        <f>IF(AND((Nabídka!C32&lt;&gt;""),(Nabídka!D32&lt;&gt;""),(Nabídka!E32&lt;&gt;""),(Nabídka!F32&lt;&gt;"")),(Nabídka!E32*Nabídka!F32),"")</f>
        <v/>
      </c>
      <c r="H32" s="45"/>
      <c r="I32" s="19"/>
      <c r="L32" s="73"/>
      <c r="M32" s="73"/>
      <c r="N32" s="73"/>
      <c r="O32" s="311"/>
      <c r="P32" s="311"/>
      <c r="Q32" s="311"/>
      <c r="R32" s="311"/>
      <c r="S32" s="311"/>
      <c r="T32" s="311"/>
      <c r="W32" s="68"/>
    </row>
    <row r="33" spans="1:23" ht="15" customHeight="1" x14ac:dyDescent="0.25">
      <c r="A33" s="19"/>
      <c r="B33" s="26"/>
      <c r="C33" s="69" t="str">
        <f>IF(Nabídka!C33&lt;&gt;"",Nabídka!C33,"")</f>
        <v/>
      </c>
      <c r="D33" s="43" t="str">
        <f>IF(Nabídka!D33&lt;&gt;"",Nabídka!D33,"")</f>
        <v/>
      </c>
      <c r="E33" s="43" t="str">
        <f>IF(Nabídka!E33&lt;&gt;"",Nabídka!E33,"")</f>
        <v/>
      </c>
      <c r="F33" s="83" t="str">
        <f>IF(Nabídka!F33&lt;&gt;"",Nabídka!F33,"")</f>
        <v/>
      </c>
      <c r="G33" s="83" t="str">
        <f>IF(AND((Nabídka!C33&lt;&gt;""),(Nabídka!D33&lt;&gt;""),(Nabídka!E33&lt;&gt;""),(Nabídka!F33&lt;&gt;"")),(Nabídka!E33*Nabídka!F33),"")</f>
        <v/>
      </c>
      <c r="H33" s="45"/>
      <c r="I33" s="19"/>
      <c r="L33" s="73"/>
      <c r="M33" s="73"/>
      <c r="N33" s="73"/>
      <c r="O33" s="311"/>
      <c r="P33" s="311"/>
      <c r="Q33" s="311"/>
      <c r="R33" s="311"/>
      <c r="S33" s="311"/>
      <c r="T33" s="311"/>
      <c r="W33" s="68"/>
    </row>
    <row r="34" spans="1:23" ht="15" customHeight="1" x14ac:dyDescent="0.25">
      <c r="A34" s="19"/>
      <c r="B34" s="26"/>
      <c r="C34" s="69" t="str">
        <f>IF(Nabídka!C34&lt;&gt;"",Nabídka!C34,"")</f>
        <v/>
      </c>
      <c r="D34" s="43" t="str">
        <f>IF(Nabídka!D34&lt;&gt;"",Nabídka!D34,"")</f>
        <v/>
      </c>
      <c r="E34" s="43" t="str">
        <f>IF(Nabídka!E34&lt;&gt;"",Nabídka!E34,"")</f>
        <v/>
      </c>
      <c r="F34" s="83" t="str">
        <f>IF(Nabídka!F34&lt;&gt;"",Nabídka!F34,"")</f>
        <v/>
      </c>
      <c r="G34" s="83" t="str">
        <f>IF(AND((Nabídka!C34&lt;&gt;""),(Nabídka!D34&lt;&gt;""),(Nabídka!E34&lt;&gt;""),(Nabídka!F34&lt;&gt;"")),(Nabídka!E34*Nabídka!F34),"")</f>
        <v/>
      </c>
      <c r="H34" s="45"/>
      <c r="I34" s="19"/>
      <c r="L34" s="73"/>
      <c r="M34" s="73"/>
      <c r="N34" s="73"/>
      <c r="O34" s="73"/>
      <c r="P34" s="73"/>
      <c r="Q34" s="73"/>
      <c r="R34" s="73"/>
      <c r="S34" s="73"/>
      <c r="T34" s="73"/>
      <c r="W34" s="68"/>
    </row>
    <row r="35" spans="1:23" ht="15" customHeight="1" x14ac:dyDescent="0.25">
      <c r="A35" s="19"/>
      <c r="B35" s="26"/>
      <c r="C35" s="69" t="str">
        <f>IF(Nabídka!C35&lt;&gt;"",Nabídka!C35,"")</f>
        <v/>
      </c>
      <c r="D35" s="43" t="str">
        <f>IF(Nabídka!D35&lt;&gt;"",Nabídka!D35,"")</f>
        <v/>
      </c>
      <c r="E35" s="43" t="str">
        <f>IF(Nabídka!E35&lt;&gt;"",Nabídka!E35,"")</f>
        <v/>
      </c>
      <c r="F35" s="83" t="str">
        <f>IF(Nabídka!F35&lt;&gt;"",Nabídka!F35,"")</f>
        <v/>
      </c>
      <c r="G35" s="83" t="str">
        <f>IF(AND((Nabídka!C35&lt;&gt;""),(Nabídka!D35&lt;&gt;""),(Nabídka!E35&lt;&gt;""),(Nabídka!F35&lt;&gt;"")),(Nabídka!E35*Nabídka!F35),"")</f>
        <v/>
      </c>
      <c r="H35" s="45"/>
      <c r="I35" s="19"/>
      <c r="L35" s="73"/>
      <c r="M35" s="73"/>
      <c r="N35" s="73"/>
      <c r="O35" s="73"/>
      <c r="P35" s="73"/>
      <c r="Q35" s="73"/>
      <c r="R35" s="73"/>
      <c r="S35" s="73"/>
      <c r="T35" s="73"/>
      <c r="W35" s="68"/>
    </row>
    <row r="36" spans="1:23" ht="15" customHeight="1" x14ac:dyDescent="0.25">
      <c r="A36" s="19"/>
      <c r="B36" s="26"/>
      <c r="C36" s="69" t="str">
        <f>IF(Nabídka!C36&lt;&gt;"",Nabídka!C36,"")</f>
        <v/>
      </c>
      <c r="D36" s="43" t="str">
        <f>IF(Nabídka!D36&lt;&gt;"",Nabídka!D36,"")</f>
        <v/>
      </c>
      <c r="E36" s="43" t="str">
        <f>IF(Nabídka!E36&lt;&gt;"",Nabídka!E36,"")</f>
        <v/>
      </c>
      <c r="F36" s="83" t="str">
        <f>IF(Nabídka!F36&lt;&gt;"",Nabídka!F36,"")</f>
        <v/>
      </c>
      <c r="G36" s="83" t="str">
        <f>IF(AND((Nabídka!C36&lt;&gt;""),(Nabídka!D36&lt;&gt;""),(Nabídka!E36&lt;&gt;""),(Nabídka!F36&lt;&gt;"")),(Nabídka!E36*Nabídka!F36),"")</f>
        <v/>
      </c>
      <c r="H36" s="45"/>
      <c r="I36" s="19"/>
      <c r="L36" s="73"/>
      <c r="M36" s="73"/>
      <c r="N36" s="73"/>
      <c r="O36" s="73"/>
      <c r="P36" s="73"/>
      <c r="Q36" s="73"/>
      <c r="R36" s="73"/>
      <c r="S36" s="73"/>
      <c r="T36" s="73"/>
      <c r="W36" s="68"/>
    </row>
    <row r="37" spans="1:23" ht="15" customHeight="1" x14ac:dyDescent="0.25">
      <c r="A37" s="19"/>
      <c r="B37" s="26"/>
      <c r="C37" s="69" t="str">
        <f>IF(Nabídka!C37&lt;&gt;"",Nabídka!C37,"")</f>
        <v/>
      </c>
      <c r="D37" s="43" t="str">
        <f>IF(Nabídka!D37&lt;&gt;"",Nabídka!D37,"")</f>
        <v/>
      </c>
      <c r="E37" s="43" t="str">
        <f>IF(Nabídka!E37&lt;&gt;"",Nabídka!E37,"")</f>
        <v/>
      </c>
      <c r="F37" s="83" t="str">
        <f>IF(Nabídka!F37&lt;&gt;"",Nabídka!F37,"")</f>
        <v/>
      </c>
      <c r="G37" s="83" t="str">
        <f>IF(AND((Nabídka!C37&lt;&gt;""),(Nabídka!D37&lt;&gt;""),(Nabídka!E37&lt;&gt;""),(Nabídka!F37&lt;&gt;"")),(Nabídka!E37*Nabídka!F37),"")</f>
        <v/>
      </c>
      <c r="H37" s="45"/>
      <c r="I37" s="19"/>
      <c r="L37" s="73"/>
      <c r="M37" s="73"/>
      <c r="N37" s="73"/>
      <c r="O37" s="73"/>
      <c r="P37" s="73"/>
      <c r="Q37" s="73"/>
      <c r="R37" s="73"/>
      <c r="S37" s="73"/>
      <c r="T37" s="73"/>
      <c r="W37" s="68"/>
    </row>
    <row r="38" spans="1:23" ht="15" customHeight="1" x14ac:dyDescent="0.25">
      <c r="A38" s="19"/>
      <c r="B38" s="26"/>
      <c r="C38" s="69" t="str">
        <f>IF(Nabídka!C38&lt;&gt;"",Nabídka!C38,"")</f>
        <v/>
      </c>
      <c r="D38" s="43" t="str">
        <f>IF(Nabídka!D38&lt;&gt;"",Nabídka!D38,"")</f>
        <v/>
      </c>
      <c r="E38" s="43" t="str">
        <f>IF(Nabídka!E38&lt;&gt;"",Nabídka!E38,"")</f>
        <v/>
      </c>
      <c r="F38" s="83" t="str">
        <f>IF(Nabídka!F38&lt;&gt;"",Nabídka!F38,"")</f>
        <v/>
      </c>
      <c r="G38" s="83" t="str">
        <f>IF(AND((Nabídka!C38&lt;&gt;""),(Nabídka!D38&lt;&gt;""),(Nabídka!E38&lt;&gt;""),(Nabídka!F38&lt;&gt;"")),(Nabídka!E38*Nabídka!F38),"")</f>
        <v/>
      </c>
      <c r="H38" s="45"/>
      <c r="I38" s="19"/>
      <c r="L38" s="73"/>
      <c r="M38" s="73"/>
      <c r="N38" s="73"/>
      <c r="O38" s="73"/>
      <c r="P38" s="73"/>
      <c r="Q38" s="73"/>
      <c r="R38" s="73"/>
      <c r="S38" s="73"/>
      <c r="T38" s="73"/>
      <c r="W38" s="68"/>
    </row>
    <row r="39" spans="1:23" ht="15" customHeight="1" x14ac:dyDescent="0.25">
      <c r="A39" s="19"/>
      <c r="B39" s="26"/>
      <c r="C39" s="69" t="str">
        <f>IF(Nabídka!C39&lt;&gt;"",Nabídka!C39,"")</f>
        <v/>
      </c>
      <c r="D39" s="43" t="str">
        <f>IF(Nabídka!D39&lt;&gt;"",Nabídka!D39,"")</f>
        <v/>
      </c>
      <c r="E39" s="43" t="str">
        <f>IF(Nabídka!E39&lt;&gt;"",Nabídka!E39,"")</f>
        <v/>
      </c>
      <c r="F39" s="83" t="str">
        <f>IF(Nabídka!F39&lt;&gt;"",Nabídka!F39,"")</f>
        <v/>
      </c>
      <c r="G39" s="83" t="str">
        <f>IF(AND((Nabídka!C39&lt;&gt;""),(Nabídka!D39&lt;&gt;""),(Nabídka!E39&lt;&gt;""),(Nabídka!F39&lt;&gt;"")),(Nabídka!E39*Nabídka!F39),"")</f>
        <v/>
      </c>
      <c r="H39" s="45"/>
      <c r="I39" s="19"/>
      <c r="M39" s="7"/>
      <c r="W39" s="68"/>
    </row>
    <row r="40" spans="1:23" ht="15" customHeight="1" x14ac:dyDescent="0.25">
      <c r="A40" s="19"/>
      <c r="B40" s="26"/>
      <c r="C40" s="69" t="str">
        <f>IF(Nabídka!C40&lt;&gt;"",Nabídka!C40,"")</f>
        <v/>
      </c>
      <c r="D40" s="43" t="str">
        <f>IF(Nabídka!D40&lt;&gt;"",Nabídka!D40,"")</f>
        <v/>
      </c>
      <c r="E40" s="43" t="str">
        <f>IF(Nabídka!E40&lt;&gt;"",Nabídka!E40,"")</f>
        <v/>
      </c>
      <c r="F40" s="83" t="str">
        <f>IF(Nabídka!F40&lt;&gt;"",Nabídka!F40,"")</f>
        <v/>
      </c>
      <c r="G40" s="83" t="str">
        <f>IF(AND((Nabídka!C40&lt;&gt;""),(Nabídka!D40&lt;&gt;""),(Nabídka!E40&lt;&gt;""),(Nabídka!F40&lt;&gt;"")),(Nabídka!E40*Nabídka!F40),"")</f>
        <v/>
      </c>
      <c r="H40" s="45"/>
      <c r="I40" s="19"/>
      <c r="L40" s="16"/>
      <c r="W40" s="68"/>
    </row>
    <row r="41" spans="1:23" ht="15" customHeight="1" x14ac:dyDescent="0.25">
      <c r="A41" s="19"/>
      <c r="B41" s="26"/>
      <c r="C41" s="69" t="str">
        <f>IF(Nabídka!C41&lt;&gt;"",Nabídka!C41,"")</f>
        <v/>
      </c>
      <c r="D41" s="43" t="str">
        <f>IF(Nabídka!D41&lt;&gt;"",Nabídka!D41,"")</f>
        <v/>
      </c>
      <c r="E41" s="43" t="str">
        <f>IF(Nabídka!E41&lt;&gt;"",Nabídka!E41,"")</f>
        <v/>
      </c>
      <c r="F41" s="83" t="str">
        <f>IF(Nabídka!F41&lt;&gt;"",Nabídka!F41,"")</f>
        <v/>
      </c>
      <c r="G41" s="83" t="str">
        <f>IF(AND((Nabídka!C41&lt;&gt;""),(Nabídka!D41&lt;&gt;""),(Nabídka!E41&lt;&gt;""),(Nabídka!F41&lt;&gt;"")),(Nabídka!E41*Nabídka!F41),"")</f>
        <v/>
      </c>
      <c r="H41" s="45"/>
      <c r="I41" s="19"/>
      <c r="W41" s="68"/>
    </row>
    <row r="42" spans="1:23" ht="15" customHeight="1" x14ac:dyDescent="0.25">
      <c r="A42" s="19"/>
      <c r="B42" s="26"/>
      <c r="C42" s="69" t="str">
        <f>IF(Nabídka!C42&lt;&gt;"",Nabídka!C42,"")</f>
        <v/>
      </c>
      <c r="D42" s="43" t="str">
        <f>IF(Nabídka!D42&lt;&gt;"",Nabídka!D42,"")</f>
        <v/>
      </c>
      <c r="E42" s="43" t="str">
        <f>IF(Nabídka!E42&lt;&gt;"",Nabídka!E42,"")</f>
        <v/>
      </c>
      <c r="F42" s="83" t="str">
        <f>IF(Nabídka!F42&lt;&gt;"",Nabídka!F42,"")</f>
        <v/>
      </c>
      <c r="G42" s="83" t="str">
        <f>IF(AND((Nabídka!C42&lt;&gt;""),(Nabídka!D42&lt;&gt;""),(Nabídka!E42&lt;&gt;""),(Nabídka!F42&lt;&gt;"")),(Nabídka!E42*Nabídka!F42),"")</f>
        <v/>
      </c>
      <c r="H42" s="46"/>
      <c r="I42" s="19"/>
      <c r="W42" s="68"/>
    </row>
    <row r="43" spans="1:23" ht="15" customHeight="1" thickBot="1" x14ac:dyDescent="0.3">
      <c r="A43" s="19"/>
      <c r="B43" s="26"/>
      <c r="C43" s="19"/>
      <c r="D43" s="19"/>
      <c r="E43" s="312" t="s">
        <v>10</v>
      </c>
      <c r="F43" s="313"/>
      <c r="G43" s="84">
        <f>SUM(Nabídka!G20:'Nabídka'!G42)</f>
        <v>4200</v>
      </c>
      <c r="H43" s="45"/>
      <c r="I43" s="19"/>
      <c r="L43" s="10"/>
      <c r="W43" s="68"/>
    </row>
    <row r="44" spans="1:23" ht="15" customHeight="1" x14ac:dyDescent="0.25">
      <c r="A44" s="19"/>
      <c r="B44" s="26"/>
      <c r="C44" s="19"/>
      <c r="D44" s="19"/>
      <c r="E44" s="47"/>
      <c r="F44" s="47"/>
      <c r="G44" s="48"/>
      <c r="H44" s="45"/>
      <c r="I44" s="19"/>
      <c r="M44" s="7"/>
      <c r="W44" s="68"/>
    </row>
    <row r="45" spans="1:23" ht="15" customHeight="1" x14ac:dyDescent="0.25">
      <c r="A45" s="19"/>
      <c r="B45" s="26"/>
      <c r="C45" s="19"/>
      <c r="D45" s="19"/>
      <c r="E45" s="42"/>
      <c r="F45" s="49"/>
      <c r="G45" s="49"/>
      <c r="H45" s="45"/>
      <c r="I45" s="19"/>
      <c r="M45" s="7"/>
      <c r="W45" s="68"/>
    </row>
    <row r="46" spans="1:23" ht="15" customHeight="1" x14ac:dyDescent="0.25">
      <c r="A46" s="19"/>
      <c r="B46" s="26"/>
      <c r="C46" s="19" t="s">
        <v>11</v>
      </c>
      <c r="D46" s="43" t="s">
        <v>6</v>
      </c>
      <c r="E46" s="37" t="s">
        <v>7</v>
      </c>
      <c r="F46" s="44" t="s">
        <v>9</v>
      </c>
      <c r="G46" s="44" t="s">
        <v>8</v>
      </c>
      <c r="H46" s="45"/>
      <c r="I46" s="19"/>
      <c r="L46" s="11"/>
      <c r="M46" s="7"/>
      <c r="W46" s="68"/>
    </row>
    <row r="47" spans="1:23" ht="15" customHeight="1" x14ac:dyDescent="0.25">
      <c r="A47" s="19"/>
      <c r="B47" s="26"/>
      <c r="C47" s="19" t="str">
        <f>IF(Nabídka!C47&lt;&gt;"",Nabídka!C47,"")</f>
        <v/>
      </c>
      <c r="D47" s="43" t="str">
        <f>IF(Nabídka!D47&lt;&gt;"",Nabídka!D47,"")</f>
        <v/>
      </c>
      <c r="E47" s="43" t="str">
        <f>IF(Nabídka!E47&lt;&gt;"",Nabídka!E47,"")</f>
        <v/>
      </c>
      <c r="F47" s="83" t="str">
        <f>IF(Nabídka!F47&lt;&gt;"",Nabídka!F47,"")</f>
        <v/>
      </c>
      <c r="G47" s="83" t="str">
        <f>IF(AND((Nabídka!C47&lt;&gt;""),(Nabídka!D47&lt;&gt;""),(Nabídka!E47&lt;&gt;""),(Nabídka!F47&lt;&gt;"")),(Nabídka!E47*Nabídka!F47),"")</f>
        <v/>
      </c>
      <c r="H47" s="45"/>
      <c r="I47" s="19"/>
      <c r="L47" s="10"/>
      <c r="M47" s="7"/>
      <c r="W47" s="68"/>
    </row>
    <row r="48" spans="1:23" ht="15" customHeight="1" x14ac:dyDescent="0.25">
      <c r="A48" s="19"/>
      <c r="B48" s="26"/>
      <c r="C48" s="19" t="str">
        <f>IF(Nabídka!C48&lt;&gt;"",Nabídka!C48,"")</f>
        <v/>
      </c>
      <c r="D48" s="43" t="str">
        <f>IF(Nabídka!D48&lt;&gt;"",Nabídka!D48,"")</f>
        <v/>
      </c>
      <c r="E48" s="43" t="str">
        <f>IF(Nabídka!E48&lt;&gt;"",Nabídka!E48,"")</f>
        <v/>
      </c>
      <c r="F48" s="83" t="str">
        <f>IF(Nabídka!F48&lt;&gt;"",Nabídka!F48,"")</f>
        <v/>
      </c>
      <c r="G48" s="83" t="str">
        <f>IF(AND((Nabídka!C48&lt;&gt;""),(Nabídka!D48&lt;&gt;""),(Nabídka!E48&lt;&gt;""),(Nabídka!F48&lt;&gt;"")),(Nabídka!E48*Nabídka!F48),"")</f>
        <v/>
      </c>
      <c r="H48" s="45"/>
      <c r="I48" s="19"/>
      <c r="W48" s="68"/>
    </row>
    <row r="49" spans="1:81" ht="15" customHeight="1" x14ac:dyDescent="0.25">
      <c r="A49" s="19"/>
      <c r="B49" s="26"/>
      <c r="C49" s="19" t="str">
        <f>IF(Nabídka!C49&lt;&gt;"",Nabídka!C49,"")</f>
        <v/>
      </c>
      <c r="D49" s="43" t="str">
        <f>IF(Nabídka!D49&lt;&gt;"",Nabídka!D49,"")</f>
        <v/>
      </c>
      <c r="E49" s="43" t="str">
        <f>IF(Nabídka!E49&lt;&gt;"",Nabídka!E49,"")</f>
        <v/>
      </c>
      <c r="F49" s="83" t="str">
        <f>IF(Nabídka!F49&lt;&gt;"",Nabídka!F49,"")</f>
        <v/>
      </c>
      <c r="G49" s="83" t="str">
        <f>IF(AND((Nabídka!C49&lt;&gt;""),(Nabídka!D49&lt;&gt;""),(Nabídka!E49&lt;&gt;""),(Nabídka!F49&lt;&gt;"")),(Nabídka!E49*Nabídka!F49),"")</f>
        <v/>
      </c>
      <c r="H49" s="45"/>
      <c r="I49" s="19"/>
      <c r="W49" s="68"/>
    </row>
    <row r="50" spans="1:81" ht="15" customHeight="1" x14ac:dyDescent="0.25">
      <c r="A50" s="19"/>
      <c r="B50" s="26"/>
      <c r="C50" s="19" t="str">
        <f>IF(Nabídka!C50&lt;&gt;"",Nabídka!C50,"")</f>
        <v/>
      </c>
      <c r="D50" s="43" t="str">
        <f>IF(Nabídka!D50&lt;&gt;"",Nabídka!D50,"")</f>
        <v/>
      </c>
      <c r="E50" s="43" t="str">
        <f>IF(Nabídka!E50&lt;&gt;"",Nabídka!E50,"")</f>
        <v/>
      </c>
      <c r="F50" s="83" t="str">
        <f>IF(Nabídka!F50&lt;&gt;"",Nabídka!F50,"")</f>
        <v/>
      </c>
      <c r="G50" s="83" t="str">
        <f>IF(AND((Nabídka!C50&lt;&gt;""),(Nabídka!D50&lt;&gt;""),(Nabídka!E50&lt;&gt;""),(Nabídka!F50&lt;&gt;"")),(Nabídka!E50*Nabídka!F50),"")</f>
        <v/>
      </c>
      <c r="H50" s="45"/>
      <c r="I50" s="19"/>
      <c r="L50" s="16"/>
      <c r="W50" s="68"/>
    </row>
    <row r="51" spans="1:81" ht="15" customHeight="1" x14ac:dyDescent="0.25">
      <c r="A51" s="19"/>
      <c r="B51" s="26"/>
      <c r="C51" s="19" t="str">
        <f>IF(Nabídka!C51&lt;&gt;"",Nabídka!C51,"")</f>
        <v/>
      </c>
      <c r="D51" s="43" t="str">
        <f>IF(Nabídka!D51&lt;&gt;"",Nabídka!D51,"")</f>
        <v/>
      </c>
      <c r="E51" s="43" t="str">
        <f>IF(Nabídka!E51&lt;&gt;"",Nabídka!E51,"")</f>
        <v/>
      </c>
      <c r="F51" s="83" t="str">
        <f>IF(Nabídka!F51&lt;&gt;"",Nabídka!F51,"")</f>
        <v/>
      </c>
      <c r="G51" s="83" t="str">
        <f>IF(AND((Nabídka!C51&lt;&gt;""),(Nabídka!D51&lt;&gt;""),(Nabídka!E51&lt;&gt;""),(Nabídka!F51&lt;&gt;"")),(Nabídka!E51*Nabídka!F51),"")</f>
        <v/>
      </c>
      <c r="H51" s="45"/>
      <c r="I51" s="19"/>
    </row>
    <row r="52" spans="1:81" ht="15" customHeight="1" x14ac:dyDescent="0.25">
      <c r="A52" s="19"/>
      <c r="B52" s="26"/>
      <c r="C52" s="19" t="str">
        <f>IF(Nabídka!C52&lt;&gt;"",Nabídka!C52,"")</f>
        <v/>
      </c>
      <c r="D52" s="43" t="str">
        <f>IF(Nabídka!D52&lt;&gt;"",Nabídka!D52,"")</f>
        <v/>
      </c>
      <c r="E52" s="43" t="str">
        <f>IF(Nabídka!E52&lt;&gt;"",Nabídka!E52,"")</f>
        <v/>
      </c>
      <c r="F52" s="83" t="str">
        <f>IF(Nabídka!F52&lt;&gt;"",Nabídka!F52,"")</f>
        <v/>
      </c>
      <c r="G52" s="83" t="str">
        <f>IF(AND((Nabídka!C52&lt;&gt;""),(Nabídka!D52&lt;&gt;""),(Nabídka!E52&lt;&gt;""),(Nabídka!F52&lt;&gt;"")),(Nabídka!E52*Nabídka!F52),"")</f>
        <v/>
      </c>
      <c r="H52" s="46"/>
      <c r="I52" s="19"/>
    </row>
    <row r="53" spans="1:81" ht="15" customHeight="1" thickBot="1" x14ac:dyDescent="0.3">
      <c r="A53" s="19"/>
      <c r="B53" s="26"/>
      <c r="C53" s="19"/>
      <c r="D53" s="19"/>
      <c r="E53" s="255" t="s">
        <v>24</v>
      </c>
      <c r="F53" s="256"/>
      <c r="G53" s="85">
        <f>SUM(Nabídka!G47:'Nabídka'!G52)</f>
        <v>0</v>
      </c>
      <c r="H53" s="46"/>
      <c r="I53" s="19"/>
    </row>
    <row r="54" spans="1:81" ht="15" customHeight="1" x14ac:dyDescent="0.25">
      <c r="A54" s="19"/>
      <c r="B54" s="26"/>
      <c r="C54" s="19"/>
      <c r="D54" s="36"/>
      <c r="E54" s="42"/>
      <c r="F54" s="50"/>
      <c r="G54" s="51"/>
      <c r="H54" s="46"/>
      <c r="I54" s="19"/>
      <c r="L54" s="72"/>
      <c r="M54" s="10"/>
    </row>
    <row r="55" spans="1:81" ht="15" customHeight="1" x14ac:dyDescent="0.25">
      <c r="A55" s="19"/>
      <c r="B55" s="26"/>
      <c r="C55" s="19"/>
      <c r="D55" s="19"/>
      <c r="E55" s="19"/>
      <c r="F55" s="19"/>
      <c r="G55" s="19"/>
      <c r="H55" s="46"/>
      <c r="I55" s="19"/>
      <c r="L55" s="72"/>
      <c r="M55" s="10"/>
    </row>
    <row r="56" spans="1:81" ht="15" customHeight="1" thickBot="1" x14ac:dyDescent="0.3">
      <c r="A56" s="19"/>
      <c r="B56" s="26"/>
      <c r="C56" s="36"/>
      <c r="D56" s="19"/>
      <c r="E56" s="22"/>
      <c r="F56" s="66"/>
      <c r="G56" s="70"/>
      <c r="H56" s="46"/>
      <c r="I56" s="19"/>
      <c r="J56" s="13"/>
      <c r="K56" s="13"/>
      <c r="L56" s="13"/>
      <c r="M56" s="13"/>
      <c r="N56" s="13"/>
      <c r="O56" s="13"/>
      <c r="P56" s="13"/>
      <c r="Q56" s="13"/>
      <c r="R56" s="13"/>
      <c r="S56" s="13"/>
    </row>
    <row r="57" spans="1:81" ht="15" customHeight="1" thickTop="1" x14ac:dyDescent="0.25">
      <c r="A57" s="19"/>
      <c r="B57" s="26"/>
      <c r="C57" s="19"/>
      <c r="D57" s="19"/>
      <c r="E57" s="74"/>
      <c r="F57" s="88" t="s">
        <v>13</v>
      </c>
      <c r="G57" s="86">
        <f>Nabídka!G56</f>
        <v>4200</v>
      </c>
      <c r="H57" s="46"/>
      <c r="I57" s="19"/>
      <c r="J57" s="13"/>
      <c r="K57" s="13"/>
      <c r="L57" s="61"/>
      <c r="M57" s="61"/>
      <c r="N57" s="61"/>
      <c r="O57" s="61"/>
      <c r="P57" s="61"/>
      <c r="Q57" s="61"/>
      <c r="R57" s="61"/>
      <c r="S57" s="61"/>
    </row>
    <row r="58" spans="1:81" ht="15" customHeight="1" thickBot="1" x14ac:dyDescent="0.3">
      <c r="A58" s="19"/>
      <c r="B58" s="26"/>
      <c r="C58" s="19"/>
      <c r="D58" s="19"/>
      <c r="E58" s="75"/>
      <c r="F58" s="89" t="str">
        <f>Nabídka!F57</f>
        <v>K úhradě (+0 Kč):</v>
      </c>
      <c r="G58" s="87">
        <f>Nabídka!G57</f>
        <v>4200</v>
      </c>
      <c r="H58" s="76"/>
      <c r="I58" s="77"/>
      <c r="J58" s="78"/>
      <c r="K58" s="78"/>
      <c r="L58" s="61"/>
      <c r="M58" s="61"/>
      <c r="N58" s="61"/>
      <c r="O58" s="61"/>
      <c r="P58" s="61"/>
      <c r="Q58" s="61"/>
      <c r="R58" s="61"/>
      <c r="S58" s="61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</row>
    <row r="59" spans="1:81" ht="15" customHeight="1" thickTop="1" x14ac:dyDescent="0.25">
      <c r="A59" s="19"/>
      <c r="B59" s="26"/>
      <c r="C59" s="19"/>
      <c r="D59" s="19"/>
      <c r="E59" s="22"/>
      <c r="F59" s="66"/>
      <c r="G59" s="67" t="s">
        <v>33</v>
      </c>
      <c r="H59" s="76"/>
      <c r="I59" s="77"/>
      <c r="J59" s="78"/>
      <c r="K59" s="78"/>
      <c r="L59" s="61"/>
      <c r="M59" s="61"/>
      <c r="N59" s="61"/>
      <c r="O59" s="61"/>
      <c r="P59" s="61"/>
      <c r="Q59" s="61"/>
      <c r="R59" s="61"/>
      <c r="S59" s="61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</row>
    <row r="60" spans="1:81" ht="15" customHeight="1" x14ac:dyDescent="0.25">
      <c r="A60" s="19"/>
      <c r="B60" s="26"/>
      <c r="C60" s="19"/>
      <c r="D60" s="19"/>
      <c r="E60" s="42"/>
      <c r="F60" s="49"/>
      <c r="G60" s="19"/>
      <c r="H60" s="76"/>
      <c r="I60" s="77"/>
      <c r="J60" s="78"/>
      <c r="K60" s="78"/>
      <c r="L60" s="61"/>
      <c r="M60" s="61"/>
      <c r="N60" s="61"/>
      <c r="O60" s="61"/>
      <c r="P60" s="61"/>
      <c r="Q60" s="61"/>
      <c r="R60" s="61"/>
      <c r="S60" s="61"/>
      <c r="T60" s="79"/>
      <c r="U60" s="79"/>
      <c r="V60" s="79"/>
      <c r="W60" s="79"/>
      <c r="X60" s="79"/>
      <c r="Y60" s="79"/>
      <c r="Z60" s="79"/>
      <c r="AA60" s="79"/>
      <c r="AB60" s="79"/>
      <c r="AC60" s="79"/>
      <c r="AD60" s="79"/>
      <c r="AE60" s="79"/>
      <c r="AF60" s="79"/>
      <c r="AG60" s="79"/>
      <c r="AH60" s="79"/>
      <c r="AI60" s="79"/>
      <c r="AJ60" s="79"/>
      <c r="AK60" s="79"/>
      <c r="AL60" s="79"/>
      <c r="AM60" s="79"/>
      <c r="AN60" s="79"/>
      <c r="AO60" s="79"/>
      <c r="AP60" s="79"/>
      <c r="AQ60" s="79"/>
      <c r="AR60" s="79"/>
      <c r="AS60" s="79"/>
      <c r="AT60" s="79"/>
      <c r="AU60" s="79"/>
      <c r="AV60" s="79"/>
      <c r="AW60" s="79"/>
      <c r="AX60" s="79"/>
      <c r="AY60" s="79"/>
      <c r="AZ60" s="79"/>
      <c r="BA60" s="79"/>
      <c r="BB60" s="79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</row>
    <row r="61" spans="1:81" ht="15" customHeight="1" x14ac:dyDescent="0.25">
      <c r="A61" s="19"/>
      <c r="B61" s="26"/>
      <c r="C61" s="77"/>
      <c r="D61" s="80"/>
      <c r="E61" s="77"/>
      <c r="F61" s="77"/>
      <c r="G61" s="77"/>
      <c r="H61" s="76"/>
      <c r="I61" s="77"/>
      <c r="J61" s="78"/>
      <c r="K61" s="78"/>
      <c r="L61" s="61"/>
      <c r="M61" s="61"/>
      <c r="N61" s="61"/>
      <c r="O61" s="61"/>
      <c r="P61" s="61"/>
      <c r="Q61" s="61"/>
      <c r="R61" s="61"/>
      <c r="S61" s="61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79"/>
      <c r="AW61" s="79"/>
      <c r="AX61" s="79"/>
      <c r="AY61" s="79"/>
      <c r="AZ61" s="79"/>
      <c r="BA61" s="79"/>
      <c r="BB61" s="79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</row>
    <row r="62" spans="1:81" ht="15" customHeight="1" x14ac:dyDescent="0.25">
      <c r="A62" s="19"/>
      <c r="B62" s="26"/>
      <c r="C62" s="77"/>
      <c r="D62" s="77"/>
      <c r="E62" s="77"/>
      <c r="F62" s="77"/>
      <c r="G62" s="77"/>
      <c r="H62" s="76"/>
      <c r="I62" s="77"/>
      <c r="J62" s="78"/>
      <c r="K62" s="78"/>
      <c r="L62" s="61"/>
      <c r="M62" s="61"/>
      <c r="N62" s="61"/>
      <c r="O62" s="61"/>
      <c r="P62" s="61"/>
      <c r="Q62" s="61"/>
      <c r="R62" s="61"/>
      <c r="S62" s="61"/>
      <c r="T62" s="79"/>
      <c r="U62" s="79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</row>
    <row r="63" spans="1:81" ht="15" customHeight="1" x14ac:dyDescent="0.25">
      <c r="A63" s="19"/>
      <c r="B63" s="26"/>
      <c r="C63" s="82"/>
      <c r="D63" s="77"/>
      <c r="E63" s="77"/>
      <c r="F63" s="77"/>
      <c r="G63" s="77"/>
      <c r="H63" s="76"/>
      <c r="I63" s="77"/>
      <c r="J63" s="78"/>
      <c r="K63" s="78"/>
      <c r="L63" s="61"/>
      <c r="M63" s="61"/>
      <c r="N63" s="61"/>
      <c r="O63" s="61"/>
      <c r="P63" s="61"/>
      <c r="Q63" s="61"/>
      <c r="R63" s="61"/>
      <c r="S63" s="61"/>
      <c r="T63" s="79"/>
      <c r="U63" s="79"/>
      <c r="V63" s="79"/>
      <c r="W63" s="79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</row>
    <row r="64" spans="1:81" ht="15" customHeight="1" x14ac:dyDescent="0.25">
      <c r="A64" s="19"/>
      <c r="B64" s="26"/>
      <c r="C64" s="82"/>
      <c r="D64" s="77"/>
      <c r="E64" s="77"/>
      <c r="F64" s="77"/>
      <c r="G64" s="77"/>
      <c r="H64" s="76"/>
      <c r="I64" s="77"/>
      <c r="J64" s="78"/>
      <c r="K64" s="78"/>
      <c r="L64" s="61"/>
      <c r="M64" s="61"/>
      <c r="N64" s="61"/>
      <c r="O64" s="61"/>
      <c r="P64" s="61"/>
      <c r="Q64" s="61"/>
      <c r="R64" s="61"/>
      <c r="S64" s="61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</row>
    <row r="65" spans="1:81" ht="15" customHeight="1" x14ac:dyDescent="0.25">
      <c r="A65" s="19"/>
      <c r="B65" s="26"/>
      <c r="C65" s="77"/>
      <c r="D65" s="77"/>
      <c r="E65" s="77"/>
      <c r="F65" s="77"/>
      <c r="G65" s="77"/>
      <c r="H65" s="76"/>
      <c r="I65" s="77"/>
      <c r="J65" s="78"/>
      <c r="K65" s="78"/>
      <c r="L65" s="61"/>
      <c r="M65" s="61"/>
      <c r="N65" s="61"/>
      <c r="O65" s="61"/>
      <c r="P65" s="61"/>
      <c r="Q65" s="61"/>
      <c r="R65" s="61"/>
      <c r="S65" s="61"/>
      <c r="T65" s="79"/>
      <c r="U65" s="79"/>
      <c r="V65" s="79"/>
      <c r="W65" s="79"/>
      <c r="X65" s="79"/>
      <c r="Y65" s="79"/>
      <c r="Z65" s="79"/>
      <c r="AA65" s="79"/>
      <c r="AB65" s="79"/>
      <c r="AC65" s="79"/>
      <c r="AD65" s="79"/>
      <c r="AE65" s="79"/>
      <c r="AF65" s="79"/>
      <c r="AG65" s="79"/>
      <c r="AH65" s="79"/>
      <c r="AI65" s="79"/>
      <c r="AJ65" s="79"/>
      <c r="AK65" s="79"/>
      <c r="AL65" s="79"/>
      <c r="AM65" s="79"/>
      <c r="AN65" s="79"/>
      <c r="AO65" s="79"/>
      <c r="AP65" s="79"/>
      <c r="AQ65" s="79"/>
      <c r="AR65" s="79"/>
      <c r="AS65" s="79"/>
      <c r="AT65" s="79"/>
      <c r="AU65" s="79"/>
      <c r="AV65" s="79"/>
      <c r="AW65" s="79"/>
      <c r="AX65" s="79"/>
      <c r="AY65" s="79"/>
      <c r="AZ65" s="79"/>
      <c r="BA65" s="79"/>
      <c r="BB65" s="79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</row>
    <row r="66" spans="1:81" ht="15" customHeight="1" x14ac:dyDescent="0.25">
      <c r="A66" s="19"/>
      <c r="B66" s="26"/>
      <c r="C66" s="77"/>
      <c r="D66" s="77"/>
      <c r="E66" s="77"/>
      <c r="F66" s="77"/>
      <c r="G66" s="77"/>
      <c r="H66" s="46"/>
      <c r="I66" s="19"/>
      <c r="J66" s="13"/>
      <c r="K66" s="13"/>
      <c r="L66" s="61"/>
      <c r="M66" s="61"/>
      <c r="N66" s="61"/>
      <c r="O66" s="61"/>
      <c r="P66" s="61"/>
      <c r="Q66" s="61"/>
      <c r="R66" s="61"/>
      <c r="S66" s="61"/>
    </row>
    <row r="67" spans="1:81" ht="15" customHeight="1" x14ac:dyDescent="0.25">
      <c r="A67" s="19"/>
      <c r="B67" s="26"/>
      <c r="C67" s="77"/>
      <c r="D67" s="77"/>
      <c r="E67" s="77"/>
      <c r="F67" s="77"/>
      <c r="G67" s="77"/>
      <c r="H67" s="46"/>
      <c r="I67" s="19"/>
      <c r="J67" s="13"/>
      <c r="K67" s="13"/>
      <c r="L67" s="61"/>
      <c r="M67" s="61"/>
      <c r="N67" s="61"/>
      <c r="O67" s="61"/>
      <c r="P67" s="61"/>
      <c r="Q67" s="61"/>
      <c r="R67" s="61"/>
      <c r="S67" s="61"/>
    </row>
    <row r="68" spans="1:81" ht="15" customHeight="1" x14ac:dyDescent="0.25">
      <c r="A68" s="19"/>
      <c r="B68" s="26"/>
      <c r="C68" s="77"/>
      <c r="D68" s="77"/>
      <c r="E68" s="77"/>
      <c r="F68" s="77"/>
      <c r="G68" s="77"/>
      <c r="H68" s="46"/>
      <c r="I68" s="19"/>
      <c r="J68" s="13"/>
      <c r="K68" s="13"/>
      <c r="L68" s="61"/>
      <c r="M68" s="61"/>
      <c r="N68" s="61"/>
      <c r="O68" s="61"/>
      <c r="P68" s="61"/>
      <c r="Q68" s="61"/>
      <c r="R68" s="61"/>
      <c r="S68" s="61"/>
    </row>
    <row r="69" spans="1:81" ht="15" customHeight="1" x14ac:dyDescent="0.25">
      <c r="A69" s="19"/>
      <c r="B69" s="26"/>
      <c r="C69" s="52"/>
      <c r="D69" s="53"/>
      <c r="E69" s="27"/>
      <c r="F69" s="50"/>
      <c r="G69" s="54"/>
      <c r="H69" s="46"/>
      <c r="I69" s="19"/>
      <c r="J69" s="13"/>
      <c r="K69" s="13"/>
      <c r="L69" s="62"/>
      <c r="M69" s="62"/>
      <c r="N69" s="62"/>
      <c r="O69" s="62"/>
      <c r="P69" s="62"/>
      <c r="Q69" s="61"/>
      <c r="R69" s="61"/>
      <c r="S69" s="61"/>
    </row>
    <row r="70" spans="1:81" ht="15" customHeight="1" x14ac:dyDescent="0.25">
      <c r="A70" s="19"/>
      <c r="B70" s="26"/>
      <c r="C70" s="52"/>
      <c r="D70" s="53"/>
      <c r="E70" s="27"/>
      <c r="F70" s="50"/>
      <c r="G70" s="54"/>
      <c r="H70" s="46"/>
      <c r="I70" s="19"/>
      <c r="J70" s="13"/>
      <c r="K70" s="13"/>
      <c r="L70" s="62"/>
      <c r="M70" s="62"/>
      <c r="N70" s="62"/>
      <c r="O70" s="62"/>
      <c r="P70" s="62"/>
      <c r="Q70" s="61"/>
      <c r="R70" s="61"/>
      <c r="S70" s="61"/>
    </row>
    <row r="71" spans="1:81" ht="15" customHeight="1" x14ac:dyDescent="0.25">
      <c r="A71" s="19"/>
      <c r="B71" s="26"/>
      <c r="C71" s="81"/>
      <c r="D71" s="53"/>
      <c r="E71" s="27"/>
      <c r="F71" s="50"/>
      <c r="G71" s="54"/>
      <c r="H71" s="55"/>
      <c r="I71" s="19"/>
      <c r="J71" s="13"/>
      <c r="K71" s="13"/>
      <c r="L71" s="62"/>
      <c r="M71" s="62"/>
      <c r="N71" s="62"/>
      <c r="O71" s="62"/>
      <c r="P71" s="62"/>
      <c r="Q71" s="61"/>
      <c r="R71" s="61"/>
      <c r="S71" s="61"/>
    </row>
    <row r="72" spans="1:81" ht="15" customHeight="1" x14ac:dyDescent="0.25">
      <c r="A72" s="19"/>
      <c r="B72" s="26"/>
      <c r="C72" s="19"/>
      <c r="D72" s="19"/>
      <c r="E72" s="42"/>
      <c r="F72" s="50"/>
      <c r="G72" s="54"/>
      <c r="H72" s="55"/>
      <c r="I72" s="19"/>
      <c r="J72" s="13"/>
      <c r="K72" s="13"/>
      <c r="L72" s="62"/>
      <c r="M72" s="62"/>
      <c r="N72" s="62"/>
      <c r="O72" s="62"/>
      <c r="P72" s="62"/>
      <c r="Q72" s="61"/>
      <c r="R72" s="61"/>
      <c r="S72" s="61"/>
    </row>
    <row r="73" spans="1:81" ht="15" customHeight="1" x14ac:dyDescent="0.25">
      <c r="A73" s="19"/>
      <c r="B73" s="26"/>
      <c r="C73" s="19"/>
      <c r="D73" s="19"/>
      <c r="E73" s="56"/>
      <c r="F73" s="36"/>
      <c r="G73" s="54"/>
      <c r="H73" s="55"/>
      <c r="I73" s="19"/>
      <c r="J73" s="13"/>
      <c r="K73" s="13"/>
      <c r="L73" s="62"/>
      <c r="M73" s="62"/>
      <c r="N73" s="62"/>
      <c r="O73" s="62"/>
      <c r="P73" s="62"/>
      <c r="Q73" s="61"/>
      <c r="R73" s="61"/>
      <c r="S73" s="61"/>
    </row>
    <row r="74" spans="1:81" ht="15" customHeight="1" x14ac:dyDescent="0.25">
      <c r="A74" s="19"/>
      <c r="B74" s="26"/>
      <c r="C74" s="43"/>
      <c r="D74" s="19"/>
      <c r="E74" s="27"/>
      <c r="F74" s="19"/>
      <c r="G74" s="19"/>
      <c r="H74" s="46"/>
      <c r="I74" s="19"/>
      <c r="J74" s="13"/>
      <c r="K74" s="13"/>
      <c r="L74" s="62"/>
      <c r="M74" s="62"/>
      <c r="N74" s="62"/>
      <c r="O74" s="62"/>
      <c r="P74" s="62"/>
      <c r="Q74" s="61"/>
      <c r="R74" s="61"/>
      <c r="S74" s="61"/>
    </row>
    <row r="75" spans="1:81" ht="15" customHeight="1" x14ac:dyDescent="0.25">
      <c r="A75" s="19"/>
      <c r="B75" s="26"/>
      <c r="C75" s="19"/>
      <c r="D75" s="19"/>
      <c r="E75" s="50"/>
      <c r="F75" s="50"/>
      <c r="G75" s="50"/>
      <c r="H75" s="46"/>
      <c r="I75" s="19"/>
      <c r="J75" s="13"/>
      <c r="K75" s="13"/>
      <c r="L75" s="61"/>
      <c r="M75" s="61"/>
      <c r="N75" s="61"/>
      <c r="O75" s="61"/>
      <c r="P75" s="61"/>
      <c r="Q75" s="61"/>
      <c r="R75" s="61"/>
      <c r="S75" s="61"/>
    </row>
    <row r="76" spans="1:81" ht="15" customHeight="1" x14ac:dyDescent="0.25">
      <c r="A76" s="19"/>
      <c r="B76" s="26"/>
      <c r="C76" s="43" t="s">
        <v>0</v>
      </c>
      <c r="D76" s="19"/>
      <c r="E76" s="27"/>
      <c r="F76" s="50"/>
      <c r="G76" s="50"/>
      <c r="H76" s="24"/>
      <c r="I76" s="19"/>
      <c r="J76" s="13"/>
      <c r="K76" s="13"/>
      <c r="L76" s="61"/>
      <c r="M76" s="63"/>
      <c r="N76" s="61"/>
      <c r="O76" s="61"/>
      <c r="P76" s="61"/>
      <c r="Q76" s="61"/>
      <c r="R76" s="61"/>
      <c r="S76" s="61"/>
    </row>
    <row r="77" spans="1:81" ht="15" customHeight="1" x14ac:dyDescent="0.25">
      <c r="A77" s="19"/>
      <c r="B77" s="26"/>
      <c r="C77" s="43" t="str">
        <f>Nabídka!Q7</f>
        <v>Michal Kopl</v>
      </c>
      <c r="D77" s="19"/>
      <c r="E77" s="27"/>
      <c r="F77" s="50"/>
      <c r="G77" s="50"/>
      <c r="H77" s="24"/>
      <c r="I77" s="19"/>
      <c r="J77" s="13"/>
      <c r="K77" s="13"/>
      <c r="L77" s="64"/>
      <c r="M77" s="61"/>
      <c r="N77" s="61"/>
      <c r="O77" s="61"/>
      <c r="P77" s="61"/>
      <c r="Q77" s="61"/>
      <c r="R77" s="61"/>
      <c r="S77" s="61"/>
    </row>
    <row r="78" spans="1:81" ht="15" customHeight="1" x14ac:dyDescent="0.25">
      <c r="A78" s="19"/>
      <c r="B78" s="26"/>
      <c r="C78" s="57" t="str">
        <f>Nabídka!Q10</f>
        <v>+420 777 062 425</v>
      </c>
      <c r="D78" s="19"/>
      <c r="E78" s="27"/>
      <c r="F78" s="30"/>
      <c r="G78" s="30"/>
      <c r="H78" s="24"/>
      <c r="I78" s="19"/>
      <c r="J78" s="13"/>
      <c r="K78" s="13"/>
      <c r="L78" s="61"/>
      <c r="M78" s="61"/>
      <c r="N78" s="61"/>
      <c r="O78" s="61"/>
      <c r="P78" s="61"/>
      <c r="Q78" s="61"/>
      <c r="R78" s="61"/>
      <c r="S78" s="61"/>
    </row>
    <row r="79" spans="1:81" ht="15" customHeight="1" x14ac:dyDescent="0.25">
      <c r="A79" s="19"/>
      <c r="B79" s="26"/>
      <c r="C79" s="8" t="str">
        <f>Nabídka!Q11</f>
        <v>michal@kopl.pro</v>
      </c>
      <c r="D79" s="19"/>
      <c r="E79" s="27"/>
      <c r="F79" s="30"/>
      <c r="G79" s="19"/>
      <c r="H79" s="24"/>
      <c r="I79" s="19"/>
      <c r="J79" s="13"/>
      <c r="K79" s="13"/>
      <c r="L79" s="61"/>
      <c r="M79" s="61"/>
      <c r="N79" s="61"/>
      <c r="O79" s="61"/>
      <c r="P79" s="61"/>
      <c r="Q79" s="61"/>
      <c r="R79" s="61"/>
      <c r="S79" s="61"/>
    </row>
    <row r="80" spans="1:81" ht="15" customHeight="1" thickBot="1" x14ac:dyDescent="0.3">
      <c r="A80" s="19"/>
      <c r="B80" s="29"/>
      <c r="C80" s="58"/>
      <c r="D80" s="58"/>
      <c r="E80" s="59"/>
      <c r="F80" s="60"/>
      <c r="G80" s="58"/>
      <c r="H80" s="25"/>
      <c r="I80" s="19"/>
      <c r="J80" s="13"/>
      <c r="K80" s="13"/>
      <c r="L80" s="61"/>
      <c r="M80" s="61"/>
      <c r="N80" s="61"/>
      <c r="O80" s="61"/>
      <c r="P80" s="61"/>
      <c r="Q80" s="61"/>
      <c r="R80" s="61"/>
      <c r="S80" s="61"/>
    </row>
    <row r="81" spans="1:19" ht="15" customHeight="1" thickTop="1" thickBot="1" x14ac:dyDescent="0.3">
      <c r="A81" s="19"/>
      <c r="B81" s="19"/>
      <c r="C81" s="19"/>
      <c r="D81" s="19"/>
      <c r="E81" s="27"/>
      <c r="F81" s="30"/>
      <c r="G81" s="30"/>
      <c r="H81" s="19"/>
      <c r="I81" s="19"/>
      <c r="J81" s="14"/>
      <c r="K81" s="13"/>
      <c r="L81" s="61"/>
      <c r="M81" s="61"/>
      <c r="N81" s="61"/>
      <c r="O81" s="61"/>
      <c r="P81" s="61"/>
      <c r="Q81" s="61"/>
      <c r="R81" s="61"/>
      <c r="S81" s="61"/>
    </row>
    <row r="82" spans="1:19" ht="15" thickTop="1" x14ac:dyDescent="0.25">
      <c r="I82" s="2"/>
      <c r="J82" s="13"/>
      <c r="K82" s="13"/>
      <c r="L82" s="61"/>
      <c r="M82" s="61"/>
      <c r="N82" s="61"/>
      <c r="O82" s="61"/>
      <c r="P82" s="61"/>
      <c r="Q82" s="61"/>
      <c r="R82" s="61"/>
      <c r="S82" s="61"/>
    </row>
    <row r="83" spans="1:19" x14ac:dyDescent="0.25">
      <c r="F83" s="3"/>
      <c r="G83" s="3"/>
      <c r="J83" s="13"/>
      <c r="K83" s="13"/>
      <c r="L83" s="61"/>
      <c r="M83" s="61"/>
      <c r="N83" s="61"/>
      <c r="O83" s="61"/>
      <c r="P83" s="61"/>
      <c r="Q83" s="61"/>
      <c r="R83" s="61"/>
      <c r="S83" s="61"/>
    </row>
    <row r="84" spans="1:19" x14ac:dyDescent="0.25">
      <c r="J84" s="13"/>
      <c r="K84" s="13"/>
      <c r="L84" s="13" t="s">
        <v>20</v>
      </c>
      <c r="M84" s="13"/>
      <c r="N84" s="13"/>
      <c r="O84" s="13"/>
      <c r="P84" s="13"/>
      <c r="Q84" s="13"/>
      <c r="R84" s="13"/>
      <c r="S84" s="13"/>
    </row>
    <row r="85" spans="1:19" x14ac:dyDescent="0.25">
      <c r="J85" s="13"/>
      <c r="K85" s="13"/>
      <c r="L85" s="13" t="s">
        <v>21</v>
      </c>
      <c r="M85" s="13"/>
      <c r="N85" s="13"/>
      <c r="O85" s="13"/>
      <c r="P85" s="13"/>
      <c r="Q85" s="13"/>
      <c r="R85" s="13"/>
      <c r="S85" s="13"/>
    </row>
    <row r="86" spans="1:19" x14ac:dyDescent="0.25">
      <c r="J86" s="13"/>
      <c r="K86" s="13"/>
      <c r="L86" s="13"/>
      <c r="M86" s="13"/>
      <c r="N86" s="13"/>
      <c r="O86" s="13"/>
      <c r="P86" s="13"/>
      <c r="Q86" s="13"/>
      <c r="R86" s="13"/>
      <c r="S86" s="13"/>
    </row>
    <row r="87" spans="1:19" x14ac:dyDescent="0.25">
      <c r="J87" s="13"/>
      <c r="K87" s="13"/>
      <c r="L87" s="13"/>
      <c r="M87" s="13"/>
      <c r="N87" s="13"/>
      <c r="O87" s="13"/>
      <c r="P87" s="13"/>
      <c r="Q87" s="13"/>
      <c r="R87" s="13"/>
      <c r="S87" s="13"/>
    </row>
    <row r="88" spans="1:19" ht="15" x14ac:dyDescent="0.25">
      <c r="C88" s="65"/>
      <c r="J88" s="13"/>
      <c r="K88" s="13"/>
      <c r="L88" s="13"/>
      <c r="M88" s="13"/>
      <c r="N88" s="13"/>
      <c r="O88" s="13"/>
      <c r="P88" s="13"/>
      <c r="Q88" s="13"/>
      <c r="R88" s="13"/>
      <c r="S88" s="13"/>
    </row>
    <row r="89" spans="1:19" x14ac:dyDescent="0.25">
      <c r="J89" s="13"/>
      <c r="K89" s="13"/>
      <c r="L89" s="13"/>
      <c r="M89" s="13"/>
      <c r="N89" s="13"/>
      <c r="O89" s="13"/>
      <c r="P89" s="13"/>
      <c r="Q89" s="13"/>
      <c r="R89" s="13"/>
      <c r="S89" s="13"/>
    </row>
    <row r="90" spans="1:19" x14ac:dyDescent="0.25">
      <c r="J90" s="13"/>
      <c r="K90" s="13"/>
      <c r="L90" s="13"/>
      <c r="M90" s="13"/>
      <c r="N90" s="13"/>
      <c r="O90" s="13"/>
      <c r="P90" s="13"/>
      <c r="Q90" s="13"/>
      <c r="R90" s="13"/>
      <c r="S90" s="13"/>
    </row>
    <row r="91" spans="1:19" x14ac:dyDescent="0.25">
      <c r="J91" s="13"/>
      <c r="K91" s="13"/>
      <c r="L91" s="13"/>
      <c r="M91" s="13"/>
      <c r="N91" s="13"/>
      <c r="O91" s="13"/>
      <c r="P91" s="13"/>
      <c r="Q91" s="13"/>
      <c r="R91" s="13"/>
      <c r="S91" s="13"/>
    </row>
    <row r="92" spans="1:19" x14ac:dyDescent="0.25">
      <c r="J92" s="13"/>
      <c r="K92" s="13"/>
      <c r="L92" s="13"/>
      <c r="M92" s="13"/>
      <c r="N92" s="13"/>
      <c r="O92" s="13"/>
      <c r="P92" s="13"/>
      <c r="Q92" s="13"/>
      <c r="R92" s="13"/>
      <c r="S92" s="13"/>
    </row>
    <row r="93" spans="1:19" x14ac:dyDescent="0.25">
      <c r="J93" s="13"/>
      <c r="K93" s="13"/>
      <c r="L93" s="13"/>
      <c r="M93" s="13"/>
      <c r="N93" s="13"/>
      <c r="O93" s="13"/>
      <c r="P93" s="13"/>
      <c r="Q93" s="13"/>
      <c r="R93" s="13"/>
      <c r="S93" s="13"/>
    </row>
    <row r="94" spans="1:19" x14ac:dyDescent="0.25">
      <c r="J94" s="13"/>
      <c r="K94" s="13"/>
      <c r="L94" s="13"/>
      <c r="M94" s="13"/>
      <c r="N94" s="13"/>
      <c r="O94" s="13"/>
      <c r="P94" s="13"/>
      <c r="Q94" s="13"/>
      <c r="R94" s="13"/>
      <c r="S94" s="13"/>
    </row>
    <row r="95" spans="1:19" ht="15" x14ac:dyDescent="0.25">
      <c r="D95" s="4"/>
      <c r="J95" s="13"/>
      <c r="K95" s="13"/>
      <c r="L95" s="13"/>
      <c r="M95" s="13"/>
      <c r="N95" s="13"/>
      <c r="O95" s="13"/>
      <c r="P95" s="13"/>
      <c r="Q95" s="13"/>
      <c r="R95" s="13"/>
      <c r="S95" s="13"/>
    </row>
    <row r="96" spans="1:19" x14ac:dyDescent="0.25">
      <c r="J96" s="13"/>
      <c r="K96" s="13"/>
      <c r="L96" s="13"/>
      <c r="M96" s="13"/>
      <c r="N96" s="13"/>
      <c r="O96" s="13"/>
      <c r="P96" s="13"/>
      <c r="Q96" s="13"/>
      <c r="R96" s="13"/>
      <c r="S96" s="13"/>
    </row>
    <row r="97" spans="10:19" x14ac:dyDescent="0.25">
      <c r="J97" s="13"/>
      <c r="K97" s="13"/>
      <c r="L97" s="13"/>
      <c r="M97" s="13"/>
      <c r="N97" s="13"/>
      <c r="O97" s="13"/>
      <c r="P97" s="13"/>
      <c r="Q97" s="13"/>
      <c r="R97" s="13"/>
      <c r="S97" s="13"/>
    </row>
    <row r="98" spans="10:19" x14ac:dyDescent="0.25">
      <c r="J98" s="13"/>
      <c r="K98" s="13"/>
      <c r="L98" s="13"/>
      <c r="M98" s="13"/>
      <c r="N98" s="13"/>
      <c r="O98" s="13"/>
      <c r="P98" s="13"/>
      <c r="Q98" s="13"/>
      <c r="R98" s="13"/>
      <c r="S98" s="13"/>
    </row>
    <row r="99" spans="10:19" x14ac:dyDescent="0.25">
      <c r="J99" s="13"/>
      <c r="K99" s="13"/>
      <c r="L99" s="13"/>
      <c r="M99" s="13"/>
      <c r="N99" s="13"/>
      <c r="O99" s="13"/>
      <c r="P99" s="13"/>
      <c r="Q99" s="13"/>
      <c r="R99" s="13"/>
      <c r="S99" s="13"/>
    </row>
    <row r="100" spans="10:19" x14ac:dyDescent="0.25">
      <c r="J100" s="13"/>
      <c r="K100" s="13"/>
      <c r="L100" s="13"/>
      <c r="M100" s="13"/>
      <c r="N100" s="13"/>
      <c r="O100" s="13"/>
      <c r="P100" s="13"/>
      <c r="Q100" s="13"/>
      <c r="R100" s="13"/>
      <c r="S100" s="13"/>
    </row>
    <row r="101" spans="10:19" x14ac:dyDescent="0.25">
      <c r="J101" s="13"/>
      <c r="K101" s="13"/>
      <c r="L101" s="13"/>
      <c r="M101" s="13"/>
      <c r="N101" s="13"/>
      <c r="O101" s="13"/>
      <c r="P101" s="13"/>
      <c r="Q101" s="13"/>
      <c r="R101" s="13"/>
      <c r="S101" s="13"/>
    </row>
    <row r="102" spans="10:19" x14ac:dyDescent="0.25">
      <c r="J102" s="13"/>
      <c r="K102" s="13"/>
      <c r="L102" s="13"/>
      <c r="M102" s="13"/>
      <c r="N102" s="13"/>
      <c r="O102" s="13"/>
      <c r="P102" s="13"/>
      <c r="Q102" s="13"/>
      <c r="R102" s="13"/>
      <c r="S102" s="13"/>
    </row>
    <row r="103" spans="10:19" x14ac:dyDescent="0.25">
      <c r="J103" s="13"/>
      <c r="K103" s="13"/>
      <c r="L103" s="13"/>
      <c r="M103" s="13"/>
      <c r="N103" s="13"/>
      <c r="O103" s="13"/>
      <c r="P103" s="13"/>
      <c r="Q103" s="13"/>
      <c r="R103" s="13"/>
      <c r="S103" s="13"/>
    </row>
    <row r="104" spans="10:19" x14ac:dyDescent="0.25">
      <c r="J104" s="13"/>
      <c r="K104" s="13"/>
      <c r="L104" s="13"/>
      <c r="M104" s="13"/>
      <c r="N104" s="13"/>
      <c r="O104" s="13"/>
      <c r="P104" s="13"/>
      <c r="Q104" s="13"/>
      <c r="R104" s="13"/>
      <c r="S104" s="13"/>
    </row>
    <row r="105" spans="10:19" x14ac:dyDescent="0.25">
      <c r="J105" s="13"/>
      <c r="K105" s="13"/>
      <c r="L105" s="13"/>
      <c r="M105" s="13"/>
      <c r="N105" s="13"/>
      <c r="O105" s="13"/>
      <c r="P105" s="13"/>
      <c r="Q105" s="13"/>
      <c r="R105" s="13"/>
      <c r="S105" s="13"/>
    </row>
    <row r="106" spans="10:19" x14ac:dyDescent="0.25">
      <c r="J106" s="13"/>
      <c r="K106" s="13"/>
      <c r="L106" s="13"/>
      <c r="M106" s="13"/>
      <c r="N106" s="13"/>
      <c r="O106" s="13"/>
      <c r="P106" s="13"/>
      <c r="Q106" s="13"/>
      <c r="R106" s="13"/>
      <c r="S106" s="13"/>
    </row>
    <row r="107" spans="10:19" x14ac:dyDescent="0.25">
      <c r="J107" s="13"/>
      <c r="K107" s="13"/>
      <c r="L107" s="13"/>
      <c r="M107" s="13"/>
      <c r="N107" s="13"/>
      <c r="O107" s="13"/>
      <c r="P107" s="13"/>
      <c r="Q107" s="13"/>
      <c r="R107" s="13"/>
      <c r="S107" s="13"/>
    </row>
    <row r="108" spans="10:19" x14ac:dyDescent="0.25">
      <c r="J108" s="13"/>
      <c r="K108" s="13"/>
      <c r="L108" s="13"/>
      <c r="M108" s="13"/>
      <c r="N108" s="13"/>
      <c r="O108" s="13"/>
      <c r="P108" s="13"/>
      <c r="Q108" s="13"/>
      <c r="R108" s="13"/>
      <c r="S108" s="13"/>
    </row>
    <row r="109" spans="10:19" x14ac:dyDescent="0.25">
      <c r="J109" s="13"/>
      <c r="K109" s="13"/>
      <c r="L109" s="13"/>
      <c r="M109" s="13"/>
      <c r="N109" s="13"/>
      <c r="O109" s="13"/>
      <c r="P109" s="13"/>
      <c r="Q109" s="13"/>
      <c r="R109" s="13"/>
      <c r="S109" s="13"/>
    </row>
    <row r="110" spans="10:19" x14ac:dyDescent="0.25">
      <c r="J110" s="13"/>
      <c r="K110" s="13"/>
      <c r="L110" s="13"/>
      <c r="M110" s="13"/>
      <c r="N110" s="13"/>
      <c r="O110" s="13"/>
      <c r="P110" s="13"/>
      <c r="Q110" s="13"/>
      <c r="R110" s="13"/>
      <c r="S110" s="13"/>
    </row>
    <row r="111" spans="10:19" x14ac:dyDescent="0.25">
      <c r="J111" s="13"/>
      <c r="K111" s="13"/>
      <c r="L111" s="13"/>
      <c r="M111" s="13"/>
      <c r="N111" s="13"/>
      <c r="O111" s="13"/>
      <c r="P111" s="13"/>
      <c r="Q111" s="13"/>
      <c r="R111" s="13"/>
      <c r="S111" s="13"/>
    </row>
    <row r="112" spans="10:19" x14ac:dyDescent="0.25">
      <c r="J112" s="13"/>
      <c r="K112" s="13"/>
      <c r="L112" s="13"/>
      <c r="M112" s="13"/>
      <c r="N112" s="13"/>
      <c r="O112" s="13"/>
      <c r="P112" s="13"/>
      <c r="Q112" s="13"/>
      <c r="R112" s="13"/>
      <c r="S112" s="13"/>
    </row>
    <row r="113" spans="10:19" x14ac:dyDescent="0.25">
      <c r="J113" s="13"/>
      <c r="K113" s="13"/>
      <c r="L113" s="13"/>
      <c r="M113" s="13"/>
      <c r="N113" s="13"/>
      <c r="O113" s="13"/>
      <c r="P113" s="13"/>
      <c r="Q113" s="13"/>
      <c r="R113" s="13"/>
      <c r="S113" s="13"/>
    </row>
    <row r="114" spans="10:19" x14ac:dyDescent="0.25">
      <c r="J114" s="13"/>
      <c r="K114" s="13"/>
      <c r="L114" s="13"/>
      <c r="M114" s="13"/>
      <c r="N114" s="13"/>
      <c r="O114" s="13"/>
      <c r="P114" s="13"/>
      <c r="Q114" s="13"/>
      <c r="R114" s="13"/>
      <c r="S114" s="13"/>
    </row>
    <row r="115" spans="10:19" x14ac:dyDescent="0.25">
      <c r="J115" s="13"/>
      <c r="K115" s="13"/>
      <c r="L115" s="13"/>
      <c r="M115" s="13"/>
      <c r="N115" s="13"/>
      <c r="O115" s="13"/>
      <c r="P115" s="13"/>
      <c r="Q115" s="13"/>
      <c r="R115" s="13"/>
      <c r="S115" s="13"/>
    </row>
    <row r="116" spans="10:19" x14ac:dyDescent="0.25">
      <c r="J116" s="13"/>
      <c r="K116" s="13"/>
      <c r="L116" s="13"/>
      <c r="M116" s="13"/>
      <c r="N116" s="13"/>
      <c r="O116" s="13"/>
      <c r="P116" s="13"/>
      <c r="Q116" s="13"/>
      <c r="R116" s="13"/>
      <c r="S116" s="13"/>
    </row>
    <row r="117" spans="10:19" x14ac:dyDescent="0.25">
      <c r="J117" s="13"/>
      <c r="K117" s="13"/>
      <c r="L117" s="13"/>
      <c r="M117" s="13"/>
      <c r="N117" s="13"/>
      <c r="O117" s="13"/>
      <c r="P117" s="13"/>
      <c r="Q117" s="13"/>
      <c r="R117" s="13"/>
      <c r="S117" s="13"/>
    </row>
    <row r="118" spans="10:19" x14ac:dyDescent="0.25">
      <c r="J118" s="13"/>
      <c r="K118" s="13"/>
      <c r="L118" s="13"/>
      <c r="M118" s="13"/>
      <c r="N118" s="13"/>
      <c r="O118" s="13"/>
      <c r="P118" s="13"/>
      <c r="Q118" s="13"/>
      <c r="R118" s="13"/>
      <c r="S118" s="13"/>
    </row>
  </sheetData>
  <sheetProtection selectLockedCells="1"/>
  <protectedRanges>
    <protectedRange sqref="L16 L54:L55" name="Lhůta provedení"/>
    <protectedRange sqref="C47:F52 C20:F42" name="Materiál"/>
    <protectedRange sqref="C16:D16" name="StavbaTermín"/>
    <protectedRange sqref="G4" name="Podklad"/>
    <protectedRange sqref="D6:D10" name="Objednatel"/>
    <protectedRange sqref="C78" name="Telefon"/>
    <protectedRange sqref="C57:C58" name="StavebniPripravenost"/>
  </protectedRanges>
  <mergeCells count="35">
    <mergeCell ref="B5:C5"/>
    <mergeCell ref="D5:G5"/>
    <mergeCell ref="L5:O5"/>
    <mergeCell ref="B2:D4"/>
    <mergeCell ref="E4:G4"/>
    <mergeCell ref="E2:F2"/>
    <mergeCell ref="E3:F3"/>
    <mergeCell ref="B6:C6"/>
    <mergeCell ref="D6:G6"/>
    <mergeCell ref="L6:O6"/>
    <mergeCell ref="Q6:T6"/>
    <mergeCell ref="B7:C7"/>
    <mergeCell ref="D7:G7"/>
    <mergeCell ref="L7:O7"/>
    <mergeCell ref="Q7:T7"/>
    <mergeCell ref="B8:C8"/>
    <mergeCell ref="D8:G8"/>
    <mergeCell ref="L8:O8"/>
    <mergeCell ref="Q8:T8"/>
    <mergeCell ref="B9:C9"/>
    <mergeCell ref="D9:G9"/>
    <mergeCell ref="L9:O9"/>
    <mergeCell ref="Q9:T9"/>
    <mergeCell ref="E53:F53"/>
    <mergeCell ref="B10:C10"/>
    <mergeCell ref="D10:G10"/>
    <mergeCell ref="L10:O10"/>
    <mergeCell ref="Q10:T10"/>
    <mergeCell ref="L11:O11"/>
    <mergeCell ref="Q11:T11"/>
    <mergeCell ref="Q12:T12"/>
    <mergeCell ref="Q13:T13"/>
    <mergeCell ref="Q14:T14"/>
    <mergeCell ref="O26:T33"/>
    <mergeCell ref="E43:F43"/>
  </mergeCells>
  <hyperlinks>
    <hyperlink ref="C79" r:id="rId1" display="michal@kopl.pro" xr:uid="{335671C9-901B-431B-B030-239DE32B2227}"/>
  </hyperlinks>
  <printOptions horizontalCentered="1" verticalCentered="1"/>
  <pageMargins left="0.23622047244094491" right="0.23622047244094491" top="0.19685039370078741" bottom="0.19685039370078741" header="0.31496062992125984" footer="0.31496062992125984"/>
  <pageSetup paperSize="9" scale="11" orientation="portrait" r:id="rId2"/>
  <headerFooter alignWithMargins="0"/>
  <ignoredErrors>
    <ignoredError xmlns:x16r3="http://schemas.microsoft.com/office/spreadsheetml/2018/08/main" sqref="D16" x16r3:misleadingFormat="1"/>
  </ignoredErrors>
  <drawing r:id="rId3"/>
  <tableParts count="4"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46C5D-ADAB-42AE-98A3-057215BA7B09}">
  <sheetPr codeName="Sheet3">
    <tabColor theme="8" tint="0.59999389629810485"/>
    <pageSetUpPr fitToPage="1"/>
  </sheetPr>
  <dimension ref="A1:CD118"/>
  <sheetViews>
    <sheetView tabSelected="1" zoomScaleNormal="100" zoomScalePageLayoutView="25" workbookViewId="0">
      <selection activeCell="L38" sqref="L38"/>
    </sheetView>
  </sheetViews>
  <sheetFormatPr defaultColWidth="9.140625" defaultRowHeight="14.25" x14ac:dyDescent="0.25"/>
  <cols>
    <col min="1" max="2" width="3.28515625" style="109" customWidth="1"/>
    <col min="3" max="3" width="66" style="109" customWidth="1"/>
    <col min="4" max="4" width="16.42578125" style="109" bestFit="1" customWidth="1"/>
    <col min="5" max="5" width="22.28515625" style="109" bestFit="1" customWidth="1"/>
    <col min="6" max="6" width="21.140625" style="109" bestFit="1" customWidth="1"/>
    <col min="7" max="7" width="20" style="109" bestFit="1" customWidth="1"/>
    <col min="8" max="8" width="14.140625" style="109" bestFit="1" customWidth="1"/>
    <col min="9" max="10" width="3.28515625" style="109" customWidth="1"/>
    <col min="11" max="11" width="9.140625" style="109"/>
    <col min="12" max="16" width="16" style="109" customWidth="1"/>
    <col min="17" max="17" width="5" style="109" bestFit="1" customWidth="1"/>
    <col min="18" max="18" width="14.5703125" style="109" bestFit="1" customWidth="1"/>
    <col min="19" max="20" width="9.140625" style="109"/>
    <col min="21" max="21" width="9.140625" style="109" customWidth="1"/>
    <col min="22" max="26" width="9.140625" style="109"/>
    <col min="27" max="27" width="9.140625" style="109" customWidth="1"/>
    <col min="28" max="16384" width="9.140625" style="109"/>
  </cols>
  <sheetData>
    <row r="1" spans="1:33" ht="21" customHeight="1" thickBot="1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</row>
    <row r="2" spans="1:33" ht="21" customHeight="1" thickTop="1" x14ac:dyDescent="0.25">
      <c r="A2" s="19"/>
      <c r="B2" s="321" t="str">
        <f>REPT(" ",15) &amp; "VYSTAVENÉ FAKTURY     "</f>
        <v xml:space="preserve">               VYSTAVENÉ FAKTURY     </v>
      </c>
      <c r="C2" s="321"/>
      <c r="D2" s="327"/>
      <c r="E2" s="328" t="s">
        <v>25</v>
      </c>
      <c r="F2" s="329"/>
      <c r="G2" s="229" t="str" cm="1">
        <f t="array" aca="1" ref="G2" ca="1">_xlfn.LET(_xlpm.r,INDIRECT("'Vystavené'!G14:G1000"),_xlpm.d,IF(LEN(_xlpm.r)=0,NA(),IFERROR(DATEVALUE(_xlpm.r),IFERROR(--_xlpm.r,NA()))),_xlpm.n,IFERROR(_xlfn._xlws.FILTER(_xlpm.d,ISNUMBER(_xlpm.d)),NA()),IFERROR(TEXT(MIN(_xlpm.n),"[$-cs-CZ]d. mmmm rrrr"),""))</f>
        <v>17. červen 2025</v>
      </c>
      <c r="H2" s="229"/>
      <c r="I2" s="230"/>
      <c r="J2" s="19"/>
      <c r="K2" s="113"/>
      <c r="L2" s="113" t="s">
        <v>178</v>
      </c>
      <c r="M2" s="113" t="s">
        <v>176</v>
      </c>
      <c r="N2" s="113">
        <v>8712</v>
      </c>
      <c r="O2" s="113">
        <v>7200</v>
      </c>
      <c r="P2" s="201">
        <v>45825</v>
      </c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</row>
    <row r="3" spans="1:33" ht="21" customHeight="1" x14ac:dyDescent="0.25">
      <c r="A3" s="19"/>
      <c r="B3" s="321"/>
      <c r="C3" s="321"/>
      <c r="D3" s="327"/>
      <c r="E3" s="271" t="s">
        <v>26</v>
      </c>
      <c r="F3" s="272"/>
      <c r="G3" s="231" t="str" cm="1">
        <f t="array" aca="1" ref="G3" ca="1">_xlfn.LET(_xlpm.r,INDIRECT("'Vystavené'!G14:G1000"),_xlpm.d,IF(LEN(_xlpm.r)=0,NA(),IFERROR(DATEVALUE(_xlpm.r),IFERROR(--_xlpm.r,NA()))),_xlpm.n,IFERROR(_xlfn._xlws.FILTER(_xlpm.d,ISNUMBER(_xlpm.d)),NA()),IFERROR(TEXT(MAX(_xlpm.n),"[$-cs-CZ]d. mmmm rrrr"),""))</f>
        <v>1. září 2025</v>
      </c>
      <c r="H3" s="231"/>
      <c r="I3" s="24"/>
      <c r="J3" s="19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  <c r="AG3" s="113"/>
    </row>
    <row r="4" spans="1:33" ht="15.75" customHeight="1" thickBot="1" x14ac:dyDescent="0.3">
      <c r="A4" s="19"/>
      <c r="B4" s="321"/>
      <c r="C4" s="321"/>
      <c r="D4" s="327"/>
      <c r="E4" s="330"/>
      <c r="F4" s="331"/>
      <c r="G4" s="331"/>
      <c r="H4" s="232"/>
      <c r="I4" s="233"/>
      <c r="J4" s="19"/>
      <c r="K4" s="113"/>
      <c r="L4" s="113" t="s">
        <v>38</v>
      </c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</row>
    <row r="5" spans="1:33" ht="15" customHeight="1" thickTop="1" x14ac:dyDescent="0.25">
      <c r="A5" s="19"/>
      <c r="B5" s="317" t="str">
        <f>REPT(" ",6)&amp;"Dodavatel:"</f>
        <v xml:space="preserve">      Dodavatel:</v>
      </c>
      <c r="C5" s="319"/>
      <c r="D5" s="166"/>
      <c r="E5" s="167" t="s">
        <v>185</v>
      </c>
      <c r="F5" s="167" t="str">
        <f>$O$15</f>
        <v>Paušální výd. (60%)</v>
      </c>
      <c r="G5" s="167" t="s">
        <v>186</v>
      </c>
      <c r="H5" s="167" t="s">
        <v>179</v>
      </c>
      <c r="I5" s="174"/>
      <c r="J5" s="19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</row>
    <row r="6" spans="1:33" ht="15" customHeight="1" x14ac:dyDescent="0.25">
      <c r="A6" s="19"/>
      <c r="B6" s="305" t="str">
        <f>REPT(" ",6)&amp;Nabídka!Q7</f>
        <v xml:space="preserve">      Michal Kopl</v>
      </c>
      <c r="C6" s="326"/>
      <c r="D6" s="19"/>
      <c r="E6" s="168" cm="1">
        <f t="array" aca="1" ref="E6" ca="1">INDIRECT("'Vystavené'!$N$23")</f>
        <v>8712</v>
      </c>
      <c r="F6" s="185" cm="1">
        <f t="array" aca="1" ref="F6" ca="1">INDIRECT("'Vystavené'!$N$24")</f>
        <v>5227.2</v>
      </c>
      <c r="G6" s="185" cm="1">
        <f t="array" aca="1" ref="G6" ca="1">INDIRECT("'Vystavené'!$N$25")</f>
        <v>3484.8</v>
      </c>
      <c r="H6" s="169" cm="1">
        <f t="array" aca="1" ref="H6" ca="1">INDIRECT("'Vystavené'!$N$26")</f>
        <v>1742.4</v>
      </c>
      <c r="I6" s="24"/>
      <c r="J6" s="19"/>
      <c r="K6" s="113"/>
      <c r="L6" s="113" t="s">
        <v>39</v>
      </c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</row>
    <row r="7" spans="1:33" ht="15" customHeight="1" x14ac:dyDescent="0.25">
      <c r="A7" s="19"/>
      <c r="B7" s="305" t="str">
        <f>REPT(" ",6)&amp;Nabídka!Q8&amp;", "&amp;Nabídka!Q9</f>
        <v xml:space="preserve">      Dlouhá 715/38, Praha 1-Staré Město, Česká Republika, 110 00</v>
      </c>
      <c r="C7" s="326"/>
      <c r="D7" s="19"/>
      <c r="E7" s="167" t="s">
        <v>205</v>
      </c>
      <c r="F7" s="170" t="s">
        <v>187</v>
      </c>
      <c r="G7" s="170" t="s">
        <v>190</v>
      </c>
      <c r="H7" s="227" t="s">
        <v>191</v>
      </c>
      <c r="I7" s="24"/>
      <c r="J7" s="19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113"/>
      <c r="AE7" s="113"/>
      <c r="AF7" s="113"/>
      <c r="AG7" s="113"/>
    </row>
    <row r="8" spans="1:33" ht="15" customHeight="1" x14ac:dyDescent="0.25">
      <c r="A8" s="19"/>
      <c r="B8" s="305" t="str">
        <f>REPT(" ",6)&amp;Nabídka!Q10&amp;"  /  "&amp;Nabídka!Q11&amp;", "&amp;Nabídka!Q14</f>
        <v xml:space="preserve">      +420 777 062 425  /  michal@kopl.pro, https://www.kopl.pro</v>
      </c>
      <c r="C8" s="326"/>
      <c r="D8" s="19"/>
      <c r="E8" s="169" cm="1">
        <f t="array" aca="1" ref="E8" ca="1">INDIRECT("'Vystavené'!$N$29")</f>
        <v>235</v>
      </c>
      <c r="F8" s="169" cm="1">
        <f t="array" aca="1" ref="F8" ca="1">INDIRECT("'Vystavené'!$N$30")</f>
        <v>560</v>
      </c>
      <c r="G8" s="169" cm="1">
        <f t="array" aca="1" ref="G8" ca="1">INDIRECT("'Vystavené'!$N$32")</f>
        <v>0</v>
      </c>
      <c r="H8" s="168" cm="1">
        <f t="array" aca="1" ref="H8" ca="1">INDIRECT("'Vystavené'!$N$33")</f>
        <v>2689.8</v>
      </c>
      <c r="I8" s="24"/>
      <c r="J8" s="19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</row>
    <row r="9" spans="1:33" ht="15" customHeight="1" x14ac:dyDescent="0.25">
      <c r="A9" s="19"/>
      <c r="B9" s="305" t="str">
        <f>REPT(" ",6)&amp;"BÚ:"&amp;Nabídka!Q12&amp;", IBAN:"&amp;Nabídka!Q13</f>
        <v xml:space="preserve">      BÚ:000000-4213366004/5500, IBAN:CZ2355000000004213366004</v>
      </c>
      <c r="C9" s="326"/>
      <c r="D9" s="19"/>
      <c r="E9" s="228" t="s">
        <v>206</v>
      </c>
      <c r="F9" s="228" t="s">
        <v>188</v>
      </c>
      <c r="G9" s="228" t="s">
        <v>189</v>
      </c>
      <c r="H9" s="228" t="s">
        <v>193</v>
      </c>
      <c r="I9" s="24"/>
      <c r="J9" s="19"/>
      <c r="K9" s="113"/>
      <c r="L9" s="113"/>
      <c r="M9" s="113"/>
      <c r="N9" s="113"/>
      <c r="O9" s="113"/>
      <c r="P9" s="113"/>
      <c r="Q9" s="16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</row>
    <row r="10" spans="1:33" ht="15" customHeight="1" x14ac:dyDescent="0.25">
      <c r="A10" s="19"/>
      <c r="B10" s="305" t="str">
        <f>REPT(" ",6)&amp;Nabídka!Q15</f>
        <v xml:space="preserve">      BIC/SWIFT:RZBCCZPP, IČO: 03217213, Dodavatel není plátcem DPH.</v>
      </c>
      <c r="C10" s="326"/>
      <c r="D10" s="171"/>
      <c r="E10" s="168" cm="1">
        <f t="array" aca="1" ref="E10" ca="1">ROUND(INDIRECT("'Vystavené'!$N$36"),0)</f>
        <v>0</v>
      </c>
      <c r="F10" s="168" cm="1">
        <f t="array" aca="1" ref="F10" ca="1">ROUND(INDIRECT("'Vystavené'!$N$29")+INDIRECT("'Vystavené'!$N$30")+INDIRECT("'Vystavené'!$N$36"),0)</f>
        <v>795</v>
      </c>
      <c r="G10" s="168">
        <f ca="1">ROUND(($F$10/12),0)</f>
        <v>66</v>
      </c>
      <c r="H10" s="168" cm="1">
        <f t="array" aca="1" ref="H10" ca="1">ROUND(INDIRECT("'Vystavené'!$N$31"),0)</f>
        <v>20400</v>
      </c>
      <c r="I10" s="24"/>
      <c r="J10" s="19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  <c r="AG10" s="113"/>
    </row>
    <row r="11" spans="1:33" ht="15" customHeight="1" thickBot="1" x14ac:dyDescent="0.3">
      <c r="A11" s="19"/>
      <c r="B11" s="26"/>
      <c r="C11" s="209"/>
      <c r="D11" s="169"/>
      <c r="E11" s="210"/>
      <c r="F11" s="169"/>
      <c r="G11" s="211"/>
      <c r="H11" s="211"/>
      <c r="I11" s="24"/>
      <c r="J11" s="19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113"/>
      <c r="AE11" s="113"/>
      <c r="AF11" s="113"/>
      <c r="AG11" s="113"/>
    </row>
    <row r="12" spans="1:33" ht="15" customHeight="1" thickTop="1" x14ac:dyDescent="0.25">
      <c r="A12" s="19"/>
      <c r="B12" s="212"/>
      <c r="C12" s="213"/>
      <c r="D12" s="214"/>
      <c r="E12" s="214"/>
      <c r="F12" s="215"/>
      <c r="G12" s="215"/>
      <c r="H12" s="215"/>
      <c r="I12" s="216"/>
      <c r="J12" s="19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113"/>
      <c r="AE12" s="113"/>
      <c r="AF12" s="113"/>
      <c r="AG12" s="113"/>
    </row>
    <row r="13" spans="1:33" ht="15" customHeight="1" x14ac:dyDescent="0.25">
      <c r="A13" s="19"/>
      <c r="B13" s="172"/>
      <c r="C13" s="186" t="s">
        <v>44</v>
      </c>
      <c r="D13" s="52" t="s">
        <v>27</v>
      </c>
      <c r="E13" s="52" t="s">
        <v>28</v>
      </c>
      <c r="F13" s="52" t="s">
        <v>29</v>
      </c>
      <c r="G13" s="52" t="s">
        <v>30</v>
      </c>
      <c r="H13" s="334" t="s">
        <v>162</v>
      </c>
      <c r="I13" s="173"/>
      <c r="J13" s="19"/>
      <c r="K13" s="113"/>
      <c r="L13" s="164" t="str">
        <f ca="1">"Vyčištěním listu v rozsahu C14:G80 dojde k vynulování počítání. Faktury i Cenové Nabídky začnou všude opět od čísla 001"&amp;YEAR(TODAY())&amp;"."</f>
        <v>Vyčištěním listu v rozsahu C14:G80 dojde k vynulování počítání. Faktury i Cenové Nabídky začnou všude opět od čísla 0012025.</v>
      </c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113"/>
      <c r="AE13" s="113"/>
      <c r="AF13" s="113"/>
      <c r="AG13" s="113"/>
    </row>
    <row r="14" spans="1:33" ht="15" customHeight="1" thickBot="1" x14ac:dyDescent="0.3">
      <c r="A14" s="19"/>
      <c r="B14" s="172"/>
      <c r="C14" s="199" t="s">
        <v>217</v>
      </c>
      <c r="D14" s="195" t="s">
        <v>176</v>
      </c>
      <c r="E14" s="185">
        <v>8712</v>
      </c>
      <c r="F14" s="185">
        <v>7200</v>
      </c>
      <c r="G14" s="332">
        <v>45825</v>
      </c>
      <c r="H14" s="197" t="b">
        <v>1</v>
      </c>
      <c r="I14" s="173"/>
      <c r="J14" s="19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</row>
    <row r="15" spans="1:33" ht="15" customHeight="1" x14ac:dyDescent="0.25">
      <c r="A15" s="19"/>
      <c r="B15" s="172"/>
      <c r="C15" s="199" t="s">
        <v>212</v>
      </c>
      <c r="D15" s="195" t="s">
        <v>213</v>
      </c>
      <c r="E15" s="185">
        <v>108038</v>
      </c>
      <c r="F15" s="185">
        <v>108037.88</v>
      </c>
      <c r="G15" s="196" t="s">
        <v>214</v>
      </c>
      <c r="H15" s="197" t="b">
        <v>0</v>
      </c>
      <c r="I15" s="173"/>
      <c r="J15" s="19"/>
      <c r="K15" s="113"/>
      <c r="L15" s="113"/>
      <c r="M15" s="113"/>
      <c r="N15" s="223">
        <v>0.6</v>
      </c>
      <c r="O15" s="113" t="str">
        <f>"Paušální výd. ("&amp;N15*100&amp;"%)"</f>
        <v>Paušální výd. (60%)</v>
      </c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113"/>
      <c r="AE15" s="113"/>
      <c r="AF15" s="113"/>
      <c r="AG15" s="113"/>
    </row>
    <row r="16" spans="1:33" ht="15" customHeight="1" x14ac:dyDescent="0.25">
      <c r="A16" s="19"/>
      <c r="B16" s="172"/>
      <c r="C16" s="199" t="s">
        <v>217</v>
      </c>
      <c r="D16" s="195" t="s">
        <v>218</v>
      </c>
      <c r="E16" s="185">
        <v>4200</v>
      </c>
      <c r="F16" s="185">
        <v>4200</v>
      </c>
      <c r="G16" s="196" t="s">
        <v>219</v>
      </c>
      <c r="H16" s="197" t="b">
        <v>0</v>
      </c>
      <c r="I16" s="173"/>
      <c r="J16" s="19"/>
      <c r="K16" s="113"/>
      <c r="L16" s="113"/>
      <c r="M16" s="113"/>
      <c r="N16" s="224" t="s">
        <v>162</v>
      </c>
      <c r="O16" s="113" t="s">
        <v>183</v>
      </c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13"/>
      <c r="AC16" s="113"/>
      <c r="AD16" s="113"/>
      <c r="AE16" s="113"/>
      <c r="AF16" s="113"/>
      <c r="AG16" s="113"/>
    </row>
    <row r="17" spans="1:33" ht="15" customHeight="1" x14ac:dyDescent="0.25">
      <c r="A17" s="19"/>
      <c r="B17" s="172"/>
      <c r="C17" s="199"/>
      <c r="D17" s="195"/>
      <c r="E17" s="185"/>
      <c r="F17" s="185"/>
      <c r="G17" s="196"/>
      <c r="H17" s="197"/>
      <c r="I17" s="173"/>
      <c r="J17" s="19"/>
      <c r="K17" s="113"/>
      <c r="L17" s="113"/>
      <c r="M17" s="113"/>
      <c r="N17" s="225">
        <v>1700</v>
      </c>
      <c r="O17" s="113" t="s">
        <v>207</v>
      </c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113"/>
      <c r="AE17" s="113"/>
      <c r="AF17" s="113"/>
      <c r="AG17" s="113"/>
    </row>
    <row r="18" spans="1:33" ht="15" customHeight="1" x14ac:dyDescent="0.25">
      <c r="A18" s="19"/>
      <c r="B18" s="172"/>
      <c r="C18" s="199"/>
      <c r="D18" s="195"/>
      <c r="E18" s="185"/>
      <c r="F18" s="185"/>
      <c r="G18" s="196"/>
      <c r="H18" s="197"/>
      <c r="I18" s="173"/>
      <c r="J18" s="19"/>
      <c r="K18" s="113"/>
      <c r="L18" s="113"/>
      <c r="M18" s="113"/>
      <c r="N18" s="224" t="b">
        <v>1</v>
      </c>
      <c r="O18" s="113" t="s">
        <v>180</v>
      </c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</row>
    <row r="19" spans="1:33" ht="15" customHeight="1" x14ac:dyDescent="0.25">
      <c r="A19" s="19"/>
      <c r="B19" s="172"/>
      <c r="C19" s="199"/>
      <c r="D19" s="195"/>
      <c r="E19" s="185"/>
      <c r="F19" s="185"/>
      <c r="G19" s="196"/>
      <c r="H19" s="197"/>
      <c r="I19" s="174"/>
      <c r="J19" s="19"/>
      <c r="K19" s="113"/>
      <c r="L19" s="113"/>
      <c r="M19" s="113"/>
      <c r="N19" s="224">
        <v>2</v>
      </c>
      <c r="O19" s="113" t="s">
        <v>208</v>
      </c>
      <c r="P19" s="113"/>
      <c r="Q19" s="113"/>
      <c r="R19" s="201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</row>
    <row r="20" spans="1:33" ht="15" customHeight="1" x14ac:dyDescent="0.25">
      <c r="A20" s="19"/>
      <c r="B20" s="172"/>
      <c r="C20" s="202"/>
      <c r="D20" s="203"/>
      <c r="E20" s="220"/>
      <c r="F20" s="220"/>
      <c r="G20" s="204"/>
      <c r="H20" s="205"/>
      <c r="I20" s="174"/>
      <c r="J20" s="19"/>
      <c r="K20" s="113"/>
      <c r="L20" s="113"/>
      <c r="M20" s="113"/>
      <c r="N20" s="225" cm="1">
        <f t="array" aca="1" ref="N20" ca="1">ROUND(13.5%*INDIRECT("'Vystavené'!$N$26"),0)</f>
        <v>235</v>
      </c>
      <c r="O20" s="113" t="s">
        <v>181</v>
      </c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</row>
    <row r="21" spans="1:33" ht="15" customHeight="1" thickBot="1" x14ac:dyDescent="0.3">
      <c r="A21" s="19"/>
      <c r="B21" s="172"/>
      <c r="C21" s="202"/>
      <c r="D21" s="203"/>
      <c r="E21" s="220"/>
      <c r="F21" s="220"/>
      <c r="G21" s="204"/>
      <c r="H21" s="205"/>
      <c r="I21" s="174"/>
      <c r="J21" s="19"/>
      <c r="K21" s="113"/>
      <c r="L21" s="113"/>
      <c r="M21" s="113"/>
      <c r="N21" s="226" cm="1">
        <f t="array" aca="1" ref="N21" ca="1">ROUND(29.2%*0.55*INDIRECT("'Vystavené'!$N$25"),0)</f>
        <v>560</v>
      </c>
      <c r="O21" s="113" t="s">
        <v>182</v>
      </c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</row>
    <row r="22" spans="1:33" ht="15" customHeight="1" x14ac:dyDescent="0.25">
      <c r="A22" s="19"/>
      <c r="B22" s="172"/>
      <c r="C22" s="202"/>
      <c r="D22" s="203"/>
      <c r="E22" s="220"/>
      <c r="F22" s="220"/>
      <c r="G22" s="204"/>
      <c r="H22" s="205"/>
      <c r="I22" s="174"/>
      <c r="J22" s="19"/>
      <c r="K22" s="113"/>
      <c r="L22" s="113"/>
      <c r="M22" s="113"/>
      <c r="N22" s="222">
        <f ca="1">SUBTOTAL(109,INDIRECT("'Vystavené'!$E$14:$E$80"))</f>
        <v>120950</v>
      </c>
      <c r="O22" s="113" t="s">
        <v>194</v>
      </c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</row>
    <row r="23" spans="1:33" ht="15" customHeight="1" x14ac:dyDescent="0.25">
      <c r="A23" s="19"/>
      <c r="B23" s="172"/>
      <c r="C23" s="199"/>
      <c r="D23" s="195"/>
      <c r="E23" s="185"/>
      <c r="F23" s="185"/>
      <c r="G23" s="196"/>
      <c r="H23" s="197"/>
      <c r="I23" s="174"/>
      <c r="J23" s="19"/>
      <c r="K23" s="113"/>
      <c r="L23" s="113"/>
      <c r="M23" s="113"/>
      <c r="N23" s="222">
        <f ca="1">SUMIF(INDIRECT("'Vystavené'!$H$14:$H$80"),TRUE,INDIRECT("'Vystavené'!$E$14:$E$80"))</f>
        <v>8712</v>
      </c>
      <c r="O23" s="113" t="s">
        <v>195</v>
      </c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</row>
    <row r="24" spans="1:33" ht="15" customHeight="1" x14ac:dyDescent="0.25">
      <c r="A24" s="19"/>
      <c r="B24" s="172"/>
      <c r="C24" s="199"/>
      <c r="D24" s="195"/>
      <c r="E24" s="185"/>
      <c r="F24" s="185"/>
      <c r="G24" s="196"/>
      <c r="H24" s="197"/>
      <c r="I24" s="174"/>
      <c r="J24" s="19"/>
      <c r="K24" s="198"/>
      <c r="L24" s="113"/>
      <c r="M24" s="113"/>
      <c r="N24" s="222">
        <f ca="1">(Vystavené!$N$23*Vystavené!$N$15)</f>
        <v>5227.2</v>
      </c>
      <c r="O24" s="113" t="s">
        <v>196</v>
      </c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</row>
    <row r="25" spans="1:33" ht="15" customHeight="1" x14ac:dyDescent="0.25">
      <c r="A25" s="19"/>
      <c r="B25" s="172"/>
      <c r="C25" s="199"/>
      <c r="D25" s="195"/>
      <c r="E25" s="185"/>
      <c r="F25" s="185"/>
      <c r="G25" s="196"/>
      <c r="H25" s="197"/>
      <c r="I25" s="174"/>
      <c r="J25" s="19"/>
      <c r="K25" s="113"/>
      <c r="L25" s="113"/>
      <c r="M25" s="113"/>
      <c r="N25" s="222">
        <f ca="1">(Vystavené!$N$23-Vystavené!$N$24)</f>
        <v>3484.8</v>
      </c>
      <c r="O25" s="113" t="s">
        <v>186</v>
      </c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</row>
    <row r="26" spans="1:33" ht="15" customHeight="1" x14ac:dyDescent="0.25">
      <c r="A26" s="19"/>
      <c r="B26" s="172"/>
      <c r="C26" s="199"/>
      <c r="D26" s="195"/>
      <c r="E26" s="185"/>
      <c r="F26" s="185"/>
      <c r="G26" s="196"/>
      <c r="H26" s="197"/>
      <c r="I26" s="174"/>
      <c r="J26" s="19"/>
      <c r="K26" s="113"/>
      <c r="L26" s="113"/>
      <c r="M26" s="113"/>
      <c r="N26" s="222">
        <f ca="1">(Vystavené!$N$25*0.5)</f>
        <v>1742.4</v>
      </c>
      <c r="O26" s="113" t="s">
        <v>197</v>
      </c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</row>
    <row r="27" spans="1:33" ht="15" customHeight="1" x14ac:dyDescent="0.25">
      <c r="A27" s="19"/>
      <c r="B27" s="172"/>
      <c r="C27" s="199"/>
      <c r="D27" s="195"/>
      <c r="E27" s="185"/>
      <c r="F27" s="185"/>
      <c r="G27" s="196"/>
      <c r="H27" s="197"/>
      <c r="I27" s="174"/>
      <c r="J27" s="19"/>
      <c r="K27" s="113"/>
      <c r="L27" s="113"/>
      <c r="M27" s="113"/>
      <c r="N27" s="222">
        <f ca="1">ROUND(13.5%*$N$26,0)</f>
        <v>235</v>
      </c>
      <c r="O27" s="113" t="s">
        <v>198</v>
      </c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</row>
    <row r="28" spans="1:33" ht="15" customHeight="1" x14ac:dyDescent="0.25">
      <c r="A28" s="19"/>
      <c r="B28" s="172"/>
      <c r="C28" s="199"/>
      <c r="D28" s="195"/>
      <c r="E28" s="185"/>
      <c r="F28" s="185"/>
      <c r="G28" s="196"/>
      <c r="H28" s="197"/>
      <c r="I28" s="174"/>
      <c r="J28" s="19"/>
      <c r="K28" s="113"/>
      <c r="L28" s="113"/>
      <c r="M28" s="113"/>
      <c r="N28" s="222">
        <f ca="1">ROUND(29.2%*0.55*Vystavené!$N$25,0)</f>
        <v>560</v>
      </c>
      <c r="O28" s="113" t="s">
        <v>199</v>
      </c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</row>
    <row r="29" spans="1:33" ht="15" customHeight="1" x14ac:dyDescent="0.25">
      <c r="A29" s="19"/>
      <c r="B29" s="172"/>
      <c r="C29" s="199"/>
      <c r="D29" s="195"/>
      <c r="E29" s="185"/>
      <c r="F29" s="185"/>
      <c r="G29" s="196"/>
      <c r="H29" s="197"/>
      <c r="I29" s="174"/>
      <c r="J29" s="19"/>
      <c r="K29" s="113"/>
      <c r="L29" s="113"/>
      <c r="M29" s="113"/>
      <c r="N29" s="222">
        <f ca="1">IF($N$16="Uhrazeno",$N$20,$N$27)</f>
        <v>235</v>
      </c>
      <c r="O29" s="113" t="s">
        <v>184</v>
      </c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</row>
    <row r="30" spans="1:33" ht="15" customHeight="1" x14ac:dyDescent="0.25">
      <c r="A30" s="19"/>
      <c r="B30" s="172"/>
      <c r="C30" s="199"/>
      <c r="D30" s="195"/>
      <c r="E30" s="185"/>
      <c r="F30" s="185"/>
      <c r="G30" s="196"/>
      <c r="H30" s="197"/>
      <c r="I30" s="174"/>
      <c r="J30" s="19"/>
      <c r="K30" s="113"/>
      <c r="L30" s="113"/>
      <c r="M30" s="113"/>
      <c r="N30" s="222">
        <f ca="1">IF($N$16="Uhrazeno",$N$21,$N$28)</f>
        <v>560</v>
      </c>
      <c r="O30" s="113" t="s">
        <v>200</v>
      </c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</row>
    <row r="31" spans="1:33" ht="15" customHeight="1" x14ac:dyDescent="0.25">
      <c r="A31" s="19"/>
      <c r="B31" s="172"/>
      <c r="C31" s="199"/>
      <c r="D31" s="195"/>
      <c r="E31" s="185"/>
      <c r="F31" s="185"/>
      <c r="G31" s="196"/>
      <c r="H31" s="197"/>
      <c r="I31" s="174"/>
      <c r="J31" s="19"/>
      <c r="K31" s="113"/>
      <c r="L31" s="113"/>
      <c r="M31" s="113"/>
      <c r="N31" s="222">
        <f>($N$17*12)</f>
        <v>20400</v>
      </c>
      <c r="O31" s="113" t="s">
        <v>201</v>
      </c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</row>
    <row r="32" spans="1:33" ht="15" customHeight="1" x14ac:dyDescent="0.25">
      <c r="A32" s="19"/>
      <c r="B32" s="172"/>
      <c r="C32" s="199"/>
      <c r="D32" s="195"/>
      <c r="E32" s="185"/>
      <c r="F32" s="185"/>
      <c r="G32" s="196"/>
      <c r="H32" s="197"/>
      <c r="I32" s="174"/>
      <c r="J32" s="19"/>
      <c r="K32" s="113"/>
      <c r="L32" s="113"/>
      <c r="M32" s="113"/>
      <c r="N32" s="222">
        <f>MIN(MAX($N$31-12*1700,0),48000)</f>
        <v>0</v>
      </c>
      <c r="O32" s="113" t="s">
        <v>202</v>
      </c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</row>
    <row r="33" spans="1:33" ht="15" customHeight="1" x14ac:dyDescent="0.25">
      <c r="A33" s="19"/>
      <c r="B33" s="172"/>
      <c r="C33" s="199"/>
      <c r="D33" s="195"/>
      <c r="E33" s="185"/>
      <c r="F33" s="185"/>
      <c r="G33" s="196"/>
      <c r="H33" s="197"/>
      <c r="I33" s="174"/>
      <c r="J33" s="19"/>
      <c r="K33" s="113"/>
      <c r="L33" s="113"/>
      <c r="M33" s="113"/>
      <c r="N33" s="222">
        <f ca="1">MAX($N$25-$N$29-$N$30-$N$32,0)</f>
        <v>2689.8</v>
      </c>
      <c r="O33" s="113" t="s">
        <v>191</v>
      </c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</row>
    <row r="34" spans="1:33" ht="15" customHeight="1" x14ac:dyDescent="0.25">
      <c r="A34" s="19"/>
      <c r="B34" s="172"/>
      <c r="C34" s="199"/>
      <c r="D34" s="195"/>
      <c r="E34" s="185"/>
      <c r="F34" s="185"/>
      <c r="G34" s="196"/>
      <c r="H34" s="197"/>
      <c r="I34" s="174"/>
      <c r="J34" s="19"/>
      <c r="K34" s="113"/>
      <c r="L34" s="113"/>
      <c r="M34" s="113"/>
      <c r="N34" s="222">
        <f ca="1">ROUND(15%*$N$33,0)</f>
        <v>403</v>
      </c>
      <c r="O34" s="113" t="s">
        <v>203</v>
      </c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</row>
    <row r="35" spans="1:33" ht="15" customHeight="1" x14ac:dyDescent="0.25">
      <c r="A35" s="19"/>
      <c r="B35" s="172"/>
      <c r="C35" s="199"/>
      <c r="D35" s="195"/>
      <c r="E35" s="185"/>
      <c r="F35" s="185"/>
      <c r="G35" s="196"/>
      <c r="H35" s="197"/>
      <c r="I35" s="174"/>
      <c r="J35" s="19"/>
      <c r="K35" s="113"/>
      <c r="L35" s="113"/>
      <c r="M35" s="113"/>
      <c r="N35" s="222">
        <f>IF($N$18,30840,0)+CHOOSE($N$19+1,0,2520,2520,5040)</f>
        <v>33360</v>
      </c>
      <c r="O35" s="113" t="s">
        <v>204</v>
      </c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</row>
    <row r="36" spans="1:33" ht="15" customHeight="1" x14ac:dyDescent="0.25">
      <c r="A36" s="19"/>
      <c r="B36" s="172"/>
      <c r="C36" s="199"/>
      <c r="D36" s="195"/>
      <c r="E36" s="185"/>
      <c r="F36" s="185"/>
      <c r="G36" s="196"/>
      <c r="H36" s="197"/>
      <c r="I36" s="174"/>
      <c r="J36" s="19"/>
      <c r="K36" s="113"/>
      <c r="L36" s="113"/>
      <c r="M36" s="113"/>
      <c r="N36" s="222">
        <f ca="1">MAX($N$34-$N$35,0)</f>
        <v>0</v>
      </c>
      <c r="O36" s="113" t="s">
        <v>192</v>
      </c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</row>
    <row r="37" spans="1:33" ht="15" customHeight="1" x14ac:dyDescent="0.25">
      <c r="A37" s="19"/>
      <c r="B37" s="172"/>
      <c r="C37" s="199"/>
      <c r="D37" s="195"/>
      <c r="E37" s="185"/>
      <c r="F37" s="185"/>
      <c r="G37" s="196"/>
      <c r="H37" s="197"/>
      <c r="I37" s="174"/>
      <c r="J37" s="19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</row>
    <row r="38" spans="1:33" ht="15" customHeight="1" x14ac:dyDescent="0.25">
      <c r="A38" s="19"/>
      <c r="B38" s="172"/>
      <c r="C38" s="199"/>
      <c r="D38" s="195"/>
      <c r="E38" s="185"/>
      <c r="F38" s="185"/>
      <c r="G38" s="196"/>
      <c r="H38" s="197"/>
      <c r="I38" s="174"/>
      <c r="J38" s="19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</row>
    <row r="39" spans="1:33" ht="15" customHeight="1" x14ac:dyDescent="0.25">
      <c r="A39" s="19"/>
      <c r="B39" s="172"/>
      <c r="C39" s="199"/>
      <c r="D39" s="195"/>
      <c r="E39" s="185"/>
      <c r="F39" s="185"/>
      <c r="G39" s="196"/>
      <c r="H39" s="197"/>
      <c r="I39" s="174"/>
      <c r="J39" s="19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</row>
    <row r="40" spans="1:33" ht="15" customHeight="1" x14ac:dyDescent="0.25">
      <c r="A40" s="19"/>
      <c r="B40" s="172"/>
      <c r="C40" s="199"/>
      <c r="D40" s="195"/>
      <c r="E40" s="185"/>
      <c r="F40" s="185"/>
      <c r="G40" s="196"/>
      <c r="H40" s="197"/>
      <c r="I40" s="174"/>
      <c r="J40" s="19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</row>
    <row r="41" spans="1:33" ht="15" customHeight="1" x14ac:dyDescent="0.25">
      <c r="A41" s="19"/>
      <c r="B41" s="172"/>
      <c r="C41" s="199"/>
      <c r="D41" s="195"/>
      <c r="E41" s="185"/>
      <c r="F41" s="185"/>
      <c r="G41" s="196"/>
      <c r="H41" s="197"/>
      <c r="I41" s="174"/>
      <c r="J41" s="19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</row>
    <row r="42" spans="1:33" ht="15" customHeight="1" x14ac:dyDescent="0.25">
      <c r="A42" s="19"/>
      <c r="B42" s="172"/>
      <c r="C42" s="199"/>
      <c r="D42" s="195"/>
      <c r="E42" s="185"/>
      <c r="F42" s="185"/>
      <c r="G42" s="196"/>
      <c r="H42" s="197"/>
      <c r="I42" s="174"/>
      <c r="J42" s="19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</row>
    <row r="43" spans="1:33" ht="15" customHeight="1" x14ac:dyDescent="0.25">
      <c r="A43" s="19"/>
      <c r="B43" s="172"/>
      <c r="C43" s="199"/>
      <c r="D43" s="195"/>
      <c r="E43" s="185"/>
      <c r="F43" s="185"/>
      <c r="G43" s="196"/>
      <c r="H43" s="197"/>
      <c r="I43" s="174"/>
      <c r="J43" s="19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</row>
    <row r="44" spans="1:33" ht="15" customHeight="1" x14ac:dyDescent="0.25">
      <c r="A44" s="19"/>
      <c r="B44" s="172"/>
      <c r="C44" s="199"/>
      <c r="D44" s="195"/>
      <c r="E44" s="185"/>
      <c r="F44" s="185"/>
      <c r="G44" s="196"/>
      <c r="H44" s="197"/>
      <c r="I44" s="174"/>
      <c r="J44" s="19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</row>
    <row r="45" spans="1:33" ht="15" customHeight="1" x14ac:dyDescent="0.25">
      <c r="A45" s="19"/>
      <c r="B45" s="172"/>
      <c r="C45" s="199"/>
      <c r="D45" s="195"/>
      <c r="E45" s="185"/>
      <c r="F45" s="185"/>
      <c r="G45" s="196"/>
      <c r="H45" s="197"/>
      <c r="I45" s="174"/>
      <c r="J45" s="19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</row>
    <row r="46" spans="1:33" ht="15" customHeight="1" x14ac:dyDescent="0.25">
      <c r="A46" s="19"/>
      <c r="B46" s="172"/>
      <c r="C46" s="199"/>
      <c r="D46" s="195"/>
      <c r="E46" s="185"/>
      <c r="F46" s="185"/>
      <c r="G46" s="196"/>
      <c r="H46" s="197"/>
      <c r="I46" s="174"/>
      <c r="J46" s="19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</row>
    <row r="47" spans="1:33" ht="15" customHeight="1" x14ac:dyDescent="0.25">
      <c r="A47" s="19"/>
      <c r="B47" s="172"/>
      <c r="C47" s="199"/>
      <c r="D47" s="195"/>
      <c r="E47" s="185"/>
      <c r="F47" s="185"/>
      <c r="G47" s="196"/>
      <c r="H47" s="197"/>
      <c r="I47" s="174"/>
      <c r="J47" s="19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</row>
    <row r="48" spans="1:33" ht="15" customHeight="1" x14ac:dyDescent="0.25">
      <c r="A48" s="19"/>
      <c r="B48" s="172"/>
      <c r="C48" s="199"/>
      <c r="D48" s="195"/>
      <c r="E48" s="185"/>
      <c r="F48" s="185"/>
      <c r="G48" s="196"/>
      <c r="H48" s="197"/>
      <c r="I48" s="174"/>
      <c r="J48" s="19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</row>
    <row r="49" spans="1:82" ht="15" customHeight="1" x14ac:dyDescent="0.25">
      <c r="A49" s="19"/>
      <c r="B49" s="172"/>
      <c r="C49" s="199"/>
      <c r="D49" s="195"/>
      <c r="E49" s="185"/>
      <c r="F49" s="185"/>
      <c r="G49" s="196"/>
      <c r="H49" s="197"/>
      <c r="I49" s="174"/>
      <c r="J49" s="19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</row>
    <row r="50" spans="1:82" ht="15" customHeight="1" x14ac:dyDescent="0.25">
      <c r="A50" s="19"/>
      <c r="B50" s="172"/>
      <c r="C50" s="199"/>
      <c r="D50" s="195"/>
      <c r="E50" s="185"/>
      <c r="F50" s="185"/>
      <c r="G50" s="196"/>
      <c r="H50" s="197"/>
      <c r="I50" s="174"/>
      <c r="J50" s="19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</row>
    <row r="51" spans="1:82" ht="15" customHeight="1" x14ac:dyDescent="0.25">
      <c r="A51" s="19"/>
      <c r="B51" s="172"/>
      <c r="C51" s="199"/>
      <c r="D51" s="195"/>
      <c r="E51" s="185"/>
      <c r="F51" s="185"/>
      <c r="G51" s="196"/>
      <c r="H51" s="197"/>
      <c r="I51" s="174"/>
      <c r="J51" s="19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</row>
    <row r="52" spans="1:82" ht="15" customHeight="1" x14ac:dyDescent="0.25">
      <c r="A52" s="19"/>
      <c r="B52" s="172"/>
      <c r="C52" s="199"/>
      <c r="D52" s="195"/>
      <c r="E52" s="185"/>
      <c r="F52" s="185"/>
      <c r="G52" s="196"/>
      <c r="H52" s="197"/>
      <c r="I52" s="174"/>
      <c r="J52" s="19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</row>
    <row r="53" spans="1:82" ht="15" customHeight="1" x14ac:dyDescent="0.25">
      <c r="A53" s="19"/>
      <c r="B53" s="172"/>
      <c r="C53" s="199"/>
      <c r="D53" s="195"/>
      <c r="E53" s="185"/>
      <c r="F53" s="185"/>
      <c r="G53" s="196"/>
      <c r="H53" s="197"/>
      <c r="I53" s="174"/>
      <c r="J53" s="19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</row>
    <row r="54" spans="1:82" ht="15" customHeight="1" x14ac:dyDescent="0.25">
      <c r="A54" s="19"/>
      <c r="B54" s="172"/>
      <c r="C54" s="199"/>
      <c r="D54" s="195"/>
      <c r="E54" s="185"/>
      <c r="F54" s="185"/>
      <c r="G54" s="196"/>
      <c r="H54" s="197"/>
      <c r="I54" s="174"/>
      <c r="J54" s="19"/>
      <c r="M54" s="154"/>
      <c r="N54" s="110"/>
    </row>
    <row r="55" spans="1:82" ht="15" customHeight="1" x14ac:dyDescent="0.25">
      <c r="A55" s="19"/>
      <c r="B55" s="172"/>
      <c r="C55" s="199"/>
      <c r="D55" s="195"/>
      <c r="E55" s="185"/>
      <c r="F55" s="185"/>
      <c r="G55" s="196"/>
      <c r="H55" s="197"/>
      <c r="I55" s="174"/>
      <c r="J55" s="19"/>
      <c r="M55" s="154"/>
      <c r="N55" s="110"/>
    </row>
    <row r="56" spans="1:82" ht="15" customHeight="1" x14ac:dyDescent="0.25">
      <c r="A56" s="19"/>
      <c r="B56" s="172"/>
      <c r="C56" s="199"/>
      <c r="D56" s="195"/>
      <c r="E56" s="185"/>
      <c r="F56" s="185"/>
      <c r="G56" s="196"/>
      <c r="H56" s="197"/>
      <c r="I56" s="174"/>
      <c r="J56" s="19"/>
      <c r="K56" s="126"/>
      <c r="L56" s="126"/>
      <c r="M56" s="126"/>
      <c r="N56" s="126"/>
      <c r="O56" s="126"/>
      <c r="P56" s="126"/>
      <c r="Q56" s="126"/>
      <c r="R56" s="126"/>
      <c r="S56" s="126"/>
      <c r="T56" s="126"/>
    </row>
    <row r="57" spans="1:82" ht="15" customHeight="1" x14ac:dyDescent="0.25">
      <c r="A57" s="19"/>
      <c r="B57" s="172"/>
      <c r="C57" s="199"/>
      <c r="D57" s="195"/>
      <c r="E57" s="185"/>
      <c r="F57" s="185"/>
      <c r="G57" s="196"/>
      <c r="H57" s="197"/>
      <c r="I57" s="174"/>
      <c r="J57" s="19"/>
      <c r="K57" s="126"/>
      <c r="L57" s="126"/>
      <c r="M57" s="127"/>
      <c r="N57" s="127"/>
      <c r="O57" s="127"/>
      <c r="P57" s="127"/>
      <c r="Q57" s="127"/>
      <c r="R57" s="127"/>
      <c r="S57" s="127"/>
      <c r="T57" s="127"/>
    </row>
    <row r="58" spans="1:82" ht="15" customHeight="1" x14ac:dyDescent="0.25">
      <c r="A58" s="19"/>
      <c r="B58" s="172"/>
      <c r="C58" s="199"/>
      <c r="D58" s="195"/>
      <c r="E58" s="185"/>
      <c r="F58" s="185"/>
      <c r="G58" s="196"/>
      <c r="H58" s="197"/>
      <c r="I58" s="175"/>
      <c r="J58"/>
      <c r="K58" s="165"/>
      <c r="L58" s="165"/>
      <c r="M58" s="127"/>
      <c r="N58" s="127"/>
      <c r="O58" s="127"/>
      <c r="P58" s="127"/>
      <c r="Q58" s="127"/>
      <c r="R58" s="127"/>
      <c r="S58" s="127"/>
      <c r="T58" s="127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  <c r="BN58" s="113"/>
      <c r="BO58" s="113"/>
      <c r="BP58" s="113"/>
      <c r="BQ58" s="113"/>
      <c r="BR58" s="113"/>
      <c r="BS58" s="113"/>
      <c r="BT58" s="113"/>
      <c r="BU58" s="113"/>
      <c r="BV58" s="113"/>
      <c r="BW58" s="113"/>
      <c r="BX58" s="113"/>
      <c r="BY58" s="113"/>
      <c r="BZ58" s="113"/>
      <c r="CA58" s="113"/>
      <c r="CB58" s="113"/>
      <c r="CC58" s="113"/>
      <c r="CD58" s="113"/>
    </row>
    <row r="59" spans="1:82" ht="15" customHeight="1" x14ac:dyDescent="0.25">
      <c r="A59" s="19"/>
      <c r="B59" s="172"/>
      <c r="C59" s="199"/>
      <c r="D59" s="195"/>
      <c r="E59" s="185"/>
      <c r="F59" s="185"/>
      <c r="G59" s="196"/>
      <c r="H59" s="197"/>
      <c r="I59" s="175"/>
      <c r="J59"/>
      <c r="K59" s="165"/>
      <c r="L59" s="165"/>
      <c r="M59" s="127"/>
      <c r="N59" s="127"/>
      <c r="O59" s="127"/>
      <c r="P59" s="127"/>
      <c r="Q59" s="127"/>
      <c r="R59" s="127"/>
      <c r="S59" s="127"/>
      <c r="T59" s="127"/>
      <c r="U59" s="113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13"/>
      <c r="AX59" s="113"/>
      <c r="AY59" s="11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  <c r="BN59" s="113"/>
      <c r="BO59" s="113"/>
      <c r="BP59" s="113"/>
      <c r="BQ59" s="113"/>
      <c r="BR59" s="113"/>
      <c r="BS59" s="113"/>
      <c r="BT59" s="113"/>
      <c r="BU59" s="113"/>
      <c r="BV59" s="113"/>
      <c r="BW59" s="113"/>
      <c r="BX59" s="113"/>
      <c r="BY59" s="113"/>
      <c r="BZ59" s="113"/>
      <c r="CA59" s="113"/>
      <c r="CB59" s="113"/>
      <c r="CC59" s="113"/>
      <c r="CD59" s="113"/>
    </row>
    <row r="60" spans="1:82" ht="15" customHeight="1" x14ac:dyDescent="0.25">
      <c r="A60" s="19"/>
      <c r="B60" s="172"/>
      <c r="C60" s="199"/>
      <c r="D60" s="195"/>
      <c r="E60" s="185"/>
      <c r="F60" s="185"/>
      <c r="G60" s="196"/>
      <c r="H60" s="197"/>
      <c r="I60" s="175"/>
      <c r="J60"/>
      <c r="K60" s="165"/>
      <c r="L60" s="165"/>
      <c r="M60" s="127"/>
      <c r="N60" s="127"/>
      <c r="O60" s="127"/>
      <c r="P60" s="127"/>
      <c r="Q60" s="127"/>
      <c r="R60" s="127"/>
      <c r="S60" s="127"/>
      <c r="T60" s="127"/>
      <c r="U60" s="113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13"/>
      <c r="AX60" s="113"/>
      <c r="AY60" s="11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  <c r="BN60" s="113"/>
      <c r="BO60" s="113"/>
      <c r="BP60" s="113"/>
      <c r="BQ60" s="113"/>
      <c r="BR60" s="113"/>
      <c r="BS60" s="113"/>
      <c r="BT60" s="113"/>
      <c r="BU60" s="113"/>
      <c r="BV60" s="113"/>
      <c r="BW60" s="113"/>
      <c r="BX60" s="113"/>
      <c r="BY60" s="113"/>
      <c r="BZ60" s="113"/>
      <c r="CA60" s="113"/>
      <c r="CB60" s="113"/>
      <c r="CC60" s="113"/>
      <c r="CD60" s="113"/>
    </row>
    <row r="61" spans="1:82" ht="15" customHeight="1" x14ac:dyDescent="0.25">
      <c r="A61" s="19"/>
      <c r="B61" s="172"/>
      <c r="C61" s="199"/>
      <c r="D61" s="195"/>
      <c r="E61" s="185"/>
      <c r="F61" s="185"/>
      <c r="G61" s="196"/>
      <c r="H61" s="197"/>
      <c r="I61" s="175"/>
      <c r="J61"/>
      <c r="K61" s="165"/>
      <c r="L61" s="165"/>
      <c r="M61" s="127"/>
      <c r="N61" s="127"/>
      <c r="O61" s="127"/>
      <c r="P61" s="127"/>
      <c r="Q61" s="127"/>
      <c r="R61" s="127"/>
      <c r="S61" s="127"/>
      <c r="T61" s="127"/>
      <c r="U61" s="113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  <c r="AW61" s="113"/>
      <c r="AX61" s="113"/>
      <c r="AY61" s="11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  <c r="BN61" s="113"/>
      <c r="BO61" s="113"/>
      <c r="BP61" s="113"/>
      <c r="BQ61" s="113"/>
      <c r="BR61" s="113"/>
      <c r="BS61" s="113"/>
      <c r="BT61" s="113"/>
      <c r="BU61" s="113"/>
      <c r="BV61" s="113"/>
      <c r="BW61" s="113"/>
      <c r="BX61" s="113"/>
      <c r="BY61" s="113"/>
      <c r="BZ61" s="113"/>
      <c r="CA61" s="113"/>
      <c r="CB61" s="113"/>
      <c r="CC61" s="113"/>
      <c r="CD61" s="113"/>
    </row>
    <row r="62" spans="1:82" ht="15" customHeight="1" x14ac:dyDescent="0.25">
      <c r="A62" s="19"/>
      <c r="B62" s="172"/>
      <c r="C62" s="199"/>
      <c r="D62" s="195"/>
      <c r="E62" s="185"/>
      <c r="F62" s="185"/>
      <c r="G62" s="196"/>
      <c r="H62" s="197"/>
      <c r="I62" s="175"/>
      <c r="J62"/>
      <c r="K62" s="165"/>
      <c r="L62" s="165"/>
      <c r="M62" s="127"/>
      <c r="N62" s="127"/>
      <c r="O62" s="127"/>
      <c r="P62" s="127"/>
      <c r="Q62" s="127"/>
      <c r="R62" s="127"/>
      <c r="S62" s="127"/>
      <c r="T62" s="127"/>
      <c r="U62" s="113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3"/>
      <c r="CA62" s="113"/>
      <c r="CB62" s="113"/>
      <c r="CC62" s="113"/>
      <c r="CD62" s="113"/>
    </row>
    <row r="63" spans="1:82" ht="15" customHeight="1" x14ac:dyDescent="0.25">
      <c r="A63" s="19"/>
      <c r="B63" s="172"/>
      <c r="C63" s="199"/>
      <c r="D63" s="195"/>
      <c r="E63" s="185"/>
      <c r="F63" s="185"/>
      <c r="G63" s="196"/>
      <c r="H63" s="197"/>
      <c r="I63" s="175"/>
      <c r="J63"/>
      <c r="K63" s="165"/>
      <c r="L63" s="165"/>
      <c r="M63" s="127"/>
      <c r="N63" s="127"/>
      <c r="O63" s="127"/>
      <c r="P63" s="127"/>
      <c r="Q63" s="127"/>
      <c r="R63" s="127"/>
      <c r="S63" s="127"/>
      <c r="T63" s="127"/>
      <c r="U63" s="113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  <c r="AW63" s="113"/>
      <c r="AX63" s="113"/>
      <c r="AY63" s="11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  <c r="BN63" s="113"/>
      <c r="BO63" s="113"/>
      <c r="BP63" s="113"/>
      <c r="BQ63" s="113"/>
      <c r="BR63" s="113"/>
      <c r="BS63" s="113"/>
      <c r="BT63" s="113"/>
      <c r="BU63" s="113"/>
      <c r="BV63" s="113"/>
      <c r="BW63" s="113"/>
      <c r="BX63" s="113"/>
      <c r="BY63" s="113"/>
      <c r="BZ63" s="113"/>
      <c r="CA63" s="113"/>
      <c r="CB63" s="113"/>
      <c r="CC63" s="113"/>
      <c r="CD63" s="113"/>
    </row>
    <row r="64" spans="1:82" ht="15" customHeight="1" x14ac:dyDescent="0.25">
      <c r="A64" s="19"/>
      <c r="B64" s="172"/>
      <c r="C64" s="199"/>
      <c r="D64" s="195"/>
      <c r="E64" s="185"/>
      <c r="F64" s="185"/>
      <c r="G64" s="196"/>
      <c r="H64" s="197"/>
      <c r="I64" s="175"/>
      <c r="J64"/>
      <c r="K64" s="165"/>
      <c r="L64" s="165"/>
      <c r="M64" s="127"/>
      <c r="N64" s="127"/>
      <c r="O64" s="127"/>
      <c r="P64" s="127"/>
      <c r="Q64" s="127"/>
      <c r="R64" s="127"/>
      <c r="S64" s="127"/>
      <c r="T64" s="127"/>
      <c r="U64" s="113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  <c r="AW64" s="113"/>
      <c r="AX64" s="113"/>
      <c r="AY64" s="11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  <c r="BN64" s="113"/>
      <c r="BO64" s="113"/>
      <c r="BP64" s="113"/>
      <c r="BQ64" s="113"/>
      <c r="BR64" s="113"/>
      <c r="BS64" s="113"/>
      <c r="BT64" s="113"/>
      <c r="BU64" s="113"/>
      <c r="BV64" s="113"/>
      <c r="BW64" s="113"/>
      <c r="BX64" s="113"/>
      <c r="BY64" s="113"/>
      <c r="BZ64" s="113"/>
      <c r="CA64" s="113"/>
      <c r="CB64" s="113"/>
      <c r="CC64" s="113"/>
      <c r="CD64" s="113"/>
    </row>
    <row r="65" spans="1:82" ht="15" customHeight="1" x14ac:dyDescent="0.25">
      <c r="A65" s="19"/>
      <c r="B65" s="172"/>
      <c r="C65" s="199"/>
      <c r="D65" s="195"/>
      <c r="E65" s="185"/>
      <c r="F65" s="185"/>
      <c r="G65" s="196"/>
      <c r="H65" s="197"/>
      <c r="I65" s="175"/>
      <c r="J65"/>
      <c r="K65" s="165"/>
      <c r="L65" s="165"/>
      <c r="M65" s="127"/>
      <c r="N65" s="127"/>
      <c r="O65" s="127"/>
      <c r="P65" s="127"/>
      <c r="Q65" s="127"/>
      <c r="R65" s="127"/>
      <c r="S65" s="127"/>
      <c r="T65" s="127"/>
      <c r="U65" s="113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  <c r="BN65" s="113"/>
      <c r="BO65" s="113"/>
      <c r="BP65" s="113"/>
      <c r="BQ65" s="113"/>
      <c r="BR65" s="113"/>
      <c r="BS65" s="113"/>
      <c r="BT65" s="113"/>
      <c r="BU65" s="113"/>
      <c r="BV65" s="113"/>
      <c r="BW65" s="113"/>
      <c r="BX65" s="113"/>
      <c r="BY65" s="113"/>
      <c r="BZ65" s="113"/>
      <c r="CA65" s="113"/>
      <c r="CB65" s="113"/>
      <c r="CC65" s="113"/>
      <c r="CD65" s="113"/>
    </row>
    <row r="66" spans="1:82" ht="15" customHeight="1" x14ac:dyDescent="0.25">
      <c r="A66" s="19"/>
      <c r="B66" s="172"/>
      <c r="C66" s="199"/>
      <c r="D66" s="195"/>
      <c r="E66" s="185"/>
      <c r="F66" s="185"/>
      <c r="G66" s="196"/>
      <c r="H66" s="197"/>
      <c r="I66" s="174"/>
      <c r="J66" s="19"/>
      <c r="K66" s="126"/>
      <c r="L66" s="126"/>
      <c r="M66" s="127"/>
      <c r="N66" s="127"/>
      <c r="O66" s="127"/>
      <c r="P66" s="127"/>
      <c r="Q66" s="127"/>
      <c r="R66" s="127"/>
      <c r="S66" s="127"/>
      <c r="T66" s="127"/>
    </row>
    <row r="67" spans="1:82" ht="15" customHeight="1" x14ac:dyDescent="0.25">
      <c r="A67" s="19"/>
      <c r="B67" s="172"/>
      <c r="C67" s="199"/>
      <c r="D67" s="195"/>
      <c r="E67" s="185"/>
      <c r="F67" s="185"/>
      <c r="G67" s="196"/>
      <c r="H67" s="197"/>
      <c r="I67" s="174"/>
      <c r="J67" s="19"/>
      <c r="K67" s="126"/>
      <c r="L67" s="126"/>
      <c r="M67" s="127"/>
      <c r="N67" s="127"/>
      <c r="O67" s="127"/>
      <c r="P67" s="127"/>
      <c r="Q67" s="127"/>
      <c r="R67" s="127"/>
      <c r="S67" s="127"/>
      <c r="T67" s="127"/>
    </row>
    <row r="68" spans="1:82" ht="15" customHeight="1" x14ac:dyDescent="0.25">
      <c r="A68" s="19"/>
      <c r="B68" s="172"/>
      <c r="C68" s="199"/>
      <c r="D68" s="195"/>
      <c r="E68" s="185"/>
      <c r="F68" s="185"/>
      <c r="G68" s="196"/>
      <c r="H68" s="197"/>
      <c r="I68" s="174"/>
      <c r="J68" s="19"/>
      <c r="K68" s="126"/>
      <c r="L68" s="126"/>
      <c r="M68" s="127"/>
      <c r="N68" s="127"/>
      <c r="O68" s="127"/>
      <c r="P68" s="127"/>
      <c r="Q68" s="127"/>
      <c r="R68" s="127"/>
      <c r="S68" s="127"/>
      <c r="T68" s="127"/>
    </row>
    <row r="69" spans="1:82" ht="15" customHeight="1" x14ac:dyDescent="0.25">
      <c r="A69" s="19"/>
      <c r="B69" s="172"/>
      <c r="C69" s="199"/>
      <c r="D69" s="195"/>
      <c r="E69" s="185"/>
      <c r="F69" s="185"/>
      <c r="G69" s="196"/>
      <c r="H69" s="197"/>
      <c r="I69" s="174"/>
      <c r="J69" s="19"/>
      <c r="K69" s="126"/>
      <c r="L69" s="126"/>
      <c r="M69" s="136"/>
      <c r="N69" s="136"/>
      <c r="O69" s="136"/>
      <c r="P69" s="136"/>
      <c r="Q69" s="136"/>
      <c r="R69" s="127"/>
      <c r="S69" s="127"/>
      <c r="T69" s="127"/>
    </row>
    <row r="70" spans="1:82" ht="15" customHeight="1" x14ac:dyDescent="0.25">
      <c r="A70" s="19"/>
      <c r="B70" s="172"/>
      <c r="C70" s="199"/>
      <c r="D70" s="195"/>
      <c r="E70" s="185"/>
      <c r="F70" s="185"/>
      <c r="G70" s="196"/>
      <c r="H70" s="197"/>
      <c r="I70" s="174"/>
      <c r="J70" s="19"/>
      <c r="K70" s="126"/>
      <c r="L70" s="126"/>
      <c r="M70" s="136"/>
      <c r="N70" s="136"/>
      <c r="O70" s="136"/>
      <c r="P70" s="136"/>
      <c r="Q70" s="136"/>
      <c r="R70" s="127"/>
      <c r="S70" s="127"/>
      <c r="T70" s="127"/>
    </row>
    <row r="71" spans="1:82" ht="15" customHeight="1" x14ac:dyDescent="0.25">
      <c r="A71" s="19"/>
      <c r="B71" s="172"/>
      <c r="C71" s="199"/>
      <c r="D71" s="195"/>
      <c r="E71" s="185"/>
      <c r="F71" s="185"/>
      <c r="G71" s="196"/>
      <c r="H71" s="197"/>
      <c r="I71" s="173"/>
      <c r="J71" s="19"/>
      <c r="K71" s="126"/>
      <c r="L71" s="126"/>
      <c r="M71" s="136"/>
      <c r="N71" s="136"/>
      <c r="O71" s="136"/>
      <c r="P71" s="136"/>
      <c r="Q71" s="136"/>
      <c r="R71" s="127"/>
      <c r="S71" s="127"/>
      <c r="T71" s="127"/>
    </row>
    <row r="72" spans="1:82" ht="15" customHeight="1" x14ac:dyDescent="0.25">
      <c r="A72" s="19"/>
      <c r="B72" s="172"/>
      <c r="C72" s="199"/>
      <c r="D72" s="195"/>
      <c r="E72" s="185"/>
      <c r="F72" s="185"/>
      <c r="G72" s="196"/>
      <c r="H72" s="197"/>
      <c r="I72" s="173"/>
      <c r="J72" s="19"/>
      <c r="K72" s="126"/>
      <c r="L72" s="126"/>
      <c r="M72" s="136"/>
      <c r="N72" s="136"/>
      <c r="O72" s="136"/>
      <c r="P72" s="136"/>
      <c r="Q72" s="136"/>
      <c r="R72" s="127"/>
      <c r="S72" s="127"/>
      <c r="T72" s="127"/>
    </row>
    <row r="73" spans="1:82" ht="15" customHeight="1" x14ac:dyDescent="0.25">
      <c r="A73" s="19"/>
      <c r="B73" s="172"/>
      <c r="C73" s="199"/>
      <c r="D73" s="195"/>
      <c r="E73" s="185"/>
      <c r="F73" s="185"/>
      <c r="G73" s="196"/>
      <c r="H73" s="197"/>
      <c r="I73" s="173"/>
      <c r="J73" s="19"/>
      <c r="K73" s="126"/>
      <c r="L73" s="126"/>
      <c r="M73" s="136"/>
      <c r="N73" s="136"/>
      <c r="O73" s="136"/>
      <c r="P73" s="136"/>
      <c r="Q73" s="136"/>
      <c r="R73" s="127"/>
      <c r="S73" s="127"/>
      <c r="T73" s="127"/>
    </row>
    <row r="74" spans="1:82" ht="15" customHeight="1" x14ac:dyDescent="0.25">
      <c r="A74" s="19"/>
      <c r="B74" s="172"/>
      <c r="C74" s="199"/>
      <c r="D74" s="195"/>
      <c r="E74" s="185"/>
      <c r="F74" s="185"/>
      <c r="G74" s="196"/>
      <c r="H74" s="197"/>
      <c r="I74" s="174"/>
      <c r="J74" s="19"/>
      <c r="K74" s="126"/>
      <c r="L74" s="126"/>
      <c r="M74" s="136"/>
      <c r="N74" s="136"/>
      <c r="O74" s="136"/>
      <c r="P74" s="136"/>
      <c r="Q74" s="136"/>
      <c r="R74" s="127"/>
      <c r="S74" s="127"/>
      <c r="T74" s="127"/>
    </row>
    <row r="75" spans="1:82" ht="15" customHeight="1" x14ac:dyDescent="0.25">
      <c r="A75" s="19"/>
      <c r="B75" s="172"/>
      <c r="C75" s="199"/>
      <c r="D75" s="195"/>
      <c r="E75" s="185"/>
      <c r="F75" s="185"/>
      <c r="G75" s="196"/>
      <c r="H75" s="197"/>
      <c r="I75" s="174"/>
      <c r="J75" s="19"/>
      <c r="K75" s="126"/>
      <c r="L75" s="126"/>
      <c r="M75" s="127"/>
      <c r="N75" s="127"/>
      <c r="O75" s="127"/>
      <c r="P75" s="127"/>
      <c r="Q75" s="127"/>
      <c r="R75" s="127"/>
      <c r="S75" s="127"/>
      <c r="T75" s="127"/>
    </row>
    <row r="76" spans="1:82" ht="15" customHeight="1" x14ac:dyDescent="0.25">
      <c r="A76" s="19"/>
      <c r="B76" s="172"/>
      <c r="C76" s="199"/>
      <c r="D76" s="195"/>
      <c r="E76" s="185"/>
      <c r="F76" s="185"/>
      <c r="G76" s="196"/>
      <c r="H76" s="197"/>
      <c r="I76" s="173"/>
      <c r="J76" s="19"/>
      <c r="K76" s="126"/>
      <c r="L76" s="126"/>
      <c r="M76" s="127"/>
      <c r="N76" s="133"/>
      <c r="O76" s="127"/>
      <c r="P76" s="127"/>
      <c r="Q76" s="127"/>
      <c r="R76" s="127"/>
      <c r="S76" s="127"/>
      <c r="T76" s="127"/>
    </row>
    <row r="77" spans="1:82" ht="15" customHeight="1" x14ac:dyDescent="0.25">
      <c r="A77" s="19"/>
      <c r="B77" s="172"/>
      <c r="C77" s="199"/>
      <c r="D77" s="195"/>
      <c r="E77" s="185"/>
      <c r="F77" s="185"/>
      <c r="G77" s="196"/>
      <c r="H77" s="197"/>
      <c r="I77" s="173"/>
      <c r="J77" s="19"/>
      <c r="K77" s="126"/>
      <c r="L77" s="126"/>
      <c r="M77" s="130"/>
      <c r="N77" s="127"/>
      <c r="O77" s="127"/>
      <c r="P77" s="127"/>
      <c r="Q77" s="127"/>
      <c r="R77" s="127"/>
      <c r="S77" s="127"/>
      <c r="T77" s="127"/>
    </row>
    <row r="78" spans="1:82" ht="15" customHeight="1" x14ac:dyDescent="0.25">
      <c r="A78" s="19"/>
      <c r="B78" s="172"/>
      <c r="C78" s="199"/>
      <c r="D78" s="195"/>
      <c r="E78" s="185"/>
      <c r="F78" s="185"/>
      <c r="G78" s="196"/>
      <c r="H78" s="197"/>
      <c r="I78" s="173"/>
      <c r="J78" s="19"/>
      <c r="K78" s="126"/>
      <c r="L78" s="126"/>
      <c r="M78" s="127"/>
      <c r="N78" s="127"/>
      <c r="O78" s="127"/>
      <c r="P78" s="127"/>
      <c r="Q78" s="127"/>
      <c r="R78" s="127"/>
      <c r="S78" s="127"/>
      <c r="T78" s="127"/>
    </row>
    <row r="79" spans="1:82" ht="15" customHeight="1" x14ac:dyDescent="0.25">
      <c r="A79" s="19"/>
      <c r="B79" s="172"/>
      <c r="C79" s="199"/>
      <c r="D79" s="195"/>
      <c r="E79" s="185"/>
      <c r="F79" s="185"/>
      <c r="G79" s="196"/>
      <c r="H79" s="197"/>
      <c r="I79" s="173"/>
      <c r="J79" s="19"/>
      <c r="K79" s="126"/>
      <c r="L79" s="126"/>
      <c r="M79" s="127"/>
      <c r="N79" s="127"/>
      <c r="O79" s="127"/>
      <c r="P79" s="127"/>
      <c r="Q79" s="127"/>
      <c r="R79" s="127"/>
      <c r="S79" s="127"/>
      <c r="T79" s="127"/>
    </row>
    <row r="80" spans="1:82" ht="15" customHeight="1" thickBot="1" x14ac:dyDescent="0.3">
      <c r="A80" s="19"/>
      <c r="B80" s="207"/>
      <c r="C80" s="217"/>
      <c r="D80" s="238"/>
      <c r="E80" s="218"/>
      <c r="F80" s="218"/>
      <c r="G80" s="333"/>
      <c r="H80" s="219"/>
      <c r="I80" s="208"/>
      <c r="J80" s="19"/>
      <c r="K80" s="126"/>
      <c r="L80" s="126"/>
      <c r="M80" s="127"/>
      <c r="N80" s="127"/>
      <c r="O80" s="127"/>
      <c r="P80" s="127"/>
      <c r="Q80" s="127"/>
      <c r="R80" s="127"/>
      <c r="S80" s="127"/>
      <c r="T80" s="127"/>
    </row>
    <row r="81" spans="1:20" ht="15" customHeight="1" thickTop="1" x14ac:dyDescent="0.25">
      <c r="A81" s="19"/>
      <c r="B81" s="19"/>
      <c r="C81" s="140"/>
      <c r="D81" s="19"/>
      <c r="E81" s="19"/>
      <c r="F81" s="19"/>
      <c r="G81" s="19"/>
      <c r="H81" s="206"/>
      <c r="I81" s="19"/>
      <c r="J81" s="19"/>
      <c r="K81" s="126"/>
      <c r="L81" s="126"/>
      <c r="M81" s="127"/>
      <c r="N81" s="127"/>
      <c r="O81" s="127"/>
      <c r="P81" s="127"/>
      <c r="Q81" s="127"/>
      <c r="R81" s="127"/>
      <c r="S81" s="127"/>
      <c r="T81" s="127"/>
    </row>
    <row r="82" spans="1:20" x14ac:dyDescent="0.25">
      <c r="K82" s="126"/>
      <c r="L82" s="126"/>
      <c r="M82" s="127"/>
      <c r="N82" s="127"/>
      <c r="O82" s="127"/>
      <c r="P82" s="127"/>
      <c r="Q82" s="127"/>
      <c r="R82" s="127"/>
      <c r="S82" s="127"/>
      <c r="T82" s="127"/>
    </row>
    <row r="83" spans="1:20" x14ac:dyDescent="0.25">
      <c r="K83" s="126"/>
      <c r="L83" s="126"/>
      <c r="M83" s="127"/>
      <c r="N83" s="127"/>
      <c r="O83" s="127"/>
      <c r="P83" s="127"/>
      <c r="Q83" s="127"/>
      <c r="R83" s="127"/>
      <c r="S83" s="127"/>
      <c r="T83" s="127"/>
    </row>
    <row r="84" spans="1:20" x14ac:dyDescent="0.25">
      <c r="K84" s="126"/>
      <c r="L84" s="126"/>
      <c r="M84" s="126"/>
      <c r="N84" s="126"/>
      <c r="O84" s="126"/>
      <c r="P84" s="126"/>
      <c r="Q84" s="126"/>
      <c r="R84" s="126"/>
      <c r="S84" s="126"/>
      <c r="T84" s="126"/>
    </row>
    <row r="85" spans="1:20" x14ac:dyDescent="0.25">
      <c r="K85" s="126"/>
      <c r="L85" s="126"/>
      <c r="M85" s="126"/>
      <c r="N85" s="126"/>
      <c r="O85" s="126"/>
      <c r="P85" s="126"/>
      <c r="Q85" s="126"/>
      <c r="R85" s="126"/>
      <c r="S85" s="126"/>
      <c r="T85" s="126"/>
    </row>
    <row r="86" spans="1:20" x14ac:dyDescent="0.25">
      <c r="K86" s="126"/>
      <c r="L86" s="126"/>
      <c r="M86" s="126"/>
      <c r="N86" s="126"/>
      <c r="O86" s="126"/>
      <c r="P86" s="126"/>
      <c r="Q86" s="126"/>
      <c r="R86" s="126"/>
      <c r="S86" s="126"/>
      <c r="T86" s="126"/>
    </row>
    <row r="87" spans="1:20" x14ac:dyDescent="0.25">
      <c r="K87" s="126"/>
      <c r="L87" s="126"/>
      <c r="M87" s="126"/>
      <c r="N87" s="126"/>
      <c r="O87" s="126"/>
      <c r="P87" s="126"/>
      <c r="Q87" s="126"/>
      <c r="R87" s="126"/>
      <c r="S87" s="126"/>
      <c r="T87" s="126"/>
    </row>
    <row r="88" spans="1:20" x14ac:dyDescent="0.25">
      <c r="K88" s="126"/>
      <c r="L88" s="126"/>
      <c r="M88" s="126"/>
      <c r="N88" s="126"/>
      <c r="O88" s="126"/>
      <c r="P88" s="126"/>
      <c r="Q88" s="126"/>
      <c r="R88" s="126"/>
      <c r="S88" s="126"/>
      <c r="T88" s="126"/>
    </row>
    <row r="89" spans="1:20" x14ac:dyDescent="0.25">
      <c r="K89" s="126"/>
      <c r="L89" s="126"/>
      <c r="M89" s="126"/>
      <c r="N89" s="126"/>
      <c r="O89" s="126"/>
      <c r="P89" s="126"/>
      <c r="Q89" s="126"/>
      <c r="R89" s="126"/>
      <c r="S89" s="126"/>
      <c r="T89" s="126"/>
    </row>
    <row r="90" spans="1:20" x14ac:dyDescent="0.25">
      <c r="K90" s="126"/>
      <c r="L90" s="126"/>
      <c r="M90" s="126"/>
      <c r="N90" s="126"/>
      <c r="O90" s="126"/>
      <c r="P90" s="126"/>
      <c r="Q90" s="126"/>
      <c r="R90" s="126"/>
      <c r="S90" s="126"/>
      <c r="T90" s="126"/>
    </row>
    <row r="91" spans="1:20" x14ac:dyDescent="0.25">
      <c r="F91" s="116"/>
      <c r="G91" s="116"/>
      <c r="H91" s="116"/>
      <c r="K91" s="126"/>
      <c r="L91" s="126"/>
      <c r="M91" s="126"/>
      <c r="N91" s="126"/>
      <c r="O91" s="126"/>
      <c r="P91" s="126"/>
      <c r="Q91" s="126"/>
      <c r="R91" s="126"/>
      <c r="S91" s="126"/>
      <c r="T91" s="126"/>
    </row>
    <row r="92" spans="1:20" x14ac:dyDescent="0.25">
      <c r="K92" s="126"/>
      <c r="L92" s="126"/>
      <c r="M92" s="126"/>
      <c r="N92" s="126"/>
      <c r="O92" s="126"/>
      <c r="P92" s="126"/>
      <c r="Q92" s="126"/>
      <c r="R92" s="126"/>
      <c r="S92" s="126"/>
      <c r="T92" s="126"/>
    </row>
    <row r="93" spans="1:20" x14ac:dyDescent="0.25">
      <c r="K93" s="126"/>
      <c r="L93" s="126"/>
      <c r="M93" s="126"/>
      <c r="N93" s="126"/>
      <c r="O93" s="126"/>
      <c r="P93" s="126"/>
      <c r="Q93" s="126"/>
      <c r="R93" s="126"/>
      <c r="S93" s="126"/>
      <c r="T93" s="126"/>
    </row>
    <row r="94" spans="1:20" x14ac:dyDescent="0.25">
      <c r="K94" s="126"/>
      <c r="L94" s="126"/>
      <c r="M94" s="126"/>
      <c r="N94" s="126"/>
      <c r="O94" s="126"/>
      <c r="P94" s="126"/>
      <c r="Q94" s="126"/>
      <c r="R94" s="126"/>
      <c r="S94" s="126"/>
      <c r="T94" s="126"/>
    </row>
    <row r="95" spans="1:20" x14ac:dyDescent="0.25">
      <c r="K95" s="126"/>
      <c r="L95" s="126"/>
      <c r="M95" s="126"/>
      <c r="N95" s="126"/>
      <c r="O95" s="126"/>
      <c r="P95" s="126"/>
      <c r="Q95" s="126"/>
      <c r="R95" s="126"/>
      <c r="S95" s="126"/>
      <c r="T95" s="126"/>
    </row>
    <row r="96" spans="1:20" ht="15" x14ac:dyDescent="0.25">
      <c r="C96" s="137"/>
      <c r="K96" s="126"/>
      <c r="L96" s="126"/>
      <c r="M96" s="126"/>
      <c r="N96" s="126"/>
      <c r="O96" s="126"/>
      <c r="P96" s="126"/>
      <c r="Q96" s="126"/>
      <c r="R96" s="126"/>
      <c r="S96" s="126"/>
      <c r="T96" s="126"/>
    </row>
    <row r="97" spans="4:20" x14ac:dyDescent="0.25">
      <c r="K97" s="126"/>
      <c r="L97" s="126"/>
      <c r="M97" s="126"/>
      <c r="N97" s="126"/>
      <c r="O97" s="126"/>
      <c r="P97" s="126"/>
      <c r="Q97" s="126"/>
      <c r="R97" s="126"/>
      <c r="S97" s="126"/>
      <c r="T97" s="126"/>
    </row>
    <row r="98" spans="4:20" x14ac:dyDescent="0.25">
      <c r="K98" s="126"/>
      <c r="L98" s="126"/>
      <c r="M98" s="126"/>
      <c r="N98" s="126"/>
      <c r="O98" s="126"/>
      <c r="P98" s="126"/>
      <c r="Q98" s="126"/>
      <c r="R98" s="126"/>
      <c r="S98" s="126"/>
      <c r="T98" s="126"/>
    </row>
    <row r="99" spans="4:20" x14ac:dyDescent="0.25">
      <c r="K99" s="126"/>
      <c r="L99" s="126"/>
      <c r="M99" s="126"/>
      <c r="N99" s="126"/>
      <c r="O99" s="126"/>
      <c r="P99" s="126"/>
      <c r="Q99" s="126"/>
      <c r="R99" s="126"/>
      <c r="S99" s="126"/>
      <c r="T99" s="126"/>
    </row>
    <row r="100" spans="4:20" x14ac:dyDescent="0.25">
      <c r="K100" s="126"/>
      <c r="L100" s="126"/>
      <c r="M100" s="126"/>
      <c r="N100" s="126"/>
      <c r="O100" s="126"/>
      <c r="P100" s="126"/>
      <c r="Q100" s="126"/>
      <c r="R100" s="126"/>
      <c r="S100" s="126"/>
      <c r="T100" s="126"/>
    </row>
    <row r="101" spans="4:20" x14ac:dyDescent="0.25">
      <c r="K101" s="126"/>
      <c r="L101" s="126"/>
      <c r="M101" s="126"/>
      <c r="N101" s="126"/>
      <c r="O101" s="126"/>
      <c r="P101" s="126"/>
      <c r="Q101" s="126"/>
      <c r="R101" s="126"/>
      <c r="S101" s="126"/>
      <c r="T101" s="126"/>
    </row>
    <row r="102" spans="4:20" x14ac:dyDescent="0.25">
      <c r="K102" s="126"/>
      <c r="L102" s="126"/>
      <c r="M102" s="126"/>
      <c r="N102" s="126"/>
      <c r="O102" s="126"/>
      <c r="P102" s="126"/>
      <c r="Q102" s="126"/>
      <c r="R102" s="126"/>
      <c r="S102" s="126"/>
      <c r="T102" s="126"/>
    </row>
    <row r="103" spans="4:20" ht="15" x14ac:dyDescent="0.25">
      <c r="D103" s="113"/>
      <c r="K103" s="126"/>
      <c r="L103" s="126"/>
      <c r="M103" s="126"/>
      <c r="N103" s="126"/>
      <c r="O103" s="126"/>
      <c r="P103" s="126"/>
      <c r="Q103" s="126"/>
      <c r="R103" s="126"/>
      <c r="S103" s="126"/>
      <c r="T103" s="126"/>
    </row>
    <row r="104" spans="4:20" x14ac:dyDescent="0.25">
      <c r="K104" s="126"/>
      <c r="L104" s="126"/>
      <c r="M104" s="126"/>
      <c r="N104" s="126"/>
      <c r="O104" s="126"/>
      <c r="P104" s="126"/>
      <c r="Q104" s="126"/>
      <c r="R104" s="126"/>
      <c r="S104" s="126"/>
      <c r="T104" s="126"/>
    </row>
    <row r="105" spans="4:20" x14ac:dyDescent="0.25">
      <c r="K105" s="126"/>
      <c r="L105" s="126"/>
      <c r="M105" s="126"/>
      <c r="N105" s="126"/>
      <c r="O105" s="126"/>
      <c r="P105" s="126"/>
      <c r="Q105" s="126"/>
      <c r="R105" s="126"/>
      <c r="S105" s="126"/>
      <c r="T105" s="126"/>
    </row>
    <row r="106" spans="4:20" x14ac:dyDescent="0.25">
      <c r="K106" s="126"/>
      <c r="L106" s="126"/>
      <c r="M106" s="126"/>
      <c r="N106" s="126"/>
      <c r="O106" s="126"/>
      <c r="P106" s="126"/>
      <c r="Q106" s="126"/>
      <c r="R106" s="126"/>
      <c r="S106" s="126"/>
      <c r="T106" s="126"/>
    </row>
    <row r="107" spans="4:20" x14ac:dyDescent="0.25"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</row>
    <row r="108" spans="4:20" x14ac:dyDescent="0.25">
      <c r="K108" s="126"/>
      <c r="L108" s="126"/>
      <c r="M108" s="126"/>
      <c r="N108" s="126"/>
      <c r="O108" s="126"/>
      <c r="P108" s="126"/>
      <c r="Q108" s="126"/>
      <c r="R108" s="126"/>
      <c r="S108" s="126"/>
      <c r="T108" s="126"/>
    </row>
    <row r="109" spans="4:20" x14ac:dyDescent="0.25">
      <c r="K109" s="126"/>
      <c r="L109" s="126"/>
      <c r="M109" s="126"/>
      <c r="N109" s="126"/>
      <c r="O109" s="126"/>
      <c r="P109" s="126"/>
      <c r="Q109" s="126"/>
      <c r="R109" s="126"/>
      <c r="S109" s="126"/>
      <c r="T109" s="126"/>
    </row>
    <row r="110" spans="4:20" x14ac:dyDescent="0.25">
      <c r="K110" s="126"/>
      <c r="L110" s="126"/>
      <c r="M110" s="126"/>
      <c r="N110" s="126"/>
      <c r="O110" s="126"/>
      <c r="P110" s="126"/>
      <c r="Q110" s="126"/>
      <c r="R110" s="126"/>
      <c r="S110" s="126"/>
      <c r="T110" s="126"/>
    </row>
    <row r="111" spans="4:20" x14ac:dyDescent="0.25">
      <c r="K111" s="126"/>
      <c r="L111" s="126"/>
      <c r="M111" s="126"/>
      <c r="N111" s="126"/>
      <c r="O111" s="126"/>
      <c r="P111" s="126"/>
      <c r="Q111" s="126"/>
      <c r="R111" s="126"/>
      <c r="S111" s="126"/>
      <c r="T111" s="126"/>
    </row>
    <row r="112" spans="4:20" x14ac:dyDescent="0.25">
      <c r="K112" s="126"/>
      <c r="L112" s="126"/>
      <c r="M112" s="126"/>
      <c r="N112" s="126"/>
      <c r="O112" s="126"/>
      <c r="P112" s="126"/>
      <c r="Q112" s="126"/>
      <c r="R112" s="126"/>
      <c r="S112" s="126"/>
      <c r="T112" s="126"/>
    </row>
    <row r="113" spans="11:20" x14ac:dyDescent="0.25">
      <c r="K113" s="126"/>
      <c r="L113" s="126"/>
      <c r="M113" s="126"/>
      <c r="N113" s="126"/>
      <c r="O113" s="126"/>
      <c r="P113" s="126"/>
      <c r="Q113" s="126"/>
      <c r="R113" s="126"/>
      <c r="S113" s="126"/>
      <c r="T113" s="126"/>
    </row>
    <row r="114" spans="11:20" x14ac:dyDescent="0.25">
      <c r="K114" s="126"/>
      <c r="L114" s="126"/>
      <c r="M114" s="126"/>
      <c r="N114" s="126"/>
      <c r="O114" s="126"/>
      <c r="P114" s="126"/>
      <c r="Q114" s="126"/>
      <c r="R114" s="126"/>
      <c r="S114" s="126"/>
      <c r="T114" s="126"/>
    </row>
    <row r="115" spans="11:20" x14ac:dyDescent="0.25">
      <c r="K115" s="126"/>
      <c r="L115" s="126"/>
      <c r="M115" s="126"/>
      <c r="N115" s="126"/>
      <c r="O115" s="126"/>
      <c r="P115" s="126"/>
      <c r="Q115" s="126"/>
      <c r="R115" s="126"/>
      <c r="S115" s="126"/>
      <c r="T115" s="126"/>
    </row>
    <row r="116" spans="11:20" x14ac:dyDescent="0.25">
      <c r="K116" s="126"/>
      <c r="L116" s="126"/>
      <c r="M116" s="126"/>
      <c r="N116" s="126"/>
      <c r="O116" s="126"/>
      <c r="P116" s="126"/>
      <c r="Q116" s="126"/>
      <c r="R116" s="126"/>
      <c r="S116" s="126"/>
      <c r="T116" s="126"/>
    </row>
    <row r="117" spans="11:20" x14ac:dyDescent="0.25">
      <c r="K117" s="126"/>
      <c r="L117" s="126"/>
      <c r="M117" s="126"/>
      <c r="N117" s="126"/>
      <c r="O117" s="126"/>
      <c r="P117" s="126"/>
      <c r="Q117" s="126"/>
      <c r="R117" s="126"/>
      <c r="S117" s="126"/>
      <c r="T117" s="126"/>
    </row>
    <row r="118" spans="11:20" x14ac:dyDescent="0.25">
      <c r="K118" s="126"/>
      <c r="L118" s="126"/>
      <c r="M118" s="126"/>
      <c r="N118" s="126"/>
      <c r="O118" s="126"/>
      <c r="P118" s="126"/>
      <c r="Q118" s="126"/>
      <c r="R118" s="126"/>
      <c r="S118" s="126"/>
      <c r="T118" s="126"/>
    </row>
  </sheetData>
  <sheetProtection selectLockedCells="1"/>
  <protectedRanges>
    <protectedRange sqref="M16 M54:M55" name="Lhůta provedení"/>
    <protectedRange sqref="C55:F60" name="Materiál"/>
    <protectedRange sqref="C24:D24" name="StavbaTermín"/>
    <protectedRange sqref="G4:H4" name="Podklad"/>
    <protectedRange sqref="F10 D10 H8 H5:H6 E9" name="Objednatel"/>
    <protectedRange sqref="C80" name="Telefon"/>
    <protectedRange sqref="C65:C66" name="StavebniPripravenost"/>
    <protectedRange sqref="C28:F50" name="Činnost_1"/>
  </protectedRanges>
  <mergeCells count="10">
    <mergeCell ref="B2:D4"/>
    <mergeCell ref="E2:F2"/>
    <mergeCell ref="E3:F3"/>
    <mergeCell ref="E4:G4"/>
    <mergeCell ref="B5:C5"/>
    <mergeCell ref="B10:C10"/>
    <mergeCell ref="B8:C8"/>
    <mergeCell ref="B9:C9"/>
    <mergeCell ref="B6:C6"/>
    <mergeCell ref="B7:C7"/>
  </mergeCells>
  <phoneticPr fontId="35" type="noConversion"/>
  <dataValidations count="4">
    <dataValidation type="list" allowBlank="1" showInputMessage="1" showErrorMessage="1" sqref="N16" xr:uid="{05B6B2B4-297D-49A1-9C4D-E2237FA1A61D}">
      <formula1>"Vystaveno,Uhrazeno"</formula1>
    </dataValidation>
    <dataValidation type="list" allowBlank="1" showInputMessage="1" showErrorMessage="1" sqref="N18" xr:uid="{C3797381-916D-4DFA-959E-423D7FFFB723}">
      <formula1>"TRUE,FALSE"</formula1>
    </dataValidation>
    <dataValidation type="list" allowBlank="1" showInputMessage="1" showErrorMessage="1" sqref="N19" xr:uid="{159DA062-5DC5-4DF3-B2FC-595012F56481}">
      <formula1>"0,1,2,3"</formula1>
    </dataValidation>
    <dataValidation type="list" allowBlank="1" showInputMessage="1" showErrorMessage="1" sqref="N15" xr:uid="{8B655198-BB20-4413-8C5D-B4BC2DBCEDC7}">
      <mc:AlternateContent xmlns:x12ac="http://schemas.microsoft.com/office/spreadsheetml/2011/1/ac" xmlns:mc="http://schemas.openxmlformats.org/markup-compatibility/2006">
        <mc:Choice Requires="x12ac">
          <x12ac:list>"0,40","0,60"</x12ac:list>
        </mc:Choice>
        <mc:Fallback>
          <formula1>"0,40,0,60"</formula1>
        </mc:Fallback>
      </mc:AlternateContent>
    </dataValidation>
  </dataValidations>
  <printOptions horizontalCentered="1" verticalCentered="1"/>
  <pageMargins left="0.23622047244094491" right="0.23622047244094491" top="0.19685039370078741" bottom="0.19685039370078741" header="0.31496062992125984" footer="0.31496062992125984"/>
  <pageSetup paperSize="9" scale="57" orientation="portrait" r:id="rId1"/>
  <headerFooter alignWithMargins="0">
    <oddFooter>&amp;C&amp;8Výpočty daně, odvodů a pojištění jsou pouze informativní; zohledňují slevu na invaliditu II. stupně a měsíční příspěvek na penzijní připojištění 1 700 Kč.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65" r:id="rId4" name="Check Box 69">
              <controlPr defaultSize="0" print="0" autoFill="0" autoLine="0" autoPict="0">
                <anchor moveWithCells="1">
                  <from>
                    <xdr:col>7</xdr:col>
                    <xdr:colOff>390525</xdr:colOff>
                    <xdr:row>13</xdr:row>
                    <xdr:rowOff>0</xdr:rowOff>
                  </from>
                  <to>
                    <xdr:col>7</xdr:col>
                    <xdr:colOff>552450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5" name="Check Box 70">
              <controlPr defaultSize="0" print="0" autoFill="0" autoLine="0" autoPict="0">
                <anchor moveWithCells="1">
                  <from>
                    <xdr:col>7</xdr:col>
                    <xdr:colOff>390525</xdr:colOff>
                    <xdr:row>14</xdr:row>
                    <xdr:rowOff>0</xdr:rowOff>
                  </from>
                  <to>
                    <xdr:col>7</xdr:col>
                    <xdr:colOff>552450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6" name="Check Box 72">
              <controlPr defaultSize="0" print="0" autoFill="0" autoLine="0" autoPict="0">
                <anchor moveWithCells="1">
                  <from>
                    <xdr:col>7</xdr:col>
                    <xdr:colOff>390525</xdr:colOff>
                    <xdr:row>15</xdr:row>
                    <xdr:rowOff>0</xdr:rowOff>
                  </from>
                  <to>
                    <xdr:col>7</xdr:col>
                    <xdr:colOff>552450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871-ECCE-43CB-AA74-FA4270BA249F}">
  <sheetPr codeName="Sheet4">
    <tabColor theme="8" tint="0.39997558519241921"/>
  </sheetPr>
  <dimension ref="A1:K5"/>
  <sheetViews>
    <sheetView workbookViewId="0">
      <selection activeCell="A2" sqref="A2"/>
    </sheetView>
  </sheetViews>
  <sheetFormatPr defaultColWidth="9.140625" defaultRowHeight="15" x14ac:dyDescent="0.25"/>
  <cols>
    <col min="1" max="1" width="20" style="194" bestFit="1" customWidth="1"/>
    <col min="2" max="2" width="24.28515625" style="194" bestFit="1" customWidth="1"/>
    <col min="3" max="3" width="37.140625" style="194" bestFit="1" customWidth="1"/>
    <col min="4" max="4" width="6.42578125" style="114" bestFit="1" customWidth="1"/>
    <col min="5" max="5" width="16.85546875" style="194" bestFit="1" customWidth="1"/>
    <col min="6" max="6" width="15.42578125" style="114" bestFit="1" customWidth="1"/>
    <col min="7" max="7" width="33" style="194" bestFit="1" customWidth="1"/>
    <col min="8" max="8" width="26.28515625" style="194" bestFit="1" customWidth="1"/>
    <col min="9" max="9" width="9" style="114" bestFit="1" customWidth="1"/>
    <col min="10" max="10" width="29.7109375" style="194" bestFit="1" customWidth="1"/>
    <col min="11" max="11" width="33.28515625" style="194" bestFit="1" customWidth="1"/>
    <col min="12" max="16384" width="9.140625" style="113"/>
  </cols>
  <sheetData>
    <row r="1" spans="1:11" x14ac:dyDescent="0.25">
      <c r="A1" s="186" t="s">
        <v>46</v>
      </c>
      <c r="B1" s="186" t="s">
        <v>47</v>
      </c>
      <c r="C1" s="186" t="s">
        <v>48</v>
      </c>
      <c r="D1" s="52" t="s">
        <v>56</v>
      </c>
      <c r="E1" s="186" t="s">
        <v>49</v>
      </c>
      <c r="F1" s="52" t="s">
        <v>50</v>
      </c>
      <c r="G1" s="186" t="s">
        <v>51</v>
      </c>
      <c r="H1" s="186" t="s">
        <v>52</v>
      </c>
      <c r="I1" s="52" t="s">
        <v>53</v>
      </c>
      <c r="J1" s="186" t="s">
        <v>70</v>
      </c>
      <c r="K1" s="186" t="s">
        <v>71</v>
      </c>
    </row>
    <row r="2" spans="1:11" x14ac:dyDescent="0.25">
      <c r="A2" s="186" t="s">
        <v>54</v>
      </c>
      <c r="B2" s="186" t="s">
        <v>73</v>
      </c>
      <c r="C2" s="186" t="s">
        <v>154</v>
      </c>
      <c r="D2" s="52" t="s">
        <v>62</v>
      </c>
      <c r="E2" s="186" t="s">
        <v>55</v>
      </c>
      <c r="F2" s="193" t="str">
        <f>"+420 725 960 560"</f>
        <v>+420 725 960 560</v>
      </c>
      <c r="G2" s="186" t="s">
        <v>74</v>
      </c>
      <c r="H2" s="186" t="s">
        <v>57</v>
      </c>
      <c r="I2" s="52">
        <v>61858757</v>
      </c>
      <c r="J2" s="186" t="str">
        <f ca="1">"BD-"&amp;IF(Nabídka!$L$15="Tento měsíc",TEXT(EDATE(TODAY(),0),"[$-cs-CZ]rrrr-mm"),TEXT(EDATE(TODAY(),-1),"[$-cs-CZ]rrrr-mm"))&amp;" (IT služby)"</f>
        <v>BD-2025-08 (IT služby)</v>
      </c>
      <c r="K2" s="186" t="s">
        <v>153</v>
      </c>
    </row>
    <row r="3" spans="1:11" x14ac:dyDescent="0.25">
      <c r="A3" s="186" t="s">
        <v>66</v>
      </c>
      <c r="B3" s="186" t="s">
        <v>67</v>
      </c>
      <c r="C3" s="186" t="s">
        <v>155</v>
      </c>
      <c r="D3" s="52" t="s">
        <v>61</v>
      </c>
      <c r="E3" s="186" t="s">
        <v>55</v>
      </c>
      <c r="F3" s="193" t="str">
        <f>"+420 723 729 104"</f>
        <v>+420 723 729 104</v>
      </c>
      <c r="G3" s="186" t="s">
        <v>68</v>
      </c>
      <c r="H3" s="186" t="s">
        <v>69</v>
      </c>
      <c r="I3" s="52">
        <v>41820606</v>
      </c>
      <c r="J3" s="186" t="str">
        <f ca="1">"KEJA-" &amp;IF(Nabídka!$L$15="Tento měsíc",TEXT(EDATE(TODAY(),0),"[$-cs-CZ]rrrr-mm"),TEXT(EDATE(TODAY(),-1),"[$-cs-CZ]rrrr-mm"))&amp;" (KEJA web)"</f>
        <v>KEJA-2025-08 (KEJA web)</v>
      </c>
      <c r="K3" s="186" t="s">
        <v>72</v>
      </c>
    </row>
    <row r="4" spans="1:11" x14ac:dyDescent="0.25">
      <c r="A4" s="186" t="s">
        <v>132</v>
      </c>
      <c r="B4" s="186" t="s">
        <v>133</v>
      </c>
      <c r="C4" s="186" t="s">
        <v>134</v>
      </c>
      <c r="D4" s="52" t="s">
        <v>135</v>
      </c>
      <c r="E4" s="186" t="s">
        <v>55</v>
      </c>
      <c r="F4" s="193" t="str">
        <f>"+420 725 960 560"</f>
        <v>+420 725 960 560</v>
      </c>
      <c r="G4" s="186" t="s">
        <v>136</v>
      </c>
      <c r="H4" s="186" t="s">
        <v>137</v>
      </c>
      <c r="I4" s="52">
        <v>69833150</v>
      </c>
      <c r="J4" s="186" t="str">
        <f ca="1">"Private-Inn-" &amp;IF(Nabídka!$L$15="Tento měsíc",TEXT(EDATE(TODAY(),0),"[$-cs-CZ]rrrr-mm"),TEXT(EDATE(TODAY(),-1),"[$-cs-CZ]rrrr-mm"))&amp;" (IT Služby)"</f>
        <v>Private-Inn-2025-08 (IT Služby)</v>
      </c>
      <c r="K4" s="186" t="s">
        <v>158</v>
      </c>
    </row>
    <row r="5" spans="1:11" x14ac:dyDescent="0.25">
      <c r="A5" s="186" t="s">
        <v>58</v>
      </c>
      <c r="B5" s="186" t="s">
        <v>59</v>
      </c>
      <c r="C5" s="186" t="s">
        <v>60</v>
      </c>
      <c r="D5" s="52" t="s">
        <v>61</v>
      </c>
      <c r="E5" s="186" t="s">
        <v>55</v>
      </c>
      <c r="F5" s="193" t="str">
        <f>"+420 775 111 997"</f>
        <v>+420 775 111 997</v>
      </c>
      <c r="G5" s="186" t="s">
        <v>63</v>
      </c>
      <c r="H5" s="186" t="s">
        <v>65</v>
      </c>
      <c r="I5" s="52">
        <v>71198407</v>
      </c>
      <c r="J5" s="186" t="str">
        <f ca="1">"SVJ-" &amp;IF(Nabídka!$L$15="Tento měsíc",TEXT(EDATE(TODAY(),0),"[$-cs-CZ]rrrr-mm"),TEXT(EDATE(TODAY(),-1),"[$-cs-CZ]rrrr-mm"))&amp;" (SVJ web)"</f>
        <v>SVJ-2025-08 (SVJ web)</v>
      </c>
      <c r="K5" s="186" t="s">
        <v>72</v>
      </c>
    </row>
  </sheetData>
  <dataValidations count="1">
    <dataValidation type="list" allowBlank="1" showInputMessage="1" showErrorMessage="1" sqref="K17" xr:uid="{621DD91D-C0FF-43A2-8C63-526312C2BCFE}">
      <formula1>$A$2:$A$51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4C085-A27F-4DFD-883E-BB29F5A095A2}">
  <sheetPr codeName="Sheet8">
    <tabColor theme="8" tint="-0.249977111117893"/>
  </sheetPr>
  <dimension ref="A1:G33"/>
  <sheetViews>
    <sheetView workbookViewId="0">
      <selection activeCell="B6" sqref="B6"/>
    </sheetView>
  </sheetViews>
  <sheetFormatPr defaultRowHeight="15" x14ac:dyDescent="0.25"/>
  <cols>
    <col min="1" max="1" width="19" bestFit="1" customWidth="1"/>
    <col min="2" max="2" width="57.140625" customWidth="1"/>
    <col min="4" max="4" width="16.140625" bestFit="1" customWidth="1"/>
    <col min="5" max="5" width="16.7109375" customWidth="1"/>
  </cols>
  <sheetData>
    <row r="1" spans="1:7" x14ac:dyDescent="0.25">
      <c r="A1" t="s">
        <v>77</v>
      </c>
      <c r="B1" t="s">
        <v>78</v>
      </c>
      <c r="C1" t="s">
        <v>159</v>
      </c>
      <c r="D1" t="s">
        <v>129</v>
      </c>
      <c r="E1" t="s">
        <v>130</v>
      </c>
      <c r="G1" s="106" t="s">
        <v>139</v>
      </c>
    </row>
    <row r="2" spans="1:7" x14ac:dyDescent="0.25">
      <c r="A2" s="100" t="s">
        <v>79</v>
      </c>
      <c r="B2" s="101" t="str" cm="1">
        <f t="array" aca="1" ref="B2" ca="1">INDIRECT("'Nabídka'!$Q$13")</f>
        <v>CZ2355000000004213366004</v>
      </c>
      <c r="C2" s="100"/>
      <c r="D2" t="s">
        <v>128</v>
      </c>
      <c r="E2" t="s">
        <v>125</v>
      </c>
    </row>
    <row r="3" spans="1:7" x14ac:dyDescent="0.25">
      <c r="A3" s="100" t="s">
        <v>80</v>
      </c>
      <c r="B3" s="101" cm="1">
        <f t="array" aca="1" ref="B3" ca="1">INDIRECT("'Nabídka'!$G$57")</f>
        <v>4200</v>
      </c>
      <c r="C3" s="100"/>
      <c r="D3" t="s">
        <v>122</v>
      </c>
      <c r="E3" t="s">
        <v>131</v>
      </c>
    </row>
    <row r="4" spans="1:7" x14ac:dyDescent="0.25">
      <c r="A4" s="100" t="s">
        <v>81</v>
      </c>
      <c r="B4" s="101" t="s">
        <v>82</v>
      </c>
      <c r="C4" s="100"/>
    </row>
    <row r="5" spans="1:7" x14ac:dyDescent="0.25">
      <c r="A5" s="100" t="s">
        <v>83</v>
      </c>
      <c r="B5" s="101" t="str" cm="1">
        <f t="array" aca="1" ref="B5" ca="1">INDIRECT("'Nabídka'!$L$5")</f>
        <v>SVJ-2025-08 (SVJ web)</v>
      </c>
      <c r="C5" s="100"/>
    </row>
    <row r="6" spans="1:7" x14ac:dyDescent="0.25">
      <c r="A6" s="100" t="s">
        <v>84</v>
      </c>
      <c r="B6" s="101" t="str" cm="1">
        <f t="array" aca="1" ref="B6" ca="1">_xlfn.LET(_xlpm.rng,INDIRECT("'Vystavené'!$D$14:$D$80"),_xlpm.currYr,TEXT(YEAR(TODAY()),"0000"),_xlpm.txt,_xlpm.rng&amp;"",_xlpm.seqMax,MAX(IFERROR(IF(RIGHT(_xlpm.txt,4)=_xlpm.currYr,VALUE(LEFT(_xlpm.txt,3)),0),0)),_xlpm.nextSeq,_xlpm.seqMax+1,TEXT(_xlpm.nextSeq,"000")&amp;_xlpm.currYr)</f>
        <v>0072025</v>
      </c>
      <c r="C6" s="189" t="s">
        <v>216</v>
      </c>
    </row>
    <row r="7" spans="1:7" x14ac:dyDescent="0.25">
      <c r="A7" s="100" t="s">
        <v>85</v>
      </c>
      <c r="B7" t="s">
        <v>115</v>
      </c>
      <c r="C7" s="100"/>
    </row>
    <row r="8" spans="1:7" x14ac:dyDescent="0.25">
      <c r="A8" s="100" t="s">
        <v>86</v>
      </c>
      <c r="B8" s="101" t="s">
        <v>113</v>
      </c>
      <c r="C8" s="100"/>
    </row>
    <row r="9" spans="1:7" x14ac:dyDescent="0.25">
      <c r="A9" s="100" t="s">
        <v>87</v>
      </c>
      <c r="B9" s="101" t="s">
        <v>114</v>
      </c>
      <c r="C9" s="100"/>
    </row>
    <row r="10" spans="1:7" x14ac:dyDescent="0.25">
      <c r="A10" s="100" t="s">
        <v>88</v>
      </c>
      <c r="B10" s="101" t="s">
        <v>89</v>
      </c>
      <c r="C10" s="100"/>
    </row>
    <row r="11" spans="1:7" x14ac:dyDescent="0.25">
      <c r="A11" s="100" t="s">
        <v>90</v>
      </c>
      <c r="B11" s="101" t="s">
        <v>108</v>
      </c>
      <c r="C11" s="100"/>
    </row>
    <row r="12" spans="1:7" x14ac:dyDescent="0.25">
      <c r="A12" s="100" t="s">
        <v>91</v>
      </c>
      <c r="B12" s="101" t="s">
        <v>108</v>
      </c>
      <c r="C12" s="100"/>
    </row>
    <row r="13" spans="1:7" x14ac:dyDescent="0.25">
      <c r="A13" s="100" t="s">
        <v>92</v>
      </c>
      <c r="B13" s="101" t="s">
        <v>108</v>
      </c>
      <c r="C13" s="100"/>
    </row>
    <row r="14" spans="1:7" x14ac:dyDescent="0.25">
      <c r="A14" s="100" t="s">
        <v>93</v>
      </c>
      <c r="B14" s="101" t="s">
        <v>108</v>
      </c>
      <c r="C14" s="100"/>
    </row>
    <row r="15" spans="1:7" x14ac:dyDescent="0.25">
      <c r="A15" s="100" t="s">
        <v>94</v>
      </c>
      <c r="B15" s="101" t="b">
        <v>1</v>
      </c>
      <c r="C15" s="100"/>
    </row>
    <row r="16" spans="1:7" x14ac:dyDescent="0.25">
      <c r="A16" s="100" t="s">
        <v>95</v>
      </c>
      <c r="B16" s="101" t="s">
        <v>96</v>
      </c>
      <c r="C16" s="100"/>
      <c r="E16" s="104"/>
    </row>
    <row r="17" spans="1:4" x14ac:dyDescent="0.25">
      <c r="A17" s="100" t="s">
        <v>97</v>
      </c>
      <c r="B17" s="101" t="s">
        <v>98</v>
      </c>
      <c r="C17" s="100"/>
      <c r="D17" s="105"/>
    </row>
    <row r="18" spans="1:4" x14ac:dyDescent="0.25">
      <c r="A18" s="100" t="s">
        <v>99</v>
      </c>
      <c r="B18" s="101">
        <v>1200</v>
      </c>
      <c r="C18" s="100"/>
    </row>
    <row r="19" spans="1:4" x14ac:dyDescent="0.25">
      <c r="A19" s="100" t="s">
        <v>100</v>
      </c>
      <c r="B19" s="101" t="s">
        <v>101</v>
      </c>
      <c r="C19" s="100"/>
    </row>
    <row r="20" spans="1:4" x14ac:dyDescent="0.25">
      <c r="A20" s="100" t="s">
        <v>102</v>
      </c>
      <c r="B20" s="101" t="s">
        <v>103</v>
      </c>
      <c r="C20" s="100"/>
    </row>
    <row r="21" spans="1:4" x14ac:dyDescent="0.25">
      <c r="A21" s="100" t="s">
        <v>104</v>
      </c>
      <c r="B21" s="101" t="s">
        <v>122</v>
      </c>
      <c r="C21" s="100"/>
    </row>
    <row r="22" spans="1:4" x14ac:dyDescent="0.25">
      <c r="A22" s="100" t="s">
        <v>105</v>
      </c>
      <c r="B22" s="102" t="str">
        <f>_xlfn.XLOOKUP((_xlfn.XLOOKUP("TargetSheet",QRKonfigurace[Key],QRKonfigurace[Value],"Nenalezeno na listu QR_Config",0,1)),QRBunky[List],QRBunky[Buňka pro Qrko],"Nenalezeno v tabulce QRBunky",0,1)</f>
        <v>E63</v>
      </c>
      <c r="C22" s="100"/>
    </row>
    <row r="23" spans="1:4" x14ac:dyDescent="0.25">
      <c r="A23" s="100" t="s">
        <v>106</v>
      </c>
      <c r="B23" s="101" t="s">
        <v>107</v>
      </c>
      <c r="C23" s="100"/>
    </row>
    <row r="24" spans="1:4" x14ac:dyDescent="0.25">
      <c r="A24" s="100" t="s">
        <v>109</v>
      </c>
      <c r="B24" s="101" t="s">
        <v>111</v>
      </c>
      <c r="C24" s="100"/>
    </row>
    <row r="25" spans="1:4" x14ac:dyDescent="0.25">
      <c r="A25" s="100" t="s">
        <v>110</v>
      </c>
      <c r="B25" s="101" t="b">
        <v>0</v>
      </c>
      <c r="C25" s="100"/>
    </row>
    <row r="26" spans="1:4" ht="180" customHeight="1" x14ac:dyDescent="0.25">
      <c r="A26" s="100" t="s">
        <v>112</v>
      </c>
      <c r="B26" s="103" t="s">
        <v>228</v>
      </c>
      <c r="C26" s="100"/>
    </row>
    <row r="27" spans="1:4" x14ac:dyDescent="0.25">
      <c r="A27" s="100" t="s">
        <v>116</v>
      </c>
      <c r="B27" s="101" t="s">
        <v>120</v>
      </c>
      <c r="C27" s="100"/>
    </row>
    <row r="28" spans="1:4" x14ac:dyDescent="0.25">
      <c r="A28" s="100" t="s">
        <v>117</v>
      </c>
      <c r="B28" s="101" t="s">
        <v>121</v>
      </c>
      <c r="C28" s="100"/>
    </row>
    <row r="29" spans="1:4" x14ac:dyDescent="0.25">
      <c r="A29" s="100" t="s">
        <v>118</v>
      </c>
      <c r="B29" s="101" t="s">
        <v>119</v>
      </c>
      <c r="C29" s="100"/>
    </row>
    <row r="30" spans="1:4" x14ac:dyDescent="0.25">
      <c r="A30" s="100" t="s">
        <v>123</v>
      </c>
      <c r="B30" s="101">
        <v>250</v>
      </c>
      <c r="C30" s="100"/>
    </row>
    <row r="31" spans="1:4" x14ac:dyDescent="0.25">
      <c r="A31" s="100" t="s">
        <v>124</v>
      </c>
      <c r="B31" s="101">
        <v>1.1000000000000001</v>
      </c>
      <c r="C31" s="100"/>
    </row>
    <row r="32" spans="1:4" x14ac:dyDescent="0.25">
      <c r="A32" s="100" t="s">
        <v>126</v>
      </c>
      <c r="B32" s="101">
        <v>100</v>
      </c>
      <c r="C32" s="100"/>
    </row>
    <row r="33" spans="1:3" x14ac:dyDescent="0.25">
      <c r="A33" s="100" t="s">
        <v>127</v>
      </c>
      <c r="B33" s="101">
        <v>0</v>
      </c>
      <c r="C33" s="100"/>
    </row>
  </sheetData>
  <phoneticPr fontId="35" type="noConversion"/>
  <dataValidations count="7">
    <dataValidation type="list" allowBlank="1" showInputMessage="1" showErrorMessage="1" sqref="B21" xr:uid="{8E32165E-1E35-4519-97EB-8249A0E07D9C}">
      <formula1>"Nabídka,Zálohová Faktura"</formula1>
    </dataValidation>
    <dataValidation type="list" allowBlank="1" showInputMessage="1" showErrorMessage="1" sqref="G7 B7" xr:uid="{E64E1447-F460-4C27-A9D6-B6AC56ED86BA}">
      <formula1>"square,mosaic,dot,circle,circle-zebra,circle-zebra-vertical,circular,edge-cut,edge-cut-smooth,japnese,leaf,pointed,pointed-edge-cut,pointed-in,pointed-in-smooth,pointed-smooth,round,rounded-in,rounded-in-smooth,rounded-pointed,star,diamond"</formula1>
    </dataValidation>
    <dataValidation type="list" allowBlank="1" showInputMessage="1" showErrorMessage="1" sqref="B8" xr:uid="{E37D9248-92D1-49AB-9B87-E31AC3B3E5B2}">
      <formula1>"frame0,frame1,frame2,frame3,frame4,frame5,frame6,frame7,frame8,frame9,frame10,frame11,frame12,frame13,frame14,frame15,frame16"</formula1>
    </dataValidation>
    <dataValidation type="list" allowBlank="1" showInputMessage="1" showErrorMessage="1" sqref="B9" xr:uid="{1C774291-BDB1-448F-B631-3CB7CD1FB5C3}">
      <formula1>"ball0,ball1,ball2,ball3,ball4,ball5,ball6,ball7,ball8,ball9,ball10,ball11,ball12,ball13,ball14,ball15,ball16,ball17,ball18,ball19"</formula1>
    </dataValidation>
    <dataValidation type="list" allowBlank="1" showInputMessage="1" showErrorMessage="1" sqref="B29" xr:uid="{11EB5AB3-D3BD-41C0-A565-FC562ABC0F0D}">
      <formula1>"linear,radial"</formula1>
    </dataValidation>
    <dataValidation type="list" allowBlank="1" showInputMessage="1" showErrorMessage="1" sqref="B17" xr:uid="{81D374D3-094A-478F-8284-FE1993130683}">
      <formula1>"default,clean"</formula1>
    </dataValidation>
    <dataValidation type="list" allowBlank="1" showInputMessage="1" showErrorMessage="1" sqref="B15" xr:uid="{25033979-4683-48DD-B9EA-1C8537678CE4}">
      <formula1>"TRUE,FALSE"</formula1>
    </dataValidation>
  </dataValidations>
  <hyperlinks>
    <hyperlink ref="G1" r:id="rId1" tooltip="Zobrazí webové stránky s popisem atributů QR kódu" xr:uid="{1D3A38FB-0154-43FE-87B8-66E17522C214}"/>
  </hyperlinks>
  <pageMargins left="0.7" right="0.7" top="0.75" bottom="0.75" header="0.3" footer="0.3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F41EE2-ED98-43C7-9E66-F4B6E95B92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7366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Nabídka</vt:lpstr>
      <vt:lpstr>Zálohová Faktura</vt:lpstr>
      <vt:lpstr>Faktura</vt:lpstr>
      <vt:lpstr>Vystavené</vt:lpstr>
      <vt:lpstr>Klienti</vt:lpstr>
      <vt:lpstr>QR_Config</vt:lpstr>
      <vt:lpstr>Firmy</vt:lpstr>
      <vt:lpstr>Nabídka!Print_Area</vt:lpstr>
      <vt:lpstr>Vystavené!Print_Area</vt:lpstr>
      <vt:lpstr>'Zálohová Faktura'!Print_Area</vt:lpstr>
    </vt:vector>
  </TitlesOfParts>
  <Company>Michal Kopl, Kopl Pro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Faktura 0062025</dc:title>
  <dc:subject>Ing-Vendula-Mikolášová-SVJ-Krškova-783-784 | Michal-Kopl</dc:subject>
  <dc:creator>Michal Kopl</dc:creator>
  <cp:lastModifiedBy>Michal Kopl</cp:lastModifiedBy>
  <cp:revision>209</cp:revision>
  <cp:lastPrinted>2025-08-31T12:41:05Z</cp:lastPrinted>
  <dcterms:created xsi:type="dcterms:W3CDTF">2010-08-10T11:35:37Z</dcterms:created>
  <dcterms:modified xsi:type="dcterms:W3CDTF">2025-08-31T15:03:19Z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fd63885a-8dcc-487f-9af7-0fdad8ff2e1a</vt:lpwstr>
  </property>
  <property fmtid="{D5CDD505-2E9C-101B-9397-08002B2CF9AE}" pid="3" name="ConnectionInfosStorage">
    <vt:lpwstr>WorkbookXmlParts</vt:lpwstr>
  </property>
</Properties>
</file>